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4.xml" ContentType="application/vnd.openxmlformats-officedocument.spreadsheetml.comments+xml"/>
  <Override PartName="/xl/drawings/drawing19.xml" ContentType="application/vnd.openxmlformats-officedocument.drawing+xml"/>
  <Override PartName="/xl/comments5.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6.xml" ContentType="application/vnd.openxmlformats-officedocument.spreadsheetml.comments+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updateLinks="never" codeName="ThisWorkbook"/>
  <mc:AlternateContent xmlns:mc="http://schemas.openxmlformats.org/markup-compatibility/2006">
    <mc:Choice Requires="x15">
      <x15ac:absPath xmlns:x15ac="http://schemas.microsoft.com/office/spreadsheetml/2010/11/ac" url="\\Serverapee\apee\13 - Projetos\Portugal 2020\PME Sustentável\10. Processos de Aquisição Adjudicação\A3 Portal Conteúdos\A3 Kit Report\Resultados\Kit Report agosto_2018\"/>
    </mc:Choice>
  </mc:AlternateContent>
  <bookViews>
    <workbookView xWindow="0" yWindow="0" windowWidth="17280" windowHeight="6930" tabRatio="860"/>
  </bookViews>
  <sheets>
    <sheet name="Disclaimer" sheetId="62" r:id="rId1"/>
    <sheet name="Introdução" sheetId="1" r:id="rId2"/>
    <sheet name="Combustão estacionária" sheetId="5" r:id="rId3"/>
    <sheet name="Combustão móvel" sheetId="6" r:id="rId4"/>
    <sheet name="Emissões fugitivas" sheetId="7" r:id="rId5"/>
    <sheet name="Processos industriais" sheetId="22" r:id="rId6"/>
    <sheet name="Agrícolas e uso do solo" sheetId="30" r:id="rId7"/>
    <sheet name="Resíduos sólidos" sheetId="28" r:id="rId8"/>
    <sheet name="Efluentes" sheetId="29" r:id="rId9"/>
    <sheet name="Compra de Energia Elétrica" sheetId="8" r:id="rId10"/>
    <sheet name="Compra de Energia Térmica" sheetId="56" r:id="rId11"/>
    <sheet name="Transp.&amp; Distribuição(Upstream)" sheetId="53" r:id="rId12"/>
    <sheet name="Resíduos sólidos da operação" sheetId="57" r:id="rId13"/>
    <sheet name="Efluentes gerados na operação" sheetId="58" r:id="rId14"/>
    <sheet name="Viagens a negócios" sheetId="59" r:id="rId15"/>
    <sheet name="Permuta casa-trabalho" sheetId="60" r:id="rId16"/>
    <sheet name="Transp&amp;Distribuição(Downstream)" sheetId="61" r:id="rId17"/>
    <sheet name="Categorias de Ambito 3" sheetId="40" r:id="rId18"/>
    <sheet name="Resumo" sheetId="2" r:id="rId19"/>
    <sheet name="GRI" sheetId="55" r:id="rId20"/>
    <sheet name="Fatores de Emissão" sheetId="3" r:id="rId21"/>
    <sheet name="Conversão Unidades" sheetId="14" r:id="rId22"/>
    <sheet name="Listas" sheetId="51" state="hidden" r:id="rId23"/>
  </sheets>
  <definedNames>
    <definedName name="AC">Listas!$AG$2:$AG$4</definedName>
    <definedName name="AL">Listas!$AH$2:$AH$4</definedName>
    <definedName name="AM">Listas!$AI$2:$AI$16</definedName>
    <definedName name="Ano">Introdução!$E$28</definedName>
    <definedName name="AP">Listas!$AJ$2:$AJ$4</definedName>
    <definedName name="_xlnm.Print_Area" localSheetId="2">'Combustão estacionária'!$A$1:$Q$160</definedName>
    <definedName name="_xlnm.Print_Area" localSheetId="3">'Combustão móvel'!$A$1:$CK$364</definedName>
    <definedName name="_xlnm.Print_Area" localSheetId="9">'Compra de Energia Elétrica'!$B$10:$AJ$109</definedName>
    <definedName name="_xlnm.Print_Area" localSheetId="10">'Compra de Energia Térmica'!$B$10:$AJ$109</definedName>
    <definedName name="_xlnm.Print_Area" localSheetId="0">Disclaimer!$A$1:$I$43</definedName>
    <definedName name="_xlnm.Print_Area" localSheetId="4">'Emissões fugitivas'!$B$24:$I$222</definedName>
    <definedName name="_xlnm.Print_Area" localSheetId="1">Introdução!$A$1:$S$41</definedName>
    <definedName name="_xlnm.Print_Area" localSheetId="15">'Permuta casa-trabalho'!$A$1:$CK$298</definedName>
    <definedName name="_xlnm.Print_Area" localSheetId="16">'Transp&amp;Distribuição(Downstream)'!$B$11:$V$399</definedName>
    <definedName name="_xlnm.Print_Area" localSheetId="11">'Transp.&amp; Distribuição(Upstream)'!$B$11:$V$399</definedName>
    <definedName name="_xlnm.Print_Area" localSheetId="14">'Viagens a negócios'!$A$1:$CK$368</definedName>
    <definedName name="BA">Listas!$AK$2:$AK$30</definedName>
    <definedName name="CE">Listas!$AL$2:$AL$12</definedName>
    <definedName name="col_setor">'Combustão estacionária'!$P$35</definedName>
    <definedName name="customTable">#REF!</definedName>
    <definedName name="dbo_dqo">Listas!$BP$3:$BP$4</definedName>
    <definedName name="DF">Listas!$AM$2</definedName>
    <definedName name="distância_VN">Listas!$BN$2:$BN$4</definedName>
    <definedName name="eflu_ch4_recuperado">Listas!$BQ$3:$BQ$4</definedName>
    <definedName name="eflu_tipo_tratamento">Listas!$BR$3:$BR$14</definedName>
    <definedName name="eflu_tipo_tratamento_MCF">Listas!$BR$3:$BS$14</definedName>
    <definedName name="eflu_trat_sequenc">Listas!$BT$3:$BT$5</definedName>
    <definedName name="ES">Listas!$AN$2:$AN$6</definedName>
    <definedName name="estados_br_E1" localSheetId="10">'Resíduos sólidos'!#REF!</definedName>
    <definedName name="estados_br_E1" localSheetId="13">'Resíduos sólidos'!#REF!</definedName>
    <definedName name="estados_br_E1" localSheetId="15">'Resíduos sólidos'!#REF!</definedName>
    <definedName name="estados_br_E1" localSheetId="12">'Resíduos sólidos da operação'!#REF!</definedName>
    <definedName name="estados_br_E1" localSheetId="16">'Resíduos sólidos'!#REF!</definedName>
    <definedName name="estados_br_E1" localSheetId="14">'Resíduos sólidos'!#REF!</definedName>
    <definedName name="estados_br_E1">'Resíduos sólidos'!#REF!</definedName>
    <definedName name="estados_br_E3" localSheetId="16">#REF!</definedName>
    <definedName name="estados_br_E3">#REF!</definedName>
    <definedName name="GO">Listas!$AO$2:$AO$12</definedName>
    <definedName name="gwp_CH4">'Fatores de Emissão'!$E$236</definedName>
    <definedName name="gwp_CO2">'Fatores de Emissão'!$E$235</definedName>
    <definedName name="gwp_HFC125">'Fatores de Emissão'!$E$241</definedName>
    <definedName name="gwp_HFC134">'Fatores de Emissão'!$E$242</definedName>
    <definedName name="gwp_HFC134a">'Fatores de Emissão'!$E$243</definedName>
    <definedName name="gwp_HFC143">'Fatores de Emissão'!$E$244</definedName>
    <definedName name="gwp_HFC143a">'Fatores de Emissão'!$E$245</definedName>
    <definedName name="gwp_HFC152">'Fatores de Emissão'!$E$246</definedName>
    <definedName name="gwp_HFC152a">'Fatores de Emissão'!$E$247</definedName>
    <definedName name="gwp_HFC161">'Fatores de Emissão'!$E$248</definedName>
    <definedName name="gwp_HFC227ea">'Fatores de Emissão'!$E$249</definedName>
    <definedName name="gwp_HFC23">'Fatores de Emissão'!$E$238</definedName>
    <definedName name="gwp_HFC236cb">'Fatores de Emissão'!$E$250</definedName>
    <definedName name="gwp_HFC236ea">'Fatores de Emissão'!$E$251</definedName>
    <definedName name="gwp_HFC236fa">'Fatores de Emissão'!$E$252</definedName>
    <definedName name="gwp_HFC245ca">'Fatores de Emissão'!$E$253</definedName>
    <definedName name="gwp_HFC245fa">'Fatores de Emissão'!$E$254</definedName>
    <definedName name="gwp_HFC32">'Fatores de Emissão'!$E$239</definedName>
    <definedName name="gwp_HFC365mfc">'Fatores de Emissão'!$E$255</definedName>
    <definedName name="gwp_HFC41">'Fatores de Emissão'!$E$240</definedName>
    <definedName name="gwp_HFC4310mee">'Fatores de Emissão'!$E$256</definedName>
    <definedName name="gwp_N2O">'Fatores de Emissão'!$E$237</definedName>
    <definedName name="gwp_NF3">'Fatores de Emissão'!$E$258</definedName>
    <definedName name="gwp_perfluorociclopropano">'Fatores de Emissão'!$E$268</definedName>
    <definedName name="gwp_PFC116">'Fatores de Emissão'!$E$260</definedName>
    <definedName name="gwp_PFC14">'Fatores de Emissão'!$E$259</definedName>
    <definedName name="gwp_PFC218">'Fatores de Emissão'!$E$261</definedName>
    <definedName name="gwp_PFC3110">'Fatores de Emissão'!$E$263</definedName>
    <definedName name="gwp_PFC318">'Fatores de Emissão'!$E$262</definedName>
    <definedName name="gwp_PFC4112">'Fatores de Emissão'!$E$264</definedName>
    <definedName name="gwp_PFC5114">'Fatores de Emissão'!$E$265</definedName>
    <definedName name="gwp_PFC9118">'Fatores de Emissão'!$E$266</definedName>
    <definedName name="gwp_SF6">'Fatores de Emissão'!$E$257</definedName>
    <definedName name="gwp_trifluorometil">'Fatores de Emissão'!$E$267</definedName>
    <definedName name="lista_ano">Listas!$B$2:$B$27</definedName>
    <definedName name="lista_ano_moto_flex" localSheetId="16">'Transp&amp;Distribuição(Downstream)'!#REF!</definedName>
    <definedName name="lista_ano_moto_flex" localSheetId="11">'Transp.&amp; Distribuição(Upstream)'!#REF!</definedName>
    <definedName name="lista_ano_veiculo" localSheetId="16">'Transp&amp;Distribuição(Downstream)'!#REF!</definedName>
    <definedName name="lista_ano_veiculo" localSheetId="11">'Transp.&amp; Distribuição(Upstream)'!#REF!</definedName>
    <definedName name="lista_ano_veiculo_flex" localSheetId="16">'Transp&amp;Distribuição(Downstream)'!#REF!</definedName>
    <definedName name="lista_ano_veiculo_flex" localSheetId="11">'Transp.&amp; Distribuição(Upstream)'!#REF!</definedName>
    <definedName name="lista_comb">Listas!$F$3:$F$57</definedName>
    <definedName name="lista_comb_aereo">Listas!$U$3:$U$4</definedName>
    <definedName name="lista_comb_ferrovia">Listas!$M$3:$M$15</definedName>
    <definedName name="lista_comb_hidroviario">Listas!$Q$3:$Q$5</definedName>
    <definedName name="lista_comb_movel">Listas!$I$3:$I$5</definedName>
    <definedName name="lista_equip_refrigeraçao">Listas!$BV$2:$BV$10</definedName>
    <definedName name="lista_estados_br">Listas!$AE$2:$AE$29</definedName>
    <definedName name="lista_gases">'Fatores de Emissão'!$C$235:$C$268</definedName>
    <definedName name="lista_gases_completa">'Fatores de Emissão'!$C$235:$C$350</definedName>
    <definedName name="lista_municípios_br">Listas!$BI$2:$BI$687</definedName>
    <definedName name="lista_setor">Listas!$D$2:$D$6</definedName>
    <definedName name="lista_SIA">#REF!</definedName>
    <definedName name="lista_veiculos" localSheetId="10">'Fatores de Emissão'!#REF!</definedName>
    <definedName name="lista_veiculos" localSheetId="13">'Fatores de Emissão'!#REF!</definedName>
    <definedName name="lista_veiculos" localSheetId="15">'Fatores de Emissão'!#REF!</definedName>
    <definedName name="lista_veiculos" localSheetId="12">'Fatores de Emissão'!#REF!</definedName>
    <definedName name="lista_veiculos" localSheetId="16">'Fatores de Emissão'!#REF!</definedName>
    <definedName name="lista_veiculos" localSheetId="14">'Fatores de Emissão'!#REF!</definedName>
    <definedName name="lista_veiculos">'Fatores de Emissão'!#REF!</definedName>
    <definedName name="MA">Listas!$AP$2:$AP$9</definedName>
    <definedName name="MG">Listas!$AQ$2:$AQ$51</definedName>
    <definedName name="MS">Listas!$AR$2:$AR$9</definedName>
    <definedName name="MT">Listas!$AS$2:$AS$9</definedName>
    <definedName name="municípios_br_E1" localSheetId="12">'Resíduos sólidos da operação'!$D$45</definedName>
    <definedName name="municípios_br_E1">'Resíduos sólidos'!$D$45</definedName>
    <definedName name="municípios_br_E3" localSheetId="16">#REF!</definedName>
    <definedName name="municípios_br_E3">#REF!</definedName>
    <definedName name="municipios_temp_pluv">Listas!$BI$2:$BL$687</definedName>
    <definedName name="myFuels">#REF!</definedName>
    <definedName name="nome_biodiesel">'Fatores de Emissão'!$C$103</definedName>
    <definedName name="nome_carvao_3100" localSheetId="10">'Fatores de Emissão'!#REF!</definedName>
    <definedName name="nome_carvao_3100" localSheetId="13">'Fatores de Emissão'!#REF!</definedName>
    <definedName name="nome_carvao_3100" localSheetId="15">'Fatores de Emissão'!#REF!</definedName>
    <definedName name="nome_carvao_3100" localSheetId="12">'Fatores de Emissão'!#REF!</definedName>
    <definedName name="nome_carvao_3100" localSheetId="16">'Fatores de Emissão'!#REF!</definedName>
    <definedName name="nome_carvao_3100" localSheetId="14">'Fatores de Emissão'!#REF!</definedName>
    <definedName name="nome_carvao_3100">'Fatores de Emissão'!#REF!</definedName>
    <definedName name="nome_carvao_3300" localSheetId="10">'Fatores de Emissão'!#REF!</definedName>
    <definedName name="nome_carvao_3300" localSheetId="13">'Fatores de Emissão'!#REF!</definedName>
    <definedName name="nome_carvao_3300" localSheetId="15">'Fatores de Emissão'!#REF!</definedName>
    <definedName name="nome_carvao_3300" localSheetId="12">'Fatores de Emissão'!#REF!</definedName>
    <definedName name="nome_carvao_3300" localSheetId="16">'Fatores de Emissão'!#REF!</definedName>
    <definedName name="nome_carvao_3300" localSheetId="14">'Fatores de Emissão'!#REF!</definedName>
    <definedName name="nome_carvao_3300">'Fatores de Emissão'!#REF!</definedName>
    <definedName name="nome_carvao_3700" localSheetId="10">'Fatores de Emissão'!#REF!</definedName>
    <definedName name="nome_carvao_3700" localSheetId="13">'Fatores de Emissão'!#REF!</definedName>
    <definedName name="nome_carvao_3700" localSheetId="15">'Fatores de Emissão'!#REF!</definedName>
    <definedName name="nome_carvao_3700" localSheetId="12">'Fatores de Emissão'!#REF!</definedName>
    <definedName name="nome_carvao_3700" localSheetId="16">'Fatores de Emissão'!#REF!</definedName>
    <definedName name="nome_carvao_3700" localSheetId="14">'Fatores de Emissão'!#REF!</definedName>
    <definedName name="nome_carvao_3700">'Fatores de Emissão'!#REF!</definedName>
    <definedName name="nome_carvao_4200" localSheetId="10">'Fatores de Emissão'!#REF!</definedName>
    <definedName name="nome_carvao_4200" localSheetId="13">'Fatores de Emissão'!#REF!</definedName>
    <definedName name="nome_carvao_4200" localSheetId="15">'Fatores de Emissão'!#REF!</definedName>
    <definedName name="nome_carvao_4200" localSheetId="12">'Fatores de Emissão'!#REF!</definedName>
    <definedName name="nome_carvao_4200" localSheetId="16">'Fatores de Emissão'!#REF!</definedName>
    <definedName name="nome_carvao_4200" localSheetId="14">'Fatores de Emissão'!#REF!</definedName>
    <definedName name="nome_carvao_4200">'Fatores de Emissão'!#REF!</definedName>
    <definedName name="nome_carvao_4500" localSheetId="10">'Fatores de Emissão'!#REF!</definedName>
    <definedName name="nome_carvao_4500" localSheetId="13">'Fatores de Emissão'!#REF!</definedName>
    <definedName name="nome_carvao_4500" localSheetId="15">'Fatores de Emissão'!#REF!</definedName>
    <definedName name="nome_carvao_4500" localSheetId="12">'Fatores de Emissão'!#REF!</definedName>
    <definedName name="nome_carvao_4500" localSheetId="16">'Fatores de Emissão'!#REF!</definedName>
    <definedName name="nome_carvao_4500" localSheetId="14">'Fatores de Emissão'!#REF!</definedName>
    <definedName name="nome_carvao_4500">'Fatores de Emissão'!#REF!</definedName>
    <definedName name="nome_carvao_4700" localSheetId="10">'Fatores de Emissão'!#REF!</definedName>
    <definedName name="nome_carvao_4700" localSheetId="13">'Fatores de Emissão'!#REF!</definedName>
    <definedName name="nome_carvao_4700" localSheetId="15">'Fatores de Emissão'!#REF!</definedName>
    <definedName name="nome_carvao_4700" localSheetId="12">'Fatores de Emissão'!#REF!</definedName>
    <definedName name="nome_carvao_4700" localSheetId="16">'Fatores de Emissão'!#REF!</definedName>
    <definedName name="nome_carvao_4700" localSheetId="14">'Fatores de Emissão'!#REF!</definedName>
    <definedName name="nome_carvao_4700">'Fatores de Emissão'!#REF!</definedName>
    <definedName name="nome_carvao_5200" localSheetId="10">'Fatores de Emissão'!#REF!</definedName>
    <definedName name="nome_carvao_5200" localSheetId="13">'Fatores de Emissão'!#REF!</definedName>
    <definedName name="nome_carvao_5200" localSheetId="15">'Fatores de Emissão'!#REF!</definedName>
    <definedName name="nome_carvao_5200" localSheetId="12">'Fatores de Emissão'!#REF!</definedName>
    <definedName name="nome_carvao_5200" localSheetId="16">'Fatores de Emissão'!#REF!</definedName>
    <definedName name="nome_carvao_5200" localSheetId="14">'Fatores de Emissão'!#REF!</definedName>
    <definedName name="nome_carvao_5200">'Fatores de Emissão'!#REF!</definedName>
    <definedName name="nome_carvao_5900" localSheetId="10">'Fatores de Emissão'!#REF!</definedName>
    <definedName name="nome_carvao_5900" localSheetId="13">'Fatores de Emissão'!#REF!</definedName>
    <definedName name="nome_carvao_5900" localSheetId="15">'Fatores de Emissão'!#REF!</definedName>
    <definedName name="nome_carvao_5900" localSheetId="12">'Fatores de Emissão'!#REF!</definedName>
    <definedName name="nome_carvao_5900" localSheetId="16">'Fatores de Emissão'!#REF!</definedName>
    <definedName name="nome_carvao_5900" localSheetId="14">'Fatores de Emissão'!#REF!</definedName>
    <definedName name="nome_carvao_5900">'Fatores de Emissão'!#REF!</definedName>
    <definedName name="nome_carvao_6000" localSheetId="10">'Fatores de Emissão'!#REF!</definedName>
    <definedName name="nome_carvao_6000" localSheetId="13">'Fatores de Emissão'!#REF!</definedName>
    <definedName name="nome_carvao_6000" localSheetId="15">'Fatores de Emissão'!#REF!</definedName>
    <definedName name="nome_carvao_6000" localSheetId="12">'Fatores de Emissão'!#REF!</definedName>
    <definedName name="nome_carvao_6000" localSheetId="16">'Fatores de Emissão'!#REF!</definedName>
    <definedName name="nome_carvao_6000" localSheetId="14">'Fatores de Emissão'!#REF!</definedName>
    <definedName name="nome_carvao_6000">'Fatores de Emissão'!#REF!</definedName>
    <definedName name="nome_carvao_mineral" localSheetId="10">'Fatores de Emissão'!#REF!</definedName>
    <definedName name="nome_carvao_mineral" localSheetId="13">'Fatores de Emissão'!#REF!</definedName>
    <definedName name="nome_carvao_mineral" localSheetId="15">'Fatores de Emissão'!#REF!</definedName>
    <definedName name="nome_carvao_mineral" localSheetId="12">'Fatores de Emissão'!#REF!</definedName>
    <definedName name="nome_carvao_mineral" localSheetId="16">'Fatores de Emissão'!#REF!</definedName>
    <definedName name="nome_carvao_mineral" localSheetId="14">'Fatores de Emissão'!#REF!</definedName>
    <definedName name="nome_carvao_mineral">'Fatores de Emissão'!#REF!</definedName>
    <definedName name="nome_carvao_NA" localSheetId="10">'Fatores de Emissão'!#REF!</definedName>
    <definedName name="nome_carvao_NA" localSheetId="13">'Fatores de Emissão'!#REF!</definedName>
    <definedName name="nome_carvao_NA" localSheetId="15">'Fatores de Emissão'!#REF!</definedName>
    <definedName name="nome_carvao_NA" localSheetId="12">'Fatores de Emissão'!#REF!</definedName>
    <definedName name="nome_carvao_NA" localSheetId="16">'Fatores de Emissão'!#REF!</definedName>
    <definedName name="nome_carvao_NA" localSheetId="14">'Fatores de Emissão'!#REF!</definedName>
    <definedName name="nome_carvao_NA">'Fatores de Emissão'!#REF!</definedName>
    <definedName name="nome_compostos">'Emissões fugitivas'!$AE$204</definedName>
    <definedName name="nome_diesel_comercial">Listas!$M$4</definedName>
    <definedName name="nome_diesel_puro" localSheetId="10">Listas!#REF!</definedName>
    <definedName name="nome_diesel_puro" localSheetId="13">Listas!#REF!</definedName>
    <definedName name="nome_diesel_puro" localSheetId="15">Listas!#REF!</definedName>
    <definedName name="nome_diesel_puro" localSheetId="12">Listas!#REF!</definedName>
    <definedName name="nome_diesel_puro" localSheetId="16">Listas!#REF!</definedName>
    <definedName name="nome_diesel_puro" localSheetId="14">Listas!#REF!</definedName>
    <definedName name="nome_diesel_puro">Listas!#REF!</definedName>
    <definedName name="nome_etan_anidro">'Fatores de Emissão'!$C$104</definedName>
    <definedName name="nome_etan_hidrat">'Fatores de Emissão'!$C$102</definedName>
    <definedName name="nome_gaso_A">'Fatores de Emissão'!$C$82</definedName>
    <definedName name="nome_GNV">'Fatores de Emissão'!$C$91</definedName>
    <definedName name="nome_HFC">'Emissões fugitivas'!$AE$202</definedName>
    <definedName name="nome_oleo_diesel">'Fatores de Emissão'!$C$87</definedName>
    <definedName name="nome_PFC">'Emissões fugitivas'!$AE$203</definedName>
    <definedName name="PA">Listas!$AT$2:$AT$19</definedName>
    <definedName name="parametros2006">#REF!</definedName>
    <definedName name="parametros2007">#REF!</definedName>
    <definedName name="parametros2008">#REF!</definedName>
    <definedName name="parametros2009">#REF!</definedName>
    <definedName name="parametros2010">#REF!</definedName>
    <definedName name="parametros2011">#REF!</definedName>
    <definedName name="PB">Listas!$AU$2:$AU$106</definedName>
    <definedName name="PE">Listas!$AV$2:$AV$12</definedName>
    <definedName name="perc_biod_abr">#REF!</definedName>
    <definedName name="perc_biod_ago">#REF!</definedName>
    <definedName name="perc_biod_anual">#REF!</definedName>
    <definedName name="perc_biod_dez">#REF!</definedName>
    <definedName name="perc_biod_fev">#REF!</definedName>
    <definedName name="perc_biod_jan">#REF!</definedName>
    <definedName name="perc_biod_jul">#REF!</definedName>
    <definedName name="perc_biod_jun">#REF!</definedName>
    <definedName name="perc_biod_mai">#REF!</definedName>
    <definedName name="perc_biod_mar">#REF!</definedName>
    <definedName name="perc_biod_nov">#REF!</definedName>
    <definedName name="perc_biod_out">#REF!</definedName>
    <definedName name="perc_biod_set">#REF!</definedName>
    <definedName name="perc_etanol_abr">#REF!</definedName>
    <definedName name="perc_etanol_ago">#REF!</definedName>
    <definedName name="perc_etanol_anual">#REF!</definedName>
    <definedName name="perc_etanol_dez">#REF!</definedName>
    <definedName name="perc_etanol_fev">#REF!</definedName>
    <definedName name="perc_etanol_jan">#REF!</definedName>
    <definedName name="perc_etanol_jul">#REF!</definedName>
    <definedName name="perc_etanol_jun">#REF!</definedName>
    <definedName name="perc_etanol_mai">#REF!</definedName>
    <definedName name="perc_etanol_mar">#REF!</definedName>
    <definedName name="perc_etanol_nov">#REF!</definedName>
    <definedName name="perc_etanol_out">#REF!</definedName>
    <definedName name="perc_etanol_set">#REF!</definedName>
    <definedName name="PI">Listas!$AW$2:$AW$7</definedName>
    <definedName name="picture">"Picture32"</definedName>
    <definedName name="PR">Listas!$AX$2:$AX$44</definedName>
    <definedName name="RJ">Listas!$AY$2:$AY$20</definedName>
    <definedName name="RN">Listas!$AZ$2:$AZ$8</definedName>
    <definedName name="RO">Listas!$BA$2</definedName>
    <definedName name="RR">Listas!$BB$2</definedName>
    <definedName name="RS">Listas!$BC$2:$BC$25</definedName>
    <definedName name="SC">Listas!$BD$2:$BD$15</definedName>
    <definedName name="SE">Listas!$BE$2:$BE$4</definedName>
    <definedName name="setor">'Combustão estacionária'!$D$35</definedName>
    <definedName name="SP">Listas!$BF$2:$BF$274</definedName>
    <definedName name="t_1">Listas!$Y$4:$Y$19</definedName>
    <definedName name="t_2">Listas!$Z$4:$Z$16</definedName>
    <definedName name="t_3">Listas!$AA$4:$AA$10</definedName>
    <definedName name="t_4">Listas!$AB$4</definedName>
    <definedName name="t_5">Listas!$AC$4:$AC$12</definedName>
    <definedName name="tab_FE_ced">'Fatores de Emissão'!$B$20:$AB$73</definedName>
    <definedName name="tab_FE_VN">'Fatores de Emissão'!$C$227:$G$229</definedName>
    <definedName name="tab_setores" localSheetId="10">'Fatores de Emissão'!#REF!</definedName>
    <definedName name="tab_setores" localSheetId="13">'Fatores de Emissão'!#REF!</definedName>
    <definedName name="tab_setores" localSheetId="15">'Fatores de Emissão'!#REF!</definedName>
    <definedName name="tab_setores" localSheetId="12">'Fatores de Emissão'!#REF!</definedName>
    <definedName name="tab_setores" localSheetId="16">'Fatores de Emissão'!#REF!</definedName>
    <definedName name="tab_setores" localSheetId="14">'Fatores de Emissão'!#REF!</definedName>
    <definedName name="tab_setores">'Fatores de Emissão'!#REF!</definedName>
    <definedName name="tabela_comb_aereo">Listas!$U$3:$W$4</definedName>
    <definedName name="tabela_comb_ferrovia">Listas!$M$4:$O$16</definedName>
    <definedName name="tabela_comb_hidroviario">Listas!$Q$3:$S$5</definedName>
    <definedName name="tabela_comb_movel">Listas!$I$3:$K$8</definedName>
    <definedName name="tabela_consumo" localSheetId="10">'Fatores de Emissão'!#REF!</definedName>
    <definedName name="tabela_consumo" localSheetId="13">'Fatores de Emissão'!#REF!</definedName>
    <definedName name="tabela_consumo" localSheetId="15">'Fatores de Emissão'!#REF!</definedName>
    <definedName name="tabela_consumo" localSheetId="12">'Fatores de Emissão'!#REF!</definedName>
    <definedName name="tabela_consumo" localSheetId="16">'Fatores de Emissão'!#REF!</definedName>
    <definedName name="tabela_consumo" localSheetId="14">'Fatores de Emissão'!#REF!</definedName>
    <definedName name="tabela_consumo">'Fatores de Emissão'!#REF!</definedName>
    <definedName name="tabela_FE_CM">'Fatores de Emissão'!$C$80:$J$104</definedName>
    <definedName name="tabela_FE_CM_ano">'Fatores de Emissão'!$AN$174:$BV$174</definedName>
    <definedName name="tabela_FE_ferrovia">'Fatores de Emissão'!$C$79:$J$106</definedName>
    <definedName name="tabela_GWP">'Fatores de Emissão'!$C$235:$E$350</definedName>
    <definedName name="TO">Listas!$BG$2:$BG$7</definedName>
    <definedName name="total_AA_biomassa">'Agrícolas e uso do solo'!$F$57</definedName>
    <definedName name="total_AA_CH4">'Agrícolas e uso do solo'!$N$37</definedName>
    <definedName name="total_AA_CO2">'Agrícolas e uso do solo'!$N$36</definedName>
    <definedName name="total_AA_escopo1">'Agrícolas e uso do solo'!$F$55</definedName>
    <definedName name="total_AA_N2O">'Agrícolas e uso do solo'!$N$38</definedName>
    <definedName name="total_Cat1_CH4">'Categorias de Ambito 3'!$C$26</definedName>
    <definedName name="total_Cat1_CO2">'Categorias de Ambito 3'!$C$25</definedName>
    <definedName name="total_Cat1_CO2_biomassa">'Categorias de Ambito 3'!$C$63</definedName>
    <definedName name="total_Cat1_CO2e">'Categorias de Ambito 3'!$D$61</definedName>
    <definedName name="total_Cat1_HFC">'Categorias de Ambito 3'!$C$28</definedName>
    <definedName name="total_Cat1_N2O">'Categorias de Ambito 3'!$C$27</definedName>
    <definedName name="total_Cat1_NF3">'Categorias de Ambito 3'!$C$60</definedName>
    <definedName name="total_Cat1_PFC">'Categorias de Ambito 3'!$C$48</definedName>
    <definedName name="total_Cat1_SF6">'Categorias de Ambito 3'!$C$59</definedName>
    <definedName name="total_Cat10_CH4">'Categorias de Ambito 3'!$E$114</definedName>
    <definedName name="total_Cat10_CO2">'Categorias de Ambito 3'!$E$113</definedName>
    <definedName name="total_Cat10_CO2_biomassa">'Categorias de Ambito 3'!$E$151</definedName>
    <definedName name="total_Cat10_CO2e">'Categorias de Ambito 3'!$F$149</definedName>
    <definedName name="total_Cat10_HFC">'Categorias de Ambito 3'!$E$116</definedName>
    <definedName name="total_Cat10_N2O">'Categorias de Ambito 3'!$E$115</definedName>
    <definedName name="total_Cat10_NF3">'Categorias de Ambito 3'!$E$148</definedName>
    <definedName name="total_Cat10_PFC">'Categorias de Ambito 3'!$E$136</definedName>
    <definedName name="total_Cat10_SF6">'Categorias de Ambito 3'!$E$147</definedName>
    <definedName name="total_Cat11_CH4">'Categorias de Ambito 3'!$G$114</definedName>
    <definedName name="total_Cat11_CO2">'Categorias de Ambito 3'!$G$113</definedName>
    <definedName name="total_Cat11_CO2_biomassa">'Categorias de Ambito 3'!$G$151</definedName>
    <definedName name="total_Cat11_CO2e">'Categorias de Ambito 3'!$H$149</definedName>
    <definedName name="total_Cat11_HFC">'Categorias de Ambito 3'!$G$116</definedName>
    <definedName name="total_Cat11_N2O">'Categorias de Ambito 3'!$G$115</definedName>
    <definedName name="total_Cat11_NF3">'Categorias de Ambito 3'!$G$148</definedName>
    <definedName name="total_Cat11_PFC">'Categorias de Ambito 3'!$G$136</definedName>
    <definedName name="total_Cat11_SF6">'Categorias de Ambito 3'!$G$147</definedName>
    <definedName name="total_Cat12_CH4">'Categorias de Ambito 3'!$I$114</definedName>
    <definedName name="total_Cat12_CO2">'Categorias de Ambito 3'!$I$113</definedName>
    <definedName name="total_Cat12_CO2_biomassa">'Categorias de Ambito 3'!$I$151</definedName>
    <definedName name="total_Cat12_CO2e">'Categorias de Ambito 3'!$J$149</definedName>
    <definedName name="total_Cat12_HFC">'Categorias de Ambito 3'!$I$116</definedName>
    <definedName name="total_Cat12_N2O">'Categorias de Ambito 3'!$I$115</definedName>
    <definedName name="total_Cat12_NF3">'Categorias de Ambito 3'!$I$148</definedName>
    <definedName name="total_Cat12_PFC">'Categorias de Ambito 3'!$I$136</definedName>
    <definedName name="total_Cat12_SF6">'Categorias de Ambito 3'!$I$147</definedName>
    <definedName name="total_Cat13_CH4">'Categorias de Ambito 3'!$C$158</definedName>
    <definedName name="total_Cat13_CO2">'Categorias de Ambito 3'!$C$157</definedName>
    <definedName name="total_Cat13_CO2_biomassa">'Categorias de Ambito 3'!$C$195</definedName>
    <definedName name="total_Cat13_CO2e">'Categorias de Ambito 3'!$D$193</definedName>
    <definedName name="total_Cat13_HFC">'Categorias de Ambito 3'!$C$160</definedName>
    <definedName name="total_Cat13_N2O">'Categorias de Ambito 3'!$C$159</definedName>
    <definedName name="total_Cat13_NF3">'Categorias de Ambito 3'!$C$192</definedName>
    <definedName name="total_Cat13_PFC">'Categorias de Ambito 3'!$C$180</definedName>
    <definedName name="total_Cat13_SF6">'Categorias de Ambito 3'!$C$191</definedName>
    <definedName name="total_Cat14_CH4">'Categorias de Ambito 3'!$E$158</definedName>
    <definedName name="total_Cat14_CO2">'Categorias de Ambito 3'!$E$157</definedName>
    <definedName name="total_Cat14_CO2_biomassa">'Categorias de Ambito 3'!$E$195</definedName>
    <definedName name="total_Cat14_CO2e">'Categorias de Ambito 3'!$F$193</definedName>
    <definedName name="total_Cat14_HFC">'Categorias de Ambito 3'!$E$160</definedName>
    <definedName name="total_Cat14_N2O">'Categorias de Ambito 3'!$E$159</definedName>
    <definedName name="total_Cat14_NF3">'Categorias de Ambito 3'!$E$192</definedName>
    <definedName name="total_Cat14_PFC">'Categorias de Ambito 3'!$E$180</definedName>
    <definedName name="total_Cat14_SF6">'Categorias de Ambito 3'!$E$191</definedName>
    <definedName name="total_Cat15_CH4">'Categorias de Ambito 3'!$G$158</definedName>
    <definedName name="total_Cat15_CO2">'Categorias de Ambito 3'!$G$157</definedName>
    <definedName name="total_Cat15_CO2_biomassa">'Categorias de Ambito 3'!$G$195</definedName>
    <definedName name="total_Cat15_CO2e">'Categorias de Ambito 3'!$H$193</definedName>
    <definedName name="total_Cat15_HFC">'Categorias de Ambito 3'!$G$160</definedName>
    <definedName name="total_Cat15_N2O">'Categorias de Ambito 3'!$G$159</definedName>
    <definedName name="total_Cat15_NF3">'Categorias de Ambito 3'!$G$192</definedName>
    <definedName name="total_Cat15_PFC">'Categorias de Ambito 3'!$G$180</definedName>
    <definedName name="total_Cat15_SF6">'Categorias de Ambito 3'!$G$191</definedName>
    <definedName name="total_Cat2_CH4">'Categorias de Ambito 3'!$E$26</definedName>
    <definedName name="total_Cat2_CO2">'Categorias de Ambito 3'!$E$25</definedName>
    <definedName name="total_Cat2_CO2_biomassa">'Categorias de Ambito 3'!$E$63</definedName>
    <definedName name="total_Cat2_CO2e">'Categorias de Ambito 3'!$F$61</definedName>
    <definedName name="total_Cat2_HFC">'Categorias de Ambito 3'!$E$28</definedName>
    <definedName name="total_Cat2_N2O">'Categorias de Ambito 3'!$E$27</definedName>
    <definedName name="total_Cat2_NF3">'Categorias de Ambito 3'!$E$60</definedName>
    <definedName name="total_Cat2_PFC">'Categorias de Ambito 3'!$E$48</definedName>
    <definedName name="total_Cat2_SF6">'Categorias de Ambito 3'!$E$59</definedName>
    <definedName name="total_Cat3_CH4">'Categorias de Ambito 3'!$G$26</definedName>
    <definedName name="total_Cat3_CO2">'Categorias de Ambito 3'!$G$25</definedName>
    <definedName name="total_Cat3_CO2_biomassa">'Categorias de Ambito 3'!$G$63</definedName>
    <definedName name="total_Cat3_CO2e">'Categorias de Ambito 3'!$H$61</definedName>
    <definedName name="total_Cat3_HFC">'Categorias de Ambito 3'!$G$28</definedName>
    <definedName name="total_Cat3_N2O">'Categorias de Ambito 3'!$G$27</definedName>
    <definedName name="total_Cat3_NF3">'Categorias de Ambito 3'!$G$60</definedName>
    <definedName name="total_Cat3_PFC">'Categorias de Ambito 3'!$G$48</definedName>
    <definedName name="total_Cat3_SF6">'Categorias de Ambito 3'!$G$59</definedName>
    <definedName name="total_Cat4_CH4">'Categorias de Ambito 3'!$AB$26</definedName>
    <definedName name="total_Cat4_CO2">'Categorias de Ambito 3'!$AB$25</definedName>
    <definedName name="total_Cat4_CO2_biomassa">'Categorias de Ambito 3'!$AB$63</definedName>
    <definedName name="total_Cat4_CO2e">'Categorias de Ambito 3'!$AC$61</definedName>
    <definedName name="total_Cat4_N2O">'Categorias de Ambito 3'!$AB$27</definedName>
    <definedName name="total_Cat4_op_CH4">'Categorias de Ambito 3'!$I$26</definedName>
    <definedName name="total_Cat4_op_CO2">'Categorias de Ambito 3'!$I$25</definedName>
    <definedName name="total_Cat4_op_CO2_biomassa">'Categorias de Ambito 3'!$I$63</definedName>
    <definedName name="total_Cat4_op_CO2e">'Categorias de Ambito 3'!$J$61</definedName>
    <definedName name="total_Cat4_op_HFC">'Categorias de Ambito 3'!$I$28</definedName>
    <definedName name="total_Cat4_op_N2O">'Categorias de Ambito 3'!$I$27</definedName>
    <definedName name="total_Cat4_op_NF3">'Categorias de Ambito 3'!$I$60</definedName>
    <definedName name="total_Cat4_op_PFC">'Categorias de Ambito 3'!$I$48</definedName>
    <definedName name="total_Cat4_op_SFC">'Categorias de Ambito 3'!$I$59</definedName>
    <definedName name="total_Cat5_CH4">'Categorias de Ambito 3'!$AD$26</definedName>
    <definedName name="total_Cat5_CO2">'Categorias de Ambito 3'!$AD$25</definedName>
    <definedName name="total_Cat5_CO2_biomassa">'Categorias de Ambito 3'!$AD$63</definedName>
    <definedName name="total_Cat5_CO2e">'Categorias de Ambito 3'!$AE$61</definedName>
    <definedName name="total_Cat5_N2O">'Categorias de Ambito 3'!$AD$27</definedName>
    <definedName name="total_Cat5_op_CH4">'Categorias de Ambito 3'!$C$70</definedName>
    <definedName name="total_Cat5_op_CO2">'Categorias de Ambito 3'!$C$69</definedName>
    <definedName name="total_Cat5_op_CO2_biomassa">'Categorias de Ambito 3'!$C$107</definedName>
    <definedName name="total_Cat5_op_CO2e">'Categorias de Ambito 3'!$D$105</definedName>
    <definedName name="total_Cat5_op_HFC">'Categorias de Ambito 3'!$C$72</definedName>
    <definedName name="total_Cat5_op_N2O">'Categorias de Ambito 3'!$C$71</definedName>
    <definedName name="total_Cat5_op_NF3">'Categorias de Ambito 3'!$C$104</definedName>
    <definedName name="total_Cat5_op_PFC">'Categorias de Ambito 3'!$C$92</definedName>
    <definedName name="total_Cat5_op_SF6">'Categorias de Ambito 3'!$C$103</definedName>
    <definedName name="total_Cat6_CH4">'Categorias de Ambito 3'!$AF$26</definedName>
    <definedName name="total_Cat6_CO2">'Categorias de Ambito 3'!$AF$25</definedName>
    <definedName name="total_Cat6_CO2_biomassa">'Categorias de Ambito 3'!$AF$63</definedName>
    <definedName name="total_Cat6_CO2e">'Categorias de Ambito 3'!$AG$61</definedName>
    <definedName name="total_Cat6_N2O">'Categorias de Ambito 3'!$AF$27</definedName>
    <definedName name="total_Cat6_op_CH4">'Categorias de Ambito 3'!$E$70</definedName>
    <definedName name="total_Cat6_op_CO2">'Categorias de Ambito 3'!$E$69</definedName>
    <definedName name="total_Cat6_op_CO2_biomassa">'Categorias de Ambito 3'!$E$107</definedName>
    <definedName name="total_Cat6_op_CO2e">'Categorias de Ambito 3'!$F$105</definedName>
    <definedName name="total_Cat6_op_HFC">'Categorias de Ambito 3'!$E$72</definedName>
    <definedName name="total_Cat6_op_N2O">'Categorias de Ambito 3'!$E$71</definedName>
    <definedName name="total_Cat6_op_NF3">'Categorias de Ambito 3'!$E$104</definedName>
    <definedName name="total_Cat6_op_PFC">'Categorias de Ambito 3'!$E$92</definedName>
    <definedName name="total_Cat6_op_SF6">'Categorias de Ambito 3'!$E$103</definedName>
    <definedName name="total_Cat7_CH4">'Categorias de Ambito 3'!$G$70</definedName>
    <definedName name="total_Cat7_CO2">'Categorias de Ambito 3'!$G$69</definedName>
    <definedName name="total_Cat7_CO2_biomassa">'Categorias de Ambito 3'!$G$107</definedName>
    <definedName name="total_Cat7_CO2e">'Categorias de Ambito 3'!$H$105</definedName>
    <definedName name="total_Cat7_HFC">'Categorias de Ambito 3'!$G$72</definedName>
    <definedName name="total_Cat7_N2O">'Categorias de Ambito 3'!$G$71</definedName>
    <definedName name="total_Cat7_NF3">'Categorias de Ambito 3'!$G$104</definedName>
    <definedName name="total_Cat7_PFC">'Categorias de Ambito 3'!$G$92</definedName>
    <definedName name="total_Cat7_SF6">'Categorias de Ambito 3'!$G$103</definedName>
    <definedName name="total_Cat8_CH4">'Categorias de Ambito 3'!$I$70</definedName>
    <definedName name="total_Cat8_CO2">'Categorias de Ambito 3'!$I$69</definedName>
    <definedName name="total_Cat8_CO2_biomassa">'Categorias de Ambito 3'!$I$107</definedName>
    <definedName name="total_Cat8_CO2e">'Categorias de Ambito 3'!$J$105</definedName>
    <definedName name="total_Cat8_HFC">'Categorias de Ambito 3'!$I$72</definedName>
    <definedName name="total_Cat8_N2O">'Categorias de Ambito 3'!$I$71</definedName>
    <definedName name="total_Cat8_NF3">'Categorias de Ambito 3'!$I$104</definedName>
    <definedName name="total_Cat8_PFC">'Categorias de Ambito 3'!$I$92</definedName>
    <definedName name="total_Cat8_SF6">'Categorias de Ambito 3'!$I$103</definedName>
    <definedName name="total_Cat9_CH4">'Categorias de Ambito 3'!$AH$26</definedName>
    <definedName name="total_Cat9_CO2">'Categorias de Ambito 3'!$AH$25</definedName>
    <definedName name="total_Cat9_CO2_biomassa">'Categorias de Ambito 3'!$AH$63</definedName>
    <definedName name="total_Cat9_CO2e">'Categorias de Ambito 3'!$AI$61</definedName>
    <definedName name="total_Cat9_N2O">'Categorias de Ambito 3'!$AH$27</definedName>
    <definedName name="total_Cat9_op_CH4">'Categorias de Ambito 3'!$C$114</definedName>
    <definedName name="total_Cat9_op_CO2">'Categorias de Ambito 3'!$C$113</definedName>
    <definedName name="total_Cat9_op_CO2_biomassa">'Categorias de Ambito 3'!$C$151</definedName>
    <definedName name="total_Cat9_op_CO2e">'Categorias de Ambito 3'!$D$149</definedName>
    <definedName name="total_Cat9_op_HFC">'Categorias de Ambito 3'!$C$116</definedName>
    <definedName name="total_Cat9_op_N2O">'Categorias de Ambito 3'!$C$115</definedName>
    <definedName name="total_Cat9_op_NF3">'Categorias de Ambito 3'!$C$148</definedName>
    <definedName name="total_Cat9_op_PFC">'Categorias de Ambito 3'!$C$136</definedName>
    <definedName name="total_Cat9_op_SF6">'Categorias de Ambito 3'!$C$147</definedName>
    <definedName name="total_CED_biomassa">'Combustão estacionária'!$E$156</definedName>
    <definedName name="total_CED_CH4">'Combustão estacionária'!$J$134</definedName>
    <definedName name="total_CED_CH4_biomassa">'Combustão estacionária'!$J$147</definedName>
    <definedName name="total_CED_CO2">'Combustão estacionária'!$I$134</definedName>
    <definedName name="total_CED_CO2_biomassa">'Combustão estacionária'!$I$147</definedName>
    <definedName name="total_CED_escopo1">'Combustão estacionária'!$E$154</definedName>
    <definedName name="total_CED_N2O">'Combustão estacionária'!$K$134</definedName>
    <definedName name="total_CED_N2O_biomassa">'Combustão estacionária'!$K$147</definedName>
    <definedName name="total_CM_aero_CH4" localSheetId="15">'Permuta casa-trabalho'!#REF!</definedName>
    <definedName name="total_CM_aero_CH4" localSheetId="14">'Viagens a negócios'!$M$354</definedName>
    <definedName name="total_CM_aero_CH4">'Combustão móvel'!$N$350</definedName>
    <definedName name="total_CM_aero_CO2" localSheetId="15">'Permuta casa-trabalho'!#REF!</definedName>
    <definedName name="total_CM_aero_CO2" localSheetId="14">'Viagens a negócios'!$L$354</definedName>
    <definedName name="total_CM_aero_CO2">'Combustão móvel'!$M$350</definedName>
    <definedName name="total_CM_aero_CO2bio" localSheetId="15">'Permuta casa-trabalho'!#REF!</definedName>
    <definedName name="total_CM_aero_CO2bio" localSheetId="14">'Viagens a negócios'!$P$354</definedName>
    <definedName name="total_CM_aero_CO2bio">'Combustão móvel'!$Q$350</definedName>
    <definedName name="total_CM_aero_CO2e" localSheetId="15">'Permuta casa-trabalho'!#REF!</definedName>
    <definedName name="total_CM_aero_CO2e" localSheetId="14">'Viagens a negócios'!$O$354</definedName>
    <definedName name="total_CM_aero_CO2e">'Combustão móvel'!$P$350</definedName>
    <definedName name="total_CM_aero_N2O" localSheetId="15">'Permuta casa-trabalho'!#REF!</definedName>
    <definedName name="total_CM_aero_N2O" localSheetId="14">'Viagens a negócios'!$N$354</definedName>
    <definedName name="total_CM_aero_N2O">'Combustão móvel'!$O$350</definedName>
    <definedName name="total_CM_biomassa" localSheetId="15">'Permuta casa-trabalho'!$F$292</definedName>
    <definedName name="total_CM_biomassa" localSheetId="14">'Viagens a negócios'!$F$362</definedName>
    <definedName name="total_CM_biomassa">'Combustão móvel'!$F$358</definedName>
    <definedName name="total_CM_CO2e" localSheetId="15">'Permuta casa-trabalho'!$F$290</definedName>
    <definedName name="total_CM_CO2e" localSheetId="14">'Viagens a negócios'!$F$360</definedName>
    <definedName name="total_CM_CO2e">'Combustão móvel'!$F$356</definedName>
    <definedName name="total_CM_ferro_CH4" localSheetId="15">'Permuta casa-trabalho'!$M$218</definedName>
    <definedName name="total_CM_ferro_CH4" localSheetId="14">'Viagens a negócios'!$M$220</definedName>
    <definedName name="total_CM_ferro_CH4">'Combustão móvel'!$N$216</definedName>
    <definedName name="total_CM_ferro_CO2" localSheetId="15">'Permuta casa-trabalho'!$L$218</definedName>
    <definedName name="total_CM_ferro_CO2" localSheetId="14">'Viagens a negócios'!$L$220</definedName>
    <definedName name="total_CM_ferro_CO2">'Combustão móvel'!$M$216</definedName>
    <definedName name="total_CM_ferro_CO2bio" localSheetId="15">'Permuta casa-trabalho'!$P$218</definedName>
    <definedName name="total_CM_ferro_CO2bio" localSheetId="14">'Viagens a negócios'!$P$220</definedName>
    <definedName name="total_CM_ferro_CO2bio">'Combustão móvel'!$Q$216</definedName>
    <definedName name="total_CM_ferro_CO2e" localSheetId="15">'Permuta casa-trabalho'!$O$218</definedName>
    <definedName name="total_CM_ferro_CO2e" localSheetId="14">'Viagens a negócios'!$O$220</definedName>
    <definedName name="total_CM_ferro_CO2e">'Combustão móvel'!$P$216</definedName>
    <definedName name="total_CM_ferro_N2O" localSheetId="15">'Permuta casa-trabalho'!$N$218</definedName>
    <definedName name="total_CM_ferro_N2O" localSheetId="14">'Viagens a negócios'!$N$220</definedName>
    <definedName name="total_CM_ferro_N2O">'Combustão móvel'!$O$216</definedName>
    <definedName name="total_CM_hidro_CH4" localSheetId="15">'Permuta casa-trabalho'!$M$284</definedName>
    <definedName name="total_CM_hidro_CH4" localSheetId="14">'Viagens a negócios'!$M$287</definedName>
    <definedName name="total_CM_hidro_CH4">'Combustão móvel'!$N$283</definedName>
    <definedName name="total_CM_hidro_CO2" localSheetId="15">'Permuta casa-trabalho'!$L$284</definedName>
    <definedName name="total_CM_hidro_CO2" localSheetId="14">'Viagens a negócios'!$L$287</definedName>
    <definedName name="total_CM_hidro_CO2">'Combustão móvel'!$M$283</definedName>
    <definedName name="total_CM_hidro_CO2bio" localSheetId="15">'Permuta casa-trabalho'!$P$284</definedName>
    <definedName name="total_CM_hidro_CO2bio" localSheetId="14">'Viagens a negócios'!$P$287</definedName>
    <definedName name="total_CM_hidro_CO2bio">'Combustão móvel'!$Q$283</definedName>
    <definedName name="total_CM_hidro_CO2e" localSheetId="15">'Permuta casa-trabalho'!$O$284</definedName>
    <definedName name="total_CM_hidro_CO2e" localSheetId="14">'Viagens a negócios'!$O$287</definedName>
    <definedName name="total_CM_hidro_CO2e">'Combustão móvel'!$P$283</definedName>
    <definedName name="total_CM_hidro_N2O" localSheetId="15">'Permuta casa-trabalho'!$N$284</definedName>
    <definedName name="total_CM_hidro_N2O" localSheetId="14">'Viagens a negócios'!$N$287</definedName>
    <definedName name="total_CM_hidro_N2O">'Combustão móvel'!$O$283</definedName>
    <definedName name="total_CM_rod_opcao1_CH4" localSheetId="10">'Combustão móvel'!#REF!</definedName>
    <definedName name="total_CM_rod_opcao1_CH4" localSheetId="13">'Combustão móvel'!#REF!</definedName>
    <definedName name="total_CM_rod_opcao1_CH4" localSheetId="15">'Permuta casa-trabalho'!#REF!</definedName>
    <definedName name="total_CM_rod_opcao1_CH4" localSheetId="12">'Combustão móvel'!#REF!</definedName>
    <definedName name="total_CM_rod_opcao1_CH4" localSheetId="16">'Combustão móvel'!#REF!</definedName>
    <definedName name="total_CM_rod_opcao1_CH4" localSheetId="14">'Viagens a negócios'!#REF!</definedName>
    <definedName name="total_CM_rod_opcao1_CH4">'Combustão móvel'!#REF!</definedName>
    <definedName name="total_CM_rod_opcao1_CO2" localSheetId="10">'Combustão móvel'!#REF!</definedName>
    <definedName name="total_CM_rod_opcao1_CO2" localSheetId="13">'Combustão móvel'!#REF!</definedName>
    <definedName name="total_CM_rod_opcao1_CO2" localSheetId="15">'Permuta casa-trabalho'!#REF!</definedName>
    <definedName name="total_CM_rod_opcao1_CO2" localSheetId="12">'Combustão móvel'!#REF!</definedName>
    <definedName name="total_CM_rod_opcao1_CO2" localSheetId="16">'Combustão móvel'!#REF!</definedName>
    <definedName name="total_CM_rod_opcao1_CO2" localSheetId="14">'Viagens a negócios'!#REF!</definedName>
    <definedName name="total_CM_rod_opcao1_CO2">'Combustão móvel'!#REF!</definedName>
    <definedName name="total_CM_rod_opcao1_CO2bio" localSheetId="10">'Combustão móvel'!#REF!</definedName>
    <definedName name="total_CM_rod_opcao1_CO2bio" localSheetId="13">'Combustão móvel'!#REF!</definedName>
    <definedName name="total_CM_rod_opcao1_CO2bio" localSheetId="15">'Permuta casa-trabalho'!#REF!</definedName>
    <definedName name="total_CM_rod_opcao1_CO2bio" localSheetId="12">'Combustão móvel'!#REF!</definedName>
    <definedName name="total_CM_rod_opcao1_CO2bio" localSheetId="16">'Combustão móvel'!#REF!</definedName>
    <definedName name="total_CM_rod_opcao1_CO2bio" localSheetId="14">'Viagens a negócios'!#REF!</definedName>
    <definedName name="total_CM_rod_opcao1_CO2bio">'Combustão móvel'!#REF!</definedName>
    <definedName name="total_CM_rod_opcao1_CO2e" localSheetId="10">'Combustão móvel'!#REF!</definedName>
    <definedName name="total_CM_rod_opcao1_CO2e" localSheetId="13">'Combustão móvel'!#REF!</definedName>
    <definedName name="total_CM_rod_opcao1_CO2e" localSheetId="15">'Permuta casa-trabalho'!#REF!</definedName>
    <definedName name="total_CM_rod_opcao1_CO2e" localSheetId="12">'Combustão móvel'!#REF!</definedName>
    <definedName name="total_CM_rod_opcao1_CO2e" localSheetId="16">'Combustão móvel'!#REF!</definedName>
    <definedName name="total_CM_rod_opcao1_CO2e" localSheetId="14">'Viagens a negócios'!#REF!</definedName>
    <definedName name="total_CM_rod_opcao1_CO2e">'Combustão móvel'!#REF!</definedName>
    <definedName name="total_CM_rod_opcao1_N2O" localSheetId="10">'Combustão móvel'!#REF!</definedName>
    <definedName name="total_CM_rod_opcao1_N2O" localSheetId="13">'Combustão móvel'!#REF!</definedName>
    <definedName name="total_CM_rod_opcao1_N2O" localSheetId="15">'Permuta casa-trabalho'!#REF!</definedName>
    <definedName name="total_CM_rod_opcao1_N2O" localSheetId="12">'Combustão móvel'!#REF!</definedName>
    <definedName name="total_CM_rod_opcao1_N2O" localSheetId="16">'Combustão móvel'!#REF!</definedName>
    <definedName name="total_CM_rod_opcao1_N2O" localSheetId="14">'Viagens a negócios'!#REF!</definedName>
    <definedName name="total_CM_rod_opcao1_N2O">'Combustão móvel'!#REF!</definedName>
    <definedName name="total_CM_rod_opcao2_CH4" localSheetId="10">'Combustão móvel'!#REF!</definedName>
    <definedName name="total_CM_rod_opcao2_CH4" localSheetId="13">'Combustão móvel'!#REF!</definedName>
    <definedName name="total_CM_rod_opcao2_CH4" localSheetId="15">'Permuta casa-trabalho'!#REF!</definedName>
    <definedName name="total_CM_rod_opcao2_CH4" localSheetId="12">'Combustão móvel'!#REF!</definedName>
    <definedName name="total_CM_rod_opcao2_CH4" localSheetId="16">'Combustão móvel'!#REF!</definedName>
    <definedName name="total_CM_rod_opcao2_CH4" localSheetId="14">'Viagens a negócios'!#REF!</definedName>
    <definedName name="total_CM_rod_opcao2_CH4">'Combustão móvel'!#REF!</definedName>
    <definedName name="total_CM_rod_opcao2_CO2" localSheetId="15">'Permuta casa-trabalho'!$K$92</definedName>
    <definedName name="total_CM_rod_opcao2_CO2" localSheetId="14">'Viagens a negócios'!$K$92</definedName>
    <definedName name="total_CM_rod_opcao2_CO2">'Combustão móvel'!$K$87</definedName>
    <definedName name="total_CM_rod_opcao2_CO2bio" localSheetId="15">'Permuta casa-trabalho'!$N$92</definedName>
    <definedName name="total_CM_rod_opcao2_CO2bio" localSheetId="14">'Viagens a negócios'!$N$92</definedName>
    <definedName name="total_CM_rod_opcao2_CO2bio">'Combustão móvel'!$N$87</definedName>
    <definedName name="total_CM_rod_opcao2_CO2e" localSheetId="15">'Permuta casa-trabalho'!$M$92</definedName>
    <definedName name="total_CM_rod_opcao2_CO2e" localSheetId="14">'Viagens a negócios'!$M$92</definedName>
    <definedName name="total_CM_rod_opcao2_CO2e">'Combustão móvel'!$M$87</definedName>
    <definedName name="total_CM_rod_opcao2_N2O" localSheetId="15">'Permuta casa-trabalho'!$L$92</definedName>
    <definedName name="total_CM_rod_opcao2_N2O" localSheetId="14">'Viagens a negócios'!$L$92</definedName>
    <definedName name="total_CM_rod_opcao2_N2O">'Combustão móvel'!$L$87</definedName>
    <definedName name="total_CM_rod_opcao3_CH4" localSheetId="15">'Permuta casa-trabalho'!$L$153</definedName>
    <definedName name="total_CM_rod_opcao3_CH4" localSheetId="14">'Viagens a negócios'!$L$154</definedName>
    <definedName name="total_CM_rod_opcao3_CH4">'Combustão móvel'!$M$149</definedName>
    <definedName name="total_CM_rod_opcao3_CO2" localSheetId="15">'Permuta casa-trabalho'!$K$153</definedName>
    <definedName name="total_CM_rod_opcao3_CO2" localSheetId="14">'Viagens a negócios'!$K$154</definedName>
    <definedName name="total_CM_rod_opcao3_CO2">'Combustão móvel'!$L$149</definedName>
    <definedName name="total_CM_rod_opcao3_CO2bio" localSheetId="15">'Permuta casa-trabalho'!$O$153</definedName>
    <definedName name="total_CM_rod_opcao3_CO2bio" localSheetId="14">'Viagens a negócios'!$O$154</definedName>
    <definedName name="total_CM_rod_opcao3_CO2bio">'Combustão móvel'!$P$149</definedName>
    <definedName name="total_CM_rod_opcao3_CO2e" localSheetId="15">'Permuta casa-trabalho'!$N$153</definedName>
    <definedName name="total_CM_rod_opcao3_CO2e" localSheetId="14">'Viagens a negócios'!$N$154</definedName>
    <definedName name="total_CM_rod_opcao3_CO2e">'Combustão móvel'!$O$149</definedName>
    <definedName name="total_CM_rod_opcao3_N2O" localSheetId="15">'Permuta casa-trabalho'!$M$153</definedName>
    <definedName name="total_CM_rod_opcao3_N2O" localSheetId="14">'Viagens a negócios'!$M$154</definedName>
    <definedName name="total_CM_rod_opcao3_N2O">'Combustão móvel'!$N$149</definedName>
    <definedName name="total_CV_biomassa" localSheetId="16">#REF!</definedName>
    <definedName name="total_CV_biomassa">#REF!</definedName>
    <definedName name="total_CV_CH4" localSheetId="16">#REF!</definedName>
    <definedName name="total_CV_CH4">#REF!</definedName>
    <definedName name="total_CV_CH4_biomassa" localSheetId="16">#REF!</definedName>
    <definedName name="total_CV_CH4_biomassa">#REF!</definedName>
    <definedName name="total_CV_CO2" localSheetId="16">#REF!</definedName>
    <definedName name="total_CV_CO2">#REF!</definedName>
    <definedName name="total_CV_escopo2" localSheetId="16">#REF!</definedName>
    <definedName name="total_CV_escopo2">#REF!</definedName>
    <definedName name="total_CV_N2O" localSheetId="16">#REF!</definedName>
    <definedName name="total_CV_N2O">#REF!</definedName>
    <definedName name="total_CV_N2O_biomassa" localSheetId="16">#REF!</definedName>
    <definedName name="total_CV_N2O_biomassa">#REF!</definedName>
    <definedName name="total_E3_categorias">'Categorias de Ambito 3'!$H$197:$I$197</definedName>
    <definedName name="total_E3_categorias_biomassa">'Categorias de Ambito 3'!$H$199</definedName>
    <definedName name="total_ee_outras" localSheetId="10">'Compra de Energia Térmica'!#REF!</definedName>
    <definedName name="total_ee_outras" localSheetId="13">'Compra de Energia Elétrica'!#REF!</definedName>
    <definedName name="total_ee_outras" localSheetId="15">'Compra de Energia Elétrica'!#REF!</definedName>
    <definedName name="total_ee_outras" localSheetId="12">'Compra de Energia Elétrica'!#REF!</definedName>
    <definedName name="total_ee_outras" localSheetId="16">'Compra de Energia Elétrica'!#REF!</definedName>
    <definedName name="total_ee_outras" localSheetId="14">'Compra de Energia Elétrica'!#REF!</definedName>
    <definedName name="total_ee_outras">'Compra de Energia Elétrica'!#REF!</definedName>
    <definedName name="total_ee_outras_biomassa" localSheetId="10">'Compra de Energia Térmica'!#REF!</definedName>
    <definedName name="total_ee_outras_biomassa" localSheetId="13">'Compra de Energia Elétrica'!#REF!</definedName>
    <definedName name="total_ee_outras_biomassa" localSheetId="15">'Compra de Energia Elétrica'!#REF!</definedName>
    <definedName name="total_ee_outras_biomassa" localSheetId="12">'Compra de Energia Elétrica'!#REF!</definedName>
    <definedName name="total_ee_outras_biomassa" localSheetId="16">'Compra de Energia Elétrica'!#REF!</definedName>
    <definedName name="total_ee_outras_biomassa" localSheetId="14">'Compra de Energia Elétrica'!#REF!</definedName>
    <definedName name="total_ee_outras_biomassa">'Compra de Energia Elétrica'!#REF!</definedName>
    <definedName name="total_ee_sia" localSheetId="10">'Compra de Energia Térmica'!#REF!</definedName>
    <definedName name="total_ee_sia" localSheetId="13">'Compra de Energia Elétrica'!#REF!</definedName>
    <definedName name="total_ee_sia" localSheetId="15">'Compra de Energia Elétrica'!#REF!</definedName>
    <definedName name="total_ee_sia" localSheetId="12">'Compra de Energia Elétrica'!#REF!</definedName>
    <definedName name="total_ee_sia" localSheetId="16">'Compra de Energia Elétrica'!#REF!</definedName>
    <definedName name="total_ee_sia" localSheetId="14">'Compra de Energia Elétrica'!#REF!</definedName>
    <definedName name="total_ee_sia">'Compra de Energia Elétrica'!#REF!</definedName>
    <definedName name="total_ee_sin" localSheetId="10">'Compra de Energia Térmica'!$F$99</definedName>
    <definedName name="total_ee_sin">'Compra de Energia Elétrica'!$F$99</definedName>
    <definedName name="total_EF_escopo1">'Emissões fugitivas'!$E$192</definedName>
    <definedName name="total_EFL_biomassa" localSheetId="13">'Efluentes gerados na operação'!$D$121</definedName>
    <definedName name="total_EFL_biomassa">Efluentes!$D$119</definedName>
    <definedName name="total_EFL_biomassa_E3" localSheetId="16">#REF!</definedName>
    <definedName name="total_EFL_biomassa_E3">#REF!</definedName>
    <definedName name="total_EFL_CH4" localSheetId="13">'Efluentes gerados na operação'!$E$110</definedName>
    <definedName name="total_EFL_CH4">Efluentes!$E$108</definedName>
    <definedName name="total_EFL_CH4_E3" localSheetId="16">#REF!</definedName>
    <definedName name="total_EFL_CH4_E3">#REF!</definedName>
    <definedName name="total_EFL_CO2e_E3" localSheetId="16">#REF!</definedName>
    <definedName name="total_EFL_CO2e_E3">#REF!</definedName>
    <definedName name="total_EFL_escopo1" localSheetId="13">'Efluentes gerados na operação'!$D$119</definedName>
    <definedName name="total_EFL_escopo1">Efluentes!$D$117</definedName>
    <definedName name="total_EFL_escopo3" localSheetId="16">#REF!</definedName>
    <definedName name="total_EFL_escopo3">#REF!</definedName>
    <definedName name="total_EFL_N2O" localSheetId="13">'Efluentes gerados na operação'!$E$111</definedName>
    <definedName name="total_EFL_N2O">Efluentes!$E$109</definedName>
    <definedName name="total_EFL_N2O_E3" localSheetId="16">#REF!</definedName>
    <definedName name="total_EFL_N2O_E3">#REF!</definedName>
    <definedName name="total_eletrica_escopo2" localSheetId="10">'Compra de Energia Térmica'!$H$106</definedName>
    <definedName name="total_eletrica_escopo2">'Compra de Energia Elétrica'!$H$106</definedName>
    <definedName name="total_HFC_CO2e_Cat1">'Categorias de Ambito 3'!$D$28</definedName>
    <definedName name="total_HFC_CO2e_Cat10">'Categorias de Ambito 3'!$F$116</definedName>
    <definedName name="total_HFC_CO2e_Cat11">'Categorias de Ambito 3'!$H$116</definedName>
    <definedName name="total_HFC_CO2e_Cat12">'Categorias de Ambito 3'!$J$116</definedName>
    <definedName name="total_HFC_CO2e_Cat13">'Categorias de Ambito 3'!$D$160</definedName>
    <definedName name="total_HFC_CO2e_Cat14">'Categorias de Ambito 3'!$F$160</definedName>
    <definedName name="total_HFC_CO2e_Cat15">'Categorias de Ambito 3'!$H$160</definedName>
    <definedName name="total_HFC_CO2e_Cat2">'Categorias de Ambito 3'!$F$28</definedName>
    <definedName name="total_HFC_CO2e_Cat3">'Categorias de Ambito 3'!$H$28</definedName>
    <definedName name="total_HFC_CO2e_Cat4_op">'Categorias de Ambito 3'!$J$28</definedName>
    <definedName name="total_HFC_CO2e_Cat5_op">'Categorias de Ambito 3'!$D$72</definedName>
    <definedName name="total_HFC_CO2e_Cat6_op">'Categorias de Ambito 3'!$F$72</definedName>
    <definedName name="total_HFC_CO2e_Cat7">'Categorias de Ambito 3'!$H$72</definedName>
    <definedName name="total_HFC_CO2e_Cat8">'Categorias de Ambito 3'!$J$72</definedName>
    <definedName name="total_HFC_CO2e_Cat9_op">'Categorias de Ambito 3'!$D$116</definedName>
    <definedName name="total_HFC_OutrasEmissoes_CO2e">'Categorias de Ambito 3'!#REF!</definedName>
    <definedName name="total_OutrasEmissoes_biomassa">'Categorias de Ambito 3'!#REF!</definedName>
    <definedName name="total_OutrasEmissoes_CH4">'Categorias de Ambito 3'!#REF!</definedName>
    <definedName name="total_OutrasEmissoes_CO2">'Categorias de Ambito 3'!#REF!</definedName>
    <definedName name="total_OutrasEmissoes_CO2e">'Categorias de Ambito 3'!#REF!</definedName>
    <definedName name="total_OutrasEmissoes_HFC">'Categorias de Ambito 3'!#REF!</definedName>
    <definedName name="total_OutrasEmissoes_N2O">'Categorias de Ambito 3'!#REF!</definedName>
    <definedName name="total_OutrasEmissoes_NF3">'Categorias de Ambito 3'!#REF!</definedName>
    <definedName name="total_OutrasEmissoes_PFC">'Categorias de Ambito 3'!#REF!</definedName>
    <definedName name="total_OutrasEmissoes_SF6">'Categorias de Ambito 3'!#REF!</definedName>
    <definedName name="total_PFC_CO2e_Cat1">'Categorias de Ambito 3'!$D$48</definedName>
    <definedName name="total_PFC_CO2e_Cat10">'Categorias de Ambito 3'!$F$136</definedName>
    <definedName name="total_PFC_CO2e_Cat11">'Categorias de Ambito 3'!$H$136</definedName>
    <definedName name="total_PFC_CO2e_Cat12">'Categorias de Ambito 3'!$J$136</definedName>
    <definedName name="total_PFC_CO2e_Cat13">'Categorias de Ambito 3'!$D$180</definedName>
    <definedName name="total_PFC_CO2e_Cat14">'Categorias de Ambito 3'!$F$180</definedName>
    <definedName name="total_PFC_CO2e_Cat15">'Categorias de Ambito 3'!$H$180</definedName>
    <definedName name="total_PFC_CO2e_Cat2">'Categorias de Ambito 3'!$F$48</definedName>
    <definedName name="total_PFC_CO2e_Cat3">'Categorias de Ambito 3'!$H$48</definedName>
    <definedName name="total_PFC_CO2e_Cat4_op">'Categorias de Ambito 3'!$J$48</definedName>
    <definedName name="total_PFC_CO2e_Cat5_op">'Categorias de Ambito 3'!$D$92</definedName>
    <definedName name="total_PFC_CO2e_Cat6_op">'Categorias de Ambito 3'!$F$92</definedName>
    <definedName name="total_PFC_CO2e_Cat7">'Categorias de Ambito 3'!$H$92</definedName>
    <definedName name="total_PFC_CO2e_Cat8">'Categorias de Ambito 3'!$J$92</definedName>
    <definedName name="total_PFC_CO2e_Cat9_op">'Categorias de Ambito 3'!$D$136</definedName>
    <definedName name="total_PFC_OutrasEmissoes_CO2e">'Categorias de Ambito 3'!#REF!</definedName>
    <definedName name="total_PI_biomassa">'Processos industriais'!$F$56</definedName>
    <definedName name="total_PI_escopo1">'Processos industriais'!$F$54</definedName>
    <definedName name="total_RS_aterro_CH4" localSheetId="12">'Resíduos sólidos da operação'!$AH$112</definedName>
    <definedName name="total_RS_aterro_CH4">'Resíduos sólidos'!$AH$112</definedName>
    <definedName name="total_RS_aterro_CH4_E3" localSheetId="16">#REF!</definedName>
    <definedName name="total_RS_aterro_CH4_E3">#REF!</definedName>
    <definedName name="total_RS_aterro_CO2e" localSheetId="12">'Resíduos sólidos da operação'!$E$116</definedName>
    <definedName name="total_RS_aterro_CO2e">'Resíduos sólidos'!$E$116</definedName>
    <definedName name="total_RS_aterro_CO2e_E3" localSheetId="16">#REF!</definedName>
    <definedName name="total_RS_aterro_CO2e_E3">#REF!</definedName>
    <definedName name="total_RS_biomassa" localSheetId="12">'Resíduos sólidos da operação'!$E$170</definedName>
    <definedName name="total_RS_biomassa">'Resíduos sólidos'!$E$170</definedName>
    <definedName name="total_RS_biomassa_E3" localSheetId="16">#REF!</definedName>
    <definedName name="total_RS_biomassa_E3">#REF!</definedName>
    <definedName name="total_RS_compost_CH4" localSheetId="12">'Resíduos sólidos da operação'!$E$146</definedName>
    <definedName name="total_RS_compost_CH4">'Resíduos sólidos'!$E$146</definedName>
    <definedName name="total_RS_compost_CH4_E3" localSheetId="16">#REF!</definedName>
    <definedName name="total_RS_compost_CH4_E3">#REF!</definedName>
    <definedName name="total_RS_compost_CO2e" localSheetId="12">'Resíduos sólidos da operação'!$E$148</definedName>
    <definedName name="total_RS_compost_CO2e">'Resíduos sólidos'!$E$148</definedName>
    <definedName name="total_RS_compost_CO2e_E3" localSheetId="16">#REF!</definedName>
    <definedName name="total_RS_compost_CO2e_E3">#REF!</definedName>
    <definedName name="total_RS_compost_N2O" localSheetId="12">'Resíduos sólidos da operação'!$E$147</definedName>
    <definedName name="total_RS_compost_N2O">'Resíduos sólidos'!$E$147</definedName>
    <definedName name="total_RS_compost_N2O_E3" localSheetId="16">#REF!</definedName>
    <definedName name="total_RS_compost_N2O_E3">#REF!</definedName>
    <definedName name="total_RS_escopo1" localSheetId="12">'Resíduos sólidos da operação'!$E$168</definedName>
    <definedName name="total_RS_escopo1">'Resíduos sólidos'!$E$168</definedName>
    <definedName name="total_RS_escopo3" localSheetId="16">#REF!</definedName>
    <definedName name="total_RS_escopo3">#REF!</definedName>
    <definedName name="total_RS_incin_CH4" localSheetId="12">'Resíduos sólidos da operação'!$E$161</definedName>
    <definedName name="total_RS_incin_CH4">'Resíduos sólidos'!$E$161</definedName>
    <definedName name="total_RS_incin_CH4_E3" localSheetId="16">#REF!</definedName>
    <definedName name="total_RS_incin_CH4_E3">#REF!</definedName>
    <definedName name="total_RS_incin_CO2" localSheetId="12">'Resíduos sólidos da operação'!$D$161</definedName>
    <definedName name="total_RS_incin_CO2">'Resíduos sólidos'!$D$161</definedName>
    <definedName name="total_RS_incin_CO2_E3" localSheetId="16">#REF!</definedName>
    <definedName name="total_RS_incin_CO2_E3">#REF!</definedName>
    <definedName name="total_RS_incin_CO2e" localSheetId="12">'Resíduos sólidos da operação'!$G$161</definedName>
    <definedName name="total_RS_incin_CO2e">'Resíduos sólidos'!$G$161</definedName>
    <definedName name="total_RS_incin_N2O" localSheetId="12">'Resíduos sólidos da operação'!$F$161</definedName>
    <definedName name="total_RS_incin_N2O">'Resíduos sólidos'!$F$161</definedName>
    <definedName name="total_RS_incin_N2O_E3" localSheetId="16">#REF!</definedName>
    <definedName name="total_RS_incin_N2O_E3">#REF!</definedName>
    <definedName name="total_TeD_down_aero_CH4">#REF!</definedName>
    <definedName name="total_TeD_down_aero_CO2">#REF!</definedName>
    <definedName name="total_TeD_down_aero_CO2bio">#REF!</definedName>
    <definedName name="total_TeD_down_aero_CO2e">#REF!</definedName>
    <definedName name="total_TeD_down_aero_N2O">#REF!</definedName>
    <definedName name="total_TeD_down_CO2bio">#REF!</definedName>
    <definedName name="total_TeD_down_CO2e">#REF!</definedName>
    <definedName name="total_TeD_down_ferro_CH4">#REF!</definedName>
    <definedName name="total_TeD_down_ferro_CO2">#REF!</definedName>
    <definedName name="total_TeD_down_ferro_CO2bio">#REF!</definedName>
    <definedName name="total_TeD_down_ferro_CO2e">#REF!</definedName>
    <definedName name="total_TeD_down_ferro_N2O">#REF!</definedName>
    <definedName name="total_TeD_down_hidro_CH4">#REF!</definedName>
    <definedName name="total_TeD_down_hidro_CO2">#REF!</definedName>
    <definedName name="total_TeD_down_hidro_CO2bio">#REF!</definedName>
    <definedName name="total_TeD_down_hidro_CO2e">#REF!</definedName>
    <definedName name="total_TeD_down_hidro_N2O">#REF!</definedName>
    <definedName name="total_TeD_down_rod_opcao1_CH4">#REF!</definedName>
    <definedName name="total_TeD_down_rod_opcao1_CO2">#REF!</definedName>
    <definedName name="total_TeD_down_rod_opcao1_CO2bio">#REF!</definedName>
    <definedName name="total_TeD_down_rod_opcao1_CO2e">#REF!</definedName>
    <definedName name="total_TeD_down_rod_opcao1_N2O">#REF!</definedName>
    <definedName name="total_TeD_down_rod_opcao2_CH4">#REF!</definedName>
    <definedName name="total_TeD_down_rod_opcao2_CO2">#REF!</definedName>
    <definedName name="total_TeD_down_rod_opcao2_CO2bio">#REF!</definedName>
    <definedName name="total_TeD_down_rod_opcao2_CO2e">#REF!</definedName>
    <definedName name="total_TeD_down_rod_opcao2_N2O">#REF!</definedName>
    <definedName name="total_TeD_down_rod_opcao3_CH4">#REF!</definedName>
    <definedName name="total_TeD_down_rod_opcao3_CO2">#REF!</definedName>
    <definedName name="total_TeD_down_rod_opcao3_CO2bio">#REF!</definedName>
    <definedName name="total_TeD_down_rod_opcao3_CO2e">#REF!</definedName>
    <definedName name="total_TeD_down_rod_opcao3_N2O">#REF!</definedName>
    <definedName name="total_TeD_up_aero_CH4" localSheetId="16">'Transp&amp;Distribuição(Downstream)'!$M$342</definedName>
    <definedName name="total_TeD_up_aero_CH4">'Transp.&amp; Distribuição(Upstream)'!$M$342</definedName>
    <definedName name="total_TeD_up_aero_CO2" localSheetId="16">'Transp&amp;Distribuição(Downstream)'!$L$342</definedName>
    <definedName name="total_TeD_up_aero_CO2">'Transp.&amp; Distribuição(Upstream)'!$L$342</definedName>
    <definedName name="total_TeD_up_aero_CO2bio" localSheetId="16">'Transp&amp;Distribuição(Downstream)'!$P$342</definedName>
    <definedName name="total_TeD_up_aero_CO2bio">'Transp.&amp; Distribuição(Upstream)'!$P$342</definedName>
    <definedName name="total_TeD_up_aero_CO2e" localSheetId="16">'Transp&amp;Distribuição(Downstream)'!$O$342</definedName>
    <definedName name="total_TeD_up_aero_CO2e">'Transp.&amp; Distribuição(Upstream)'!$O$342</definedName>
    <definedName name="total_TeD_up_aero_N2O" localSheetId="16">'Transp&amp;Distribuição(Downstream)'!$N$342</definedName>
    <definedName name="total_TeD_up_aero_N2O">'Transp.&amp; Distribuição(Upstream)'!$N$342</definedName>
    <definedName name="total_TeD_up_CO2bio" localSheetId="16">'Transp&amp;Distribuição(Downstream)'!$F$350</definedName>
    <definedName name="total_TeD_up_CO2bio">'Transp.&amp; Distribuição(Upstream)'!$F$350</definedName>
    <definedName name="total_TeD_up_CO2e" localSheetId="16">'Transp&amp;Distribuição(Downstream)'!$F$348</definedName>
    <definedName name="total_TeD_up_CO2e">'Transp.&amp; Distribuição(Upstream)'!$F$348</definedName>
    <definedName name="total_TeD_up_ferro_CH4" localSheetId="16">'Transp&amp;Distribuição(Downstream)'!$M$216</definedName>
    <definedName name="total_TeD_up_ferro_CH4">'Transp.&amp; Distribuição(Upstream)'!$M$216</definedName>
    <definedName name="total_TeD_up_ferro_CO2" localSheetId="16">'Transp&amp;Distribuição(Downstream)'!$L$216</definedName>
    <definedName name="total_TeD_up_ferro_CO2">'Transp.&amp; Distribuição(Upstream)'!$L$216</definedName>
    <definedName name="total_TeD_up_ferro_CO2bio" localSheetId="16">'Transp&amp;Distribuição(Downstream)'!$P$216</definedName>
    <definedName name="total_TeD_up_ferro_CO2bio">'Transp.&amp; Distribuição(Upstream)'!$P$216</definedName>
    <definedName name="total_TeD_up_ferro_CO2e" localSheetId="16">'Transp&amp;Distribuição(Downstream)'!$O$216</definedName>
    <definedName name="total_TeD_up_ferro_CO2e">'Transp.&amp; Distribuição(Upstream)'!$O$216</definedName>
    <definedName name="total_TeD_up_ferro_N2O" localSheetId="16">'Transp&amp;Distribuição(Downstream)'!$N$216</definedName>
    <definedName name="total_TeD_up_ferro_N2O">'Transp.&amp; Distribuição(Upstream)'!$N$216</definedName>
    <definedName name="total_TeD_up_hidro_CH4" localSheetId="16">'Transp&amp;Distribuição(Downstream)'!$M$279</definedName>
    <definedName name="total_TeD_up_hidro_CH4">'Transp.&amp; Distribuição(Upstream)'!$M$279</definedName>
    <definedName name="total_TeD_up_hidro_CO2" localSheetId="16">'Transp&amp;Distribuição(Downstream)'!$L$279</definedName>
    <definedName name="total_TeD_up_hidro_CO2">'Transp.&amp; Distribuição(Upstream)'!$L$279</definedName>
    <definedName name="total_TeD_up_hidro_CO2bio" localSheetId="16">'Transp&amp;Distribuição(Downstream)'!$P$279</definedName>
    <definedName name="total_TeD_up_hidro_CO2bio">'Transp.&amp; Distribuição(Upstream)'!$P$279</definedName>
    <definedName name="total_TeD_up_hidro_CO2e" localSheetId="16">'Transp&amp;Distribuição(Downstream)'!$O$279</definedName>
    <definedName name="total_TeD_up_hidro_CO2e">'Transp.&amp; Distribuição(Upstream)'!$O$279</definedName>
    <definedName name="total_TeD_up_hidro_N2O" localSheetId="16">'Transp&amp;Distribuição(Downstream)'!$N$279</definedName>
    <definedName name="total_TeD_up_hidro_N2O">'Transp.&amp; Distribuição(Upstream)'!$N$279</definedName>
    <definedName name="total_TeD_up_rod_opcao1_CH4" localSheetId="10">'Transp.&amp; Distribuição(Upstream)'!#REF!</definedName>
    <definedName name="total_TeD_up_rod_opcao1_CH4" localSheetId="13">'Transp.&amp; Distribuição(Upstream)'!#REF!</definedName>
    <definedName name="total_TeD_up_rod_opcao1_CH4" localSheetId="15">'Transp.&amp; Distribuição(Upstream)'!#REF!</definedName>
    <definedName name="total_TeD_up_rod_opcao1_CH4" localSheetId="12">'Transp.&amp; Distribuição(Upstream)'!#REF!</definedName>
    <definedName name="total_TeD_up_rod_opcao1_CH4" localSheetId="16">'Transp&amp;Distribuição(Downstream)'!#REF!</definedName>
    <definedName name="total_TeD_up_rod_opcao1_CH4" localSheetId="14">'Transp.&amp; Distribuição(Upstream)'!#REF!</definedName>
    <definedName name="total_TeD_up_rod_opcao1_CH4">'Transp.&amp; Distribuição(Upstream)'!#REF!</definedName>
    <definedName name="total_TeD_up_rod_opcao1_CO2" localSheetId="10">'Transp.&amp; Distribuição(Upstream)'!#REF!</definedName>
    <definedName name="total_TeD_up_rod_opcao1_CO2" localSheetId="13">'Transp.&amp; Distribuição(Upstream)'!#REF!</definedName>
    <definedName name="total_TeD_up_rod_opcao1_CO2" localSheetId="15">'Transp.&amp; Distribuição(Upstream)'!#REF!</definedName>
    <definedName name="total_TeD_up_rod_opcao1_CO2" localSheetId="12">'Transp.&amp; Distribuição(Upstream)'!#REF!</definedName>
    <definedName name="total_TeD_up_rod_opcao1_CO2" localSheetId="16">'Transp&amp;Distribuição(Downstream)'!#REF!</definedName>
    <definedName name="total_TeD_up_rod_opcao1_CO2" localSheetId="14">'Transp.&amp; Distribuição(Upstream)'!#REF!</definedName>
    <definedName name="total_TeD_up_rod_opcao1_CO2">'Transp.&amp; Distribuição(Upstream)'!#REF!</definedName>
    <definedName name="total_TeD_up_rod_opcao1_CO2bio" localSheetId="10">'Transp.&amp; Distribuição(Upstream)'!#REF!</definedName>
    <definedName name="total_TeD_up_rod_opcao1_CO2bio" localSheetId="13">'Transp.&amp; Distribuição(Upstream)'!#REF!</definedName>
    <definedName name="total_TeD_up_rod_opcao1_CO2bio" localSheetId="15">'Transp.&amp; Distribuição(Upstream)'!#REF!</definedName>
    <definedName name="total_TeD_up_rod_opcao1_CO2bio" localSheetId="12">'Transp.&amp; Distribuição(Upstream)'!#REF!</definedName>
    <definedName name="total_TeD_up_rod_opcao1_CO2bio" localSheetId="16">'Transp&amp;Distribuição(Downstream)'!#REF!</definedName>
    <definedName name="total_TeD_up_rod_opcao1_CO2bio" localSheetId="14">'Transp.&amp; Distribuição(Upstream)'!#REF!</definedName>
    <definedName name="total_TeD_up_rod_opcao1_CO2bio">'Transp.&amp; Distribuição(Upstream)'!#REF!</definedName>
    <definedName name="total_TeD_up_rod_opcao1_CO2e" localSheetId="10">'Transp.&amp; Distribuição(Upstream)'!#REF!</definedName>
    <definedName name="total_TeD_up_rod_opcao1_CO2e" localSheetId="13">'Transp.&amp; Distribuição(Upstream)'!#REF!</definedName>
    <definedName name="total_TeD_up_rod_opcao1_CO2e" localSheetId="15">'Transp.&amp; Distribuição(Upstream)'!#REF!</definedName>
    <definedName name="total_TeD_up_rod_opcao1_CO2e" localSheetId="12">'Transp.&amp; Distribuição(Upstream)'!#REF!</definedName>
    <definedName name="total_TeD_up_rod_opcao1_CO2e" localSheetId="16">'Transp&amp;Distribuição(Downstream)'!#REF!</definedName>
    <definedName name="total_TeD_up_rod_opcao1_CO2e" localSheetId="14">'Transp.&amp; Distribuição(Upstream)'!#REF!</definedName>
    <definedName name="total_TeD_up_rod_opcao1_CO2e">'Transp.&amp; Distribuição(Upstream)'!#REF!</definedName>
    <definedName name="total_TeD_up_rod_opcao1_N2O" localSheetId="10">'Transp.&amp; Distribuição(Upstream)'!#REF!</definedName>
    <definedName name="total_TeD_up_rod_opcao1_N2O" localSheetId="13">'Transp.&amp; Distribuição(Upstream)'!#REF!</definedName>
    <definedName name="total_TeD_up_rod_opcao1_N2O" localSheetId="15">'Transp.&amp; Distribuição(Upstream)'!#REF!</definedName>
    <definedName name="total_TeD_up_rod_opcao1_N2O" localSheetId="12">'Transp.&amp; Distribuição(Upstream)'!#REF!</definedName>
    <definedName name="total_TeD_up_rod_opcao1_N2O" localSheetId="16">'Transp&amp;Distribuição(Downstream)'!#REF!</definedName>
    <definedName name="total_TeD_up_rod_opcao1_N2O" localSheetId="14">'Transp.&amp; Distribuição(Upstream)'!#REF!</definedName>
    <definedName name="total_TeD_up_rod_opcao1_N2O">'Transp.&amp; Distribuição(Upstream)'!#REF!</definedName>
    <definedName name="total_TeD_up_rod_opcao2_CH4" localSheetId="16">'Transp&amp;Distribuição(Downstream)'!$L$94</definedName>
    <definedName name="total_TeD_up_rod_opcao2_CH4">'Transp.&amp; Distribuição(Upstream)'!$L$94</definedName>
    <definedName name="total_TeD_up_rod_opcao2_CO2" localSheetId="16">'Transp&amp;Distribuição(Downstream)'!$K$94</definedName>
    <definedName name="total_TeD_up_rod_opcao2_CO2">'Transp.&amp; Distribuição(Upstream)'!$K$94</definedName>
    <definedName name="total_TeD_up_rod_opcao2_CO2bio" localSheetId="16">'Transp&amp;Distribuição(Downstream)'!$O$94</definedName>
    <definedName name="total_TeD_up_rod_opcao2_CO2bio">'Transp.&amp; Distribuição(Upstream)'!$O$94</definedName>
    <definedName name="total_TeD_up_rod_opcao2_CO2e" localSheetId="16">'Transp&amp;Distribuição(Downstream)'!$N$94</definedName>
    <definedName name="total_TeD_up_rod_opcao2_CO2e">'Transp.&amp; Distribuição(Upstream)'!$N$94</definedName>
    <definedName name="total_TeD_up_rod_opcao2_N2O" localSheetId="16">'Transp&amp;Distribuição(Downstream)'!$M$94</definedName>
    <definedName name="total_TeD_up_rod_opcao2_N2O">'Transp.&amp; Distribuição(Upstream)'!$M$94</definedName>
    <definedName name="total_TeD_up_rod_opcao3_CH4" localSheetId="16">'Transp&amp;Distribuição(Downstream)'!$L$153</definedName>
    <definedName name="total_TeD_up_rod_opcao3_CH4">'Transp.&amp; Distribuição(Upstream)'!$L$153</definedName>
    <definedName name="total_TeD_up_rod_opcao3_CO2" localSheetId="16">'Transp&amp;Distribuição(Downstream)'!$K$153</definedName>
    <definedName name="total_TeD_up_rod_opcao3_CO2">'Transp.&amp; Distribuição(Upstream)'!$K$153</definedName>
    <definedName name="total_TeD_up_rod_opcao3_CO2bio" localSheetId="16">'Transp&amp;Distribuição(Downstream)'!$O$153</definedName>
    <definedName name="total_TeD_up_rod_opcao3_CO2bio">'Transp.&amp; Distribuição(Upstream)'!$O$153</definedName>
    <definedName name="total_TeD_up_rod_opcao3_CO2e" localSheetId="16">'Transp&amp;Distribuição(Downstream)'!$N$153</definedName>
    <definedName name="total_TeD_up_rod_opcao3_CO2e">'Transp.&amp; Distribuição(Upstream)'!$N$153</definedName>
    <definedName name="total_TeD_up_rod_opcao3_N2O" localSheetId="16">'Transp&amp;Distribuição(Downstream)'!$M$153</definedName>
    <definedName name="total_TeD_up_rod_opcao3_N2O">'Transp.&amp; Distribuição(Upstream)'!$M$153</definedName>
    <definedName name="total_VN_automov_CH4_E3" localSheetId="16">#REF!</definedName>
    <definedName name="total_VN_automov_CH4_E3">#REF!</definedName>
    <definedName name="total_VN_automov_CO2_E3" localSheetId="16">#REF!</definedName>
    <definedName name="total_VN_automov_CO2_E3">#REF!</definedName>
    <definedName name="total_VN_automov_CO2e_E3" localSheetId="16">#REF!</definedName>
    <definedName name="total_VN_automov_CO2e_E3">#REF!</definedName>
    <definedName name="total_VN_automov_E3_biomassa" localSheetId="16">#REF!</definedName>
    <definedName name="total_VN_automov_E3_biomassa">#REF!</definedName>
    <definedName name="total_VN_automov_N2O_E3" localSheetId="16">#REF!</definedName>
    <definedName name="total_VN_automov_N2O_E3">#REF!</definedName>
    <definedName name="total_VN_aviao_CH4_E3" localSheetId="16">#REF!</definedName>
    <definedName name="total_VN_aviao_CH4_E3">#REF!</definedName>
    <definedName name="total_VN_aviao_CO2_E3" localSheetId="16">#REF!</definedName>
    <definedName name="total_VN_aviao_CO2_E3">#REF!</definedName>
    <definedName name="total_VN_aviao_N2O_E3" localSheetId="16">#REF!</definedName>
    <definedName name="total_VN_aviao_N2O_E3">#REF!</definedName>
    <definedName name="total_VN_biomassa" localSheetId="16">#REF!</definedName>
    <definedName name="total_VN_biomassa">#REF!</definedName>
    <definedName name="total_VN_escopo3" localSheetId="16">#REF!</definedName>
    <definedName name="total_VN_escopo3">#REF!</definedName>
    <definedName name="total_VN_ônibus_CH4_E3" localSheetId="16">#REF!</definedName>
    <definedName name="total_VN_ônibus_CH4_E3">#REF!</definedName>
    <definedName name="total_VN_ônibus_CO2_E3" localSheetId="16">#REF!</definedName>
    <definedName name="total_VN_ônibus_CO2_E3">#REF!</definedName>
    <definedName name="total_VN_ônibus_CO2e_E3" localSheetId="16">#REF!</definedName>
    <definedName name="total_VN_ônibus_CO2e_E3">#REF!</definedName>
    <definedName name="total_VN_ônibus_E3_biomassa" localSheetId="16">#REF!</definedName>
    <definedName name="total_VN_ônibus_E3_biomassa">#REF!</definedName>
    <definedName name="total_VN_ônibus_N2O_E3" localSheetId="16">#REF!</definedName>
    <definedName name="total_VN_ônibus_N2O_E3">#REF!</definedName>
    <definedName name="total_VN_trem_CH4_E3" localSheetId="16">#REF!</definedName>
    <definedName name="total_VN_trem_CH4_E3">#REF!</definedName>
    <definedName name="total_VN_trem_CO2_E3" localSheetId="16">#REF!</definedName>
    <definedName name="total_VN_trem_CO2_E3">#REF!</definedName>
    <definedName name="total_VN_trem_CO2e_E3" localSheetId="16">#REF!</definedName>
    <definedName name="total_VN_trem_CO2e_E3">#REF!</definedName>
    <definedName name="total_VN_trem_E3_biomassa" localSheetId="16">#REF!</definedName>
    <definedName name="total_VN_trem_E3_biomassa">#REF!</definedName>
    <definedName name="total_VN_trem_N2O_E3" localSheetId="16">#REF!</definedName>
    <definedName name="total_VN_trem_N2O_E3">#REF!</definedName>
    <definedName name="va" localSheetId="10">'Fatores de Emissão'!#REF!</definedName>
    <definedName name="va" localSheetId="13">'Fatores de Emissão'!#REF!</definedName>
    <definedName name="va" localSheetId="15">'Fatores de Emissão'!#REF!</definedName>
    <definedName name="va" localSheetId="12">'Fatores de Emissão'!#REF!</definedName>
    <definedName name="va" localSheetId="16">'Fatores de Emissão'!#REF!</definedName>
    <definedName name="va" localSheetId="14">'Fatores de Emissão'!#REF!</definedName>
    <definedName name="va">'Fatores de Emissão'!#REF!</definedName>
    <definedName name="vazio">Listas!$A$1</definedName>
    <definedName name="vb" localSheetId="10">'Fatores de Emissão'!#REF!</definedName>
    <definedName name="vb" localSheetId="13">'Fatores de Emissão'!#REF!</definedName>
    <definedName name="vb" localSheetId="15">'Fatores de Emissão'!#REF!</definedName>
    <definedName name="vb" localSheetId="12">'Fatores de Emissão'!#REF!</definedName>
    <definedName name="vb" localSheetId="16">'Fatores de Emissão'!#REF!</definedName>
    <definedName name="vb" localSheetId="14">'Fatores de Emissão'!#REF!</definedName>
    <definedName name="vb">'Fatores de Emissão'!#REF!</definedName>
    <definedName name="vc" localSheetId="10">'Fatores de Emissão'!#REF!</definedName>
    <definedName name="vc" localSheetId="13">'Fatores de Emissão'!#REF!</definedName>
    <definedName name="vc" localSheetId="15">'Fatores de Emissão'!#REF!</definedName>
    <definedName name="vc" localSheetId="12">'Fatores de Emissão'!#REF!</definedName>
    <definedName name="vc" localSheetId="16">'Fatores de Emissão'!#REF!</definedName>
    <definedName name="vc" localSheetId="14">'Fatores de Emissão'!#REF!</definedName>
    <definedName name="vc">'Fatores de Emissão'!#REF!</definedName>
    <definedName name="vd" localSheetId="10">'Fatores de Emissão'!#REF!</definedName>
    <definedName name="vd" localSheetId="13">'Fatores de Emissão'!#REF!</definedName>
    <definedName name="vd" localSheetId="15">'Fatores de Emissão'!#REF!</definedName>
    <definedName name="vd" localSheetId="12">'Fatores de Emissão'!#REF!</definedName>
    <definedName name="vd" localSheetId="16">'Fatores de Emissão'!#REF!</definedName>
    <definedName name="vd" localSheetId="14">'Fatores de Emissão'!#REF!</definedName>
    <definedName name="vd">'Fatores de Emissão'!#REF!</definedName>
    <definedName name="ve" localSheetId="10">'Fatores de Emissão'!#REF!</definedName>
    <definedName name="ve" localSheetId="13">'Fatores de Emissão'!#REF!</definedName>
    <definedName name="ve" localSheetId="15">'Fatores de Emissão'!#REF!</definedName>
    <definedName name="ve" localSheetId="12">'Fatores de Emissão'!#REF!</definedName>
    <definedName name="ve" localSheetId="16">'Fatores de Emissão'!#REF!</definedName>
    <definedName name="ve" localSheetId="14">'Fatores de Emissão'!#REF!</definedName>
    <definedName name="ve">'Fatores de Emissão'!#REF!</definedName>
    <definedName name="versao_ferramenta">#REF!</definedName>
    <definedName name="vf" localSheetId="10">'Fatores de Emissão'!#REF!</definedName>
    <definedName name="vf" localSheetId="13">'Fatores de Emissão'!#REF!</definedName>
    <definedName name="vf" localSheetId="15">'Fatores de Emissão'!#REF!</definedName>
    <definedName name="vf" localSheetId="12">'Fatores de Emissão'!#REF!</definedName>
    <definedName name="vf" localSheetId="16">'Fatores de Emissão'!#REF!</definedName>
    <definedName name="vf" localSheetId="14">'Fatores de Emissão'!#REF!</definedName>
    <definedName name="vf">'Fatores de Emissão'!#REF!</definedName>
    <definedName name="vg" localSheetId="10">'Fatores de Emissão'!#REF!</definedName>
    <definedName name="vg" localSheetId="13">'Fatores de Emissão'!#REF!</definedName>
    <definedName name="vg" localSheetId="15">'Fatores de Emissão'!#REF!</definedName>
    <definedName name="vg" localSheetId="12">'Fatores de Emissão'!#REF!</definedName>
    <definedName name="vg" localSheetId="16">'Fatores de Emissão'!#REF!</definedName>
    <definedName name="vg" localSheetId="14">'Fatores de Emissão'!#REF!</definedName>
    <definedName name="vg">'Fatores de Emissão'!#REF!</definedName>
    <definedName name="vh" localSheetId="10">'Fatores de Emissão'!#REF!</definedName>
    <definedName name="vh" localSheetId="13">'Fatores de Emissão'!#REF!</definedName>
    <definedName name="vh" localSheetId="15">'Fatores de Emissão'!#REF!</definedName>
    <definedName name="vh" localSheetId="12">'Fatores de Emissão'!#REF!</definedName>
    <definedName name="vh" localSheetId="16">'Fatores de Emissão'!#REF!</definedName>
    <definedName name="vh" localSheetId="14">'Fatores de Emissão'!#REF!</definedName>
    <definedName name="vh">'Fatores de Emissão'!#REF!</definedName>
    <definedName name="vi" localSheetId="10">'Fatores de Emissão'!#REF!</definedName>
    <definedName name="vi" localSheetId="13">'Fatores de Emissão'!#REF!</definedName>
    <definedName name="vi" localSheetId="15">'Fatores de Emissão'!#REF!</definedName>
    <definedName name="vi" localSheetId="12">'Fatores de Emissão'!#REF!</definedName>
    <definedName name="vi" localSheetId="16">'Fatores de Emissão'!#REF!</definedName>
    <definedName name="vi" localSheetId="14">'Fatores de Emissão'!#REF!</definedName>
    <definedName name="vi">'Fatores de Emissão'!#REF!</definedName>
    <definedName name="vj" localSheetId="10">'Fatores de Emissão'!#REF!</definedName>
    <definedName name="vj" localSheetId="13">'Fatores de Emissão'!#REF!</definedName>
    <definedName name="vj" localSheetId="15">'Fatores de Emissão'!#REF!</definedName>
    <definedName name="vj" localSheetId="12">'Fatores de Emissão'!#REF!</definedName>
    <definedName name="vj" localSheetId="16">'Fatores de Emissão'!#REF!</definedName>
    <definedName name="vj" localSheetId="14">'Fatores de Emissão'!#REF!</definedName>
    <definedName name="vj">'Fatores de Emissão'!#REF!</definedName>
    <definedName name="vk" localSheetId="10">'Fatores de Emissão'!#REF!</definedName>
    <definedName name="vk" localSheetId="13">'Fatores de Emissão'!#REF!</definedName>
    <definedName name="vk" localSheetId="15">'Fatores de Emissão'!#REF!</definedName>
    <definedName name="vk" localSheetId="12">'Fatores de Emissão'!#REF!</definedName>
    <definedName name="vk" localSheetId="16">'Fatores de Emissão'!#REF!</definedName>
    <definedName name="vk" localSheetId="14">'Fatores de Emissão'!#REF!</definedName>
    <definedName name="vk">'Fatores de Emissão'!#REF!</definedName>
    <definedName name="vl" localSheetId="10">'Fatores de Emissão'!#REF!</definedName>
    <definedName name="vl" localSheetId="13">'Fatores de Emissão'!#REF!</definedName>
    <definedName name="vl" localSheetId="15">'Fatores de Emissão'!#REF!</definedName>
    <definedName name="vl" localSheetId="12">'Fatores de Emissão'!#REF!</definedName>
    <definedName name="vl" localSheetId="16">'Fatores de Emissão'!#REF!</definedName>
    <definedName name="vl" localSheetId="14">'Fatores de Emissão'!#REF!</definedName>
    <definedName name="vl">'Fatores de Emissão'!#REF!</definedName>
    <definedName name="vm" localSheetId="10">'Fatores de Emissão'!#REF!</definedName>
    <definedName name="vm" localSheetId="13">'Fatores de Emissão'!#REF!</definedName>
    <definedName name="vm" localSheetId="15">'Fatores de Emissão'!#REF!</definedName>
    <definedName name="vm" localSheetId="12">'Fatores de Emissão'!#REF!</definedName>
    <definedName name="vm" localSheetId="16">'Fatores de Emissão'!#REF!</definedName>
    <definedName name="vm" localSheetId="14">'Fatores de Emissão'!#REF!</definedName>
    <definedName name="vm">'Fatores de Emissão'!#REF!</definedName>
    <definedName name="vn" localSheetId="10">'Fatores de Emissão'!#REF!</definedName>
    <definedName name="vn" localSheetId="13">'Fatores de Emissão'!#REF!</definedName>
    <definedName name="vn" localSheetId="15">'Fatores de Emissão'!#REF!</definedName>
    <definedName name="vn" localSheetId="12">'Fatores de Emissão'!#REF!</definedName>
    <definedName name="vn" localSheetId="16">'Fatores de Emissão'!#REF!</definedName>
    <definedName name="vn" localSheetId="14">'Fatores de Emissão'!#REF!</definedName>
    <definedName name="vn">'Fatores de Emissão'!#REF!</definedName>
    <definedName name="vo" localSheetId="10">'Fatores de Emissão'!#REF!</definedName>
    <definedName name="vo" localSheetId="13">'Fatores de Emissão'!#REF!</definedName>
    <definedName name="vo" localSheetId="15">'Fatores de Emissão'!#REF!</definedName>
    <definedName name="vo" localSheetId="12">'Fatores de Emissão'!#REF!</definedName>
    <definedName name="vo" localSheetId="16">'Fatores de Emissão'!#REF!</definedName>
    <definedName name="vo" localSheetId="14">'Fatores de Emissão'!#REF!</definedName>
    <definedName name="vo">'Fatores de Emissão'!#REF!</definedName>
    <definedName name="vp" localSheetId="10">'Fatores de Emissão'!#REF!</definedName>
    <definedName name="vp" localSheetId="13">'Fatores de Emissão'!#REF!</definedName>
    <definedName name="vp" localSheetId="15">'Fatores de Emissão'!#REF!</definedName>
    <definedName name="vp" localSheetId="12">'Fatores de Emissão'!#REF!</definedName>
    <definedName name="vp" localSheetId="16">'Fatores de Emissão'!#REF!</definedName>
    <definedName name="vp" localSheetId="14">'Fatores de Emissão'!#REF!</definedName>
    <definedName name="vp">'Fatores de Emissão'!#REF!</definedName>
    <definedName name="vq" localSheetId="10">'Fatores de Emissão'!#REF!</definedName>
    <definedName name="vq" localSheetId="13">'Fatores de Emissão'!#REF!</definedName>
    <definedName name="vq" localSheetId="15">'Fatores de Emissão'!#REF!</definedName>
    <definedName name="vq" localSheetId="12">'Fatores de Emissão'!#REF!</definedName>
    <definedName name="vq" localSheetId="16">'Fatores de Emissão'!#REF!</definedName>
    <definedName name="vq" localSheetId="14">'Fatores de Emissão'!#REF!</definedName>
    <definedName name="vq">'Fatores de Emissão'!#REF!</definedName>
    <definedName name="vr" localSheetId="10">'Fatores de Emissão'!#REF!</definedName>
    <definedName name="vr" localSheetId="13">'Fatores de Emissão'!#REF!</definedName>
    <definedName name="vr" localSheetId="15">'Fatores de Emissão'!#REF!</definedName>
    <definedName name="vr" localSheetId="12">'Fatores de Emissão'!#REF!</definedName>
    <definedName name="vr" localSheetId="16">'Fatores de Emissão'!#REF!</definedName>
    <definedName name="vr" localSheetId="14">'Fatores de Emissão'!#REF!</definedName>
    <definedName name="vr">'Fatores de Emissão'!#REF!</definedName>
    <definedName name="vs" localSheetId="10">'Fatores de Emissão'!#REF!</definedName>
    <definedName name="vs" localSheetId="13">'Fatores de Emissão'!#REF!</definedName>
    <definedName name="vs" localSheetId="15">'Fatores de Emissão'!#REF!</definedName>
    <definedName name="vs" localSheetId="12">'Fatores de Emissão'!#REF!</definedName>
    <definedName name="vs" localSheetId="16">'Fatores de Emissão'!#REF!</definedName>
    <definedName name="vs" localSheetId="14">'Fatores de Emissão'!#REF!</definedName>
    <definedName name="vs">'Fatores de Emissão'!#REF!</definedName>
    <definedName name="vt" localSheetId="10">'Fatores de Emissão'!#REF!</definedName>
    <definedName name="vt" localSheetId="13">'Fatores de Emissão'!#REF!</definedName>
    <definedName name="vt" localSheetId="15">'Fatores de Emissão'!#REF!</definedName>
    <definedName name="vt" localSheetId="12">'Fatores de Emissão'!#REF!</definedName>
    <definedName name="vt" localSheetId="16">'Fatores de Emissão'!#REF!</definedName>
    <definedName name="vt" localSheetId="14">'Fatores de Emissão'!#REF!</definedName>
    <definedName name="vt">'Fatores de Emissão'!#REF!</definedName>
    <definedName name="vu" localSheetId="10">'Fatores de Emissão'!#REF!</definedName>
    <definedName name="vu" localSheetId="13">'Fatores de Emissão'!#REF!</definedName>
    <definedName name="vu" localSheetId="15">'Fatores de Emissão'!#REF!</definedName>
    <definedName name="vu" localSheetId="12">'Fatores de Emissão'!#REF!</definedName>
    <definedName name="vu" localSheetId="16">'Fatores de Emissão'!#REF!</definedName>
    <definedName name="vu" localSheetId="14">'Fatores de Emissão'!#REF!</definedName>
    <definedName name="vu">'Fatores de Emissão'!#REF!</definedName>
  </definedNames>
  <calcPr calcId="152511"/>
</workbook>
</file>

<file path=xl/calcChain.xml><?xml version="1.0" encoding="utf-8"?>
<calcChain xmlns="http://schemas.openxmlformats.org/spreadsheetml/2006/main">
  <c r="F48" i="5" l="1"/>
  <c r="C72" i="55" l="1"/>
  <c r="C71" i="55"/>
  <c r="C70" i="55"/>
  <c r="R61" i="6"/>
  <c r="R62" i="6"/>
  <c r="R63" i="6"/>
  <c r="R64" i="6"/>
  <c r="R65" i="6"/>
  <c r="R66" i="6"/>
  <c r="R67" i="6"/>
  <c r="R68" i="6"/>
  <c r="R69" i="6"/>
  <c r="R70" i="6"/>
  <c r="R71" i="6"/>
  <c r="R72" i="6"/>
  <c r="R73" i="6"/>
  <c r="R74" i="6"/>
  <c r="R75" i="6"/>
  <c r="R76" i="6"/>
  <c r="R77" i="6"/>
  <c r="R78" i="6"/>
  <c r="R79" i="6"/>
  <c r="R80" i="6"/>
  <c r="R81" i="6"/>
  <c r="R82" i="6"/>
  <c r="R83" i="6"/>
  <c r="R84" i="6"/>
  <c r="R85" i="6"/>
  <c r="R86" i="6"/>
  <c r="R39" i="6"/>
  <c r="R40" i="6"/>
  <c r="R41" i="6"/>
  <c r="R42" i="6"/>
  <c r="R43" i="6"/>
  <c r="R44" i="6"/>
  <c r="R45" i="6"/>
  <c r="R46" i="6"/>
  <c r="R47" i="6"/>
  <c r="R48" i="6"/>
  <c r="R49" i="6"/>
  <c r="R50" i="6"/>
  <c r="R51" i="6"/>
  <c r="R52" i="6"/>
  <c r="R53" i="6"/>
  <c r="R54" i="6"/>
  <c r="R55" i="6"/>
  <c r="R56" i="6"/>
  <c r="R57" i="6"/>
  <c r="R58" i="6"/>
  <c r="R59" i="6"/>
  <c r="R60" i="6"/>
  <c r="P77" i="6"/>
  <c r="Q77" i="6"/>
  <c r="P78" i="6"/>
  <c r="Q78" i="6"/>
  <c r="P79" i="6"/>
  <c r="Q79" i="6"/>
  <c r="P80" i="6"/>
  <c r="Q80" i="6"/>
  <c r="P81" i="6"/>
  <c r="Q81" i="6"/>
  <c r="P82" i="6"/>
  <c r="Q82" i="6"/>
  <c r="P83" i="6"/>
  <c r="Q83" i="6"/>
  <c r="P84" i="6"/>
  <c r="Q84" i="6"/>
  <c r="P85" i="6"/>
  <c r="Q85" i="6"/>
  <c r="P86" i="6"/>
  <c r="Q86" i="6"/>
  <c r="P50" i="6"/>
  <c r="Q50" i="6"/>
  <c r="P51" i="6"/>
  <c r="Q51" i="6"/>
  <c r="P52" i="6"/>
  <c r="Q52" i="6"/>
  <c r="P53" i="6"/>
  <c r="Q53" i="6"/>
  <c r="P54" i="6"/>
  <c r="Q54" i="6"/>
  <c r="P55" i="6"/>
  <c r="Q55" i="6"/>
  <c r="P56" i="6"/>
  <c r="Q56" i="6"/>
  <c r="P57" i="6"/>
  <c r="Q57" i="6"/>
  <c r="P58" i="6"/>
  <c r="Q58" i="6"/>
  <c r="P59" i="6"/>
  <c r="Q59" i="6"/>
  <c r="P60" i="6"/>
  <c r="Q60" i="6"/>
  <c r="P61" i="6"/>
  <c r="Q61" i="6"/>
  <c r="P62" i="6"/>
  <c r="Q62" i="6"/>
  <c r="P63" i="6"/>
  <c r="Q63" i="6"/>
  <c r="P64" i="6"/>
  <c r="Q64" i="6"/>
  <c r="P65" i="6"/>
  <c r="Q65" i="6"/>
  <c r="P66" i="6"/>
  <c r="Q66" i="6"/>
  <c r="P67" i="6"/>
  <c r="Q67" i="6"/>
  <c r="P68" i="6"/>
  <c r="Q68" i="6"/>
  <c r="P69" i="6"/>
  <c r="Q69" i="6"/>
  <c r="P70" i="6"/>
  <c r="Q70" i="6"/>
  <c r="P71" i="6"/>
  <c r="Q71" i="6"/>
  <c r="P72" i="6"/>
  <c r="Q72" i="6"/>
  <c r="P73" i="6"/>
  <c r="Q73" i="6"/>
  <c r="P74" i="6"/>
  <c r="Q74" i="6"/>
  <c r="P75" i="6"/>
  <c r="Q75" i="6"/>
  <c r="P76" i="6"/>
  <c r="Q76" i="6"/>
  <c r="P37" i="6"/>
  <c r="R37" i="6" s="1"/>
  <c r="Q37" i="6"/>
  <c r="P38" i="6"/>
  <c r="R38" i="6" s="1"/>
  <c r="Q38" i="6"/>
  <c r="P39" i="6"/>
  <c r="Q39" i="6"/>
  <c r="P40" i="6"/>
  <c r="Q40" i="6"/>
  <c r="P41" i="6"/>
  <c r="Q41" i="6"/>
  <c r="P42" i="6"/>
  <c r="Q42" i="6"/>
  <c r="P43" i="6"/>
  <c r="Q43" i="6"/>
  <c r="P44" i="6"/>
  <c r="Q44" i="6"/>
  <c r="P45" i="6"/>
  <c r="Q45" i="6"/>
  <c r="P46" i="6"/>
  <c r="Q46" i="6"/>
  <c r="P47" i="6"/>
  <c r="Q47" i="6"/>
  <c r="P48" i="6"/>
  <c r="Q48" i="6"/>
  <c r="P49" i="6"/>
  <c r="Q49" i="6"/>
  <c r="Q36" i="6"/>
  <c r="P36" i="6"/>
  <c r="R36" i="6" s="1"/>
  <c r="R87" i="6" l="1"/>
  <c r="G25" i="40" s="1"/>
  <c r="C48" i="40"/>
  <c r="Z38" i="3" l="1"/>
  <c r="Z39" i="3" s="1"/>
  <c r="Y38" i="3"/>
  <c r="Y39" i="3" s="1"/>
  <c r="X38" i="3"/>
  <c r="X39" i="3" s="1"/>
  <c r="Y41" i="3"/>
  <c r="Y42" i="3" s="1"/>
  <c r="X41" i="3"/>
  <c r="X42" i="3" s="1"/>
  <c r="C97" i="5"/>
  <c r="N97" i="5" s="1"/>
  <c r="L19" i="3"/>
  <c r="F97" i="5" s="1"/>
  <c r="C98" i="5"/>
  <c r="O98" i="5" s="1"/>
  <c r="F98" i="5"/>
  <c r="C99" i="5"/>
  <c r="N99" i="5" s="1"/>
  <c r="F99" i="5"/>
  <c r="C100" i="5"/>
  <c r="N100" i="5" s="1"/>
  <c r="F100" i="5"/>
  <c r="C101" i="5"/>
  <c r="D101" i="5" s="1"/>
  <c r="F101" i="5"/>
  <c r="C102" i="5"/>
  <c r="O102" i="5" s="1"/>
  <c r="F102" i="5"/>
  <c r="C103" i="5"/>
  <c r="D103" i="5" s="1"/>
  <c r="F103" i="5"/>
  <c r="C104" i="5"/>
  <c r="N104" i="5" s="1"/>
  <c r="F104" i="5"/>
  <c r="C105" i="5"/>
  <c r="N105" i="5" s="1"/>
  <c r="F105" i="5"/>
  <c r="C106" i="5"/>
  <c r="O106" i="5" s="1"/>
  <c r="F106" i="5"/>
  <c r="C107" i="5"/>
  <c r="N107" i="5" s="1"/>
  <c r="F107" i="5"/>
  <c r="C108" i="5"/>
  <c r="N108" i="5" s="1"/>
  <c r="F108" i="5"/>
  <c r="C109" i="5"/>
  <c r="N109" i="5" s="1"/>
  <c r="F109" i="5"/>
  <c r="C110" i="5"/>
  <c r="O110" i="5" s="1"/>
  <c r="F110" i="5"/>
  <c r="C111" i="5"/>
  <c r="N111" i="5" s="1"/>
  <c r="F111" i="5"/>
  <c r="C112" i="5"/>
  <c r="N112" i="5" s="1"/>
  <c r="F112" i="5"/>
  <c r="C113" i="5"/>
  <c r="N113" i="5" s="1"/>
  <c r="F113" i="5"/>
  <c r="C114" i="5"/>
  <c r="O114" i="5" s="1"/>
  <c r="F114" i="5"/>
  <c r="C115" i="5"/>
  <c r="N115" i="5" s="1"/>
  <c r="H37" i="3"/>
  <c r="L37" i="3" s="1"/>
  <c r="F115" i="5" s="1"/>
  <c r="C116" i="5"/>
  <c r="F116" i="5"/>
  <c r="C117" i="5"/>
  <c r="D117" i="5" s="1"/>
  <c r="F117" i="5"/>
  <c r="C118" i="5"/>
  <c r="O118" i="5" s="1"/>
  <c r="F118" i="5"/>
  <c r="C119" i="5"/>
  <c r="D119" i="5" s="1"/>
  <c r="F119" i="5"/>
  <c r="C120" i="5"/>
  <c r="D120" i="5" s="1"/>
  <c r="F120" i="5"/>
  <c r="C121" i="5"/>
  <c r="N121" i="5" s="1"/>
  <c r="F121" i="5"/>
  <c r="C122" i="5"/>
  <c r="O122" i="5" s="1"/>
  <c r="F122" i="5"/>
  <c r="C123" i="5"/>
  <c r="O123" i="5" s="1"/>
  <c r="F123" i="5"/>
  <c r="C124" i="5"/>
  <c r="O124" i="5" s="1"/>
  <c r="F124" i="5"/>
  <c r="C125" i="5"/>
  <c r="N125" i="5" s="1"/>
  <c r="F125" i="5"/>
  <c r="C126" i="5"/>
  <c r="O126" i="5" s="1"/>
  <c r="F126" i="5"/>
  <c r="C127" i="5"/>
  <c r="O127" i="5" s="1"/>
  <c r="F127" i="5"/>
  <c r="C128" i="5"/>
  <c r="O128" i="5" s="1"/>
  <c r="F128" i="5"/>
  <c r="C129" i="5"/>
  <c r="N129" i="5" s="1"/>
  <c r="F129" i="5"/>
  <c r="C130" i="5"/>
  <c r="F130" i="5"/>
  <c r="C131" i="5"/>
  <c r="O131" i="5" s="1"/>
  <c r="F131" i="5"/>
  <c r="C132" i="5"/>
  <c r="O132" i="5" s="1"/>
  <c r="F132" i="5"/>
  <c r="C133" i="5"/>
  <c r="N133" i="5" s="1"/>
  <c r="F133" i="5"/>
  <c r="B97" i="5"/>
  <c r="N18" i="3"/>
  <c r="O18" i="3"/>
  <c r="P18" i="3"/>
  <c r="Q18" i="3"/>
  <c r="K19" i="3"/>
  <c r="M19" i="3"/>
  <c r="K20" i="3"/>
  <c r="M20" i="3"/>
  <c r="K21" i="3"/>
  <c r="M21" i="3"/>
  <c r="K22" i="3"/>
  <c r="M22" i="3"/>
  <c r="K23" i="3"/>
  <c r="M23" i="3"/>
  <c r="K24" i="3"/>
  <c r="M24" i="3"/>
  <c r="K25" i="3"/>
  <c r="M25" i="3"/>
  <c r="K26" i="3"/>
  <c r="M26" i="3"/>
  <c r="K27" i="3"/>
  <c r="M27" i="3"/>
  <c r="K28" i="3"/>
  <c r="M28" i="3"/>
  <c r="K29" i="3"/>
  <c r="M29" i="3"/>
  <c r="K30" i="3"/>
  <c r="M30" i="3"/>
  <c r="K31" i="3"/>
  <c r="M31" i="3"/>
  <c r="K32" i="3"/>
  <c r="M32" i="3"/>
  <c r="K33" i="3"/>
  <c r="M33" i="3"/>
  <c r="K34" i="3"/>
  <c r="M34" i="3"/>
  <c r="K35" i="3"/>
  <c r="M35" i="3"/>
  <c r="K36" i="3"/>
  <c r="M36" i="3"/>
  <c r="K37" i="3"/>
  <c r="M37" i="3"/>
  <c r="K38" i="3"/>
  <c r="M38" i="3"/>
  <c r="K39" i="3"/>
  <c r="M39" i="3"/>
  <c r="K40" i="3"/>
  <c r="M40" i="3"/>
  <c r="K41" i="3"/>
  <c r="M41" i="3"/>
  <c r="K42" i="3"/>
  <c r="M42" i="3"/>
  <c r="K43" i="3"/>
  <c r="M43" i="3"/>
  <c r="K44" i="3"/>
  <c r="M44" i="3"/>
  <c r="K45" i="3"/>
  <c r="M45" i="3"/>
  <c r="K46" i="3"/>
  <c r="M46" i="3"/>
  <c r="K47" i="3"/>
  <c r="M47" i="3"/>
  <c r="K48" i="3"/>
  <c r="M48" i="3"/>
  <c r="K49" i="3"/>
  <c r="M49" i="3"/>
  <c r="K50" i="3"/>
  <c r="M50" i="3"/>
  <c r="K51" i="3"/>
  <c r="M51" i="3"/>
  <c r="K52" i="3"/>
  <c r="M52" i="3"/>
  <c r="K53" i="3"/>
  <c r="M53" i="3"/>
  <c r="K54" i="3"/>
  <c r="M54" i="3"/>
  <c r="K55" i="3"/>
  <c r="M55" i="3"/>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61" i="3"/>
  <c r="B135" i="5" s="1"/>
  <c r="M60" i="3"/>
  <c r="S18" i="3"/>
  <c r="T18" i="3"/>
  <c r="U18" i="3"/>
  <c r="V18" i="3"/>
  <c r="D13" i="5"/>
  <c r="AD63" i="40"/>
  <c r="F25" i="3"/>
  <c r="E82" i="3" s="1"/>
  <c r="J44" i="61"/>
  <c r="M44" i="61"/>
  <c r="C87" i="3"/>
  <c r="C92" i="3"/>
  <c r="F35" i="3"/>
  <c r="E92" i="3" s="1"/>
  <c r="J45" i="61"/>
  <c r="M45" i="61"/>
  <c r="M46" i="61"/>
  <c r="M47" i="61"/>
  <c r="M48" i="61"/>
  <c r="M49" i="61"/>
  <c r="M50" i="61"/>
  <c r="M51" i="61"/>
  <c r="M52" i="61"/>
  <c r="M53" i="61"/>
  <c r="M54" i="61"/>
  <c r="M55" i="61"/>
  <c r="M56" i="61"/>
  <c r="M57" i="61"/>
  <c r="M58" i="61"/>
  <c r="M59" i="61"/>
  <c r="M60" i="61"/>
  <c r="M61" i="61"/>
  <c r="M62" i="61"/>
  <c r="M63" i="61"/>
  <c r="M64" i="61"/>
  <c r="M65" i="61"/>
  <c r="M66" i="61"/>
  <c r="M67" i="61"/>
  <c r="M68" i="61"/>
  <c r="M69" i="61"/>
  <c r="M70" i="61"/>
  <c r="M71" i="61"/>
  <c r="M72" i="61"/>
  <c r="M73" i="61"/>
  <c r="M74" i="61"/>
  <c r="M75" i="61"/>
  <c r="M76" i="61"/>
  <c r="M77" i="61"/>
  <c r="M78" i="61"/>
  <c r="M79" i="61"/>
  <c r="M80" i="61"/>
  <c r="M81" i="61"/>
  <c r="M82" i="61"/>
  <c r="M83" i="61"/>
  <c r="M84" i="61"/>
  <c r="M85" i="61"/>
  <c r="M86" i="61"/>
  <c r="M87" i="61"/>
  <c r="M88" i="61"/>
  <c r="M89" i="61"/>
  <c r="M90" i="61"/>
  <c r="M91" i="61"/>
  <c r="M92" i="61"/>
  <c r="M93" i="61"/>
  <c r="G103" i="61"/>
  <c r="J103" i="61"/>
  <c r="M103" i="61"/>
  <c r="G104" i="61"/>
  <c r="J104" i="61"/>
  <c r="M104" i="61"/>
  <c r="G105" i="61"/>
  <c r="J105" i="61"/>
  <c r="M105" i="61"/>
  <c r="M106" i="61"/>
  <c r="M107" i="61"/>
  <c r="M108" i="61"/>
  <c r="M109" i="61"/>
  <c r="M110" i="61"/>
  <c r="M111" i="61"/>
  <c r="M112" i="61"/>
  <c r="M113" i="61"/>
  <c r="M114" i="61"/>
  <c r="M115" i="61"/>
  <c r="M116" i="61"/>
  <c r="M117" i="61"/>
  <c r="M118" i="61"/>
  <c r="M119" i="61"/>
  <c r="M120" i="61"/>
  <c r="M121" i="61"/>
  <c r="M122" i="61"/>
  <c r="M123" i="61"/>
  <c r="M124" i="61"/>
  <c r="M125" i="61"/>
  <c r="M126" i="61"/>
  <c r="M127" i="61"/>
  <c r="M128" i="61"/>
  <c r="M129" i="61"/>
  <c r="M130" i="61"/>
  <c r="M131" i="61"/>
  <c r="M132" i="61"/>
  <c r="M133" i="61"/>
  <c r="M134" i="61"/>
  <c r="M135" i="61"/>
  <c r="M136" i="61"/>
  <c r="M137" i="61"/>
  <c r="M138" i="61"/>
  <c r="M139" i="61"/>
  <c r="M140" i="61"/>
  <c r="M141" i="61"/>
  <c r="M142" i="61"/>
  <c r="M143" i="61"/>
  <c r="M144" i="61"/>
  <c r="M145" i="61"/>
  <c r="M146" i="61"/>
  <c r="M147" i="61"/>
  <c r="M148" i="61"/>
  <c r="M149" i="61"/>
  <c r="M150" i="61"/>
  <c r="M151" i="61"/>
  <c r="M152" i="61"/>
  <c r="K166" i="61"/>
  <c r="N166" i="61"/>
  <c r="K167" i="61"/>
  <c r="N167" i="61"/>
  <c r="N168" i="61"/>
  <c r="N169" i="61"/>
  <c r="N170" i="61"/>
  <c r="N171" i="61"/>
  <c r="N172" i="61"/>
  <c r="N173" i="61"/>
  <c r="N174" i="61"/>
  <c r="N175" i="61"/>
  <c r="N176" i="61"/>
  <c r="N177" i="61"/>
  <c r="N178" i="61"/>
  <c r="N179" i="61"/>
  <c r="N180" i="61"/>
  <c r="N181" i="61"/>
  <c r="N182" i="61"/>
  <c r="N183" i="61"/>
  <c r="N184" i="61"/>
  <c r="N185" i="61"/>
  <c r="N186" i="61"/>
  <c r="N187" i="61"/>
  <c r="N188" i="61"/>
  <c r="N189" i="61"/>
  <c r="N190" i="61"/>
  <c r="N191" i="61"/>
  <c r="N192" i="61"/>
  <c r="N193" i="61"/>
  <c r="N194" i="61"/>
  <c r="N195" i="61"/>
  <c r="N196" i="61"/>
  <c r="N197" i="61"/>
  <c r="N198" i="61"/>
  <c r="N199" i="61"/>
  <c r="N200" i="61"/>
  <c r="N201" i="61"/>
  <c r="N202" i="61"/>
  <c r="N203" i="61"/>
  <c r="N204" i="61"/>
  <c r="N205" i="61"/>
  <c r="N206" i="61"/>
  <c r="N207" i="61"/>
  <c r="N208" i="61"/>
  <c r="N209" i="61"/>
  <c r="N210" i="61"/>
  <c r="N211" i="61"/>
  <c r="N212" i="61"/>
  <c r="N213" i="61"/>
  <c r="N214" i="61"/>
  <c r="N215" i="61"/>
  <c r="K229" i="61"/>
  <c r="N229" i="61"/>
  <c r="K230" i="61"/>
  <c r="N230" i="61"/>
  <c r="K231" i="61"/>
  <c r="N231" i="61"/>
  <c r="O231" i="61" s="1"/>
  <c r="N232" i="61"/>
  <c r="N233" i="61"/>
  <c r="O233" i="61" s="1"/>
  <c r="N234" i="61"/>
  <c r="N235" i="61"/>
  <c r="O235" i="61" s="1"/>
  <c r="N236" i="61"/>
  <c r="N237" i="61"/>
  <c r="N238" i="61"/>
  <c r="N239" i="61"/>
  <c r="O239" i="61" s="1"/>
  <c r="N240" i="61"/>
  <c r="N241" i="61"/>
  <c r="N242" i="61"/>
  <c r="N243" i="61"/>
  <c r="O243" i="61" s="1"/>
  <c r="N244" i="61"/>
  <c r="N245" i="61"/>
  <c r="N246" i="61"/>
  <c r="N247" i="61"/>
  <c r="O247" i="61" s="1"/>
  <c r="N248" i="61"/>
  <c r="N249" i="61"/>
  <c r="O249" i="61" s="1"/>
  <c r="N250" i="61"/>
  <c r="N251" i="61"/>
  <c r="O251" i="61" s="1"/>
  <c r="N252" i="61"/>
  <c r="N253" i="61"/>
  <c r="N254" i="61"/>
  <c r="N255" i="61"/>
  <c r="O255" i="61" s="1"/>
  <c r="N256" i="61"/>
  <c r="N257" i="61"/>
  <c r="O257" i="61" s="1"/>
  <c r="N258" i="61"/>
  <c r="N259" i="61"/>
  <c r="O259" i="61" s="1"/>
  <c r="N260" i="61"/>
  <c r="N261" i="61"/>
  <c r="O261" i="61" s="1"/>
  <c r="N262" i="61"/>
  <c r="N263" i="61"/>
  <c r="N264" i="61"/>
  <c r="N265" i="61"/>
  <c r="O265" i="61" s="1"/>
  <c r="N266" i="61"/>
  <c r="N267" i="61"/>
  <c r="O267" i="61" s="1"/>
  <c r="N268" i="61"/>
  <c r="N269" i="61"/>
  <c r="O269" i="61" s="1"/>
  <c r="N270" i="61"/>
  <c r="N271" i="61"/>
  <c r="O271" i="61" s="1"/>
  <c r="N272" i="61"/>
  <c r="N273" i="61"/>
  <c r="O273" i="61" s="1"/>
  <c r="N274" i="61"/>
  <c r="N275" i="61"/>
  <c r="O275" i="61" s="1"/>
  <c r="N276" i="61"/>
  <c r="N277" i="61"/>
  <c r="N278" i="61"/>
  <c r="K292" i="61"/>
  <c r="N292" i="61"/>
  <c r="K293" i="61"/>
  <c r="N293" i="61"/>
  <c r="K294" i="61"/>
  <c r="N294" i="61"/>
  <c r="N295" i="61"/>
  <c r="N296" i="61"/>
  <c r="N297" i="61"/>
  <c r="N298" i="61"/>
  <c r="N299" i="61"/>
  <c r="N300" i="61"/>
  <c r="N301" i="61"/>
  <c r="N302" i="61"/>
  <c r="N303" i="61"/>
  <c r="N304" i="61"/>
  <c r="N305" i="61"/>
  <c r="N306" i="61"/>
  <c r="N307" i="61"/>
  <c r="N308" i="61"/>
  <c r="N309" i="61"/>
  <c r="N310" i="61"/>
  <c r="N311" i="61"/>
  <c r="N312" i="61"/>
  <c r="N313" i="61"/>
  <c r="N314" i="61"/>
  <c r="N315" i="61"/>
  <c r="N316" i="61"/>
  <c r="N317" i="61"/>
  <c r="N318" i="61"/>
  <c r="N319" i="61"/>
  <c r="N320" i="61"/>
  <c r="N321" i="61"/>
  <c r="N322" i="61"/>
  <c r="N323" i="61"/>
  <c r="N324" i="61"/>
  <c r="N325" i="61"/>
  <c r="N326" i="61"/>
  <c r="N327" i="61"/>
  <c r="N328" i="61"/>
  <c r="N329" i="61"/>
  <c r="N330" i="61"/>
  <c r="N331" i="61"/>
  <c r="N332" i="61"/>
  <c r="N333" i="61"/>
  <c r="N334" i="61"/>
  <c r="N335" i="61"/>
  <c r="N336" i="61"/>
  <c r="N337" i="61"/>
  <c r="N338" i="61"/>
  <c r="N339" i="61"/>
  <c r="N340" i="61"/>
  <c r="N341" i="61"/>
  <c r="I44" i="61"/>
  <c r="L44" i="61"/>
  <c r="I45" i="61"/>
  <c r="L45" i="61"/>
  <c r="L46" i="61"/>
  <c r="L47" i="61"/>
  <c r="L48" i="61"/>
  <c r="L49" i="61"/>
  <c r="N49" i="61" s="1"/>
  <c r="L50" i="61"/>
  <c r="L51" i="61"/>
  <c r="L52" i="61"/>
  <c r="L53" i="61"/>
  <c r="L54" i="61"/>
  <c r="L55" i="61"/>
  <c r="L56" i="61"/>
  <c r="L57" i="61"/>
  <c r="L58" i="61"/>
  <c r="L59" i="61"/>
  <c r="L60" i="61"/>
  <c r="L61" i="61"/>
  <c r="N61" i="61" s="1"/>
  <c r="L62" i="61"/>
  <c r="L63" i="61"/>
  <c r="L64" i="61"/>
  <c r="L65" i="61"/>
  <c r="L66" i="61"/>
  <c r="L67" i="61"/>
  <c r="L68" i="61"/>
  <c r="L69" i="61"/>
  <c r="L70" i="61"/>
  <c r="L71" i="61"/>
  <c r="L72" i="61"/>
  <c r="L73" i="61"/>
  <c r="L74" i="61"/>
  <c r="L75" i="61"/>
  <c r="L76" i="61"/>
  <c r="L77" i="61"/>
  <c r="N77" i="61" s="1"/>
  <c r="L78" i="61"/>
  <c r="L79" i="61"/>
  <c r="L80" i="61"/>
  <c r="L81" i="61"/>
  <c r="L82" i="61"/>
  <c r="L83" i="61"/>
  <c r="L84" i="61"/>
  <c r="L85" i="61"/>
  <c r="L86" i="61"/>
  <c r="L87" i="61"/>
  <c r="L88" i="61"/>
  <c r="L89" i="61"/>
  <c r="L90" i="61"/>
  <c r="L91" i="61"/>
  <c r="L92" i="61"/>
  <c r="L93" i="61"/>
  <c r="N93" i="61" s="1"/>
  <c r="I103" i="61"/>
  <c r="L103" i="61"/>
  <c r="I104" i="61"/>
  <c r="L104" i="61"/>
  <c r="I105" i="61"/>
  <c r="L105" i="61"/>
  <c r="L106" i="61"/>
  <c r="L107" i="61"/>
  <c r="L108" i="61"/>
  <c r="L109" i="61"/>
  <c r="L110" i="61"/>
  <c r="L111" i="61"/>
  <c r="L112" i="61"/>
  <c r="L113" i="61"/>
  <c r="L114" i="61"/>
  <c r="L115" i="61"/>
  <c r="L116" i="61"/>
  <c r="L117" i="61"/>
  <c r="L118" i="61"/>
  <c r="L119" i="61"/>
  <c r="L120" i="61"/>
  <c r="L121" i="61"/>
  <c r="L122" i="61"/>
  <c r="L123" i="61"/>
  <c r="L124" i="61"/>
  <c r="L125" i="61"/>
  <c r="L126" i="61"/>
  <c r="L127" i="61"/>
  <c r="L128" i="61"/>
  <c r="L129" i="61"/>
  <c r="L130" i="61"/>
  <c r="L131" i="61"/>
  <c r="L132" i="61"/>
  <c r="L133" i="61"/>
  <c r="L134" i="61"/>
  <c r="L135" i="61"/>
  <c r="L136" i="61"/>
  <c r="L137" i="61"/>
  <c r="L138" i="61"/>
  <c r="L139" i="61"/>
  <c r="L140" i="61"/>
  <c r="L141" i="61"/>
  <c r="L142" i="61"/>
  <c r="L143" i="61"/>
  <c r="L144" i="61"/>
  <c r="L145" i="61"/>
  <c r="L146" i="61"/>
  <c r="L147" i="61"/>
  <c r="L148" i="61"/>
  <c r="L149" i="61"/>
  <c r="L150" i="61"/>
  <c r="L151" i="61"/>
  <c r="L152" i="61"/>
  <c r="J166" i="61"/>
  <c r="M166" i="61"/>
  <c r="J167" i="61"/>
  <c r="M167" i="61"/>
  <c r="M168" i="61"/>
  <c r="M169" i="61"/>
  <c r="M170" i="61"/>
  <c r="M171" i="61"/>
  <c r="M172" i="61"/>
  <c r="O172" i="61" s="1"/>
  <c r="M173" i="61"/>
  <c r="M174" i="61"/>
  <c r="M175" i="61"/>
  <c r="M176" i="61"/>
  <c r="M177" i="61"/>
  <c r="M178" i="61"/>
  <c r="M179" i="61"/>
  <c r="M180" i="61"/>
  <c r="O180" i="61" s="1"/>
  <c r="M181" i="61"/>
  <c r="M182" i="61"/>
  <c r="M183" i="61"/>
  <c r="M184" i="61"/>
  <c r="O184" i="61" s="1"/>
  <c r="M185" i="61"/>
  <c r="M186" i="61"/>
  <c r="M187" i="61"/>
  <c r="M188" i="61"/>
  <c r="O188" i="61" s="1"/>
  <c r="M189" i="61"/>
  <c r="M190" i="61"/>
  <c r="M191" i="61"/>
  <c r="M192" i="61"/>
  <c r="O192" i="61" s="1"/>
  <c r="M193" i="61"/>
  <c r="M194" i="61"/>
  <c r="M195" i="61"/>
  <c r="M196" i="61"/>
  <c r="O196" i="61" s="1"/>
  <c r="M197" i="61"/>
  <c r="M198" i="61"/>
  <c r="M199" i="61"/>
  <c r="M200" i="61"/>
  <c r="O200" i="61" s="1"/>
  <c r="M201" i="61"/>
  <c r="M202" i="61"/>
  <c r="M203" i="61"/>
  <c r="M204" i="61"/>
  <c r="M205" i="61"/>
  <c r="M206" i="61"/>
  <c r="M207" i="61"/>
  <c r="M208" i="61"/>
  <c r="O208" i="61" s="1"/>
  <c r="M209" i="61"/>
  <c r="M210" i="61"/>
  <c r="M211" i="61"/>
  <c r="M212" i="61"/>
  <c r="O212" i="61" s="1"/>
  <c r="M213" i="61"/>
  <c r="M214" i="61"/>
  <c r="M215" i="61"/>
  <c r="J229" i="61"/>
  <c r="M229" i="61"/>
  <c r="J230" i="61"/>
  <c r="M230" i="61"/>
  <c r="J231" i="61"/>
  <c r="M231" i="61"/>
  <c r="M232" i="61"/>
  <c r="M233" i="61"/>
  <c r="M234" i="61"/>
  <c r="M235" i="61"/>
  <c r="M236" i="61"/>
  <c r="M237" i="61"/>
  <c r="M238" i="61"/>
  <c r="M239" i="61"/>
  <c r="M240" i="61"/>
  <c r="M241" i="61"/>
  <c r="M242" i="61"/>
  <c r="M243" i="61"/>
  <c r="M244" i="61"/>
  <c r="M245" i="61"/>
  <c r="M246" i="61"/>
  <c r="M247" i="61"/>
  <c r="M248" i="61"/>
  <c r="M249" i="61"/>
  <c r="M250" i="61"/>
  <c r="M251" i="61"/>
  <c r="M252" i="61"/>
  <c r="M253" i="61"/>
  <c r="M254" i="61"/>
  <c r="M255" i="61"/>
  <c r="M256" i="61"/>
  <c r="M257" i="61"/>
  <c r="M258" i="61"/>
  <c r="M259" i="61"/>
  <c r="M260" i="61"/>
  <c r="M261" i="61"/>
  <c r="M262" i="61"/>
  <c r="M263" i="61"/>
  <c r="M264" i="61"/>
  <c r="M265" i="61"/>
  <c r="M266" i="61"/>
  <c r="M267" i="61"/>
  <c r="M268" i="61"/>
  <c r="M269" i="61"/>
  <c r="M270" i="61"/>
  <c r="M271" i="61"/>
  <c r="M272" i="61"/>
  <c r="M273" i="61"/>
  <c r="M274" i="61"/>
  <c r="M275" i="61"/>
  <c r="M276" i="61"/>
  <c r="M277" i="61"/>
  <c r="M278" i="61"/>
  <c r="J292" i="61"/>
  <c r="M292" i="61"/>
  <c r="O292" i="61" s="1"/>
  <c r="J293" i="61"/>
  <c r="M293" i="61"/>
  <c r="J294" i="61"/>
  <c r="M294" i="61"/>
  <c r="O294" i="61" s="1"/>
  <c r="M295" i="61"/>
  <c r="M296" i="61"/>
  <c r="M297" i="61"/>
  <c r="M298" i="61"/>
  <c r="O298" i="61" s="1"/>
  <c r="M299" i="61"/>
  <c r="M300" i="61"/>
  <c r="M301" i="61"/>
  <c r="M302" i="61"/>
  <c r="O302" i="61" s="1"/>
  <c r="M303" i="61"/>
  <c r="M304" i="61"/>
  <c r="M305" i="61"/>
  <c r="M306" i="61"/>
  <c r="O306" i="61" s="1"/>
  <c r="M307" i="61"/>
  <c r="M308" i="61"/>
  <c r="M309" i="61"/>
  <c r="M310" i="61"/>
  <c r="O310" i="61" s="1"/>
  <c r="M311" i="61"/>
  <c r="M312" i="61"/>
  <c r="M313" i="61"/>
  <c r="M314" i="61"/>
  <c r="O314" i="61" s="1"/>
  <c r="M315" i="61"/>
  <c r="M316" i="61"/>
  <c r="M317" i="61"/>
  <c r="M318" i="61"/>
  <c r="M319" i="61"/>
  <c r="M320" i="61"/>
  <c r="M321" i="61"/>
  <c r="M322" i="61"/>
  <c r="O322" i="61" s="1"/>
  <c r="M323" i="61"/>
  <c r="M324" i="61"/>
  <c r="M325" i="61"/>
  <c r="M326" i="61"/>
  <c r="O326" i="61" s="1"/>
  <c r="M327" i="61"/>
  <c r="M328" i="61"/>
  <c r="M329" i="61"/>
  <c r="M330" i="61"/>
  <c r="O330" i="61" s="1"/>
  <c r="M331" i="61"/>
  <c r="M332" i="61"/>
  <c r="M333" i="61"/>
  <c r="M334" i="61"/>
  <c r="O334" i="61" s="1"/>
  <c r="M335" i="61"/>
  <c r="M336" i="61"/>
  <c r="M337" i="61"/>
  <c r="M338" i="61"/>
  <c r="O338" i="61" s="1"/>
  <c r="M339" i="61"/>
  <c r="M340" i="61"/>
  <c r="M341" i="61"/>
  <c r="H82" i="3"/>
  <c r="H44" i="61"/>
  <c r="K44" i="61"/>
  <c r="H92" i="3"/>
  <c r="H45" i="61"/>
  <c r="K45" i="61"/>
  <c r="K46" i="61"/>
  <c r="N46" i="61" s="1"/>
  <c r="K47" i="61"/>
  <c r="K48" i="61"/>
  <c r="N48" i="61" s="1"/>
  <c r="K49" i="61"/>
  <c r="K50" i="61"/>
  <c r="N50" i="61" s="1"/>
  <c r="K51" i="61"/>
  <c r="K52" i="61"/>
  <c r="N52" i="61" s="1"/>
  <c r="K53" i="61"/>
  <c r="K54" i="61"/>
  <c r="N54" i="61" s="1"/>
  <c r="K55" i="61"/>
  <c r="K56" i="61"/>
  <c r="N56" i="61" s="1"/>
  <c r="K57" i="61"/>
  <c r="K58" i="61"/>
  <c r="N58" i="61" s="1"/>
  <c r="K59" i="61"/>
  <c r="K60" i="61"/>
  <c r="N60" i="61" s="1"/>
  <c r="K61" i="61"/>
  <c r="K62" i="61"/>
  <c r="K63" i="61"/>
  <c r="K64" i="61"/>
  <c r="N64" i="61" s="1"/>
  <c r="K65" i="61"/>
  <c r="K66" i="61"/>
  <c r="N66" i="61" s="1"/>
  <c r="K67" i="61"/>
  <c r="K68" i="61"/>
  <c r="N68" i="61" s="1"/>
  <c r="K69" i="61"/>
  <c r="K70" i="61"/>
  <c r="N70" i="61" s="1"/>
  <c r="K71" i="61"/>
  <c r="K72" i="61"/>
  <c r="N72" i="61" s="1"/>
  <c r="K73" i="61"/>
  <c r="K74" i="61"/>
  <c r="K75" i="61"/>
  <c r="K76" i="61"/>
  <c r="N76" i="61" s="1"/>
  <c r="K77" i="61"/>
  <c r="K78" i="61"/>
  <c r="N78" i="61" s="1"/>
  <c r="K79" i="61"/>
  <c r="K80" i="61"/>
  <c r="N80" i="61" s="1"/>
  <c r="K81" i="61"/>
  <c r="K82" i="61"/>
  <c r="K83" i="61"/>
  <c r="K84" i="61"/>
  <c r="N84" i="61" s="1"/>
  <c r="K85" i="61"/>
  <c r="K86" i="61"/>
  <c r="N86" i="61" s="1"/>
  <c r="K87" i="61"/>
  <c r="K88" i="61"/>
  <c r="N88" i="61" s="1"/>
  <c r="K89" i="61"/>
  <c r="K90" i="61"/>
  <c r="N90" i="61" s="1"/>
  <c r="K91" i="61"/>
  <c r="K92" i="61"/>
  <c r="N92" i="61" s="1"/>
  <c r="K93" i="61"/>
  <c r="F134" i="3"/>
  <c r="H103" i="61"/>
  <c r="K103" i="61"/>
  <c r="F121" i="3"/>
  <c r="H104" i="61"/>
  <c r="K104" i="61"/>
  <c r="F173" i="3"/>
  <c r="H105" i="61"/>
  <c r="K105" i="61"/>
  <c r="K106" i="61"/>
  <c r="K107" i="61"/>
  <c r="N107" i="61" s="1"/>
  <c r="K108" i="61"/>
  <c r="K109" i="61"/>
  <c r="K110" i="61"/>
  <c r="K111" i="61"/>
  <c r="N111" i="61" s="1"/>
  <c r="K112" i="61"/>
  <c r="K113" i="61"/>
  <c r="K114" i="61"/>
  <c r="K115" i="61"/>
  <c r="N115" i="61" s="1"/>
  <c r="K116" i="61"/>
  <c r="K117" i="61"/>
  <c r="K118" i="61"/>
  <c r="K119" i="61"/>
  <c r="N119" i="61" s="1"/>
  <c r="K120" i="61"/>
  <c r="K121" i="61"/>
  <c r="K122" i="61"/>
  <c r="K123" i="61"/>
  <c r="K124" i="61"/>
  <c r="K125" i="61"/>
  <c r="K126" i="61"/>
  <c r="K127" i="61"/>
  <c r="N127" i="61" s="1"/>
  <c r="K128" i="61"/>
  <c r="K129" i="61"/>
  <c r="K130" i="61"/>
  <c r="K131" i="61"/>
  <c r="N131" i="61" s="1"/>
  <c r="K132" i="61"/>
  <c r="K133" i="61"/>
  <c r="K134" i="61"/>
  <c r="K135" i="61"/>
  <c r="N135" i="61" s="1"/>
  <c r="K136" i="61"/>
  <c r="K137" i="61"/>
  <c r="K138" i="61"/>
  <c r="K139" i="61"/>
  <c r="N139" i="61" s="1"/>
  <c r="K140" i="61"/>
  <c r="K141" i="61"/>
  <c r="K142" i="61"/>
  <c r="K143" i="61"/>
  <c r="N143" i="61" s="1"/>
  <c r="K144" i="61"/>
  <c r="K145" i="61"/>
  <c r="K146" i="61"/>
  <c r="K147" i="61"/>
  <c r="N147" i="61" s="1"/>
  <c r="K148" i="61"/>
  <c r="K149" i="61"/>
  <c r="K150" i="61"/>
  <c r="K151" i="61"/>
  <c r="N151" i="61" s="1"/>
  <c r="K152" i="61"/>
  <c r="F184" i="3"/>
  <c r="I166" i="61"/>
  <c r="L166" i="61"/>
  <c r="O166" i="61" s="1"/>
  <c r="I167" i="61"/>
  <c r="L167" i="61"/>
  <c r="O167" i="61" s="1"/>
  <c r="L168" i="61"/>
  <c r="L169" i="61"/>
  <c r="O169" i="61" s="1"/>
  <c r="L170" i="61"/>
  <c r="L171" i="61"/>
  <c r="O171" i="61" s="1"/>
  <c r="L172" i="61"/>
  <c r="L173" i="61"/>
  <c r="O173" i="61" s="1"/>
  <c r="L174" i="61"/>
  <c r="L175" i="61"/>
  <c r="O175" i="61" s="1"/>
  <c r="L176" i="61"/>
  <c r="L177" i="61"/>
  <c r="O177" i="61" s="1"/>
  <c r="L178" i="61"/>
  <c r="L179" i="61"/>
  <c r="L180" i="61"/>
  <c r="L181" i="61"/>
  <c r="L182" i="61"/>
  <c r="L183" i="61"/>
  <c r="O183" i="61" s="1"/>
  <c r="L184" i="61"/>
  <c r="L185" i="61"/>
  <c r="O185" i="61" s="1"/>
  <c r="L186" i="61"/>
  <c r="L187" i="61"/>
  <c r="L188" i="61"/>
  <c r="L189" i="61"/>
  <c r="O189" i="61" s="1"/>
  <c r="L190" i="61"/>
  <c r="L191" i="61"/>
  <c r="O191" i="61" s="1"/>
  <c r="L192" i="61"/>
  <c r="L193" i="61"/>
  <c r="L194" i="61"/>
  <c r="L195" i="61"/>
  <c r="O195" i="61" s="1"/>
  <c r="L196" i="61"/>
  <c r="L197" i="61"/>
  <c r="O197" i="61" s="1"/>
  <c r="L198" i="61"/>
  <c r="L199" i="61"/>
  <c r="L200" i="61"/>
  <c r="L201" i="61"/>
  <c r="O201" i="61" s="1"/>
  <c r="L202" i="61"/>
  <c r="L203" i="61"/>
  <c r="O203" i="61" s="1"/>
  <c r="L204" i="61"/>
  <c r="L205" i="61"/>
  <c r="O205" i="61" s="1"/>
  <c r="L206" i="61"/>
  <c r="L207" i="61"/>
  <c r="O207" i="61" s="1"/>
  <c r="L208" i="61"/>
  <c r="L209" i="61"/>
  <c r="O209" i="61" s="1"/>
  <c r="L210" i="61"/>
  <c r="L211" i="61"/>
  <c r="L212" i="61"/>
  <c r="L213" i="61"/>
  <c r="O213" i="61" s="1"/>
  <c r="L214" i="61"/>
  <c r="L215" i="61"/>
  <c r="O215" i="61" s="1"/>
  <c r="F193" i="3"/>
  <c r="I229" i="61"/>
  <c r="L229" i="61"/>
  <c r="F200" i="3"/>
  <c r="I230" i="61"/>
  <c r="L230" i="61"/>
  <c r="O230" i="61" s="1"/>
  <c r="F201" i="3"/>
  <c r="I231" i="61"/>
  <c r="L231" i="61"/>
  <c r="L232" i="61"/>
  <c r="O232" i="61" s="1"/>
  <c r="L233" i="61"/>
  <c r="L234" i="61"/>
  <c r="L235" i="61"/>
  <c r="L236" i="61"/>
  <c r="O236" i="61" s="1"/>
  <c r="L237" i="61"/>
  <c r="L238" i="61"/>
  <c r="L239" i="61"/>
  <c r="L240" i="61"/>
  <c r="O240" i="61" s="1"/>
  <c r="L241" i="61"/>
  <c r="L242" i="61"/>
  <c r="L243" i="61"/>
  <c r="L244" i="61"/>
  <c r="L245" i="61"/>
  <c r="L246" i="61"/>
  <c r="L247" i="61"/>
  <c r="L248" i="61"/>
  <c r="O248" i="61" s="1"/>
  <c r="L249" i="61"/>
  <c r="L250" i="61"/>
  <c r="L251" i="61"/>
  <c r="L252" i="61"/>
  <c r="O252" i="61" s="1"/>
  <c r="L253" i="61"/>
  <c r="L254" i="61"/>
  <c r="L255" i="61"/>
  <c r="L256" i="61"/>
  <c r="O256" i="61" s="1"/>
  <c r="L257" i="61"/>
  <c r="L258" i="61"/>
  <c r="L259" i="61"/>
  <c r="L260" i="61"/>
  <c r="O260" i="61" s="1"/>
  <c r="L261" i="61"/>
  <c r="L262" i="61"/>
  <c r="L263" i="61"/>
  <c r="L264" i="61"/>
  <c r="O264" i="61" s="1"/>
  <c r="L265" i="61"/>
  <c r="L266" i="61"/>
  <c r="L267" i="61"/>
  <c r="L268" i="61"/>
  <c r="O268" i="61" s="1"/>
  <c r="L269" i="61"/>
  <c r="L270" i="61"/>
  <c r="L271" i="61"/>
  <c r="L272" i="61"/>
  <c r="O272" i="61" s="1"/>
  <c r="L273" i="61"/>
  <c r="L274" i="61"/>
  <c r="L275" i="61"/>
  <c r="L276" i="61"/>
  <c r="O276" i="61" s="1"/>
  <c r="L277" i="61"/>
  <c r="L278" i="61"/>
  <c r="F217" i="3"/>
  <c r="I292" i="61"/>
  <c r="L292" i="61"/>
  <c r="F218" i="3"/>
  <c r="I293" i="61"/>
  <c r="L293" i="61"/>
  <c r="O293" i="61" s="1"/>
  <c r="F219" i="3"/>
  <c r="I294" i="61"/>
  <c r="L294" i="61"/>
  <c r="L295" i="61"/>
  <c r="O295" i="61" s="1"/>
  <c r="L296" i="61"/>
  <c r="L297" i="61"/>
  <c r="L298" i="61"/>
  <c r="L299" i="61"/>
  <c r="O299" i="61" s="1"/>
  <c r="L300" i="61"/>
  <c r="L301" i="61"/>
  <c r="L302" i="61"/>
  <c r="L303" i="61"/>
  <c r="O303" i="61" s="1"/>
  <c r="L304" i="61"/>
  <c r="L305" i="61"/>
  <c r="L306" i="61"/>
  <c r="L307" i="61"/>
  <c r="O307" i="61" s="1"/>
  <c r="L308" i="61"/>
  <c r="L309" i="61"/>
  <c r="L310" i="61"/>
  <c r="L311" i="61"/>
  <c r="O311" i="61" s="1"/>
  <c r="L312" i="61"/>
  <c r="L313" i="61"/>
  <c r="L314" i="61"/>
  <c r="L315" i="61"/>
  <c r="O315" i="61" s="1"/>
  <c r="L316" i="61"/>
  <c r="L317" i="61"/>
  <c r="L318" i="61"/>
  <c r="L319" i="61"/>
  <c r="O319" i="61" s="1"/>
  <c r="L320" i="61"/>
  <c r="L321" i="61"/>
  <c r="L322" i="61"/>
  <c r="L323" i="61"/>
  <c r="O323" i="61" s="1"/>
  <c r="L324" i="61"/>
  <c r="L325" i="61"/>
  <c r="L326" i="61"/>
  <c r="L327" i="61"/>
  <c r="O327" i="61" s="1"/>
  <c r="L328" i="61"/>
  <c r="L329" i="61"/>
  <c r="L330" i="61"/>
  <c r="L331" i="61"/>
  <c r="O331" i="61" s="1"/>
  <c r="L332" i="61"/>
  <c r="L333" i="61"/>
  <c r="L334" i="61"/>
  <c r="L335" i="61"/>
  <c r="O335" i="61" s="1"/>
  <c r="L336" i="61"/>
  <c r="L337" i="61"/>
  <c r="L338" i="61"/>
  <c r="L339" i="61"/>
  <c r="O339" i="61" s="1"/>
  <c r="L340" i="61"/>
  <c r="L341" i="61"/>
  <c r="O94" i="61"/>
  <c r="O153" i="61"/>
  <c r="P216" i="61"/>
  <c r="P279" i="61"/>
  <c r="P342" i="61"/>
  <c r="N44" i="61"/>
  <c r="N62" i="61"/>
  <c r="N74" i="61"/>
  <c r="N82" i="61"/>
  <c r="N123" i="61"/>
  <c r="O168" i="61"/>
  <c r="O176" i="61"/>
  <c r="O179" i="61"/>
  <c r="O181" i="61"/>
  <c r="O187" i="61"/>
  <c r="O193" i="61"/>
  <c r="O199" i="61"/>
  <c r="O204" i="61"/>
  <c r="O211" i="61"/>
  <c r="O229" i="61"/>
  <c r="O237" i="61"/>
  <c r="O241" i="61"/>
  <c r="O244" i="61"/>
  <c r="O263" i="61"/>
  <c r="O277" i="61"/>
  <c r="O318" i="61"/>
  <c r="K341" i="61"/>
  <c r="J341" i="61"/>
  <c r="I341" i="61"/>
  <c r="H341" i="61"/>
  <c r="K340" i="61"/>
  <c r="J340" i="61"/>
  <c r="I340" i="61"/>
  <c r="H340" i="61"/>
  <c r="K339" i="61"/>
  <c r="J339" i="61"/>
  <c r="I339" i="61"/>
  <c r="H339" i="61"/>
  <c r="K338" i="61"/>
  <c r="J338" i="61"/>
  <c r="I338" i="61"/>
  <c r="H338" i="61"/>
  <c r="K337" i="61"/>
  <c r="J337" i="61"/>
  <c r="I337" i="61"/>
  <c r="H337" i="61"/>
  <c r="K336" i="61"/>
  <c r="J336" i="61"/>
  <c r="I336" i="61"/>
  <c r="H336" i="61"/>
  <c r="K335" i="61"/>
  <c r="J335" i="61"/>
  <c r="I335" i="61"/>
  <c r="H335" i="61"/>
  <c r="K334" i="61"/>
  <c r="J334" i="61"/>
  <c r="I334" i="61"/>
  <c r="H334" i="61"/>
  <c r="K333" i="61"/>
  <c r="J333" i="61"/>
  <c r="I333" i="61"/>
  <c r="H333" i="61"/>
  <c r="K332" i="61"/>
  <c r="J332" i="61"/>
  <c r="I332" i="61"/>
  <c r="H332" i="61"/>
  <c r="K331" i="61"/>
  <c r="J331" i="61"/>
  <c r="I331" i="61"/>
  <c r="H331" i="61"/>
  <c r="K330" i="61"/>
  <c r="J330" i="61"/>
  <c r="I330" i="61"/>
  <c r="H330" i="61"/>
  <c r="K329" i="61"/>
  <c r="J329" i="61"/>
  <c r="I329" i="61"/>
  <c r="H329" i="61"/>
  <c r="K328" i="61"/>
  <c r="J328" i="61"/>
  <c r="I328" i="61"/>
  <c r="H328" i="61"/>
  <c r="K327" i="61"/>
  <c r="J327" i="61"/>
  <c r="I327" i="61"/>
  <c r="H327" i="61"/>
  <c r="K326" i="61"/>
  <c r="J326" i="61"/>
  <c r="I326" i="61"/>
  <c r="H326" i="61"/>
  <c r="K325" i="61"/>
  <c r="J325" i="61"/>
  <c r="I325" i="61"/>
  <c r="H325" i="61"/>
  <c r="K324" i="61"/>
  <c r="J324" i="61"/>
  <c r="I324" i="61"/>
  <c r="H324" i="61"/>
  <c r="K323" i="61"/>
  <c r="J323" i="61"/>
  <c r="I323" i="61"/>
  <c r="H323" i="61"/>
  <c r="K322" i="61"/>
  <c r="J322" i="61"/>
  <c r="I322" i="61"/>
  <c r="H322" i="61"/>
  <c r="K321" i="61"/>
  <c r="J321" i="61"/>
  <c r="I321" i="61"/>
  <c r="H321" i="61"/>
  <c r="K320" i="61"/>
  <c r="J320" i="61"/>
  <c r="I320" i="61"/>
  <c r="H320" i="61"/>
  <c r="K319" i="61"/>
  <c r="J319" i="61"/>
  <c r="I319" i="61"/>
  <c r="H319" i="61"/>
  <c r="K318" i="61"/>
  <c r="J318" i="61"/>
  <c r="I318" i="61"/>
  <c r="H318" i="61"/>
  <c r="K317" i="61"/>
  <c r="J317" i="61"/>
  <c r="I317" i="61"/>
  <c r="H317" i="61"/>
  <c r="K316" i="61"/>
  <c r="J316" i="61"/>
  <c r="I316" i="61"/>
  <c r="H316" i="61"/>
  <c r="K315" i="61"/>
  <c r="J315" i="61"/>
  <c r="I315" i="61"/>
  <c r="H315" i="61"/>
  <c r="K314" i="61"/>
  <c r="J314" i="61"/>
  <c r="I314" i="61"/>
  <c r="H314" i="61"/>
  <c r="K313" i="61"/>
  <c r="J313" i="61"/>
  <c r="I313" i="61"/>
  <c r="H313" i="61"/>
  <c r="K312" i="61"/>
  <c r="J312" i="61"/>
  <c r="I312" i="61"/>
  <c r="H312" i="61"/>
  <c r="K311" i="61"/>
  <c r="J311" i="61"/>
  <c r="I311" i="61"/>
  <c r="H311" i="61"/>
  <c r="K310" i="61"/>
  <c r="J310" i="61"/>
  <c r="I310" i="61"/>
  <c r="H310" i="61"/>
  <c r="K309" i="61"/>
  <c r="J309" i="61"/>
  <c r="I309" i="61"/>
  <c r="H309" i="61"/>
  <c r="K308" i="61"/>
  <c r="J308" i="61"/>
  <c r="I308" i="61"/>
  <c r="H308" i="61"/>
  <c r="K307" i="61"/>
  <c r="J307" i="61"/>
  <c r="I307" i="61"/>
  <c r="H307" i="61"/>
  <c r="K306" i="61"/>
  <c r="J306" i="61"/>
  <c r="I306" i="61"/>
  <c r="H306" i="61"/>
  <c r="K305" i="61"/>
  <c r="J305" i="61"/>
  <c r="I305" i="61"/>
  <c r="H305" i="61"/>
  <c r="K304" i="61"/>
  <c r="J304" i="61"/>
  <c r="I304" i="61"/>
  <c r="H304" i="61"/>
  <c r="K303" i="61"/>
  <c r="J303" i="61"/>
  <c r="I303" i="61"/>
  <c r="H303" i="61"/>
  <c r="K302" i="61"/>
  <c r="J302" i="61"/>
  <c r="I302" i="61"/>
  <c r="H302" i="61"/>
  <c r="K301" i="61"/>
  <c r="J301" i="61"/>
  <c r="I301" i="61"/>
  <c r="H301" i="61"/>
  <c r="K300" i="61"/>
  <c r="J300" i="61"/>
  <c r="I300" i="61"/>
  <c r="H300" i="61"/>
  <c r="K299" i="61"/>
  <c r="J299" i="61"/>
  <c r="I299" i="61"/>
  <c r="H299" i="61"/>
  <c r="K298" i="61"/>
  <c r="J298" i="61"/>
  <c r="I298" i="61"/>
  <c r="H298" i="61"/>
  <c r="K297" i="61"/>
  <c r="J297" i="61"/>
  <c r="I297" i="61"/>
  <c r="H297" i="61"/>
  <c r="K296" i="61"/>
  <c r="J296" i="61"/>
  <c r="I296" i="61"/>
  <c r="H296" i="61"/>
  <c r="K295" i="61"/>
  <c r="J295" i="61"/>
  <c r="I295" i="61"/>
  <c r="H295" i="61"/>
  <c r="H294" i="61"/>
  <c r="H293" i="61"/>
  <c r="H292" i="61"/>
  <c r="K278" i="61"/>
  <c r="J278" i="61"/>
  <c r="I278" i="61"/>
  <c r="H278" i="61"/>
  <c r="K277" i="61"/>
  <c r="J277" i="61"/>
  <c r="I277" i="61"/>
  <c r="H277" i="61"/>
  <c r="K276" i="61"/>
  <c r="J276" i="61"/>
  <c r="I276" i="61"/>
  <c r="H276" i="61"/>
  <c r="K275" i="61"/>
  <c r="J275" i="61"/>
  <c r="I275" i="61"/>
  <c r="H275" i="61"/>
  <c r="K274" i="61"/>
  <c r="J274" i="61"/>
  <c r="I274" i="61"/>
  <c r="H274" i="61"/>
  <c r="K273" i="61"/>
  <c r="J273" i="61"/>
  <c r="I273" i="61"/>
  <c r="H273" i="61"/>
  <c r="K272" i="61"/>
  <c r="J272" i="61"/>
  <c r="I272" i="61"/>
  <c r="H272" i="61"/>
  <c r="K271" i="61"/>
  <c r="J271" i="61"/>
  <c r="I271" i="61"/>
  <c r="H271" i="61"/>
  <c r="K270" i="61"/>
  <c r="J270" i="61"/>
  <c r="I270" i="61"/>
  <c r="H270" i="61"/>
  <c r="K269" i="61"/>
  <c r="J269" i="61"/>
  <c r="I269" i="61"/>
  <c r="H269" i="61"/>
  <c r="K268" i="61"/>
  <c r="J268" i="61"/>
  <c r="I268" i="61"/>
  <c r="H268" i="61"/>
  <c r="K267" i="61"/>
  <c r="J267" i="61"/>
  <c r="I267" i="61"/>
  <c r="H267" i="61"/>
  <c r="K266" i="61"/>
  <c r="J266" i="61"/>
  <c r="I266" i="61"/>
  <c r="H266" i="61"/>
  <c r="K265" i="61"/>
  <c r="J265" i="61"/>
  <c r="I265" i="61"/>
  <c r="H265" i="61"/>
  <c r="K264" i="61"/>
  <c r="J264" i="61"/>
  <c r="I264" i="61"/>
  <c r="H264" i="61"/>
  <c r="K263" i="61"/>
  <c r="J263" i="61"/>
  <c r="I263" i="61"/>
  <c r="H263" i="61"/>
  <c r="K262" i="61"/>
  <c r="J262" i="61"/>
  <c r="I262" i="61"/>
  <c r="H262" i="61"/>
  <c r="K261" i="61"/>
  <c r="J261" i="61"/>
  <c r="I261" i="61"/>
  <c r="H261" i="61"/>
  <c r="K260" i="61"/>
  <c r="J260" i="61"/>
  <c r="I260" i="61"/>
  <c r="H260" i="61"/>
  <c r="K259" i="61"/>
  <c r="J259" i="61"/>
  <c r="I259" i="61"/>
  <c r="H259" i="61"/>
  <c r="K258" i="61"/>
  <c r="J258" i="61"/>
  <c r="I258" i="61"/>
  <c r="H258" i="61"/>
  <c r="K257" i="61"/>
  <c r="J257" i="61"/>
  <c r="I257" i="61"/>
  <c r="H257" i="61"/>
  <c r="K256" i="61"/>
  <c r="J256" i="61"/>
  <c r="I256" i="61"/>
  <c r="H256" i="61"/>
  <c r="K255" i="61"/>
  <c r="J255" i="61"/>
  <c r="I255" i="61"/>
  <c r="H255" i="61"/>
  <c r="K254" i="61"/>
  <c r="J254" i="61"/>
  <c r="I254" i="61"/>
  <c r="H254" i="61"/>
  <c r="K253" i="61"/>
  <c r="J253" i="61"/>
  <c r="I253" i="61"/>
  <c r="H253" i="61"/>
  <c r="K252" i="61"/>
  <c r="J252" i="61"/>
  <c r="I252" i="61"/>
  <c r="H252" i="61"/>
  <c r="K251" i="61"/>
  <c r="J251" i="61"/>
  <c r="I251" i="61"/>
  <c r="H251" i="61"/>
  <c r="K250" i="61"/>
  <c r="J250" i="61"/>
  <c r="I250" i="61"/>
  <c r="H250" i="61"/>
  <c r="K249" i="61"/>
  <c r="J249" i="61"/>
  <c r="I249" i="61"/>
  <c r="H249" i="61"/>
  <c r="K248" i="61"/>
  <c r="J248" i="61"/>
  <c r="I248" i="61"/>
  <c r="H248" i="61"/>
  <c r="K247" i="61"/>
  <c r="J247" i="61"/>
  <c r="I247" i="61"/>
  <c r="H247" i="61"/>
  <c r="K246" i="61"/>
  <c r="J246" i="61"/>
  <c r="I246" i="61"/>
  <c r="H246" i="61"/>
  <c r="K245" i="61"/>
  <c r="J245" i="61"/>
  <c r="I245" i="61"/>
  <c r="H245" i="61"/>
  <c r="K244" i="61"/>
  <c r="J244" i="61"/>
  <c r="I244" i="61"/>
  <c r="H244" i="61"/>
  <c r="K243" i="61"/>
  <c r="J243" i="61"/>
  <c r="I243" i="61"/>
  <c r="H243" i="61"/>
  <c r="K242" i="61"/>
  <c r="J242" i="61"/>
  <c r="I242" i="61"/>
  <c r="H242" i="61"/>
  <c r="K241" i="61"/>
  <c r="J241" i="61"/>
  <c r="I241" i="61"/>
  <c r="H241" i="61"/>
  <c r="K240" i="61"/>
  <c r="J240" i="61"/>
  <c r="I240" i="61"/>
  <c r="H240" i="61"/>
  <c r="K239" i="61"/>
  <c r="J239" i="61"/>
  <c r="I239" i="61"/>
  <c r="H239" i="61"/>
  <c r="K238" i="61"/>
  <c r="J238" i="61"/>
  <c r="I238" i="61"/>
  <c r="H238" i="61"/>
  <c r="K237" i="61"/>
  <c r="J237" i="61"/>
  <c r="I237" i="61"/>
  <c r="H237" i="61"/>
  <c r="K236" i="61"/>
  <c r="J236" i="61"/>
  <c r="I236" i="61"/>
  <c r="H236" i="61"/>
  <c r="K235" i="61"/>
  <c r="J235" i="61"/>
  <c r="I235" i="61"/>
  <c r="H235" i="61"/>
  <c r="K234" i="61"/>
  <c r="J234" i="61"/>
  <c r="I234" i="61"/>
  <c r="H234" i="61"/>
  <c r="K233" i="61"/>
  <c r="J233" i="61"/>
  <c r="I233" i="61"/>
  <c r="H233" i="61"/>
  <c r="K232" i="61"/>
  <c r="J232" i="61"/>
  <c r="I232" i="61"/>
  <c r="H232" i="61"/>
  <c r="H231" i="61"/>
  <c r="H230" i="61"/>
  <c r="H229" i="61"/>
  <c r="K215" i="61"/>
  <c r="J215" i="61"/>
  <c r="I215" i="61"/>
  <c r="H215" i="61"/>
  <c r="K214" i="61"/>
  <c r="J214" i="61"/>
  <c r="I214" i="61"/>
  <c r="H214" i="61"/>
  <c r="K213" i="61"/>
  <c r="J213" i="61"/>
  <c r="I213" i="61"/>
  <c r="H213" i="61"/>
  <c r="K212" i="61"/>
  <c r="J212" i="61"/>
  <c r="I212" i="61"/>
  <c r="H212" i="61"/>
  <c r="K211" i="61"/>
  <c r="J211" i="61"/>
  <c r="I211" i="61"/>
  <c r="H211" i="61"/>
  <c r="K210" i="61"/>
  <c r="J210" i="61"/>
  <c r="I210" i="61"/>
  <c r="H210" i="61"/>
  <c r="K209" i="61"/>
  <c r="J209" i="61"/>
  <c r="I209" i="61"/>
  <c r="H209" i="61"/>
  <c r="K208" i="61"/>
  <c r="J208" i="61"/>
  <c r="I208" i="61"/>
  <c r="H208" i="61"/>
  <c r="K207" i="61"/>
  <c r="J207" i="61"/>
  <c r="I207" i="61"/>
  <c r="H207" i="61"/>
  <c r="K206" i="61"/>
  <c r="J206" i="61"/>
  <c r="I206" i="61"/>
  <c r="H206" i="61"/>
  <c r="K205" i="61"/>
  <c r="J205" i="61"/>
  <c r="I205" i="61"/>
  <c r="H205" i="61"/>
  <c r="K204" i="61"/>
  <c r="J204" i="61"/>
  <c r="I204" i="61"/>
  <c r="H204" i="61"/>
  <c r="K203" i="61"/>
  <c r="J203" i="61"/>
  <c r="I203" i="61"/>
  <c r="H203" i="61"/>
  <c r="K202" i="61"/>
  <c r="J202" i="61"/>
  <c r="I202" i="61"/>
  <c r="H202" i="61"/>
  <c r="K201" i="61"/>
  <c r="J201" i="61"/>
  <c r="I201" i="61"/>
  <c r="H201" i="61"/>
  <c r="K200" i="61"/>
  <c r="J200" i="61"/>
  <c r="I200" i="61"/>
  <c r="H200" i="61"/>
  <c r="K199" i="61"/>
  <c r="J199" i="61"/>
  <c r="I199" i="61"/>
  <c r="H199" i="61"/>
  <c r="K198" i="61"/>
  <c r="J198" i="61"/>
  <c r="I198" i="61"/>
  <c r="H198" i="61"/>
  <c r="K197" i="61"/>
  <c r="J197" i="61"/>
  <c r="I197" i="61"/>
  <c r="H197" i="61"/>
  <c r="K196" i="61"/>
  <c r="J196" i="61"/>
  <c r="I196" i="61"/>
  <c r="H196" i="61"/>
  <c r="K195" i="61"/>
  <c r="J195" i="61"/>
  <c r="I195" i="61"/>
  <c r="H195" i="61"/>
  <c r="K194" i="61"/>
  <c r="J194" i="61"/>
  <c r="I194" i="61"/>
  <c r="H194" i="61"/>
  <c r="K193" i="61"/>
  <c r="J193" i="61"/>
  <c r="I193" i="61"/>
  <c r="H193" i="61"/>
  <c r="K192" i="61"/>
  <c r="J192" i="61"/>
  <c r="I192" i="61"/>
  <c r="H192" i="61"/>
  <c r="K191" i="61"/>
  <c r="J191" i="61"/>
  <c r="I191" i="61"/>
  <c r="H191" i="61"/>
  <c r="K190" i="61"/>
  <c r="J190" i="61"/>
  <c r="I190" i="61"/>
  <c r="H190" i="61"/>
  <c r="K189" i="61"/>
  <c r="J189" i="61"/>
  <c r="I189" i="61"/>
  <c r="H189" i="61"/>
  <c r="K188" i="61"/>
  <c r="J188" i="61"/>
  <c r="I188" i="61"/>
  <c r="H188" i="61"/>
  <c r="K187" i="61"/>
  <c r="J187" i="61"/>
  <c r="I187" i="61"/>
  <c r="H187" i="61"/>
  <c r="K186" i="61"/>
  <c r="J186" i="61"/>
  <c r="I186" i="61"/>
  <c r="H186" i="61"/>
  <c r="K185" i="61"/>
  <c r="J185" i="61"/>
  <c r="I185" i="61"/>
  <c r="H185" i="61"/>
  <c r="K184" i="61"/>
  <c r="J184" i="61"/>
  <c r="I184" i="61"/>
  <c r="H184" i="61"/>
  <c r="K183" i="61"/>
  <c r="J183" i="61"/>
  <c r="I183" i="61"/>
  <c r="H183" i="61"/>
  <c r="K182" i="61"/>
  <c r="J182" i="61"/>
  <c r="I182" i="61"/>
  <c r="H182" i="61"/>
  <c r="K181" i="61"/>
  <c r="J181" i="61"/>
  <c r="I181" i="61"/>
  <c r="H181" i="61"/>
  <c r="K180" i="61"/>
  <c r="J180" i="61"/>
  <c r="I180" i="61"/>
  <c r="H180" i="61"/>
  <c r="K179" i="61"/>
  <c r="J179" i="61"/>
  <c r="I179" i="61"/>
  <c r="H179" i="61"/>
  <c r="K178" i="61"/>
  <c r="J178" i="61"/>
  <c r="I178" i="61"/>
  <c r="H178" i="61"/>
  <c r="K177" i="61"/>
  <c r="J177" i="61"/>
  <c r="I177" i="61"/>
  <c r="H177" i="61"/>
  <c r="K176" i="61"/>
  <c r="J176" i="61"/>
  <c r="I176" i="61"/>
  <c r="H176" i="61"/>
  <c r="K175" i="61"/>
  <c r="J175" i="61"/>
  <c r="I175" i="61"/>
  <c r="H175" i="61"/>
  <c r="K174" i="61"/>
  <c r="J174" i="61"/>
  <c r="I174" i="61"/>
  <c r="H174" i="61"/>
  <c r="K173" i="61"/>
  <c r="J173" i="61"/>
  <c r="I173" i="61"/>
  <c r="H173" i="61"/>
  <c r="K172" i="61"/>
  <c r="J172" i="61"/>
  <c r="I172" i="61"/>
  <c r="H172" i="61"/>
  <c r="K171" i="61"/>
  <c r="J171" i="61"/>
  <c r="I171" i="61"/>
  <c r="H171" i="61"/>
  <c r="K170" i="61"/>
  <c r="J170" i="61"/>
  <c r="I170" i="61"/>
  <c r="H170" i="61"/>
  <c r="K169" i="61"/>
  <c r="J169" i="61"/>
  <c r="I169" i="61"/>
  <c r="H169" i="61"/>
  <c r="K168" i="61"/>
  <c r="J168" i="61"/>
  <c r="I168" i="61"/>
  <c r="H168" i="61"/>
  <c r="H167" i="61"/>
  <c r="H166" i="61"/>
  <c r="J152" i="61"/>
  <c r="I152" i="61"/>
  <c r="H152" i="61"/>
  <c r="G152" i="61"/>
  <c r="J151" i="61"/>
  <c r="I151" i="61"/>
  <c r="H151" i="61"/>
  <c r="G151" i="61"/>
  <c r="J150" i="61"/>
  <c r="I150" i="61"/>
  <c r="H150" i="61"/>
  <c r="G150" i="61"/>
  <c r="J149" i="61"/>
  <c r="I149" i="61"/>
  <c r="H149" i="61"/>
  <c r="G149" i="61"/>
  <c r="J148" i="61"/>
  <c r="I148" i="61"/>
  <c r="H148" i="61"/>
  <c r="G148" i="61"/>
  <c r="J147" i="61"/>
  <c r="I147" i="61"/>
  <c r="H147" i="61"/>
  <c r="G147" i="61"/>
  <c r="J146" i="61"/>
  <c r="I146" i="61"/>
  <c r="H146" i="61"/>
  <c r="G146" i="61"/>
  <c r="J145" i="61"/>
  <c r="I145" i="61"/>
  <c r="H145" i="61"/>
  <c r="G145" i="61"/>
  <c r="J144" i="61"/>
  <c r="I144" i="61"/>
  <c r="H144" i="61"/>
  <c r="G144" i="61"/>
  <c r="J143" i="61"/>
  <c r="I143" i="61"/>
  <c r="H143" i="61"/>
  <c r="G143" i="61"/>
  <c r="J142" i="61"/>
  <c r="I142" i="61"/>
  <c r="H142" i="61"/>
  <c r="G142" i="61"/>
  <c r="J141" i="61"/>
  <c r="I141" i="61"/>
  <c r="H141" i="61"/>
  <c r="G141" i="61"/>
  <c r="J140" i="61"/>
  <c r="I140" i="61"/>
  <c r="H140" i="61"/>
  <c r="G140" i="61"/>
  <c r="J139" i="61"/>
  <c r="I139" i="61"/>
  <c r="H139" i="61"/>
  <c r="G139" i="61"/>
  <c r="J138" i="61"/>
  <c r="I138" i="61"/>
  <c r="H138" i="61"/>
  <c r="G138" i="61"/>
  <c r="J137" i="61"/>
  <c r="I137" i="61"/>
  <c r="H137" i="61"/>
  <c r="G137" i="61"/>
  <c r="J136" i="61"/>
  <c r="I136" i="61"/>
  <c r="H136" i="61"/>
  <c r="G136" i="61"/>
  <c r="J135" i="61"/>
  <c r="I135" i="61"/>
  <c r="H135" i="61"/>
  <c r="G135" i="61"/>
  <c r="J134" i="61"/>
  <c r="I134" i="61"/>
  <c r="H134" i="61"/>
  <c r="G134" i="61"/>
  <c r="J133" i="61"/>
  <c r="I133" i="61"/>
  <c r="H133" i="61"/>
  <c r="G133" i="61"/>
  <c r="J132" i="61"/>
  <c r="I132" i="61"/>
  <c r="H132" i="61"/>
  <c r="G132" i="61"/>
  <c r="J131" i="61"/>
  <c r="I131" i="61"/>
  <c r="H131" i="61"/>
  <c r="G131" i="61"/>
  <c r="J130" i="61"/>
  <c r="I130" i="61"/>
  <c r="H130" i="61"/>
  <c r="G130" i="61"/>
  <c r="J129" i="61"/>
  <c r="I129" i="61"/>
  <c r="H129" i="61"/>
  <c r="G129" i="61"/>
  <c r="J128" i="61"/>
  <c r="I128" i="61"/>
  <c r="H128" i="61"/>
  <c r="G128" i="61"/>
  <c r="J127" i="61"/>
  <c r="I127" i="61"/>
  <c r="H127" i="61"/>
  <c r="G127" i="61"/>
  <c r="J126" i="61"/>
  <c r="I126" i="61"/>
  <c r="H126" i="61"/>
  <c r="G126" i="61"/>
  <c r="J125" i="61"/>
  <c r="I125" i="61"/>
  <c r="H125" i="61"/>
  <c r="G125" i="61"/>
  <c r="J124" i="61"/>
  <c r="I124" i="61"/>
  <c r="H124" i="61"/>
  <c r="G124" i="61"/>
  <c r="J123" i="61"/>
  <c r="I123" i="61"/>
  <c r="H123" i="61"/>
  <c r="G123" i="61"/>
  <c r="J122" i="61"/>
  <c r="I122" i="61"/>
  <c r="H122" i="61"/>
  <c r="G122" i="61"/>
  <c r="J121" i="61"/>
  <c r="I121" i="61"/>
  <c r="H121" i="61"/>
  <c r="G121" i="61"/>
  <c r="J120" i="61"/>
  <c r="I120" i="61"/>
  <c r="H120" i="61"/>
  <c r="G120" i="61"/>
  <c r="J119" i="61"/>
  <c r="I119" i="61"/>
  <c r="H119" i="61"/>
  <c r="G119" i="61"/>
  <c r="J118" i="61"/>
  <c r="I118" i="61"/>
  <c r="H118" i="61"/>
  <c r="G118" i="61"/>
  <c r="J117" i="61"/>
  <c r="I117" i="61"/>
  <c r="H117" i="61"/>
  <c r="G117" i="61"/>
  <c r="J116" i="61"/>
  <c r="I116" i="61"/>
  <c r="H116" i="61"/>
  <c r="G116" i="61"/>
  <c r="J115" i="61"/>
  <c r="I115" i="61"/>
  <c r="H115" i="61"/>
  <c r="G115" i="61"/>
  <c r="J114" i="61"/>
  <c r="I114" i="61"/>
  <c r="H114" i="61"/>
  <c r="G114" i="61"/>
  <c r="J113" i="61"/>
  <c r="I113" i="61"/>
  <c r="H113" i="61"/>
  <c r="G113" i="61"/>
  <c r="J112" i="61"/>
  <c r="I112" i="61"/>
  <c r="H112" i="61"/>
  <c r="G112" i="61"/>
  <c r="J111" i="61"/>
  <c r="I111" i="61"/>
  <c r="H111" i="61"/>
  <c r="G111" i="61"/>
  <c r="J110" i="61"/>
  <c r="I110" i="61"/>
  <c r="H110" i="61"/>
  <c r="G110" i="61"/>
  <c r="J109" i="61"/>
  <c r="I109" i="61"/>
  <c r="H109" i="61"/>
  <c r="G109" i="61"/>
  <c r="J108" i="61"/>
  <c r="I108" i="61"/>
  <c r="H108" i="61"/>
  <c r="G108" i="61"/>
  <c r="J107" i="61"/>
  <c r="I107" i="61"/>
  <c r="H107" i="61"/>
  <c r="G107" i="61"/>
  <c r="J106" i="61"/>
  <c r="I106" i="61"/>
  <c r="H106" i="61"/>
  <c r="G106" i="61"/>
  <c r="J93" i="61"/>
  <c r="I93" i="61"/>
  <c r="H93" i="61"/>
  <c r="G93" i="61"/>
  <c r="J92" i="61"/>
  <c r="I92" i="61"/>
  <c r="H92" i="61"/>
  <c r="G92" i="61"/>
  <c r="J91" i="61"/>
  <c r="I91" i="61"/>
  <c r="H91" i="61"/>
  <c r="G91" i="61"/>
  <c r="J90" i="61"/>
  <c r="I90" i="61"/>
  <c r="H90" i="61"/>
  <c r="G90" i="61"/>
  <c r="J89" i="61"/>
  <c r="I89" i="61"/>
  <c r="H89" i="61"/>
  <c r="G89" i="61"/>
  <c r="J88" i="61"/>
  <c r="I88" i="61"/>
  <c r="H88" i="61"/>
  <c r="G88" i="61"/>
  <c r="J87" i="61"/>
  <c r="I87" i="61"/>
  <c r="H87" i="61"/>
  <c r="G87" i="61"/>
  <c r="J86" i="61"/>
  <c r="I86" i="61"/>
  <c r="H86" i="61"/>
  <c r="G86" i="61"/>
  <c r="J85" i="61"/>
  <c r="I85" i="61"/>
  <c r="H85" i="61"/>
  <c r="G85" i="61"/>
  <c r="J84" i="61"/>
  <c r="I84" i="61"/>
  <c r="H84" i="61"/>
  <c r="G84" i="61"/>
  <c r="J83" i="61"/>
  <c r="I83" i="61"/>
  <c r="H83" i="61"/>
  <c r="G83" i="61"/>
  <c r="J82" i="61"/>
  <c r="I82" i="61"/>
  <c r="H82" i="61"/>
  <c r="G82" i="61"/>
  <c r="J81" i="61"/>
  <c r="I81" i="61"/>
  <c r="H81" i="61"/>
  <c r="G81" i="61"/>
  <c r="J80" i="61"/>
  <c r="I80" i="61"/>
  <c r="H80" i="61"/>
  <c r="G80" i="61"/>
  <c r="J79" i="61"/>
  <c r="I79" i="61"/>
  <c r="H79" i="61"/>
  <c r="G79" i="61"/>
  <c r="J78" i="61"/>
  <c r="I78" i="61"/>
  <c r="H78" i="61"/>
  <c r="G78" i="61"/>
  <c r="J77" i="61"/>
  <c r="I77" i="61"/>
  <c r="H77" i="61"/>
  <c r="G77" i="61"/>
  <c r="J76" i="61"/>
  <c r="I76" i="61"/>
  <c r="H76" i="61"/>
  <c r="G76" i="61"/>
  <c r="J75" i="61"/>
  <c r="I75" i="61"/>
  <c r="H75" i="61"/>
  <c r="G75" i="61"/>
  <c r="J74" i="61"/>
  <c r="I74" i="61"/>
  <c r="H74" i="61"/>
  <c r="G74" i="61"/>
  <c r="J73" i="61"/>
  <c r="I73" i="61"/>
  <c r="H73" i="61"/>
  <c r="G73" i="61"/>
  <c r="J72" i="61"/>
  <c r="I72" i="61"/>
  <c r="H72" i="61"/>
  <c r="G72" i="61"/>
  <c r="J71" i="61"/>
  <c r="I71" i="61"/>
  <c r="H71" i="61"/>
  <c r="G71" i="61"/>
  <c r="J70" i="61"/>
  <c r="I70" i="61"/>
  <c r="H70" i="61"/>
  <c r="G70" i="61"/>
  <c r="J69" i="61"/>
  <c r="I69" i="61"/>
  <c r="H69" i="61"/>
  <c r="G69" i="61"/>
  <c r="J68" i="61"/>
  <c r="I68" i="61"/>
  <c r="H68" i="61"/>
  <c r="G68" i="61"/>
  <c r="J67" i="61"/>
  <c r="I67" i="61"/>
  <c r="H67" i="61"/>
  <c r="G67" i="61"/>
  <c r="J66" i="61"/>
  <c r="I66" i="61"/>
  <c r="H66" i="61"/>
  <c r="G66" i="61"/>
  <c r="J65" i="61"/>
  <c r="I65" i="61"/>
  <c r="H65" i="61"/>
  <c r="G65" i="61"/>
  <c r="J64" i="61"/>
  <c r="I64" i="61"/>
  <c r="H64" i="61"/>
  <c r="G64" i="61"/>
  <c r="J63" i="61"/>
  <c r="I63" i="61"/>
  <c r="H63" i="61"/>
  <c r="G63" i="61"/>
  <c r="J62" i="61"/>
  <c r="I62" i="61"/>
  <c r="H62" i="61"/>
  <c r="G62" i="61"/>
  <c r="J61" i="61"/>
  <c r="I61" i="61"/>
  <c r="H61" i="61"/>
  <c r="G61" i="61"/>
  <c r="J60" i="61"/>
  <c r="I60" i="61"/>
  <c r="H60" i="61"/>
  <c r="G60" i="61"/>
  <c r="J59" i="61"/>
  <c r="I59" i="61"/>
  <c r="H59" i="61"/>
  <c r="G59" i="61"/>
  <c r="J58" i="61"/>
  <c r="I58" i="61"/>
  <c r="H58" i="61"/>
  <c r="G58" i="61"/>
  <c r="J57" i="61"/>
  <c r="I57" i="61"/>
  <c r="H57" i="61"/>
  <c r="G57" i="61"/>
  <c r="J56" i="61"/>
  <c r="I56" i="61"/>
  <c r="H56" i="61"/>
  <c r="G56" i="61"/>
  <c r="J55" i="61"/>
  <c r="I55" i="61"/>
  <c r="H55" i="61"/>
  <c r="G55" i="61"/>
  <c r="J54" i="61"/>
  <c r="I54" i="61"/>
  <c r="H54" i="61"/>
  <c r="G54" i="61"/>
  <c r="J53" i="61"/>
  <c r="I53" i="61"/>
  <c r="H53" i="61"/>
  <c r="G53" i="61"/>
  <c r="J52" i="61"/>
  <c r="I52" i="61"/>
  <c r="H52" i="61"/>
  <c r="G52" i="61"/>
  <c r="J51" i="61"/>
  <c r="I51" i="61"/>
  <c r="H51" i="61"/>
  <c r="G51" i="61"/>
  <c r="J50" i="61"/>
  <c r="I50" i="61"/>
  <c r="H50" i="61"/>
  <c r="G50" i="61"/>
  <c r="J49" i="61"/>
  <c r="I49" i="61"/>
  <c r="H49" i="61"/>
  <c r="G49" i="61"/>
  <c r="J48" i="61"/>
  <c r="I48" i="61"/>
  <c r="H48" i="61"/>
  <c r="G48" i="61"/>
  <c r="J47" i="61"/>
  <c r="I47" i="61"/>
  <c r="H47" i="61"/>
  <c r="G47" i="61"/>
  <c r="J46" i="61"/>
  <c r="I46" i="61"/>
  <c r="H46" i="61"/>
  <c r="G46" i="61"/>
  <c r="D92" i="3"/>
  <c r="G45" i="61"/>
  <c r="G44" i="61"/>
  <c r="D13" i="61"/>
  <c r="K42" i="60"/>
  <c r="L42" i="60"/>
  <c r="M42" i="60"/>
  <c r="K43" i="60"/>
  <c r="L43" i="60"/>
  <c r="M43" i="60"/>
  <c r="K44" i="60"/>
  <c r="L44" i="60"/>
  <c r="M44" i="60"/>
  <c r="K45" i="60"/>
  <c r="L45" i="60"/>
  <c r="M45" i="60"/>
  <c r="K46" i="60"/>
  <c r="L46" i="60"/>
  <c r="M46" i="60"/>
  <c r="K47" i="60"/>
  <c r="L47" i="60"/>
  <c r="M47" i="60"/>
  <c r="K48" i="60"/>
  <c r="L48" i="60"/>
  <c r="M48" i="60"/>
  <c r="K49" i="60"/>
  <c r="L49" i="60"/>
  <c r="M49" i="60"/>
  <c r="K50" i="60"/>
  <c r="L50" i="60"/>
  <c r="M50" i="60"/>
  <c r="K51" i="60"/>
  <c r="L51" i="60"/>
  <c r="M51" i="60"/>
  <c r="K52" i="60"/>
  <c r="L52" i="60"/>
  <c r="M52" i="60"/>
  <c r="K53" i="60"/>
  <c r="L53" i="60"/>
  <c r="M53" i="60"/>
  <c r="K54" i="60"/>
  <c r="L54" i="60"/>
  <c r="M54" i="60"/>
  <c r="K55" i="60"/>
  <c r="L55" i="60"/>
  <c r="M55" i="60"/>
  <c r="K56" i="60"/>
  <c r="L56" i="60"/>
  <c r="M56" i="60"/>
  <c r="K57" i="60"/>
  <c r="L57" i="60"/>
  <c r="M57" i="60"/>
  <c r="K58" i="60"/>
  <c r="L58" i="60"/>
  <c r="M58" i="60"/>
  <c r="K59" i="60"/>
  <c r="L59" i="60"/>
  <c r="M59" i="60"/>
  <c r="K60" i="60"/>
  <c r="L60" i="60"/>
  <c r="M60" i="60"/>
  <c r="K61" i="60"/>
  <c r="L61" i="60"/>
  <c r="M61" i="60"/>
  <c r="K62" i="60"/>
  <c r="L62" i="60"/>
  <c r="M62" i="60"/>
  <c r="K63" i="60"/>
  <c r="L63" i="60"/>
  <c r="M63" i="60"/>
  <c r="K64" i="60"/>
  <c r="L64" i="60"/>
  <c r="M64" i="60"/>
  <c r="K65" i="60"/>
  <c r="L65" i="60"/>
  <c r="M65" i="60"/>
  <c r="K66" i="60"/>
  <c r="L66" i="60"/>
  <c r="M66" i="60"/>
  <c r="K67" i="60"/>
  <c r="L67" i="60"/>
  <c r="M67" i="60"/>
  <c r="K68" i="60"/>
  <c r="L68" i="60"/>
  <c r="M68" i="60"/>
  <c r="K69" i="60"/>
  <c r="L69" i="60"/>
  <c r="M69" i="60"/>
  <c r="K70" i="60"/>
  <c r="L70" i="60"/>
  <c r="M70" i="60"/>
  <c r="K71" i="60"/>
  <c r="L71" i="60"/>
  <c r="M71" i="60"/>
  <c r="K72" i="60"/>
  <c r="L72" i="60"/>
  <c r="M72" i="60"/>
  <c r="K73" i="60"/>
  <c r="L73" i="60"/>
  <c r="M73" i="60"/>
  <c r="K74" i="60"/>
  <c r="L74" i="60"/>
  <c r="M74" i="60"/>
  <c r="K75" i="60"/>
  <c r="L75" i="60"/>
  <c r="M75" i="60"/>
  <c r="K76" i="60"/>
  <c r="L76" i="60"/>
  <c r="M76" i="60"/>
  <c r="K77" i="60"/>
  <c r="L77" i="60"/>
  <c r="M77" i="60"/>
  <c r="K78" i="60"/>
  <c r="L78" i="60"/>
  <c r="M78" i="60"/>
  <c r="K79" i="60"/>
  <c r="L79" i="60"/>
  <c r="M79" i="60"/>
  <c r="K80" i="60"/>
  <c r="L80" i="60"/>
  <c r="M80" i="60"/>
  <c r="K81" i="60"/>
  <c r="L81" i="60"/>
  <c r="M81" i="60"/>
  <c r="K82" i="60"/>
  <c r="L82" i="60"/>
  <c r="M82" i="60"/>
  <c r="K83" i="60"/>
  <c r="L83" i="60"/>
  <c r="M83" i="60"/>
  <c r="K84" i="60"/>
  <c r="L84" i="60"/>
  <c r="M84" i="60"/>
  <c r="K85" i="60"/>
  <c r="L85" i="60"/>
  <c r="M85" i="60"/>
  <c r="K86" i="60"/>
  <c r="L86" i="60"/>
  <c r="M86" i="60"/>
  <c r="K87" i="60"/>
  <c r="L87" i="60"/>
  <c r="M87" i="60"/>
  <c r="K88" i="60"/>
  <c r="L88" i="60"/>
  <c r="M88" i="60"/>
  <c r="K89" i="60"/>
  <c r="L89" i="60"/>
  <c r="M89" i="60"/>
  <c r="K90" i="60"/>
  <c r="L90" i="60"/>
  <c r="M90" i="60"/>
  <c r="K91" i="60"/>
  <c r="L91" i="60"/>
  <c r="M91" i="60"/>
  <c r="G103" i="60"/>
  <c r="J103" i="60"/>
  <c r="M103" i="60"/>
  <c r="G104" i="60"/>
  <c r="J104" i="60"/>
  <c r="M104" i="60"/>
  <c r="G105" i="60"/>
  <c r="J105" i="60"/>
  <c r="M105" i="60"/>
  <c r="M106" i="60"/>
  <c r="M107" i="60"/>
  <c r="N107" i="60" s="1"/>
  <c r="M108" i="60"/>
  <c r="M109" i="60"/>
  <c r="N109" i="60" s="1"/>
  <c r="M110" i="60"/>
  <c r="M111" i="60"/>
  <c r="N111" i="60" s="1"/>
  <c r="M112" i="60"/>
  <c r="M113" i="60"/>
  <c r="M114" i="60"/>
  <c r="M115" i="60"/>
  <c r="M116" i="60"/>
  <c r="M117" i="60"/>
  <c r="N117" i="60" s="1"/>
  <c r="M118" i="60"/>
  <c r="M119" i="60"/>
  <c r="N119" i="60" s="1"/>
  <c r="M120" i="60"/>
  <c r="M121" i="60"/>
  <c r="M122" i="60"/>
  <c r="M123" i="60"/>
  <c r="M124" i="60"/>
  <c r="M125" i="60"/>
  <c r="N125" i="60" s="1"/>
  <c r="M126" i="60"/>
  <c r="M127" i="60"/>
  <c r="N127" i="60" s="1"/>
  <c r="M128" i="60"/>
  <c r="M129" i="60"/>
  <c r="M130" i="60"/>
  <c r="M131" i="60"/>
  <c r="N131" i="60" s="1"/>
  <c r="M132" i="60"/>
  <c r="M133" i="60"/>
  <c r="N133" i="60" s="1"/>
  <c r="M134" i="60"/>
  <c r="M135" i="60"/>
  <c r="N135" i="60" s="1"/>
  <c r="M136" i="60"/>
  <c r="M137" i="60"/>
  <c r="M138" i="60"/>
  <c r="M139" i="60"/>
  <c r="N139" i="60" s="1"/>
  <c r="M140" i="60"/>
  <c r="M141" i="60"/>
  <c r="N141" i="60" s="1"/>
  <c r="M142" i="60"/>
  <c r="M143" i="60"/>
  <c r="N143" i="60" s="1"/>
  <c r="M144" i="60"/>
  <c r="M145" i="60"/>
  <c r="M146" i="60"/>
  <c r="M147" i="60"/>
  <c r="M148" i="60"/>
  <c r="M149" i="60"/>
  <c r="N149" i="60" s="1"/>
  <c r="M150" i="60"/>
  <c r="M151" i="60"/>
  <c r="N151" i="60" s="1"/>
  <c r="M152" i="60"/>
  <c r="H168" i="60"/>
  <c r="K168" i="60"/>
  <c r="N168" i="60"/>
  <c r="N169" i="60"/>
  <c r="N170" i="60"/>
  <c r="N171" i="60"/>
  <c r="N172" i="60"/>
  <c r="N173" i="60"/>
  <c r="N174" i="60"/>
  <c r="N175" i="60"/>
  <c r="N176" i="60"/>
  <c r="N177" i="60"/>
  <c r="N178" i="60"/>
  <c r="N179" i="60"/>
  <c r="N180" i="60"/>
  <c r="N181" i="60"/>
  <c r="N182" i="60"/>
  <c r="N183" i="60"/>
  <c r="N184" i="60"/>
  <c r="N185" i="60"/>
  <c r="N186" i="60"/>
  <c r="N187" i="60"/>
  <c r="N188" i="60"/>
  <c r="N189" i="60"/>
  <c r="N190" i="60"/>
  <c r="N191" i="60"/>
  <c r="N192" i="60"/>
  <c r="N193" i="60"/>
  <c r="N194" i="60"/>
  <c r="N195" i="60"/>
  <c r="N196" i="60"/>
  <c r="N197" i="60"/>
  <c r="N198" i="60"/>
  <c r="N199" i="60"/>
  <c r="N200" i="60"/>
  <c r="N201" i="60"/>
  <c r="N202" i="60"/>
  <c r="N203" i="60"/>
  <c r="N204" i="60"/>
  <c r="N205" i="60"/>
  <c r="N206" i="60"/>
  <c r="N207" i="60"/>
  <c r="N208" i="60"/>
  <c r="N209" i="60"/>
  <c r="N210" i="60"/>
  <c r="N211" i="60"/>
  <c r="N212" i="60"/>
  <c r="N213" i="60"/>
  <c r="N214" i="60"/>
  <c r="N215" i="60"/>
  <c r="N216" i="60"/>
  <c r="N217" i="60"/>
  <c r="H234" i="60"/>
  <c r="K234" i="60"/>
  <c r="N234" i="60"/>
  <c r="O234" i="60" s="1"/>
  <c r="N235" i="60"/>
  <c r="N236" i="60"/>
  <c r="O236" i="60" s="1"/>
  <c r="N237" i="60"/>
  <c r="N238" i="60"/>
  <c r="O238" i="60" s="1"/>
  <c r="N239" i="60"/>
  <c r="N240" i="60"/>
  <c r="N241" i="60"/>
  <c r="N242" i="60"/>
  <c r="N243" i="60"/>
  <c r="N244" i="60"/>
  <c r="O244" i="60" s="1"/>
  <c r="N245" i="60"/>
  <c r="N246" i="60"/>
  <c r="O246" i="60" s="1"/>
  <c r="N247" i="60"/>
  <c r="N248" i="60"/>
  <c r="N249" i="60"/>
  <c r="N250" i="60"/>
  <c r="N251" i="60"/>
  <c r="N252" i="60"/>
  <c r="O252" i="60" s="1"/>
  <c r="N253" i="60"/>
  <c r="N254" i="60"/>
  <c r="O254" i="60" s="1"/>
  <c r="N255" i="60"/>
  <c r="N256" i="60"/>
  <c r="N257" i="60"/>
  <c r="N258" i="60"/>
  <c r="O258" i="60" s="1"/>
  <c r="N259" i="60"/>
  <c r="N260" i="60"/>
  <c r="O260" i="60" s="1"/>
  <c r="N261" i="60"/>
  <c r="N262" i="60"/>
  <c r="O262" i="60" s="1"/>
  <c r="N263" i="60"/>
  <c r="N264" i="60"/>
  <c r="N265" i="60"/>
  <c r="N266" i="60"/>
  <c r="O266" i="60" s="1"/>
  <c r="N267" i="60"/>
  <c r="N268" i="60"/>
  <c r="O268" i="60" s="1"/>
  <c r="N269" i="60"/>
  <c r="N270" i="60"/>
  <c r="O270" i="60" s="1"/>
  <c r="N271" i="60"/>
  <c r="N272" i="60"/>
  <c r="N273" i="60"/>
  <c r="N274" i="60"/>
  <c r="N275" i="60"/>
  <c r="N276" i="60"/>
  <c r="O276" i="60" s="1"/>
  <c r="N277" i="60"/>
  <c r="N278" i="60"/>
  <c r="O278" i="60" s="1"/>
  <c r="N279" i="60"/>
  <c r="N280" i="60"/>
  <c r="N281" i="60"/>
  <c r="N282" i="60"/>
  <c r="N283" i="60"/>
  <c r="I103" i="60"/>
  <c r="L103" i="60"/>
  <c r="I104" i="60"/>
  <c r="L104" i="60"/>
  <c r="I105" i="60"/>
  <c r="L105" i="60"/>
  <c r="L106" i="60"/>
  <c r="L107" i="60"/>
  <c r="L108" i="60"/>
  <c r="L109" i="60"/>
  <c r="L110" i="60"/>
  <c r="L111" i="60"/>
  <c r="L112" i="60"/>
  <c r="L113" i="60"/>
  <c r="L114" i="60"/>
  <c r="L115" i="60"/>
  <c r="L116" i="60"/>
  <c r="L117" i="60"/>
  <c r="L118" i="60"/>
  <c r="L119" i="60"/>
  <c r="L120" i="60"/>
  <c r="L121" i="60"/>
  <c r="L122" i="60"/>
  <c r="L123" i="60"/>
  <c r="L124" i="60"/>
  <c r="L125" i="60"/>
  <c r="L126" i="60"/>
  <c r="L127" i="60"/>
  <c r="L128" i="60"/>
  <c r="L129" i="60"/>
  <c r="L130" i="60"/>
  <c r="L131" i="60"/>
  <c r="L132" i="60"/>
  <c r="L133" i="60"/>
  <c r="L134" i="60"/>
  <c r="L135" i="60"/>
  <c r="L136" i="60"/>
  <c r="L137" i="60"/>
  <c r="L138" i="60"/>
  <c r="L139" i="60"/>
  <c r="L140" i="60"/>
  <c r="L141" i="60"/>
  <c r="L142" i="60"/>
  <c r="L143" i="60"/>
  <c r="L144" i="60"/>
  <c r="L145" i="60"/>
  <c r="L146" i="60"/>
  <c r="L147" i="60"/>
  <c r="L148" i="60"/>
  <c r="L149" i="60"/>
  <c r="L150" i="60"/>
  <c r="L151" i="60"/>
  <c r="L152" i="60"/>
  <c r="J168" i="60"/>
  <c r="M168" i="60"/>
  <c r="O168" i="60" s="1"/>
  <c r="M169" i="60"/>
  <c r="M170" i="60"/>
  <c r="M171" i="60"/>
  <c r="M172" i="60"/>
  <c r="O172" i="60" s="1"/>
  <c r="M173" i="60"/>
  <c r="M174" i="60"/>
  <c r="O174" i="60" s="1"/>
  <c r="M175" i="60"/>
  <c r="M176" i="60"/>
  <c r="O176" i="60" s="1"/>
  <c r="M177" i="60"/>
  <c r="M178" i="60"/>
  <c r="M179" i="60"/>
  <c r="M180" i="60"/>
  <c r="O180" i="60" s="1"/>
  <c r="M181" i="60"/>
  <c r="M182" i="60"/>
  <c r="O182" i="60" s="1"/>
  <c r="M183" i="60"/>
  <c r="M184" i="60"/>
  <c r="M185" i="60"/>
  <c r="M186" i="60"/>
  <c r="M187" i="60"/>
  <c r="M188" i="60"/>
  <c r="O188" i="60" s="1"/>
  <c r="M189" i="60"/>
  <c r="M190" i="60"/>
  <c r="O190" i="60" s="1"/>
  <c r="M191" i="60"/>
  <c r="M192" i="60"/>
  <c r="M193" i="60"/>
  <c r="M194" i="60"/>
  <c r="M195" i="60"/>
  <c r="M196" i="60"/>
  <c r="O196" i="60" s="1"/>
  <c r="M197" i="60"/>
  <c r="M198" i="60"/>
  <c r="O198" i="60" s="1"/>
  <c r="M199" i="60"/>
  <c r="M200" i="60"/>
  <c r="O200" i="60" s="1"/>
  <c r="M201" i="60"/>
  <c r="M202" i="60"/>
  <c r="M203" i="60"/>
  <c r="M204" i="60"/>
  <c r="O204" i="60" s="1"/>
  <c r="M205" i="60"/>
  <c r="M206" i="60"/>
  <c r="O206" i="60" s="1"/>
  <c r="M207" i="60"/>
  <c r="M208" i="60"/>
  <c r="O208" i="60" s="1"/>
  <c r="M209" i="60"/>
  <c r="M210" i="60"/>
  <c r="M211" i="60"/>
  <c r="M212" i="60"/>
  <c r="O212" i="60" s="1"/>
  <c r="M213" i="60"/>
  <c r="M214" i="60"/>
  <c r="O214" i="60" s="1"/>
  <c r="M215" i="60"/>
  <c r="M216" i="60"/>
  <c r="M217" i="60"/>
  <c r="J234" i="60"/>
  <c r="M234" i="60"/>
  <c r="M235" i="60"/>
  <c r="M236" i="60"/>
  <c r="M237" i="60"/>
  <c r="M238" i="60"/>
  <c r="M239" i="60"/>
  <c r="M240" i="60"/>
  <c r="M241" i="60"/>
  <c r="M242" i="60"/>
  <c r="M243" i="60"/>
  <c r="M244" i="60"/>
  <c r="M245" i="60"/>
  <c r="M246" i="60"/>
  <c r="M247" i="60"/>
  <c r="M248" i="60"/>
  <c r="M249" i="60"/>
  <c r="M250" i="60"/>
  <c r="M251" i="60"/>
  <c r="M252" i="60"/>
  <c r="M253" i="60"/>
  <c r="M254" i="60"/>
  <c r="M255" i="60"/>
  <c r="M256" i="60"/>
  <c r="M257" i="60"/>
  <c r="M258" i="60"/>
  <c r="M259" i="60"/>
  <c r="M260" i="60"/>
  <c r="M261" i="60"/>
  <c r="M262" i="60"/>
  <c r="M263" i="60"/>
  <c r="M264" i="60"/>
  <c r="M265" i="60"/>
  <c r="M266" i="60"/>
  <c r="M267" i="60"/>
  <c r="M268" i="60"/>
  <c r="M269" i="60"/>
  <c r="M270" i="60"/>
  <c r="M271" i="60"/>
  <c r="M272" i="60"/>
  <c r="M273" i="60"/>
  <c r="M274" i="60"/>
  <c r="M275" i="60"/>
  <c r="M276" i="60"/>
  <c r="M277" i="60"/>
  <c r="M278" i="60"/>
  <c r="M279" i="60"/>
  <c r="M280" i="60"/>
  <c r="M281" i="60"/>
  <c r="M282" i="60"/>
  <c r="M283" i="60"/>
  <c r="F114" i="3"/>
  <c r="H103" i="60"/>
  <c r="K103" i="60"/>
  <c r="F118" i="3"/>
  <c r="H104" i="60"/>
  <c r="K104" i="60"/>
  <c r="N104" i="60" s="1"/>
  <c r="H105" i="60"/>
  <c r="K105" i="60"/>
  <c r="K106" i="60"/>
  <c r="N106" i="60" s="1"/>
  <c r="K107" i="60"/>
  <c r="K108" i="60"/>
  <c r="K109" i="60"/>
  <c r="K110" i="60"/>
  <c r="N110" i="60" s="1"/>
  <c r="K111" i="60"/>
  <c r="K112" i="60"/>
  <c r="K113" i="60"/>
  <c r="K114" i="60"/>
  <c r="N114" i="60" s="1"/>
  <c r="K115" i="60"/>
  <c r="K116" i="60"/>
  <c r="K117" i="60"/>
  <c r="K118" i="60"/>
  <c r="N118" i="60" s="1"/>
  <c r="K119" i="60"/>
  <c r="K120" i="60"/>
  <c r="K121" i="60"/>
  <c r="K122" i="60"/>
  <c r="N122" i="60" s="1"/>
  <c r="K123" i="60"/>
  <c r="K124" i="60"/>
  <c r="K125" i="60"/>
  <c r="K126" i="60"/>
  <c r="K127" i="60"/>
  <c r="K128" i="60"/>
  <c r="K129" i="60"/>
  <c r="K130" i="60"/>
  <c r="N130" i="60" s="1"/>
  <c r="K131" i="60"/>
  <c r="K132" i="60"/>
  <c r="K133" i="60"/>
  <c r="K134" i="60"/>
  <c r="N134" i="60" s="1"/>
  <c r="K135" i="60"/>
  <c r="K136" i="60"/>
  <c r="K137" i="60"/>
  <c r="K138" i="60"/>
  <c r="N138" i="60" s="1"/>
  <c r="K139" i="60"/>
  <c r="K140" i="60"/>
  <c r="K141" i="60"/>
  <c r="K142" i="60"/>
  <c r="N142" i="60" s="1"/>
  <c r="K143" i="60"/>
  <c r="K144" i="60"/>
  <c r="K145" i="60"/>
  <c r="K146" i="60"/>
  <c r="N146" i="60" s="1"/>
  <c r="K147" i="60"/>
  <c r="K148" i="60"/>
  <c r="K149" i="60"/>
  <c r="K150" i="60"/>
  <c r="N150" i="60" s="1"/>
  <c r="K151" i="60"/>
  <c r="K152" i="60"/>
  <c r="F182" i="3"/>
  <c r="I168" i="60"/>
  <c r="L168" i="60"/>
  <c r="L169" i="60"/>
  <c r="O169" i="60" s="1"/>
  <c r="L170" i="60"/>
  <c r="L171" i="60"/>
  <c r="O171" i="60" s="1"/>
  <c r="L172" i="60"/>
  <c r="L173" i="60"/>
  <c r="L174" i="60"/>
  <c r="L175" i="60"/>
  <c r="O175" i="60" s="1"/>
  <c r="L176" i="60"/>
  <c r="L177" i="60"/>
  <c r="O177" i="60" s="1"/>
  <c r="L178" i="60"/>
  <c r="L179" i="60"/>
  <c r="O179" i="60" s="1"/>
  <c r="L180" i="60"/>
  <c r="L181" i="60"/>
  <c r="L182" i="60"/>
  <c r="L183" i="60"/>
  <c r="O183" i="60" s="1"/>
  <c r="L184" i="60"/>
  <c r="L185" i="60"/>
  <c r="O185" i="60" s="1"/>
  <c r="L186" i="60"/>
  <c r="L187" i="60"/>
  <c r="O187" i="60" s="1"/>
  <c r="L188" i="60"/>
  <c r="L189" i="60"/>
  <c r="L190" i="60"/>
  <c r="L191" i="60"/>
  <c r="O191" i="60" s="1"/>
  <c r="L192" i="60"/>
  <c r="L193" i="60"/>
  <c r="O193" i="60" s="1"/>
  <c r="L194" i="60"/>
  <c r="L195" i="60"/>
  <c r="O195" i="60" s="1"/>
  <c r="L196" i="60"/>
  <c r="L197" i="60"/>
  <c r="O197" i="60" s="1"/>
  <c r="L198" i="60"/>
  <c r="L199" i="60"/>
  <c r="O199" i="60" s="1"/>
  <c r="L200" i="60"/>
  <c r="L201" i="60"/>
  <c r="O201" i="60" s="1"/>
  <c r="L202" i="60"/>
  <c r="L203" i="60"/>
  <c r="O203" i="60" s="1"/>
  <c r="L204" i="60"/>
  <c r="L205" i="60"/>
  <c r="L206" i="60"/>
  <c r="L207" i="60"/>
  <c r="O207" i="60" s="1"/>
  <c r="L208" i="60"/>
  <c r="L209" i="60"/>
  <c r="O209" i="60" s="1"/>
  <c r="L210" i="60"/>
  <c r="L211" i="60"/>
  <c r="O211" i="60" s="1"/>
  <c r="L212" i="60"/>
  <c r="L213" i="60"/>
  <c r="L214" i="60"/>
  <c r="L215" i="60"/>
  <c r="O215" i="60" s="1"/>
  <c r="L216" i="60"/>
  <c r="L217" i="60"/>
  <c r="O217" i="60" s="1"/>
  <c r="F192" i="3"/>
  <c r="I234" i="60"/>
  <c r="L234" i="60"/>
  <c r="L235" i="60"/>
  <c r="L236" i="60"/>
  <c r="L237" i="60"/>
  <c r="O237" i="60" s="1"/>
  <c r="L238" i="60"/>
  <c r="L239" i="60"/>
  <c r="L240" i="60"/>
  <c r="L241" i="60"/>
  <c r="O241" i="60" s="1"/>
  <c r="L242" i="60"/>
  <c r="L243" i="60"/>
  <c r="L244" i="60"/>
  <c r="L245" i="60"/>
  <c r="O245" i="60" s="1"/>
  <c r="L246" i="60"/>
  <c r="L247" i="60"/>
  <c r="L248" i="60"/>
  <c r="L249" i="60"/>
  <c r="O249" i="60" s="1"/>
  <c r="L250" i="60"/>
  <c r="L251" i="60"/>
  <c r="L252" i="60"/>
  <c r="L253" i="60"/>
  <c r="L254" i="60"/>
  <c r="L255" i="60"/>
  <c r="L256" i="60"/>
  <c r="L257" i="60"/>
  <c r="O257" i="60" s="1"/>
  <c r="L258" i="60"/>
  <c r="L259" i="60"/>
  <c r="L260" i="60"/>
  <c r="L261" i="60"/>
  <c r="O261" i="60" s="1"/>
  <c r="L262" i="60"/>
  <c r="L263" i="60"/>
  <c r="L264" i="60"/>
  <c r="L265" i="60"/>
  <c r="O265" i="60" s="1"/>
  <c r="L266" i="60"/>
  <c r="L267" i="60"/>
  <c r="L268" i="60"/>
  <c r="L269" i="60"/>
  <c r="O269" i="60" s="1"/>
  <c r="L270" i="60"/>
  <c r="L271" i="60"/>
  <c r="L272" i="60"/>
  <c r="L273" i="60"/>
  <c r="O273" i="60" s="1"/>
  <c r="L274" i="60"/>
  <c r="L275" i="60"/>
  <c r="L276" i="60"/>
  <c r="L277" i="60"/>
  <c r="O277" i="60" s="1"/>
  <c r="L278" i="60"/>
  <c r="L279" i="60"/>
  <c r="L280" i="60"/>
  <c r="L281" i="60"/>
  <c r="O281" i="60" s="1"/>
  <c r="L282" i="60"/>
  <c r="L283" i="60"/>
  <c r="L326" i="59"/>
  <c r="M326" i="59"/>
  <c r="N326" i="59"/>
  <c r="L327" i="59"/>
  <c r="M327" i="59"/>
  <c r="N327" i="59"/>
  <c r="L328" i="59"/>
  <c r="M328" i="59"/>
  <c r="N328" i="59"/>
  <c r="L329" i="59"/>
  <c r="M329" i="59"/>
  <c r="N329" i="59"/>
  <c r="L330" i="59"/>
  <c r="M330" i="59"/>
  <c r="N330" i="59"/>
  <c r="L331" i="59"/>
  <c r="M331" i="59"/>
  <c r="N331" i="59"/>
  <c r="L332" i="59"/>
  <c r="O332" i="59" s="1"/>
  <c r="M332" i="59"/>
  <c r="N332" i="59"/>
  <c r="L333" i="59"/>
  <c r="M333" i="59"/>
  <c r="N333" i="59"/>
  <c r="L334" i="59"/>
  <c r="M334" i="59"/>
  <c r="N334" i="59"/>
  <c r="L335" i="59"/>
  <c r="M335" i="59"/>
  <c r="N335" i="59"/>
  <c r="L336" i="59"/>
  <c r="M336" i="59"/>
  <c r="N336" i="59"/>
  <c r="L337" i="59"/>
  <c r="M337" i="59"/>
  <c r="N337" i="59"/>
  <c r="L338" i="59"/>
  <c r="M338" i="59"/>
  <c r="N338" i="59"/>
  <c r="L339" i="59"/>
  <c r="M339" i="59"/>
  <c r="N339" i="59"/>
  <c r="L340" i="59"/>
  <c r="O340" i="59" s="1"/>
  <c r="M340" i="59"/>
  <c r="N340" i="59"/>
  <c r="L341" i="59"/>
  <c r="M341" i="59"/>
  <c r="N341" i="59"/>
  <c r="L342" i="59"/>
  <c r="M342" i="59"/>
  <c r="N342" i="59"/>
  <c r="L343" i="59"/>
  <c r="M343" i="59"/>
  <c r="N343" i="59"/>
  <c r="L344" i="59"/>
  <c r="M344" i="59"/>
  <c r="N344" i="59"/>
  <c r="L345" i="59"/>
  <c r="M345" i="59"/>
  <c r="N345" i="59"/>
  <c r="L346" i="59"/>
  <c r="M346" i="59"/>
  <c r="N346" i="59"/>
  <c r="L347" i="59"/>
  <c r="M347" i="59"/>
  <c r="N347" i="59"/>
  <c r="L348" i="59"/>
  <c r="O348" i="59" s="1"/>
  <c r="M348" i="59"/>
  <c r="N348" i="59"/>
  <c r="L349" i="59"/>
  <c r="M349" i="59"/>
  <c r="N349" i="59"/>
  <c r="L350" i="59"/>
  <c r="M350" i="59"/>
  <c r="N350" i="59"/>
  <c r="L351" i="59"/>
  <c r="M351" i="59"/>
  <c r="N351" i="59"/>
  <c r="L352" i="59"/>
  <c r="M352" i="59"/>
  <c r="N352" i="59"/>
  <c r="L353" i="59"/>
  <c r="M353" i="59"/>
  <c r="N353" i="59"/>
  <c r="H305" i="59"/>
  <c r="F210" i="3"/>
  <c r="I305" i="59"/>
  <c r="L305" i="59"/>
  <c r="J305" i="59"/>
  <c r="M305" i="59"/>
  <c r="K305" i="59"/>
  <c r="N305" i="59"/>
  <c r="H306" i="59"/>
  <c r="F212" i="3"/>
  <c r="I306" i="59"/>
  <c r="L306" i="59"/>
  <c r="J306" i="59"/>
  <c r="M306" i="59"/>
  <c r="O306" i="59" s="1"/>
  <c r="K306" i="59"/>
  <c r="N306" i="59"/>
  <c r="L307" i="59"/>
  <c r="M307" i="59"/>
  <c r="O307" i="59" s="1"/>
  <c r="N307" i="59"/>
  <c r="L308" i="59"/>
  <c r="M308" i="59"/>
  <c r="N308" i="59"/>
  <c r="O308" i="59" s="1"/>
  <c r="L309" i="59"/>
  <c r="M309" i="59"/>
  <c r="O309" i="59" s="1"/>
  <c r="N309" i="59"/>
  <c r="L310" i="59"/>
  <c r="M310" i="59"/>
  <c r="N310" i="59"/>
  <c r="L311" i="59"/>
  <c r="M311" i="59"/>
  <c r="O311" i="59" s="1"/>
  <c r="N311" i="59"/>
  <c r="L312" i="59"/>
  <c r="M312" i="59"/>
  <c r="N312" i="59"/>
  <c r="O312" i="59" s="1"/>
  <c r="L313" i="59"/>
  <c r="M313" i="59"/>
  <c r="O313" i="59" s="1"/>
  <c r="N313" i="59"/>
  <c r="L314" i="59"/>
  <c r="M314" i="59"/>
  <c r="N314" i="59"/>
  <c r="L315" i="59"/>
  <c r="M315" i="59"/>
  <c r="N315" i="59"/>
  <c r="L316" i="59"/>
  <c r="M316" i="59"/>
  <c r="N316" i="59"/>
  <c r="L317" i="59"/>
  <c r="O317" i="59" s="1"/>
  <c r="M317" i="59"/>
  <c r="N317" i="59"/>
  <c r="L318" i="59"/>
  <c r="M318" i="59"/>
  <c r="N318" i="59"/>
  <c r="L319" i="59"/>
  <c r="M319" i="59"/>
  <c r="N319" i="59"/>
  <c r="L320" i="59"/>
  <c r="M320" i="59"/>
  <c r="N320" i="59"/>
  <c r="L321" i="59"/>
  <c r="M321" i="59"/>
  <c r="N321" i="59"/>
  <c r="L322" i="59"/>
  <c r="M322" i="59"/>
  <c r="N322" i="59"/>
  <c r="L323" i="59"/>
  <c r="M323" i="59"/>
  <c r="N323" i="59"/>
  <c r="L324" i="59"/>
  <c r="M324" i="59"/>
  <c r="N324" i="59"/>
  <c r="L325" i="59"/>
  <c r="O325" i="59" s="1"/>
  <c r="M325" i="59"/>
  <c r="N325" i="59"/>
  <c r="H304" i="59"/>
  <c r="N304" i="59" s="1"/>
  <c r="K304" i="59"/>
  <c r="J304" i="59"/>
  <c r="F209" i="3"/>
  <c r="L337" i="53"/>
  <c r="M337" i="53"/>
  <c r="N337" i="53"/>
  <c r="L338" i="53"/>
  <c r="M338" i="53"/>
  <c r="N338" i="53"/>
  <c r="L339" i="53"/>
  <c r="M339" i="53"/>
  <c r="N339" i="53"/>
  <c r="L340" i="53"/>
  <c r="M340" i="53"/>
  <c r="N340" i="53"/>
  <c r="L341" i="53"/>
  <c r="M341" i="53"/>
  <c r="N341" i="53"/>
  <c r="L316" i="53"/>
  <c r="M316" i="53"/>
  <c r="N316" i="53"/>
  <c r="L317" i="53"/>
  <c r="M317" i="53"/>
  <c r="N317" i="53"/>
  <c r="L318" i="53"/>
  <c r="M318" i="53"/>
  <c r="N318" i="53"/>
  <c r="L319" i="53"/>
  <c r="M319" i="53"/>
  <c r="N319" i="53"/>
  <c r="L320" i="53"/>
  <c r="M320" i="53"/>
  <c r="N320" i="53"/>
  <c r="L321" i="53"/>
  <c r="M321" i="53"/>
  <c r="N321" i="53"/>
  <c r="L322" i="53"/>
  <c r="M322" i="53"/>
  <c r="N322" i="53"/>
  <c r="L323" i="53"/>
  <c r="M323" i="53"/>
  <c r="N323" i="53"/>
  <c r="L324" i="53"/>
  <c r="M324" i="53"/>
  <c r="N324" i="53"/>
  <c r="L325" i="53"/>
  <c r="M325" i="53"/>
  <c r="N325" i="53"/>
  <c r="L326" i="53"/>
  <c r="M326" i="53"/>
  <c r="N326" i="53"/>
  <c r="L327" i="53"/>
  <c r="M327" i="53"/>
  <c r="N327" i="53"/>
  <c r="L328" i="53"/>
  <c r="M328" i="53"/>
  <c r="N328" i="53"/>
  <c r="L329" i="53"/>
  <c r="M329" i="53"/>
  <c r="N329" i="53"/>
  <c r="L330" i="53"/>
  <c r="M330" i="53"/>
  <c r="N330" i="53"/>
  <c r="L331" i="53"/>
  <c r="M331" i="53"/>
  <c r="N331" i="53"/>
  <c r="L332" i="53"/>
  <c r="M332" i="53"/>
  <c r="N332" i="53"/>
  <c r="L333" i="53"/>
  <c r="M333" i="53"/>
  <c r="N333" i="53"/>
  <c r="L334" i="53"/>
  <c r="M334" i="53"/>
  <c r="N334" i="53"/>
  <c r="L335" i="53"/>
  <c r="M335" i="53"/>
  <c r="N335" i="53"/>
  <c r="L336" i="53"/>
  <c r="M336" i="53"/>
  <c r="N336" i="53"/>
  <c r="I293" i="53"/>
  <c r="L293" i="53" s="1"/>
  <c r="J293" i="53"/>
  <c r="M293" i="53" s="1"/>
  <c r="K293" i="53"/>
  <c r="N293" i="53" s="1"/>
  <c r="I294" i="53"/>
  <c r="L294" i="53" s="1"/>
  <c r="J294" i="53"/>
  <c r="M294" i="53" s="1"/>
  <c r="K294" i="53"/>
  <c r="N294" i="53" s="1"/>
  <c r="L295" i="53"/>
  <c r="M295" i="53"/>
  <c r="N295" i="53"/>
  <c r="L296" i="53"/>
  <c r="M296" i="53"/>
  <c r="N296" i="53"/>
  <c r="L297" i="53"/>
  <c r="M297" i="53"/>
  <c r="N297" i="53"/>
  <c r="L298" i="53"/>
  <c r="M298" i="53"/>
  <c r="N298" i="53"/>
  <c r="L299" i="53"/>
  <c r="M299" i="53"/>
  <c r="N299" i="53"/>
  <c r="L300" i="53"/>
  <c r="M300" i="53"/>
  <c r="N300" i="53"/>
  <c r="L301" i="53"/>
  <c r="M301" i="53"/>
  <c r="N301" i="53"/>
  <c r="L302" i="53"/>
  <c r="M302" i="53"/>
  <c r="N302" i="53"/>
  <c r="L303" i="53"/>
  <c r="M303" i="53"/>
  <c r="N303" i="53"/>
  <c r="L304" i="53"/>
  <c r="M304" i="53"/>
  <c r="N304" i="53"/>
  <c r="L305" i="53"/>
  <c r="M305" i="53"/>
  <c r="N305" i="53"/>
  <c r="L306" i="53"/>
  <c r="M306" i="53"/>
  <c r="N306" i="53"/>
  <c r="L307" i="53"/>
  <c r="M307" i="53"/>
  <c r="N307" i="53"/>
  <c r="L308" i="53"/>
  <c r="M308" i="53"/>
  <c r="N308" i="53"/>
  <c r="L309" i="53"/>
  <c r="M309" i="53"/>
  <c r="N309" i="53"/>
  <c r="L310" i="53"/>
  <c r="M310" i="53"/>
  <c r="N310" i="53"/>
  <c r="L311" i="53"/>
  <c r="M311" i="53"/>
  <c r="N311" i="53"/>
  <c r="L312" i="53"/>
  <c r="M312" i="53"/>
  <c r="N312" i="53"/>
  <c r="L313" i="53"/>
  <c r="M313" i="53"/>
  <c r="N313" i="53"/>
  <c r="L314" i="53"/>
  <c r="M314" i="53"/>
  <c r="N314" i="53"/>
  <c r="L315" i="53"/>
  <c r="M315" i="53"/>
  <c r="N315" i="53"/>
  <c r="K292" i="53"/>
  <c r="N292" i="53"/>
  <c r="J292" i="53"/>
  <c r="M292" i="53"/>
  <c r="I292" i="53"/>
  <c r="L292" i="53"/>
  <c r="M327" i="6"/>
  <c r="N327" i="6"/>
  <c r="O327" i="6"/>
  <c r="M328" i="6"/>
  <c r="N328" i="6"/>
  <c r="O328" i="6"/>
  <c r="M329" i="6"/>
  <c r="N329" i="6"/>
  <c r="O329" i="6"/>
  <c r="M330" i="6"/>
  <c r="N330" i="6"/>
  <c r="O330" i="6"/>
  <c r="M331" i="6"/>
  <c r="N331" i="6"/>
  <c r="O331" i="6"/>
  <c r="M332" i="6"/>
  <c r="N332" i="6"/>
  <c r="O332" i="6"/>
  <c r="M333" i="6"/>
  <c r="N333" i="6"/>
  <c r="O333" i="6"/>
  <c r="M334" i="6"/>
  <c r="N334" i="6"/>
  <c r="O334" i="6"/>
  <c r="M335" i="6"/>
  <c r="N335" i="6"/>
  <c r="O335" i="6"/>
  <c r="M336" i="6"/>
  <c r="N336" i="6"/>
  <c r="O336" i="6"/>
  <c r="M337" i="6"/>
  <c r="N337" i="6"/>
  <c r="O337" i="6"/>
  <c r="M338" i="6"/>
  <c r="N338" i="6"/>
  <c r="O338" i="6"/>
  <c r="M339" i="6"/>
  <c r="N339" i="6"/>
  <c r="O339" i="6"/>
  <c r="M340" i="6"/>
  <c r="N340" i="6"/>
  <c r="O340" i="6"/>
  <c r="M341" i="6"/>
  <c r="N341" i="6"/>
  <c r="O341" i="6"/>
  <c r="M342" i="6"/>
  <c r="N342" i="6"/>
  <c r="O342" i="6"/>
  <c r="M343" i="6"/>
  <c r="N343" i="6"/>
  <c r="O343" i="6"/>
  <c r="M344" i="6"/>
  <c r="N344" i="6"/>
  <c r="O344" i="6"/>
  <c r="M345" i="6"/>
  <c r="N345" i="6"/>
  <c r="O345" i="6"/>
  <c r="M346" i="6"/>
  <c r="N346" i="6"/>
  <c r="O346" i="6"/>
  <c r="M347" i="6"/>
  <c r="N347" i="6"/>
  <c r="O347" i="6"/>
  <c r="M348" i="6"/>
  <c r="N348" i="6"/>
  <c r="O348" i="6"/>
  <c r="M349" i="6"/>
  <c r="N349" i="6"/>
  <c r="O349" i="6"/>
  <c r="M301" i="6"/>
  <c r="N301" i="6"/>
  <c r="O301" i="6"/>
  <c r="M302" i="6"/>
  <c r="N302" i="6"/>
  <c r="O302" i="6"/>
  <c r="M303" i="6"/>
  <c r="N303" i="6"/>
  <c r="O303" i="6"/>
  <c r="M304" i="6"/>
  <c r="N304" i="6"/>
  <c r="O304" i="6"/>
  <c r="M305" i="6"/>
  <c r="N305" i="6"/>
  <c r="O305" i="6"/>
  <c r="M306" i="6"/>
  <c r="N306" i="6"/>
  <c r="O306" i="6"/>
  <c r="M307" i="6"/>
  <c r="N307" i="6"/>
  <c r="O307" i="6"/>
  <c r="M308" i="6"/>
  <c r="N308" i="6"/>
  <c r="O308" i="6"/>
  <c r="M309" i="6"/>
  <c r="N309" i="6"/>
  <c r="O309" i="6"/>
  <c r="M310" i="6"/>
  <c r="N310" i="6"/>
  <c r="O310" i="6"/>
  <c r="M311" i="6"/>
  <c r="N311" i="6"/>
  <c r="O311" i="6"/>
  <c r="M312" i="6"/>
  <c r="N312" i="6"/>
  <c r="O312" i="6"/>
  <c r="M313" i="6"/>
  <c r="N313" i="6"/>
  <c r="O313" i="6"/>
  <c r="M314" i="6"/>
  <c r="N314" i="6"/>
  <c r="O314" i="6"/>
  <c r="M315" i="6"/>
  <c r="N315" i="6"/>
  <c r="O315" i="6"/>
  <c r="M316" i="6"/>
  <c r="N316" i="6"/>
  <c r="O316" i="6"/>
  <c r="M317" i="6"/>
  <c r="N317" i="6"/>
  <c r="O317" i="6"/>
  <c r="M318" i="6"/>
  <c r="N318" i="6"/>
  <c r="O318" i="6"/>
  <c r="M319" i="6"/>
  <c r="N319" i="6"/>
  <c r="O319" i="6"/>
  <c r="M320" i="6"/>
  <c r="N320" i="6"/>
  <c r="O320" i="6"/>
  <c r="M321" i="6"/>
  <c r="N321" i="6"/>
  <c r="O321" i="6"/>
  <c r="M322" i="6"/>
  <c r="N322" i="6"/>
  <c r="O322" i="6"/>
  <c r="M323" i="6"/>
  <c r="N323" i="6"/>
  <c r="O323" i="6"/>
  <c r="M324" i="6"/>
  <c r="N324" i="6"/>
  <c r="O324" i="6"/>
  <c r="M325" i="6"/>
  <c r="N325" i="6"/>
  <c r="O325" i="6"/>
  <c r="M326" i="6"/>
  <c r="N326" i="6"/>
  <c r="O326" i="6"/>
  <c r="O153" i="60"/>
  <c r="P218" i="60"/>
  <c r="P284" i="60"/>
  <c r="N105" i="60"/>
  <c r="N113" i="60"/>
  <c r="N115" i="60"/>
  <c r="N121" i="60"/>
  <c r="N123" i="60"/>
  <c r="N126" i="60"/>
  <c r="N129" i="60"/>
  <c r="N137" i="60"/>
  <c r="N145" i="60"/>
  <c r="N147" i="60"/>
  <c r="O170" i="60"/>
  <c r="O173" i="60"/>
  <c r="O178" i="60"/>
  <c r="O181" i="60"/>
  <c r="O184" i="60"/>
  <c r="O186" i="60"/>
  <c r="O189" i="60"/>
  <c r="O192" i="60"/>
  <c r="O194" i="60"/>
  <c r="O202" i="60"/>
  <c r="O205" i="60"/>
  <c r="O210" i="60"/>
  <c r="O213" i="60"/>
  <c r="O216" i="60"/>
  <c r="O240" i="60"/>
  <c r="O242" i="60"/>
  <c r="O248" i="60"/>
  <c r="O250" i="60"/>
  <c r="O253" i="60"/>
  <c r="O256" i="60"/>
  <c r="O264" i="60"/>
  <c r="O272" i="60"/>
  <c r="O274" i="60"/>
  <c r="O280" i="60"/>
  <c r="O282" i="60"/>
  <c r="K283" i="60"/>
  <c r="J283" i="60"/>
  <c r="I283" i="60"/>
  <c r="H283" i="60"/>
  <c r="K282" i="60"/>
  <c r="J282" i="60"/>
  <c r="I282" i="60"/>
  <c r="H282" i="60"/>
  <c r="K281" i="60"/>
  <c r="J281" i="60"/>
  <c r="I281" i="60"/>
  <c r="H281" i="60"/>
  <c r="K280" i="60"/>
  <c r="J280" i="60"/>
  <c r="I280" i="60"/>
  <c r="H280" i="60"/>
  <c r="K279" i="60"/>
  <c r="J279" i="60"/>
  <c r="I279" i="60"/>
  <c r="H279" i="60"/>
  <c r="K278" i="60"/>
  <c r="J278" i="60"/>
  <c r="I278" i="60"/>
  <c r="H278" i="60"/>
  <c r="K277" i="60"/>
  <c r="J277" i="60"/>
  <c r="I277" i="60"/>
  <c r="H277" i="60"/>
  <c r="K276" i="60"/>
  <c r="J276" i="60"/>
  <c r="I276" i="60"/>
  <c r="H276" i="60"/>
  <c r="K275" i="60"/>
  <c r="J275" i="60"/>
  <c r="I275" i="60"/>
  <c r="H275" i="60"/>
  <c r="K274" i="60"/>
  <c r="J274" i="60"/>
  <c r="I274" i="60"/>
  <c r="H274" i="60"/>
  <c r="K273" i="60"/>
  <c r="J273" i="60"/>
  <c r="I273" i="60"/>
  <c r="H273" i="60"/>
  <c r="K272" i="60"/>
  <c r="J272" i="60"/>
  <c r="I272" i="60"/>
  <c r="H272" i="60"/>
  <c r="K271" i="60"/>
  <c r="J271" i="60"/>
  <c r="I271" i="60"/>
  <c r="H271" i="60"/>
  <c r="K270" i="60"/>
  <c r="J270" i="60"/>
  <c r="I270" i="60"/>
  <c r="H270" i="60"/>
  <c r="K269" i="60"/>
  <c r="J269" i="60"/>
  <c r="I269" i="60"/>
  <c r="H269" i="60"/>
  <c r="K268" i="60"/>
  <c r="J268" i="60"/>
  <c r="I268" i="60"/>
  <c r="H268" i="60"/>
  <c r="K267" i="60"/>
  <c r="J267" i="60"/>
  <c r="I267" i="60"/>
  <c r="H267" i="60"/>
  <c r="K266" i="60"/>
  <c r="J266" i="60"/>
  <c r="I266" i="60"/>
  <c r="H266" i="60"/>
  <c r="K265" i="60"/>
  <c r="J265" i="60"/>
  <c r="I265" i="60"/>
  <c r="H265" i="60"/>
  <c r="K264" i="60"/>
  <c r="J264" i="60"/>
  <c r="I264" i="60"/>
  <c r="H264" i="60"/>
  <c r="K263" i="60"/>
  <c r="J263" i="60"/>
  <c r="I263" i="60"/>
  <c r="H263" i="60"/>
  <c r="K262" i="60"/>
  <c r="J262" i="60"/>
  <c r="I262" i="60"/>
  <c r="H262" i="60"/>
  <c r="K261" i="60"/>
  <c r="J261" i="60"/>
  <c r="I261" i="60"/>
  <c r="H261" i="60"/>
  <c r="K260" i="60"/>
  <c r="J260" i="60"/>
  <c r="I260" i="60"/>
  <c r="H260" i="60"/>
  <c r="K259" i="60"/>
  <c r="J259" i="60"/>
  <c r="I259" i="60"/>
  <c r="H259" i="60"/>
  <c r="K258" i="60"/>
  <c r="J258" i="60"/>
  <c r="I258" i="60"/>
  <c r="H258" i="60"/>
  <c r="K257" i="60"/>
  <c r="J257" i="60"/>
  <c r="I257" i="60"/>
  <c r="H257" i="60"/>
  <c r="K256" i="60"/>
  <c r="J256" i="60"/>
  <c r="I256" i="60"/>
  <c r="H256" i="60"/>
  <c r="K255" i="60"/>
  <c r="J255" i="60"/>
  <c r="I255" i="60"/>
  <c r="H255" i="60"/>
  <c r="K254" i="60"/>
  <c r="J254" i="60"/>
  <c r="I254" i="60"/>
  <c r="H254" i="60"/>
  <c r="K253" i="60"/>
  <c r="J253" i="60"/>
  <c r="I253" i="60"/>
  <c r="H253" i="60"/>
  <c r="K252" i="60"/>
  <c r="J252" i="60"/>
  <c r="I252" i="60"/>
  <c r="H252" i="60"/>
  <c r="K251" i="60"/>
  <c r="J251" i="60"/>
  <c r="I251" i="60"/>
  <c r="H251" i="60"/>
  <c r="K250" i="60"/>
  <c r="J250" i="60"/>
  <c r="I250" i="60"/>
  <c r="H250" i="60"/>
  <c r="K249" i="60"/>
  <c r="J249" i="60"/>
  <c r="I249" i="60"/>
  <c r="H249" i="60"/>
  <c r="K248" i="60"/>
  <c r="J248" i="60"/>
  <c r="I248" i="60"/>
  <c r="H248" i="60"/>
  <c r="K247" i="60"/>
  <c r="J247" i="60"/>
  <c r="I247" i="60"/>
  <c r="H247" i="60"/>
  <c r="K246" i="60"/>
  <c r="J246" i="60"/>
  <c r="I246" i="60"/>
  <c r="H246" i="60"/>
  <c r="K245" i="60"/>
  <c r="J245" i="60"/>
  <c r="I245" i="60"/>
  <c r="H245" i="60"/>
  <c r="K244" i="60"/>
  <c r="J244" i="60"/>
  <c r="I244" i="60"/>
  <c r="H244" i="60"/>
  <c r="K243" i="60"/>
  <c r="J243" i="60"/>
  <c r="I243" i="60"/>
  <c r="H243" i="60"/>
  <c r="K242" i="60"/>
  <c r="J242" i="60"/>
  <c r="I242" i="60"/>
  <c r="H242" i="60"/>
  <c r="K241" i="60"/>
  <c r="J241" i="60"/>
  <c r="I241" i="60"/>
  <c r="H241" i="60"/>
  <c r="K240" i="60"/>
  <c r="J240" i="60"/>
  <c r="I240" i="60"/>
  <c r="H240" i="60"/>
  <c r="K239" i="60"/>
  <c r="J239" i="60"/>
  <c r="I239" i="60"/>
  <c r="H239" i="60"/>
  <c r="K238" i="60"/>
  <c r="J238" i="60"/>
  <c r="I238" i="60"/>
  <c r="H238" i="60"/>
  <c r="K237" i="60"/>
  <c r="J237" i="60"/>
  <c r="I237" i="60"/>
  <c r="H237" i="60"/>
  <c r="K236" i="60"/>
  <c r="J236" i="60"/>
  <c r="I236" i="60"/>
  <c r="H236" i="60"/>
  <c r="K235" i="60"/>
  <c r="J235" i="60"/>
  <c r="I235" i="60"/>
  <c r="H235" i="60"/>
  <c r="K217" i="60"/>
  <c r="J217" i="60"/>
  <c r="I217" i="60"/>
  <c r="H217" i="60"/>
  <c r="K216" i="60"/>
  <c r="J216" i="60"/>
  <c r="I216" i="60"/>
  <c r="H216" i="60"/>
  <c r="K215" i="60"/>
  <c r="J215" i="60"/>
  <c r="I215" i="60"/>
  <c r="H215" i="60"/>
  <c r="K214" i="60"/>
  <c r="J214" i="60"/>
  <c r="I214" i="60"/>
  <c r="H214" i="60"/>
  <c r="K213" i="60"/>
  <c r="J213" i="60"/>
  <c r="I213" i="60"/>
  <c r="H213" i="60"/>
  <c r="K212" i="60"/>
  <c r="J212" i="60"/>
  <c r="I212" i="60"/>
  <c r="H212" i="60"/>
  <c r="K211" i="60"/>
  <c r="J211" i="60"/>
  <c r="I211" i="60"/>
  <c r="H211" i="60"/>
  <c r="K210" i="60"/>
  <c r="J210" i="60"/>
  <c r="I210" i="60"/>
  <c r="H210" i="60"/>
  <c r="K209" i="60"/>
  <c r="J209" i="60"/>
  <c r="I209" i="60"/>
  <c r="H209" i="60"/>
  <c r="K208" i="60"/>
  <c r="J208" i="60"/>
  <c r="I208" i="60"/>
  <c r="H208" i="60"/>
  <c r="K207" i="60"/>
  <c r="J207" i="60"/>
  <c r="I207" i="60"/>
  <c r="H207" i="60"/>
  <c r="K206" i="60"/>
  <c r="J206" i="60"/>
  <c r="I206" i="60"/>
  <c r="H206" i="60"/>
  <c r="K205" i="60"/>
  <c r="J205" i="60"/>
  <c r="I205" i="60"/>
  <c r="H205" i="60"/>
  <c r="K204" i="60"/>
  <c r="J204" i="60"/>
  <c r="I204" i="60"/>
  <c r="H204" i="60"/>
  <c r="K203" i="60"/>
  <c r="J203" i="60"/>
  <c r="I203" i="60"/>
  <c r="H203" i="60"/>
  <c r="K202" i="60"/>
  <c r="J202" i="60"/>
  <c r="I202" i="60"/>
  <c r="H202" i="60"/>
  <c r="K201" i="60"/>
  <c r="J201" i="60"/>
  <c r="I201" i="60"/>
  <c r="H201" i="60"/>
  <c r="K200" i="60"/>
  <c r="J200" i="60"/>
  <c r="I200" i="60"/>
  <c r="H200" i="60"/>
  <c r="K199" i="60"/>
  <c r="J199" i="60"/>
  <c r="I199" i="60"/>
  <c r="H199" i="60"/>
  <c r="K198" i="60"/>
  <c r="J198" i="60"/>
  <c r="I198" i="60"/>
  <c r="H198" i="60"/>
  <c r="K197" i="60"/>
  <c r="J197" i="60"/>
  <c r="I197" i="60"/>
  <c r="H197" i="60"/>
  <c r="K196" i="60"/>
  <c r="J196" i="60"/>
  <c r="I196" i="60"/>
  <c r="H196" i="60"/>
  <c r="K195" i="60"/>
  <c r="J195" i="60"/>
  <c r="I195" i="60"/>
  <c r="H195" i="60"/>
  <c r="K194" i="60"/>
  <c r="J194" i="60"/>
  <c r="I194" i="60"/>
  <c r="H194" i="60"/>
  <c r="K193" i="60"/>
  <c r="J193" i="60"/>
  <c r="I193" i="60"/>
  <c r="H193" i="60"/>
  <c r="K192" i="60"/>
  <c r="J192" i="60"/>
  <c r="I192" i="60"/>
  <c r="H192" i="60"/>
  <c r="K191" i="60"/>
  <c r="J191" i="60"/>
  <c r="I191" i="60"/>
  <c r="H191" i="60"/>
  <c r="K190" i="60"/>
  <c r="J190" i="60"/>
  <c r="I190" i="60"/>
  <c r="H190" i="60"/>
  <c r="K189" i="60"/>
  <c r="J189" i="60"/>
  <c r="I189" i="60"/>
  <c r="H189" i="60"/>
  <c r="K188" i="60"/>
  <c r="J188" i="60"/>
  <c r="I188" i="60"/>
  <c r="H188" i="60"/>
  <c r="K187" i="60"/>
  <c r="J187" i="60"/>
  <c r="I187" i="60"/>
  <c r="H187" i="60"/>
  <c r="K186" i="60"/>
  <c r="J186" i="60"/>
  <c r="I186" i="60"/>
  <c r="H186" i="60"/>
  <c r="K185" i="60"/>
  <c r="J185" i="60"/>
  <c r="I185" i="60"/>
  <c r="H185" i="60"/>
  <c r="K184" i="60"/>
  <c r="J184" i="60"/>
  <c r="I184" i="60"/>
  <c r="H184" i="60"/>
  <c r="K183" i="60"/>
  <c r="J183" i="60"/>
  <c r="I183" i="60"/>
  <c r="H183" i="60"/>
  <c r="K182" i="60"/>
  <c r="J182" i="60"/>
  <c r="I182" i="60"/>
  <c r="H182" i="60"/>
  <c r="K181" i="60"/>
  <c r="J181" i="60"/>
  <c r="I181" i="60"/>
  <c r="H181" i="60"/>
  <c r="K180" i="60"/>
  <c r="J180" i="60"/>
  <c r="I180" i="60"/>
  <c r="H180" i="60"/>
  <c r="K179" i="60"/>
  <c r="J179" i="60"/>
  <c r="I179" i="60"/>
  <c r="H179" i="60"/>
  <c r="K178" i="60"/>
  <c r="J178" i="60"/>
  <c r="I178" i="60"/>
  <c r="H178" i="60"/>
  <c r="K177" i="60"/>
  <c r="J177" i="60"/>
  <c r="I177" i="60"/>
  <c r="H177" i="60"/>
  <c r="K176" i="60"/>
  <c r="J176" i="60"/>
  <c r="I176" i="60"/>
  <c r="H176" i="60"/>
  <c r="K175" i="60"/>
  <c r="J175" i="60"/>
  <c r="I175" i="60"/>
  <c r="H175" i="60"/>
  <c r="K174" i="60"/>
  <c r="J174" i="60"/>
  <c r="I174" i="60"/>
  <c r="H174" i="60"/>
  <c r="K173" i="60"/>
  <c r="J173" i="60"/>
  <c r="I173" i="60"/>
  <c r="H173" i="60"/>
  <c r="K172" i="60"/>
  <c r="J172" i="60"/>
  <c r="I172" i="60"/>
  <c r="H172" i="60"/>
  <c r="K171" i="60"/>
  <c r="J171" i="60"/>
  <c r="I171" i="60"/>
  <c r="H171" i="60"/>
  <c r="K170" i="60"/>
  <c r="J170" i="60"/>
  <c r="I170" i="60"/>
  <c r="H170" i="60"/>
  <c r="K169" i="60"/>
  <c r="J169" i="60"/>
  <c r="I169" i="60"/>
  <c r="H169" i="60"/>
  <c r="J152" i="60"/>
  <c r="I152" i="60"/>
  <c r="H152" i="60"/>
  <c r="G152" i="60"/>
  <c r="J151" i="60"/>
  <c r="I151" i="60"/>
  <c r="H151" i="60"/>
  <c r="G151" i="60"/>
  <c r="J150" i="60"/>
  <c r="I150" i="60"/>
  <c r="H150" i="60"/>
  <c r="G150" i="60"/>
  <c r="J149" i="60"/>
  <c r="I149" i="60"/>
  <c r="H149" i="60"/>
  <c r="G149" i="60"/>
  <c r="J148" i="60"/>
  <c r="I148" i="60"/>
  <c r="H148" i="60"/>
  <c r="G148" i="60"/>
  <c r="J147" i="60"/>
  <c r="I147" i="60"/>
  <c r="H147" i="60"/>
  <c r="G147" i="60"/>
  <c r="J146" i="60"/>
  <c r="I146" i="60"/>
  <c r="H146" i="60"/>
  <c r="G146" i="60"/>
  <c r="J145" i="60"/>
  <c r="I145" i="60"/>
  <c r="H145" i="60"/>
  <c r="G145" i="60"/>
  <c r="J144" i="60"/>
  <c r="I144" i="60"/>
  <c r="H144" i="60"/>
  <c r="G144" i="60"/>
  <c r="J143" i="60"/>
  <c r="I143" i="60"/>
  <c r="H143" i="60"/>
  <c r="G143" i="60"/>
  <c r="J142" i="60"/>
  <c r="I142" i="60"/>
  <c r="H142" i="60"/>
  <c r="G142" i="60"/>
  <c r="J141" i="60"/>
  <c r="I141" i="60"/>
  <c r="H141" i="60"/>
  <c r="G141" i="60"/>
  <c r="J140" i="60"/>
  <c r="I140" i="60"/>
  <c r="H140" i="60"/>
  <c r="G140" i="60"/>
  <c r="J139" i="60"/>
  <c r="I139" i="60"/>
  <c r="H139" i="60"/>
  <c r="G139" i="60"/>
  <c r="J138" i="60"/>
  <c r="I138" i="60"/>
  <c r="H138" i="60"/>
  <c r="G138" i="60"/>
  <c r="J137" i="60"/>
  <c r="I137" i="60"/>
  <c r="H137" i="60"/>
  <c r="G137" i="60"/>
  <c r="J136" i="60"/>
  <c r="I136" i="60"/>
  <c r="H136" i="60"/>
  <c r="G136" i="60"/>
  <c r="J135" i="60"/>
  <c r="I135" i="60"/>
  <c r="H135" i="60"/>
  <c r="G135" i="60"/>
  <c r="J134" i="60"/>
  <c r="I134" i="60"/>
  <c r="H134" i="60"/>
  <c r="G134" i="60"/>
  <c r="J133" i="60"/>
  <c r="I133" i="60"/>
  <c r="H133" i="60"/>
  <c r="G133" i="60"/>
  <c r="J132" i="60"/>
  <c r="I132" i="60"/>
  <c r="H132" i="60"/>
  <c r="G132" i="60"/>
  <c r="J131" i="60"/>
  <c r="I131" i="60"/>
  <c r="H131" i="60"/>
  <c r="G131" i="60"/>
  <c r="J130" i="60"/>
  <c r="I130" i="60"/>
  <c r="H130" i="60"/>
  <c r="G130" i="60"/>
  <c r="J129" i="60"/>
  <c r="I129" i="60"/>
  <c r="H129" i="60"/>
  <c r="G129" i="60"/>
  <c r="J128" i="60"/>
  <c r="I128" i="60"/>
  <c r="H128" i="60"/>
  <c r="G128" i="60"/>
  <c r="J127" i="60"/>
  <c r="I127" i="60"/>
  <c r="H127" i="60"/>
  <c r="G127" i="60"/>
  <c r="J126" i="60"/>
  <c r="I126" i="60"/>
  <c r="H126" i="60"/>
  <c r="G126" i="60"/>
  <c r="J125" i="60"/>
  <c r="I125" i="60"/>
  <c r="H125" i="60"/>
  <c r="G125" i="60"/>
  <c r="J124" i="60"/>
  <c r="I124" i="60"/>
  <c r="H124" i="60"/>
  <c r="G124" i="60"/>
  <c r="J123" i="60"/>
  <c r="I123" i="60"/>
  <c r="H123" i="60"/>
  <c r="G123" i="60"/>
  <c r="J122" i="60"/>
  <c r="I122" i="60"/>
  <c r="H122" i="60"/>
  <c r="G122" i="60"/>
  <c r="J121" i="60"/>
  <c r="I121" i="60"/>
  <c r="H121" i="60"/>
  <c r="G121" i="60"/>
  <c r="J120" i="60"/>
  <c r="I120" i="60"/>
  <c r="H120" i="60"/>
  <c r="G120" i="60"/>
  <c r="J119" i="60"/>
  <c r="I119" i="60"/>
  <c r="H119" i="60"/>
  <c r="G119" i="60"/>
  <c r="J118" i="60"/>
  <c r="I118" i="60"/>
  <c r="H118" i="60"/>
  <c r="G118" i="60"/>
  <c r="J117" i="60"/>
  <c r="I117" i="60"/>
  <c r="H117" i="60"/>
  <c r="G117" i="60"/>
  <c r="J116" i="60"/>
  <c r="I116" i="60"/>
  <c r="H116" i="60"/>
  <c r="G116" i="60"/>
  <c r="J115" i="60"/>
  <c r="I115" i="60"/>
  <c r="H115" i="60"/>
  <c r="G115" i="60"/>
  <c r="J114" i="60"/>
  <c r="I114" i="60"/>
  <c r="H114" i="60"/>
  <c r="G114" i="60"/>
  <c r="J113" i="60"/>
  <c r="I113" i="60"/>
  <c r="H113" i="60"/>
  <c r="G113" i="60"/>
  <c r="J112" i="60"/>
  <c r="I112" i="60"/>
  <c r="H112" i="60"/>
  <c r="G112" i="60"/>
  <c r="J111" i="60"/>
  <c r="I111" i="60"/>
  <c r="H111" i="60"/>
  <c r="G111" i="60"/>
  <c r="J110" i="60"/>
  <c r="I110" i="60"/>
  <c r="H110" i="60"/>
  <c r="G110" i="60"/>
  <c r="J109" i="60"/>
  <c r="I109" i="60"/>
  <c r="H109" i="60"/>
  <c r="G109" i="60"/>
  <c r="J108" i="60"/>
  <c r="I108" i="60"/>
  <c r="H108" i="60"/>
  <c r="G108" i="60"/>
  <c r="J107" i="60"/>
  <c r="I107" i="60"/>
  <c r="H107" i="60"/>
  <c r="G107" i="60"/>
  <c r="J106" i="60"/>
  <c r="I106" i="60"/>
  <c r="H106" i="60"/>
  <c r="G106" i="60"/>
  <c r="J91" i="60"/>
  <c r="I91" i="60"/>
  <c r="H91" i="60"/>
  <c r="G91" i="60"/>
  <c r="J90" i="60"/>
  <c r="I90" i="60"/>
  <c r="H90" i="60"/>
  <c r="G90" i="60"/>
  <c r="J89" i="60"/>
  <c r="I89" i="60"/>
  <c r="H89" i="60"/>
  <c r="G89" i="60"/>
  <c r="J88" i="60"/>
  <c r="I88" i="60"/>
  <c r="H88" i="60"/>
  <c r="G88" i="60"/>
  <c r="J87" i="60"/>
  <c r="I87" i="60"/>
  <c r="H87" i="60"/>
  <c r="G87" i="60"/>
  <c r="J86" i="60"/>
  <c r="I86" i="60"/>
  <c r="H86" i="60"/>
  <c r="G86" i="60"/>
  <c r="J85" i="60"/>
  <c r="I85" i="60"/>
  <c r="H85" i="60"/>
  <c r="G85" i="60"/>
  <c r="J84" i="60"/>
  <c r="I84" i="60"/>
  <c r="H84" i="60"/>
  <c r="G84" i="60"/>
  <c r="J83" i="60"/>
  <c r="I83" i="60"/>
  <c r="H83" i="60"/>
  <c r="G83" i="60"/>
  <c r="J82" i="60"/>
  <c r="I82" i="60"/>
  <c r="H82" i="60"/>
  <c r="G82" i="60"/>
  <c r="J81" i="60"/>
  <c r="I81" i="60"/>
  <c r="H81" i="60"/>
  <c r="G81" i="60"/>
  <c r="J80" i="60"/>
  <c r="I80" i="60"/>
  <c r="H80" i="60"/>
  <c r="G80" i="60"/>
  <c r="J79" i="60"/>
  <c r="I79" i="60"/>
  <c r="H79" i="60"/>
  <c r="G79" i="60"/>
  <c r="J78" i="60"/>
  <c r="I78" i="60"/>
  <c r="H78" i="60"/>
  <c r="G78" i="60"/>
  <c r="J77" i="60"/>
  <c r="I77" i="60"/>
  <c r="H77" i="60"/>
  <c r="G77" i="60"/>
  <c r="J76" i="60"/>
  <c r="I76" i="60"/>
  <c r="H76" i="60"/>
  <c r="G76" i="60"/>
  <c r="J75" i="60"/>
  <c r="I75" i="60"/>
  <c r="H75" i="60"/>
  <c r="G75" i="60"/>
  <c r="J74" i="60"/>
  <c r="I74" i="60"/>
  <c r="H74" i="60"/>
  <c r="G74" i="60"/>
  <c r="J73" i="60"/>
  <c r="I73" i="60"/>
  <c r="H73" i="60"/>
  <c r="G73" i="60"/>
  <c r="J72" i="60"/>
  <c r="I72" i="60"/>
  <c r="H72" i="60"/>
  <c r="G72" i="60"/>
  <c r="J71" i="60"/>
  <c r="I71" i="60"/>
  <c r="H71" i="60"/>
  <c r="G71" i="60"/>
  <c r="J70" i="60"/>
  <c r="I70" i="60"/>
  <c r="H70" i="60"/>
  <c r="G70" i="60"/>
  <c r="J69" i="60"/>
  <c r="I69" i="60"/>
  <c r="H69" i="60"/>
  <c r="G69" i="60"/>
  <c r="J68" i="60"/>
  <c r="I68" i="60"/>
  <c r="H68" i="60"/>
  <c r="G68" i="60"/>
  <c r="J67" i="60"/>
  <c r="I67" i="60"/>
  <c r="H67" i="60"/>
  <c r="G67" i="60"/>
  <c r="J66" i="60"/>
  <c r="I66" i="60"/>
  <c r="H66" i="60"/>
  <c r="G66" i="60"/>
  <c r="J65" i="60"/>
  <c r="I65" i="60"/>
  <c r="H65" i="60"/>
  <c r="G65" i="60"/>
  <c r="J64" i="60"/>
  <c r="I64" i="60"/>
  <c r="H64" i="60"/>
  <c r="G64" i="60"/>
  <c r="J63" i="60"/>
  <c r="I63" i="60"/>
  <c r="H63" i="60"/>
  <c r="G63" i="60"/>
  <c r="J62" i="60"/>
  <c r="I62" i="60"/>
  <c r="H62" i="60"/>
  <c r="G62" i="60"/>
  <c r="J61" i="60"/>
  <c r="I61" i="60"/>
  <c r="H61" i="60"/>
  <c r="G61" i="60"/>
  <c r="J60" i="60"/>
  <c r="I60" i="60"/>
  <c r="H60" i="60"/>
  <c r="G60" i="60"/>
  <c r="J59" i="60"/>
  <c r="I59" i="60"/>
  <c r="H59" i="60"/>
  <c r="G59" i="60"/>
  <c r="J58" i="60"/>
  <c r="I58" i="60"/>
  <c r="H58" i="60"/>
  <c r="G58" i="60"/>
  <c r="J57" i="60"/>
  <c r="I57" i="60"/>
  <c r="H57" i="60"/>
  <c r="G57" i="60"/>
  <c r="J56" i="60"/>
  <c r="I56" i="60"/>
  <c r="H56" i="60"/>
  <c r="G56" i="60"/>
  <c r="J55" i="60"/>
  <c r="I55" i="60"/>
  <c r="H55" i="60"/>
  <c r="G55" i="60"/>
  <c r="J54" i="60"/>
  <c r="I54" i="60"/>
  <c r="H54" i="60"/>
  <c r="G54" i="60"/>
  <c r="J53" i="60"/>
  <c r="I53" i="60"/>
  <c r="H53" i="60"/>
  <c r="G53" i="60"/>
  <c r="J52" i="60"/>
  <c r="I52" i="60"/>
  <c r="H52" i="60"/>
  <c r="G52" i="60"/>
  <c r="J51" i="60"/>
  <c r="I51" i="60"/>
  <c r="H51" i="60"/>
  <c r="G51" i="60"/>
  <c r="J50" i="60"/>
  <c r="I50" i="60"/>
  <c r="H50" i="60"/>
  <c r="G50" i="60"/>
  <c r="J49" i="60"/>
  <c r="I49" i="60"/>
  <c r="H49" i="60"/>
  <c r="G49" i="60"/>
  <c r="J48" i="60"/>
  <c r="I48" i="60"/>
  <c r="H48" i="60"/>
  <c r="G48" i="60"/>
  <c r="J47" i="60"/>
  <c r="I47" i="60"/>
  <c r="H47" i="60"/>
  <c r="G47" i="60"/>
  <c r="J46" i="60"/>
  <c r="I46" i="60"/>
  <c r="H46" i="60"/>
  <c r="G46" i="60"/>
  <c r="J45" i="60"/>
  <c r="I45" i="60"/>
  <c r="H45" i="60"/>
  <c r="G45" i="60"/>
  <c r="J44" i="60"/>
  <c r="I44" i="60"/>
  <c r="H44" i="60"/>
  <c r="G44" i="60"/>
  <c r="J43" i="60"/>
  <c r="I43" i="60"/>
  <c r="H43" i="60"/>
  <c r="G43" i="60"/>
  <c r="J42" i="60"/>
  <c r="I42" i="60"/>
  <c r="H42" i="60"/>
  <c r="G42" i="60"/>
  <c r="D13" i="60"/>
  <c r="D170" i="2"/>
  <c r="K42" i="59"/>
  <c r="L42" i="59"/>
  <c r="M42" i="59"/>
  <c r="K43" i="59"/>
  <c r="L43" i="59"/>
  <c r="M43" i="59"/>
  <c r="K44" i="59"/>
  <c r="L44" i="59"/>
  <c r="M44" i="59"/>
  <c r="K45" i="59"/>
  <c r="L45" i="59"/>
  <c r="M45" i="59"/>
  <c r="K46" i="59"/>
  <c r="L46" i="59"/>
  <c r="M46" i="59"/>
  <c r="K47" i="59"/>
  <c r="L47" i="59"/>
  <c r="M47" i="59"/>
  <c r="K48" i="59"/>
  <c r="L48" i="59"/>
  <c r="M48" i="59"/>
  <c r="K49" i="59"/>
  <c r="L49" i="59"/>
  <c r="M49" i="59"/>
  <c r="K50" i="59"/>
  <c r="L50" i="59"/>
  <c r="M50" i="59"/>
  <c r="K51" i="59"/>
  <c r="L51" i="59"/>
  <c r="M51" i="59"/>
  <c r="K52" i="59"/>
  <c r="L52" i="59"/>
  <c r="M52" i="59"/>
  <c r="K53" i="59"/>
  <c r="L53" i="59"/>
  <c r="M53" i="59"/>
  <c r="K54" i="59"/>
  <c r="L54" i="59"/>
  <c r="M54" i="59"/>
  <c r="K55" i="59"/>
  <c r="L55" i="59"/>
  <c r="M55" i="59"/>
  <c r="K56" i="59"/>
  <c r="L56" i="59"/>
  <c r="M56" i="59"/>
  <c r="K57" i="59"/>
  <c r="L57" i="59"/>
  <c r="M57" i="59"/>
  <c r="K58" i="59"/>
  <c r="L58" i="59"/>
  <c r="M58" i="59"/>
  <c r="K59" i="59"/>
  <c r="L59" i="59"/>
  <c r="M59" i="59"/>
  <c r="K60" i="59"/>
  <c r="L60" i="59"/>
  <c r="M60" i="59"/>
  <c r="K61" i="59"/>
  <c r="L61" i="59"/>
  <c r="M61" i="59"/>
  <c r="K62" i="59"/>
  <c r="L62" i="59"/>
  <c r="M62" i="59"/>
  <c r="K63" i="59"/>
  <c r="L63" i="59"/>
  <c r="M63" i="59"/>
  <c r="K64" i="59"/>
  <c r="L64" i="59"/>
  <c r="M64" i="59"/>
  <c r="K65" i="59"/>
  <c r="L65" i="59"/>
  <c r="M65" i="59"/>
  <c r="K66" i="59"/>
  <c r="L66" i="59"/>
  <c r="M66" i="59"/>
  <c r="K67" i="59"/>
  <c r="L67" i="59"/>
  <c r="M67" i="59"/>
  <c r="K68" i="59"/>
  <c r="L68" i="59"/>
  <c r="M68" i="59"/>
  <c r="K69" i="59"/>
  <c r="L69" i="59"/>
  <c r="M69" i="59"/>
  <c r="K70" i="59"/>
  <c r="L70" i="59"/>
  <c r="M70" i="59"/>
  <c r="K71" i="59"/>
  <c r="L71" i="59"/>
  <c r="M71" i="59"/>
  <c r="K72" i="59"/>
  <c r="L72" i="59"/>
  <c r="M72" i="59"/>
  <c r="K73" i="59"/>
  <c r="L73" i="59"/>
  <c r="M73" i="59"/>
  <c r="K74" i="59"/>
  <c r="L74" i="59"/>
  <c r="M74" i="59"/>
  <c r="K75" i="59"/>
  <c r="L75" i="59"/>
  <c r="M75" i="59"/>
  <c r="K76" i="59"/>
  <c r="L76" i="59"/>
  <c r="M76" i="59"/>
  <c r="K77" i="59"/>
  <c r="L77" i="59"/>
  <c r="M77" i="59"/>
  <c r="K78" i="59"/>
  <c r="L78" i="59"/>
  <c r="M78" i="59"/>
  <c r="K79" i="59"/>
  <c r="L79" i="59"/>
  <c r="M79" i="59"/>
  <c r="K80" i="59"/>
  <c r="L80" i="59"/>
  <c r="M80" i="59"/>
  <c r="K81" i="59"/>
  <c r="L81" i="59"/>
  <c r="M81" i="59"/>
  <c r="K82" i="59"/>
  <c r="L82" i="59"/>
  <c r="M82" i="59"/>
  <c r="K83" i="59"/>
  <c r="L83" i="59"/>
  <c r="M83" i="59"/>
  <c r="K84" i="59"/>
  <c r="L84" i="59"/>
  <c r="M84" i="59"/>
  <c r="K85" i="59"/>
  <c r="L85" i="59"/>
  <c r="M85" i="59"/>
  <c r="K86" i="59"/>
  <c r="L86" i="59"/>
  <c r="M86" i="59"/>
  <c r="K87" i="59"/>
  <c r="L87" i="59"/>
  <c r="M87" i="59"/>
  <c r="K88" i="59"/>
  <c r="L88" i="59"/>
  <c r="M88" i="59"/>
  <c r="K89" i="59"/>
  <c r="L89" i="59"/>
  <c r="M89" i="59"/>
  <c r="K90" i="59"/>
  <c r="L90" i="59"/>
  <c r="M90" i="59"/>
  <c r="K91" i="59"/>
  <c r="L91" i="59"/>
  <c r="M91" i="59"/>
  <c r="O154" i="59"/>
  <c r="P287" i="59"/>
  <c r="P354" i="59"/>
  <c r="G104" i="59"/>
  <c r="J104" i="59"/>
  <c r="M104" i="59"/>
  <c r="G105" i="59"/>
  <c r="J105" i="59"/>
  <c r="M105" i="59"/>
  <c r="G106" i="59"/>
  <c r="J106" i="59"/>
  <c r="M106" i="59"/>
  <c r="M107" i="59"/>
  <c r="M108" i="59"/>
  <c r="M109" i="59"/>
  <c r="M110" i="59"/>
  <c r="M111" i="59"/>
  <c r="M112" i="59"/>
  <c r="M113" i="59"/>
  <c r="M114" i="59"/>
  <c r="M115" i="59"/>
  <c r="M116" i="59"/>
  <c r="M117" i="59"/>
  <c r="M118" i="59"/>
  <c r="M119" i="59"/>
  <c r="M120" i="59"/>
  <c r="M121" i="59"/>
  <c r="M122" i="59"/>
  <c r="M123" i="59"/>
  <c r="M124" i="59"/>
  <c r="M125" i="59"/>
  <c r="M126" i="59"/>
  <c r="M127" i="59"/>
  <c r="M128" i="59"/>
  <c r="M129" i="59"/>
  <c r="M130" i="59"/>
  <c r="M131" i="59"/>
  <c r="M132" i="59"/>
  <c r="M133" i="59"/>
  <c r="M134" i="59"/>
  <c r="M135" i="59"/>
  <c r="M136" i="59"/>
  <c r="M137" i="59"/>
  <c r="M138" i="59"/>
  <c r="M139" i="59"/>
  <c r="M140" i="59"/>
  <c r="M141" i="59"/>
  <c r="M142" i="59"/>
  <c r="M143" i="59"/>
  <c r="M144" i="59"/>
  <c r="M145" i="59"/>
  <c r="M146" i="59"/>
  <c r="M147" i="59"/>
  <c r="M148" i="59"/>
  <c r="M149" i="59"/>
  <c r="M150" i="59"/>
  <c r="M151" i="59"/>
  <c r="M152" i="59"/>
  <c r="M153" i="59"/>
  <c r="H237" i="59"/>
  <c r="K237" i="59"/>
  <c r="N237" i="59"/>
  <c r="N238" i="59"/>
  <c r="N239" i="59"/>
  <c r="N240" i="59"/>
  <c r="N241" i="59"/>
  <c r="N242" i="59"/>
  <c r="N243" i="59"/>
  <c r="N244" i="59"/>
  <c r="N245" i="59"/>
  <c r="N246" i="59"/>
  <c r="N247" i="59"/>
  <c r="N248" i="59"/>
  <c r="N249" i="59"/>
  <c r="N250" i="59"/>
  <c r="N251" i="59"/>
  <c r="N252" i="59"/>
  <c r="N253" i="59"/>
  <c r="N254" i="59"/>
  <c r="N255" i="59"/>
  <c r="N256" i="59"/>
  <c r="N257" i="59"/>
  <c r="N258" i="59"/>
  <c r="N259" i="59"/>
  <c r="N260" i="59"/>
  <c r="N261" i="59"/>
  <c r="N262" i="59"/>
  <c r="N263" i="59"/>
  <c r="N264" i="59"/>
  <c r="N265" i="59"/>
  <c r="N266" i="59"/>
  <c r="N267" i="59"/>
  <c r="N268" i="59"/>
  <c r="N269" i="59"/>
  <c r="N270" i="59"/>
  <c r="N271" i="59"/>
  <c r="N272" i="59"/>
  <c r="N273" i="59"/>
  <c r="N274" i="59"/>
  <c r="N275" i="59"/>
  <c r="N276" i="59"/>
  <c r="O276" i="59" s="1"/>
  <c r="N277" i="59"/>
  <c r="N278" i="59"/>
  <c r="N279" i="59"/>
  <c r="N280" i="59"/>
  <c r="N281" i="59"/>
  <c r="N282" i="59"/>
  <c r="N283" i="59"/>
  <c r="N284" i="59"/>
  <c r="N285" i="59"/>
  <c r="N286" i="59"/>
  <c r="H170" i="59"/>
  <c r="N170" i="59" s="1"/>
  <c r="K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I104" i="59"/>
  <c r="L104" i="59"/>
  <c r="I105" i="59"/>
  <c r="L105" i="59"/>
  <c r="I106" i="59"/>
  <c r="L106" i="59"/>
  <c r="L107" i="59"/>
  <c r="L108" i="59"/>
  <c r="L109" i="59"/>
  <c r="L110" i="59"/>
  <c r="L111" i="59"/>
  <c r="L112" i="59"/>
  <c r="L113" i="59"/>
  <c r="L114" i="59"/>
  <c r="L115" i="59"/>
  <c r="L116" i="59"/>
  <c r="L117" i="59"/>
  <c r="L118" i="59"/>
  <c r="L119" i="59"/>
  <c r="L120" i="59"/>
  <c r="L121" i="59"/>
  <c r="L122" i="59"/>
  <c r="L123" i="59"/>
  <c r="L124" i="59"/>
  <c r="L125" i="59"/>
  <c r="L126" i="59"/>
  <c r="L127" i="59"/>
  <c r="L128" i="59"/>
  <c r="L129" i="59"/>
  <c r="L130" i="59"/>
  <c r="L131" i="59"/>
  <c r="L132" i="59"/>
  <c r="L133" i="59"/>
  <c r="L134" i="59"/>
  <c r="L135" i="59"/>
  <c r="L136" i="59"/>
  <c r="L137" i="59"/>
  <c r="L138" i="59"/>
  <c r="L139" i="59"/>
  <c r="L140" i="59"/>
  <c r="L141" i="59"/>
  <c r="L142" i="59"/>
  <c r="L143" i="59"/>
  <c r="L144" i="59"/>
  <c r="L145" i="59"/>
  <c r="L146" i="59"/>
  <c r="L147" i="59"/>
  <c r="L148" i="59"/>
  <c r="L149" i="59"/>
  <c r="L150" i="59"/>
  <c r="L151" i="59"/>
  <c r="L152" i="59"/>
  <c r="L153" i="59"/>
  <c r="J237" i="59"/>
  <c r="M237" i="59"/>
  <c r="M238" i="59"/>
  <c r="M239" i="59"/>
  <c r="M240" i="59"/>
  <c r="M241" i="59"/>
  <c r="M242" i="59"/>
  <c r="M243" i="59"/>
  <c r="M244" i="59"/>
  <c r="M245" i="59"/>
  <c r="M246" i="59"/>
  <c r="M247" i="59"/>
  <c r="M248" i="59"/>
  <c r="M249" i="59"/>
  <c r="M250" i="59"/>
  <c r="M251" i="59"/>
  <c r="M252" i="59"/>
  <c r="M253" i="59"/>
  <c r="M254" i="59"/>
  <c r="M255" i="59"/>
  <c r="M256" i="59"/>
  <c r="M257" i="59"/>
  <c r="M258" i="59"/>
  <c r="M259" i="59"/>
  <c r="M260" i="59"/>
  <c r="M261" i="59"/>
  <c r="M262" i="59"/>
  <c r="M263" i="59"/>
  <c r="M264" i="59"/>
  <c r="M265" i="59"/>
  <c r="M266" i="59"/>
  <c r="M267" i="59"/>
  <c r="M268" i="59"/>
  <c r="M269" i="59"/>
  <c r="M270" i="59"/>
  <c r="M271" i="59"/>
  <c r="M272" i="59"/>
  <c r="M273" i="59"/>
  <c r="M274" i="59"/>
  <c r="M275" i="59"/>
  <c r="M276" i="59"/>
  <c r="M277" i="59"/>
  <c r="M278" i="59"/>
  <c r="M279" i="59"/>
  <c r="M280" i="59"/>
  <c r="M281" i="59"/>
  <c r="M282" i="59"/>
  <c r="M283" i="59"/>
  <c r="M284" i="59"/>
  <c r="M285" i="59"/>
  <c r="M286" i="59"/>
  <c r="J170" i="59"/>
  <c r="M171" i="59"/>
  <c r="M172" i="59"/>
  <c r="M173" i="59"/>
  <c r="M174" i="59"/>
  <c r="M175" i="59"/>
  <c r="M176" i="59"/>
  <c r="M177" i="59"/>
  <c r="M178" i="59"/>
  <c r="M179" i="59"/>
  <c r="M180" i="59"/>
  <c r="M181" i="59"/>
  <c r="M182" i="59"/>
  <c r="M183" i="59"/>
  <c r="M184" i="59"/>
  <c r="M185" i="59"/>
  <c r="M186" i="59"/>
  <c r="M187" i="59"/>
  <c r="M188" i="59"/>
  <c r="M189" i="59"/>
  <c r="M190" i="59"/>
  <c r="M191" i="59"/>
  <c r="M192" i="59"/>
  <c r="M193" i="59"/>
  <c r="M194" i="59"/>
  <c r="M195" i="59"/>
  <c r="M196" i="59"/>
  <c r="M197" i="59"/>
  <c r="M198" i="59"/>
  <c r="M199" i="59"/>
  <c r="M200" i="59"/>
  <c r="M201" i="59"/>
  <c r="M202" i="59"/>
  <c r="M203" i="59"/>
  <c r="M204" i="59"/>
  <c r="M205" i="59"/>
  <c r="M206" i="59"/>
  <c r="M207" i="59"/>
  <c r="M208" i="59"/>
  <c r="M209" i="59"/>
  <c r="M210" i="59"/>
  <c r="M211" i="59"/>
  <c r="M212" i="59"/>
  <c r="M213" i="59"/>
  <c r="M214" i="59"/>
  <c r="M215" i="59"/>
  <c r="M216" i="59"/>
  <c r="M217" i="59"/>
  <c r="M218" i="59"/>
  <c r="M219" i="59"/>
  <c r="H104" i="59"/>
  <c r="K104" i="59"/>
  <c r="H105" i="59"/>
  <c r="K105" i="59"/>
  <c r="H106" i="59"/>
  <c r="K106" i="59"/>
  <c r="K107" i="59"/>
  <c r="K108" i="59"/>
  <c r="K109" i="59"/>
  <c r="N109" i="59" s="1"/>
  <c r="K110" i="59"/>
  <c r="K111" i="59"/>
  <c r="K112" i="59"/>
  <c r="K113" i="59"/>
  <c r="N113" i="59" s="1"/>
  <c r="K114" i="59"/>
  <c r="K115" i="59"/>
  <c r="K116" i="59"/>
  <c r="K117" i="59"/>
  <c r="N117" i="59" s="1"/>
  <c r="K118" i="59"/>
  <c r="K119" i="59"/>
  <c r="K120" i="59"/>
  <c r="K121" i="59"/>
  <c r="N121" i="59" s="1"/>
  <c r="K122" i="59"/>
  <c r="K123" i="59"/>
  <c r="K124" i="59"/>
  <c r="K125" i="59"/>
  <c r="N125" i="59" s="1"/>
  <c r="K126" i="59"/>
  <c r="K127" i="59"/>
  <c r="K128" i="59"/>
  <c r="K129" i="59"/>
  <c r="N129" i="59" s="1"/>
  <c r="K130" i="59"/>
  <c r="K131" i="59"/>
  <c r="K132" i="59"/>
  <c r="K133" i="59"/>
  <c r="N133" i="59" s="1"/>
  <c r="K134" i="59"/>
  <c r="K135" i="59"/>
  <c r="K136" i="59"/>
  <c r="K137" i="59"/>
  <c r="N137" i="59" s="1"/>
  <c r="K138" i="59"/>
  <c r="K139" i="59"/>
  <c r="K140" i="59"/>
  <c r="K141" i="59"/>
  <c r="N141" i="59" s="1"/>
  <c r="K142" i="59"/>
  <c r="K143" i="59"/>
  <c r="K144" i="59"/>
  <c r="K145" i="59"/>
  <c r="N145" i="59" s="1"/>
  <c r="K146" i="59"/>
  <c r="K147" i="59"/>
  <c r="K148" i="59"/>
  <c r="K149" i="59"/>
  <c r="N149" i="59" s="1"/>
  <c r="K150" i="59"/>
  <c r="K151" i="59"/>
  <c r="K152" i="59"/>
  <c r="K153" i="59"/>
  <c r="N153" i="59" s="1"/>
  <c r="I237" i="59"/>
  <c r="L237" i="59"/>
  <c r="L238" i="59"/>
  <c r="L239" i="59"/>
  <c r="L240" i="59"/>
  <c r="L241" i="59"/>
  <c r="L242" i="59"/>
  <c r="L243" i="59"/>
  <c r="L244" i="59"/>
  <c r="L245" i="59"/>
  <c r="L246" i="59"/>
  <c r="L247" i="59"/>
  <c r="L248" i="59"/>
  <c r="L249" i="59"/>
  <c r="L250" i="59"/>
  <c r="L251" i="59"/>
  <c r="L252" i="59"/>
  <c r="L253" i="59"/>
  <c r="L254" i="59"/>
  <c r="L255" i="59"/>
  <c r="L256" i="59"/>
  <c r="L257" i="59"/>
  <c r="L258" i="59"/>
  <c r="L259" i="59"/>
  <c r="L260" i="59"/>
  <c r="L261" i="59"/>
  <c r="L262" i="59"/>
  <c r="L263" i="59"/>
  <c r="L264" i="59"/>
  <c r="L265" i="59"/>
  <c r="L266" i="59"/>
  <c r="L267" i="59"/>
  <c r="L268" i="59"/>
  <c r="L269" i="59"/>
  <c r="L270" i="59"/>
  <c r="L271" i="59"/>
  <c r="L272" i="59"/>
  <c r="L273" i="59"/>
  <c r="L274" i="59"/>
  <c r="L275" i="59"/>
  <c r="L276" i="59"/>
  <c r="L277" i="59"/>
  <c r="L278" i="59"/>
  <c r="L279" i="59"/>
  <c r="L280" i="59"/>
  <c r="L281" i="59"/>
  <c r="L282" i="59"/>
  <c r="L283" i="59"/>
  <c r="O283" i="59" s="1"/>
  <c r="L284" i="59"/>
  <c r="L285" i="59"/>
  <c r="L286" i="59"/>
  <c r="L171" i="59"/>
  <c r="L172" i="59"/>
  <c r="O172" i="59" s="1"/>
  <c r="L173" i="59"/>
  <c r="O173" i="59" s="1"/>
  <c r="L174" i="59"/>
  <c r="O174" i="59" s="1"/>
  <c r="L175" i="59"/>
  <c r="L176" i="59"/>
  <c r="O176" i="59" s="1"/>
  <c r="L177" i="59"/>
  <c r="O177" i="59" s="1"/>
  <c r="L178" i="59"/>
  <c r="O178" i="59" s="1"/>
  <c r="L179" i="59"/>
  <c r="L180" i="59"/>
  <c r="O180" i="59" s="1"/>
  <c r="L181" i="59"/>
  <c r="O181" i="59" s="1"/>
  <c r="L182" i="59"/>
  <c r="O182" i="59" s="1"/>
  <c r="L183" i="59"/>
  <c r="L184" i="59"/>
  <c r="O184" i="59" s="1"/>
  <c r="L185" i="59"/>
  <c r="O185" i="59" s="1"/>
  <c r="L186" i="59"/>
  <c r="O186" i="59" s="1"/>
  <c r="L187" i="59"/>
  <c r="L188" i="59"/>
  <c r="O188" i="59" s="1"/>
  <c r="L189" i="59"/>
  <c r="O189" i="59" s="1"/>
  <c r="L190" i="59"/>
  <c r="O190" i="59" s="1"/>
  <c r="L191" i="59"/>
  <c r="L192" i="59"/>
  <c r="O192" i="59" s="1"/>
  <c r="L193" i="59"/>
  <c r="O193" i="59" s="1"/>
  <c r="L194" i="59"/>
  <c r="O194" i="59" s="1"/>
  <c r="L195" i="59"/>
  <c r="L196" i="59"/>
  <c r="O196" i="59" s="1"/>
  <c r="L197" i="59"/>
  <c r="L198" i="59"/>
  <c r="O198" i="59" s="1"/>
  <c r="L199" i="59"/>
  <c r="L200" i="59"/>
  <c r="O200" i="59" s="1"/>
  <c r="L201" i="59"/>
  <c r="O201" i="59" s="1"/>
  <c r="L202" i="59"/>
  <c r="O202" i="59" s="1"/>
  <c r="L203" i="59"/>
  <c r="L204" i="59"/>
  <c r="O204" i="59" s="1"/>
  <c r="L205" i="59"/>
  <c r="O205" i="59" s="1"/>
  <c r="L206" i="59"/>
  <c r="O206" i="59" s="1"/>
  <c r="L207" i="59"/>
  <c r="L208" i="59"/>
  <c r="O208" i="59" s="1"/>
  <c r="L209" i="59"/>
  <c r="O209" i="59" s="1"/>
  <c r="L210" i="59"/>
  <c r="O210" i="59" s="1"/>
  <c r="L211" i="59"/>
  <c r="L212" i="59"/>
  <c r="O212" i="59" s="1"/>
  <c r="L213" i="59"/>
  <c r="O213" i="59" s="1"/>
  <c r="L214" i="59"/>
  <c r="O214" i="59" s="1"/>
  <c r="L215" i="59"/>
  <c r="L216" i="59"/>
  <c r="O216" i="59" s="1"/>
  <c r="L217" i="59"/>
  <c r="O217" i="59" s="1"/>
  <c r="L218" i="59"/>
  <c r="O218" i="59" s="1"/>
  <c r="L219" i="59"/>
  <c r="P220" i="59"/>
  <c r="N104" i="59"/>
  <c r="O197" i="59"/>
  <c r="O264" i="59"/>
  <c r="O310" i="59"/>
  <c r="O321" i="59"/>
  <c r="O328" i="59"/>
  <c r="O336" i="59"/>
  <c r="O344" i="59"/>
  <c r="O352" i="59"/>
  <c r="K353" i="59"/>
  <c r="J353" i="59"/>
  <c r="I353" i="59"/>
  <c r="H353" i="59"/>
  <c r="K352" i="59"/>
  <c r="J352" i="59"/>
  <c r="I352" i="59"/>
  <c r="H352" i="59"/>
  <c r="K351" i="59"/>
  <c r="J351" i="59"/>
  <c r="I351" i="59"/>
  <c r="H351" i="59"/>
  <c r="K350" i="59"/>
  <c r="J350" i="59"/>
  <c r="I350" i="59"/>
  <c r="H350" i="59"/>
  <c r="K349" i="59"/>
  <c r="J349" i="59"/>
  <c r="I349" i="59"/>
  <c r="H349" i="59"/>
  <c r="K348" i="59"/>
  <c r="J348" i="59"/>
  <c r="I348" i="59"/>
  <c r="H348" i="59"/>
  <c r="K347" i="59"/>
  <c r="J347" i="59"/>
  <c r="I347" i="59"/>
  <c r="H347" i="59"/>
  <c r="K346" i="59"/>
  <c r="J346" i="59"/>
  <c r="I346" i="59"/>
  <c r="H346" i="59"/>
  <c r="K345" i="59"/>
  <c r="J345" i="59"/>
  <c r="I345" i="59"/>
  <c r="H345" i="59"/>
  <c r="K344" i="59"/>
  <c r="J344" i="59"/>
  <c r="I344" i="59"/>
  <c r="H344" i="59"/>
  <c r="K343" i="59"/>
  <c r="J343" i="59"/>
  <c r="I343" i="59"/>
  <c r="H343" i="59"/>
  <c r="K342" i="59"/>
  <c r="J342" i="59"/>
  <c r="I342" i="59"/>
  <c r="H342" i="59"/>
  <c r="K341" i="59"/>
  <c r="J341" i="59"/>
  <c r="I341" i="59"/>
  <c r="H341" i="59"/>
  <c r="K340" i="59"/>
  <c r="J340" i="59"/>
  <c r="I340" i="59"/>
  <c r="H340" i="59"/>
  <c r="K339" i="59"/>
  <c r="J339" i="59"/>
  <c r="I339" i="59"/>
  <c r="H339" i="59"/>
  <c r="K338" i="59"/>
  <c r="J338" i="59"/>
  <c r="I338" i="59"/>
  <c r="H338" i="59"/>
  <c r="K337" i="59"/>
  <c r="J337" i="59"/>
  <c r="I337" i="59"/>
  <c r="H337" i="59"/>
  <c r="K336" i="59"/>
  <c r="J336" i="59"/>
  <c r="I336" i="59"/>
  <c r="H336" i="59"/>
  <c r="K335" i="59"/>
  <c r="J335" i="59"/>
  <c r="I335" i="59"/>
  <c r="H335" i="59"/>
  <c r="K334" i="59"/>
  <c r="J334" i="59"/>
  <c r="I334" i="59"/>
  <c r="H334" i="59"/>
  <c r="K333" i="59"/>
  <c r="J333" i="59"/>
  <c r="I333" i="59"/>
  <c r="H333" i="59"/>
  <c r="K332" i="59"/>
  <c r="J332" i="59"/>
  <c r="I332" i="59"/>
  <c r="H332" i="59"/>
  <c r="K331" i="59"/>
  <c r="J331" i="59"/>
  <c r="I331" i="59"/>
  <c r="H331" i="59"/>
  <c r="K330" i="59"/>
  <c r="J330" i="59"/>
  <c r="I330" i="59"/>
  <c r="H330" i="59"/>
  <c r="K329" i="59"/>
  <c r="J329" i="59"/>
  <c r="I329" i="59"/>
  <c r="H329" i="59"/>
  <c r="K328" i="59"/>
  <c r="J328" i="59"/>
  <c r="I328" i="59"/>
  <c r="H328" i="59"/>
  <c r="K327" i="59"/>
  <c r="J327" i="59"/>
  <c r="I327" i="59"/>
  <c r="H327" i="59"/>
  <c r="K326" i="59"/>
  <c r="J326" i="59"/>
  <c r="I326" i="59"/>
  <c r="H326" i="59"/>
  <c r="K325" i="59"/>
  <c r="J325" i="59"/>
  <c r="I325" i="59"/>
  <c r="H325" i="59"/>
  <c r="K324" i="59"/>
  <c r="J324" i="59"/>
  <c r="I324" i="59"/>
  <c r="H324" i="59"/>
  <c r="K323" i="59"/>
  <c r="J323" i="59"/>
  <c r="I323" i="59"/>
  <c r="H323" i="59"/>
  <c r="K322" i="59"/>
  <c r="J322" i="59"/>
  <c r="I322" i="59"/>
  <c r="H322" i="59"/>
  <c r="K321" i="59"/>
  <c r="J321" i="59"/>
  <c r="I321" i="59"/>
  <c r="H321" i="59"/>
  <c r="K320" i="59"/>
  <c r="J320" i="59"/>
  <c r="I320" i="59"/>
  <c r="H320" i="59"/>
  <c r="K319" i="59"/>
  <c r="J319" i="59"/>
  <c r="I319" i="59"/>
  <c r="H319" i="59"/>
  <c r="K318" i="59"/>
  <c r="J318" i="59"/>
  <c r="I318" i="59"/>
  <c r="H318" i="59"/>
  <c r="K317" i="59"/>
  <c r="J317" i="59"/>
  <c r="I317" i="59"/>
  <c r="H317" i="59"/>
  <c r="K316" i="59"/>
  <c r="J316" i="59"/>
  <c r="I316" i="59"/>
  <c r="H316" i="59"/>
  <c r="K315" i="59"/>
  <c r="J315" i="59"/>
  <c r="I315" i="59"/>
  <c r="H315" i="59"/>
  <c r="K314" i="59"/>
  <c r="J314" i="59"/>
  <c r="I314" i="59"/>
  <c r="H314" i="59"/>
  <c r="K313" i="59"/>
  <c r="J313" i="59"/>
  <c r="I313" i="59"/>
  <c r="H313" i="59"/>
  <c r="K312" i="59"/>
  <c r="J312" i="59"/>
  <c r="I312" i="59"/>
  <c r="H312" i="59"/>
  <c r="K311" i="59"/>
  <c r="J311" i="59"/>
  <c r="I311" i="59"/>
  <c r="H311" i="59"/>
  <c r="K310" i="59"/>
  <c r="J310" i="59"/>
  <c r="I310" i="59"/>
  <c r="H310" i="59"/>
  <c r="K309" i="59"/>
  <c r="J309" i="59"/>
  <c r="I309" i="59"/>
  <c r="H309" i="59"/>
  <c r="K308" i="59"/>
  <c r="J308" i="59"/>
  <c r="I308" i="59"/>
  <c r="H308" i="59"/>
  <c r="K307" i="59"/>
  <c r="J307" i="59"/>
  <c r="I307" i="59"/>
  <c r="H307" i="59"/>
  <c r="K286" i="59"/>
  <c r="J286" i="59"/>
  <c r="I286" i="59"/>
  <c r="H286" i="59"/>
  <c r="K285" i="59"/>
  <c r="J285" i="59"/>
  <c r="I285" i="59"/>
  <c r="H285" i="59"/>
  <c r="K284" i="59"/>
  <c r="J284" i="59"/>
  <c r="I284" i="59"/>
  <c r="H284" i="59"/>
  <c r="K283" i="59"/>
  <c r="J283" i="59"/>
  <c r="I283" i="59"/>
  <c r="H283" i="59"/>
  <c r="K282" i="59"/>
  <c r="J282" i="59"/>
  <c r="I282" i="59"/>
  <c r="H282" i="59"/>
  <c r="K281" i="59"/>
  <c r="J281" i="59"/>
  <c r="I281" i="59"/>
  <c r="H281" i="59"/>
  <c r="K280" i="59"/>
  <c r="J280" i="59"/>
  <c r="I280" i="59"/>
  <c r="H280" i="59"/>
  <c r="K279" i="59"/>
  <c r="J279" i="59"/>
  <c r="I279" i="59"/>
  <c r="H279" i="59"/>
  <c r="K278" i="59"/>
  <c r="J278" i="59"/>
  <c r="I278" i="59"/>
  <c r="H278" i="59"/>
  <c r="K277" i="59"/>
  <c r="J277" i="59"/>
  <c r="I277" i="59"/>
  <c r="H277" i="59"/>
  <c r="K276" i="59"/>
  <c r="J276" i="59"/>
  <c r="I276" i="59"/>
  <c r="H276" i="59"/>
  <c r="K275" i="59"/>
  <c r="J275" i="59"/>
  <c r="I275" i="59"/>
  <c r="H275" i="59"/>
  <c r="K274" i="59"/>
  <c r="J274" i="59"/>
  <c r="I274" i="59"/>
  <c r="H274" i="59"/>
  <c r="K273" i="59"/>
  <c r="J273" i="59"/>
  <c r="I273" i="59"/>
  <c r="H273" i="59"/>
  <c r="K272" i="59"/>
  <c r="J272" i="59"/>
  <c r="I272" i="59"/>
  <c r="H272" i="59"/>
  <c r="K271" i="59"/>
  <c r="J271" i="59"/>
  <c r="I271" i="59"/>
  <c r="H271" i="59"/>
  <c r="K270" i="59"/>
  <c r="J270" i="59"/>
  <c r="I270" i="59"/>
  <c r="H270" i="59"/>
  <c r="K269" i="59"/>
  <c r="J269" i="59"/>
  <c r="I269" i="59"/>
  <c r="H269" i="59"/>
  <c r="K268" i="59"/>
  <c r="J268" i="59"/>
  <c r="I268" i="59"/>
  <c r="H268" i="59"/>
  <c r="K267" i="59"/>
  <c r="J267" i="59"/>
  <c r="I267" i="59"/>
  <c r="H267" i="59"/>
  <c r="K266" i="59"/>
  <c r="J266" i="59"/>
  <c r="I266" i="59"/>
  <c r="H266" i="59"/>
  <c r="K265" i="59"/>
  <c r="J265" i="59"/>
  <c r="I265" i="59"/>
  <c r="H265" i="59"/>
  <c r="K264" i="59"/>
  <c r="J264" i="59"/>
  <c r="I264" i="59"/>
  <c r="H264" i="59"/>
  <c r="K263" i="59"/>
  <c r="J263" i="59"/>
  <c r="I263" i="59"/>
  <c r="H263" i="59"/>
  <c r="K262" i="59"/>
  <c r="J262" i="59"/>
  <c r="I262" i="59"/>
  <c r="H262" i="59"/>
  <c r="K261" i="59"/>
  <c r="J261" i="59"/>
  <c r="I261" i="59"/>
  <c r="H261" i="59"/>
  <c r="K260" i="59"/>
  <c r="J260" i="59"/>
  <c r="I260" i="59"/>
  <c r="H260" i="59"/>
  <c r="K259" i="59"/>
  <c r="J259" i="59"/>
  <c r="I259" i="59"/>
  <c r="H259" i="59"/>
  <c r="K258" i="59"/>
  <c r="J258" i="59"/>
  <c r="I258" i="59"/>
  <c r="H258" i="59"/>
  <c r="K257" i="59"/>
  <c r="J257" i="59"/>
  <c r="I257" i="59"/>
  <c r="H257" i="59"/>
  <c r="K256" i="59"/>
  <c r="J256" i="59"/>
  <c r="I256" i="59"/>
  <c r="H256" i="59"/>
  <c r="K255" i="59"/>
  <c r="J255" i="59"/>
  <c r="I255" i="59"/>
  <c r="H255" i="59"/>
  <c r="K254" i="59"/>
  <c r="J254" i="59"/>
  <c r="I254" i="59"/>
  <c r="H254" i="59"/>
  <c r="K253" i="59"/>
  <c r="J253" i="59"/>
  <c r="I253" i="59"/>
  <c r="H253" i="59"/>
  <c r="K252" i="59"/>
  <c r="J252" i="59"/>
  <c r="I252" i="59"/>
  <c r="H252" i="59"/>
  <c r="K251" i="59"/>
  <c r="J251" i="59"/>
  <c r="I251" i="59"/>
  <c r="H251" i="59"/>
  <c r="K250" i="59"/>
  <c r="J250" i="59"/>
  <c r="I250" i="59"/>
  <c r="H250" i="59"/>
  <c r="K249" i="59"/>
  <c r="J249" i="59"/>
  <c r="I249" i="59"/>
  <c r="H249" i="59"/>
  <c r="K248" i="59"/>
  <c r="J248" i="59"/>
  <c r="I248" i="59"/>
  <c r="H248" i="59"/>
  <c r="K247" i="59"/>
  <c r="J247" i="59"/>
  <c r="I247" i="59"/>
  <c r="H247" i="59"/>
  <c r="K246" i="59"/>
  <c r="J246" i="59"/>
  <c r="I246" i="59"/>
  <c r="H246" i="59"/>
  <c r="K245" i="59"/>
  <c r="J245" i="59"/>
  <c r="I245" i="59"/>
  <c r="H245" i="59"/>
  <c r="K244" i="59"/>
  <c r="J244" i="59"/>
  <c r="I244" i="59"/>
  <c r="H244" i="59"/>
  <c r="K243" i="59"/>
  <c r="J243" i="59"/>
  <c r="I243" i="59"/>
  <c r="H243" i="59"/>
  <c r="K242" i="59"/>
  <c r="J242" i="59"/>
  <c r="I242" i="59"/>
  <c r="H242" i="59"/>
  <c r="K241" i="59"/>
  <c r="J241" i="59"/>
  <c r="I241" i="59"/>
  <c r="H241" i="59"/>
  <c r="K240" i="59"/>
  <c r="J240" i="59"/>
  <c r="I240" i="59"/>
  <c r="H240" i="59"/>
  <c r="K239" i="59"/>
  <c r="J239" i="59"/>
  <c r="I239" i="59"/>
  <c r="H239" i="59"/>
  <c r="K238" i="59"/>
  <c r="J238" i="59"/>
  <c r="I238" i="59"/>
  <c r="H238" i="59"/>
  <c r="K219" i="59"/>
  <c r="J219" i="59"/>
  <c r="I219" i="59"/>
  <c r="H219" i="59"/>
  <c r="K218" i="59"/>
  <c r="J218" i="59"/>
  <c r="I218" i="59"/>
  <c r="H218" i="59"/>
  <c r="K217" i="59"/>
  <c r="J217" i="59"/>
  <c r="I217" i="59"/>
  <c r="H217" i="59"/>
  <c r="K216" i="59"/>
  <c r="J216" i="59"/>
  <c r="I216" i="59"/>
  <c r="H216" i="59"/>
  <c r="K215" i="59"/>
  <c r="J215" i="59"/>
  <c r="I215" i="59"/>
  <c r="H215" i="59"/>
  <c r="K214" i="59"/>
  <c r="J214" i="59"/>
  <c r="I214" i="59"/>
  <c r="H214" i="59"/>
  <c r="K213" i="59"/>
  <c r="J213" i="59"/>
  <c r="I213" i="59"/>
  <c r="H213" i="59"/>
  <c r="K212" i="59"/>
  <c r="J212" i="59"/>
  <c r="I212" i="59"/>
  <c r="H212" i="59"/>
  <c r="K211" i="59"/>
  <c r="J211" i="59"/>
  <c r="I211" i="59"/>
  <c r="H211" i="59"/>
  <c r="K210" i="59"/>
  <c r="J210" i="59"/>
  <c r="I210" i="59"/>
  <c r="H210" i="59"/>
  <c r="K209" i="59"/>
  <c r="J209" i="59"/>
  <c r="I209" i="59"/>
  <c r="H209" i="59"/>
  <c r="K208" i="59"/>
  <c r="J208" i="59"/>
  <c r="I208" i="59"/>
  <c r="H208" i="59"/>
  <c r="K207" i="59"/>
  <c r="J207" i="59"/>
  <c r="I207" i="59"/>
  <c r="H207" i="59"/>
  <c r="K206" i="59"/>
  <c r="J206" i="59"/>
  <c r="I206" i="59"/>
  <c r="H206" i="59"/>
  <c r="K205" i="59"/>
  <c r="J205" i="59"/>
  <c r="I205" i="59"/>
  <c r="H205" i="59"/>
  <c r="K204" i="59"/>
  <c r="J204" i="59"/>
  <c r="I204" i="59"/>
  <c r="H204" i="59"/>
  <c r="K203" i="59"/>
  <c r="J203" i="59"/>
  <c r="I203" i="59"/>
  <c r="H203" i="59"/>
  <c r="K202" i="59"/>
  <c r="J202" i="59"/>
  <c r="I202" i="59"/>
  <c r="H202" i="59"/>
  <c r="K201" i="59"/>
  <c r="J201" i="59"/>
  <c r="I201" i="59"/>
  <c r="H201" i="59"/>
  <c r="K200" i="59"/>
  <c r="J200" i="59"/>
  <c r="I200" i="59"/>
  <c r="H200" i="59"/>
  <c r="K199" i="59"/>
  <c r="J199" i="59"/>
  <c r="I199" i="59"/>
  <c r="H199" i="59"/>
  <c r="K198" i="59"/>
  <c r="J198" i="59"/>
  <c r="I198" i="59"/>
  <c r="H198" i="59"/>
  <c r="K197" i="59"/>
  <c r="J197" i="59"/>
  <c r="I197" i="59"/>
  <c r="H197" i="59"/>
  <c r="K196" i="59"/>
  <c r="J196" i="59"/>
  <c r="I196" i="59"/>
  <c r="H196" i="59"/>
  <c r="K195" i="59"/>
  <c r="J195" i="59"/>
  <c r="I195" i="59"/>
  <c r="H195" i="59"/>
  <c r="K194" i="59"/>
  <c r="J194" i="59"/>
  <c r="I194" i="59"/>
  <c r="H194" i="59"/>
  <c r="K193" i="59"/>
  <c r="J193" i="59"/>
  <c r="I193" i="59"/>
  <c r="H193" i="59"/>
  <c r="K192" i="59"/>
  <c r="J192" i="59"/>
  <c r="I192" i="59"/>
  <c r="H192" i="59"/>
  <c r="K191" i="59"/>
  <c r="J191" i="59"/>
  <c r="I191" i="59"/>
  <c r="H191" i="59"/>
  <c r="K190" i="59"/>
  <c r="J190" i="59"/>
  <c r="I190" i="59"/>
  <c r="H190" i="59"/>
  <c r="K189" i="59"/>
  <c r="J189" i="59"/>
  <c r="I189" i="59"/>
  <c r="H189" i="59"/>
  <c r="K188" i="59"/>
  <c r="J188" i="59"/>
  <c r="I188" i="59"/>
  <c r="H188" i="59"/>
  <c r="K187" i="59"/>
  <c r="J187" i="59"/>
  <c r="I187" i="59"/>
  <c r="H187" i="59"/>
  <c r="K186" i="59"/>
  <c r="J186" i="59"/>
  <c r="I186" i="59"/>
  <c r="H186" i="59"/>
  <c r="K185" i="59"/>
  <c r="J185" i="59"/>
  <c r="I185" i="59"/>
  <c r="H185" i="59"/>
  <c r="K184" i="59"/>
  <c r="J184" i="59"/>
  <c r="I184" i="59"/>
  <c r="H184" i="59"/>
  <c r="K183" i="59"/>
  <c r="J183" i="59"/>
  <c r="I183" i="59"/>
  <c r="H183" i="59"/>
  <c r="K182" i="59"/>
  <c r="J182" i="59"/>
  <c r="I182" i="59"/>
  <c r="H182" i="59"/>
  <c r="K181" i="59"/>
  <c r="J181" i="59"/>
  <c r="I181" i="59"/>
  <c r="H181" i="59"/>
  <c r="K180" i="59"/>
  <c r="J180" i="59"/>
  <c r="I180" i="59"/>
  <c r="H180" i="59"/>
  <c r="K179" i="59"/>
  <c r="J179" i="59"/>
  <c r="I179" i="59"/>
  <c r="H179" i="59"/>
  <c r="K178" i="59"/>
  <c r="J178" i="59"/>
  <c r="I178" i="59"/>
  <c r="H178" i="59"/>
  <c r="K177" i="59"/>
  <c r="J177" i="59"/>
  <c r="I177" i="59"/>
  <c r="H177" i="59"/>
  <c r="K176" i="59"/>
  <c r="J176" i="59"/>
  <c r="I176" i="59"/>
  <c r="H176" i="59"/>
  <c r="K175" i="59"/>
  <c r="J175" i="59"/>
  <c r="I175" i="59"/>
  <c r="H175" i="59"/>
  <c r="K174" i="59"/>
  <c r="J174" i="59"/>
  <c r="I174" i="59"/>
  <c r="H174" i="59"/>
  <c r="K173" i="59"/>
  <c r="J173" i="59"/>
  <c r="I173" i="59"/>
  <c r="H173" i="59"/>
  <c r="K172" i="59"/>
  <c r="J172" i="59"/>
  <c r="I172" i="59"/>
  <c r="H172" i="59"/>
  <c r="K171" i="59"/>
  <c r="J171" i="59"/>
  <c r="I171" i="59"/>
  <c r="H171" i="59"/>
  <c r="J153" i="59"/>
  <c r="I153" i="59"/>
  <c r="H153" i="59"/>
  <c r="G153" i="59"/>
  <c r="J152" i="59"/>
  <c r="I152" i="59"/>
  <c r="H152" i="59"/>
  <c r="G152" i="59"/>
  <c r="J151" i="59"/>
  <c r="I151" i="59"/>
  <c r="H151" i="59"/>
  <c r="G151" i="59"/>
  <c r="J150" i="59"/>
  <c r="I150" i="59"/>
  <c r="H150" i="59"/>
  <c r="G150" i="59"/>
  <c r="J149" i="59"/>
  <c r="I149" i="59"/>
  <c r="H149" i="59"/>
  <c r="G149" i="59"/>
  <c r="J148" i="59"/>
  <c r="I148" i="59"/>
  <c r="H148" i="59"/>
  <c r="G148" i="59"/>
  <c r="J147" i="59"/>
  <c r="I147" i="59"/>
  <c r="H147" i="59"/>
  <c r="G147" i="59"/>
  <c r="J146" i="59"/>
  <c r="I146" i="59"/>
  <c r="H146" i="59"/>
  <c r="G146" i="59"/>
  <c r="J145" i="59"/>
  <c r="I145" i="59"/>
  <c r="H145" i="59"/>
  <c r="G145" i="59"/>
  <c r="J144" i="59"/>
  <c r="I144" i="59"/>
  <c r="H144" i="59"/>
  <c r="G144" i="59"/>
  <c r="J143" i="59"/>
  <c r="I143" i="59"/>
  <c r="H143" i="59"/>
  <c r="G143" i="59"/>
  <c r="J142" i="59"/>
  <c r="I142" i="59"/>
  <c r="H142" i="59"/>
  <c r="G142" i="59"/>
  <c r="J141" i="59"/>
  <c r="I141" i="59"/>
  <c r="H141" i="59"/>
  <c r="G141" i="59"/>
  <c r="J140" i="59"/>
  <c r="I140" i="59"/>
  <c r="H140" i="59"/>
  <c r="G140" i="59"/>
  <c r="J139" i="59"/>
  <c r="I139" i="59"/>
  <c r="H139" i="59"/>
  <c r="G139" i="59"/>
  <c r="J138" i="59"/>
  <c r="I138" i="59"/>
  <c r="H138" i="59"/>
  <c r="G138" i="59"/>
  <c r="J137" i="59"/>
  <c r="I137" i="59"/>
  <c r="H137" i="59"/>
  <c r="G137" i="59"/>
  <c r="J136" i="59"/>
  <c r="I136" i="59"/>
  <c r="H136" i="59"/>
  <c r="G136" i="59"/>
  <c r="J135" i="59"/>
  <c r="I135" i="59"/>
  <c r="H135" i="59"/>
  <c r="G135" i="59"/>
  <c r="J134" i="59"/>
  <c r="I134" i="59"/>
  <c r="H134" i="59"/>
  <c r="G134" i="59"/>
  <c r="J133" i="59"/>
  <c r="I133" i="59"/>
  <c r="H133" i="59"/>
  <c r="G133" i="59"/>
  <c r="J132" i="59"/>
  <c r="I132" i="59"/>
  <c r="H132" i="59"/>
  <c r="G132" i="59"/>
  <c r="J131" i="59"/>
  <c r="I131" i="59"/>
  <c r="H131" i="59"/>
  <c r="G131" i="59"/>
  <c r="J130" i="59"/>
  <c r="I130" i="59"/>
  <c r="H130" i="59"/>
  <c r="G130" i="59"/>
  <c r="J129" i="59"/>
  <c r="I129" i="59"/>
  <c r="H129" i="59"/>
  <c r="G129" i="59"/>
  <c r="J128" i="59"/>
  <c r="I128" i="59"/>
  <c r="H128" i="59"/>
  <c r="G128" i="59"/>
  <c r="J127" i="59"/>
  <c r="I127" i="59"/>
  <c r="H127" i="59"/>
  <c r="G127" i="59"/>
  <c r="J126" i="59"/>
  <c r="I126" i="59"/>
  <c r="H126" i="59"/>
  <c r="G126" i="59"/>
  <c r="J125" i="59"/>
  <c r="I125" i="59"/>
  <c r="H125" i="59"/>
  <c r="G125" i="59"/>
  <c r="J124" i="59"/>
  <c r="I124" i="59"/>
  <c r="H124" i="59"/>
  <c r="G124" i="59"/>
  <c r="J123" i="59"/>
  <c r="I123" i="59"/>
  <c r="H123" i="59"/>
  <c r="G123" i="59"/>
  <c r="J122" i="59"/>
  <c r="I122" i="59"/>
  <c r="H122" i="59"/>
  <c r="G122" i="59"/>
  <c r="J121" i="59"/>
  <c r="I121" i="59"/>
  <c r="H121" i="59"/>
  <c r="G121" i="59"/>
  <c r="J120" i="59"/>
  <c r="I120" i="59"/>
  <c r="H120" i="59"/>
  <c r="G120" i="59"/>
  <c r="J119" i="59"/>
  <c r="I119" i="59"/>
  <c r="H119" i="59"/>
  <c r="G119" i="59"/>
  <c r="J118" i="59"/>
  <c r="I118" i="59"/>
  <c r="H118" i="59"/>
  <c r="G118" i="59"/>
  <c r="J117" i="59"/>
  <c r="I117" i="59"/>
  <c r="H117" i="59"/>
  <c r="G117" i="59"/>
  <c r="J116" i="59"/>
  <c r="I116" i="59"/>
  <c r="H116" i="59"/>
  <c r="G116" i="59"/>
  <c r="J115" i="59"/>
  <c r="I115" i="59"/>
  <c r="H115" i="59"/>
  <c r="G115" i="59"/>
  <c r="J114" i="59"/>
  <c r="I114" i="59"/>
  <c r="H114" i="59"/>
  <c r="G114" i="59"/>
  <c r="J113" i="59"/>
  <c r="I113" i="59"/>
  <c r="H113" i="59"/>
  <c r="G113" i="59"/>
  <c r="J112" i="59"/>
  <c r="I112" i="59"/>
  <c r="H112" i="59"/>
  <c r="G112" i="59"/>
  <c r="J111" i="59"/>
  <c r="I111" i="59"/>
  <c r="H111" i="59"/>
  <c r="G111" i="59"/>
  <c r="J110" i="59"/>
  <c r="I110" i="59"/>
  <c r="H110" i="59"/>
  <c r="G110" i="59"/>
  <c r="J109" i="59"/>
  <c r="I109" i="59"/>
  <c r="H109" i="59"/>
  <c r="G109" i="59"/>
  <c r="J108" i="59"/>
  <c r="I108" i="59"/>
  <c r="H108" i="59"/>
  <c r="G108" i="59"/>
  <c r="J107" i="59"/>
  <c r="I107" i="59"/>
  <c r="H107" i="59"/>
  <c r="G107" i="59"/>
  <c r="J91" i="59"/>
  <c r="I91" i="59"/>
  <c r="H91" i="59"/>
  <c r="G91" i="59"/>
  <c r="J90" i="59"/>
  <c r="I90" i="59"/>
  <c r="H90" i="59"/>
  <c r="G90" i="59"/>
  <c r="J89" i="59"/>
  <c r="I89" i="59"/>
  <c r="H89" i="59"/>
  <c r="G89" i="59"/>
  <c r="J88" i="59"/>
  <c r="I88" i="59"/>
  <c r="H88" i="59"/>
  <c r="G88" i="59"/>
  <c r="J87" i="59"/>
  <c r="I87" i="59"/>
  <c r="H87" i="59"/>
  <c r="G87" i="59"/>
  <c r="J86" i="59"/>
  <c r="I86" i="59"/>
  <c r="H86" i="59"/>
  <c r="G86" i="59"/>
  <c r="J85" i="59"/>
  <c r="I85" i="59"/>
  <c r="H85" i="59"/>
  <c r="G85" i="59"/>
  <c r="J84" i="59"/>
  <c r="I84" i="59"/>
  <c r="H84" i="59"/>
  <c r="G84" i="59"/>
  <c r="J83" i="59"/>
  <c r="I83" i="59"/>
  <c r="H83" i="59"/>
  <c r="G83" i="59"/>
  <c r="J82" i="59"/>
  <c r="I82" i="59"/>
  <c r="H82" i="59"/>
  <c r="G82" i="59"/>
  <c r="J81" i="59"/>
  <c r="I81" i="59"/>
  <c r="H81" i="59"/>
  <c r="G81" i="59"/>
  <c r="J80" i="59"/>
  <c r="I80" i="59"/>
  <c r="H80" i="59"/>
  <c r="G80" i="59"/>
  <c r="J79" i="59"/>
  <c r="I79" i="59"/>
  <c r="H79" i="59"/>
  <c r="G79" i="59"/>
  <c r="J78" i="59"/>
  <c r="I78" i="59"/>
  <c r="H78" i="59"/>
  <c r="G78" i="59"/>
  <c r="J77" i="59"/>
  <c r="I77" i="59"/>
  <c r="H77" i="59"/>
  <c r="G77" i="59"/>
  <c r="J76" i="59"/>
  <c r="I76" i="59"/>
  <c r="H76" i="59"/>
  <c r="G76" i="59"/>
  <c r="J75" i="59"/>
  <c r="I75" i="59"/>
  <c r="H75" i="59"/>
  <c r="G75" i="59"/>
  <c r="J74" i="59"/>
  <c r="I74" i="59"/>
  <c r="H74" i="59"/>
  <c r="G74" i="59"/>
  <c r="J73" i="59"/>
  <c r="I73" i="59"/>
  <c r="H73" i="59"/>
  <c r="G73" i="59"/>
  <c r="J72" i="59"/>
  <c r="I72" i="59"/>
  <c r="H72" i="59"/>
  <c r="G72" i="59"/>
  <c r="J71" i="59"/>
  <c r="I71" i="59"/>
  <c r="H71" i="59"/>
  <c r="G71" i="59"/>
  <c r="J70" i="59"/>
  <c r="I70" i="59"/>
  <c r="H70" i="59"/>
  <c r="G70" i="59"/>
  <c r="J69" i="59"/>
  <c r="I69" i="59"/>
  <c r="H69" i="59"/>
  <c r="G69" i="59"/>
  <c r="J68" i="59"/>
  <c r="I68" i="59"/>
  <c r="H68" i="59"/>
  <c r="G68" i="59"/>
  <c r="J67" i="59"/>
  <c r="I67" i="59"/>
  <c r="H67" i="59"/>
  <c r="G67" i="59"/>
  <c r="J66" i="59"/>
  <c r="I66" i="59"/>
  <c r="H66" i="59"/>
  <c r="G66" i="59"/>
  <c r="J65" i="59"/>
  <c r="I65" i="59"/>
  <c r="H65" i="59"/>
  <c r="G65" i="59"/>
  <c r="J64" i="59"/>
  <c r="I64" i="59"/>
  <c r="H64" i="59"/>
  <c r="G64" i="59"/>
  <c r="J63" i="59"/>
  <c r="I63" i="59"/>
  <c r="H63" i="59"/>
  <c r="G63" i="59"/>
  <c r="J62" i="59"/>
  <c r="I62" i="59"/>
  <c r="H62" i="59"/>
  <c r="G62" i="59"/>
  <c r="J61" i="59"/>
  <c r="I61" i="59"/>
  <c r="H61" i="59"/>
  <c r="G61" i="59"/>
  <c r="J60" i="59"/>
  <c r="I60" i="59"/>
  <c r="H60" i="59"/>
  <c r="G60" i="59"/>
  <c r="J59" i="59"/>
  <c r="I59" i="59"/>
  <c r="H59" i="59"/>
  <c r="G59" i="59"/>
  <c r="J58" i="59"/>
  <c r="I58" i="59"/>
  <c r="H58" i="59"/>
  <c r="G58" i="59"/>
  <c r="J57" i="59"/>
  <c r="I57" i="59"/>
  <c r="H57" i="59"/>
  <c r="G57" i="59"/>
  <c r="J56" i="59"/>
  <c r="I56" i="59"/>
  <c r="H56" i="59"/>
  <c r="G56" i="59"/>
  <c r="J55" i="59"/>
  <c r="I55" i="59"/>
  <c r="H55" i="59"/>
  <c r="G55" i="59"/>
  <c r="J54" i="59"/>
  <c r="I54" i="59"/>
  <c r="H54" i="59"/>
  <c r="G54" i="59"/>
  <c r="J53" i="59"/>
  <c r="I53" i="59"/>
  <c r="H53" i="59"/>
  <c r="G53" i="59"/>
  <c r="J52" i="59"/>
  <c r="I52" i="59"/>
  <c r="H52" i="59"/>
  <c r="G52" i="59"/>
  <c r="J51" i="59"/>
  <c r="I51" i="59"/>
  <c r="H51" i="59"/>
  <c r="G51" i="59"/>
  <c r="J50" i="59"/>
  <c r="I50" i="59"/>
  <c r="H50" i="59"/>
  <c r="G50" i="59"/>
  <c r="J49" i="59"/>
  <c r="I49" i="59"/>
  <c r="H49" i="59"/>
  <c r="G49" i="59"/>
  <c r="J48" i="59"/>
  <c r="I48" i="59"/>
  <c r="H48" i="59"/>
  <c r="G48" i="59"/>
  <c r="J47" i="59"/>
  <c r="I47" i="59"/>
  <c r="H47" i="59"/>
  <c r="G47" i="59"/>
  <c r="J46" i="59"/>
  <c r="I46" i="59"/>
  <c r="H46" i="59"/>
  <c r="G46" i="59"/>
  <c r="J45" i="59"/>
  <c r="I45" i="59"/>
  <c r="H45" i="59"/>
  <c r="G45" i="59"/>
  <c r="J44" i="59"/>
  <c r="I44" i="59"/>
  <c r="H44" i="59"/>
  <c r="G44" i="59"/>
  <c r="J43" i="59"/>
  <c r="I43" i="59"/>
  <c r="H43" i="59"/>
  <c r="G43" i="59"/>
  <c r="J42" i="59"/>
  <c r="I42" i="59"/>
  <c r="H42" i="59"/>
  <c r="G42" i="59"/>
  <c r="D13" i="59"/>
  <c r="D61" i="58"/>
  <c r="E110" i="58" s="1"/>
  <c r="F110" i="58" s="1"/>
  <c r="E113" i="58" s="1"/>
  <c r="D121" i="58" s="1"/>
  <c r="C69" i="40"/>
  <c r="C171" i="2" s="1"/>
  <c r="D49" i="57"/>
  <c r="BC60" i="57" s="1"/>
  <c r="BC61" i="57" s="1"/>
  <c r="CG66" i="57"/>
  <c r="CF66" i="57" s="1"/>
  <c r="CE66" i="57" s="1"/>
  <c r="CD66" i="57" s="1"/>
  <c r="CC66" i="57" s="1"/>
  <c r="CB66" i="57" s="1"/>
  <c r="CA66" i="57" s="1"/>
  <c r="BZ66" i="57" s="1"/>
  <c r="BY66" i="57" s="1"/>
  <c r="BX66" i="57" s="1"/>
  <c r="BW66" i="57" s="1"/>
  <c r="BV66" i="57" s="1"/>
  <c r="BU66" i="57" s="1"/>
  <c r="BT66" i="57" s="1"/>
  <c r="BS66" i="57" s="1"/>
  <c r="BR66" i="57" s="1"/>
  <c r="BQ66" i="57" s="1"/>
  <c r="BP66" i="57" s="1"/>
  <c r="BO66" i="57" s="1"/>
  <c r="BN66" i="57" s="1"/>
  <c r="BM66" i="57" s="1"/>
  <c r="BL66" i="57" s="1"/>
  <c r="BK66" i="57" s="1"/>
  <c r="BJ66" i="57" s="1"/>
  <c r="BI66" i="57" s="1"/>
  <c r="BH66" i="57" s="1"/>
  <c r="BG66" i="57" s="1"/>
  <c r="BF66" i="57" s="1"/>
  <c r="BE66" i="57" s="1"/>
  <c r="BD66" i="57" s="1"/>
  <c r="BC67" i="57" s="1"/>
  <c r="BC68" i="57" s="1"/>
  <c r="BC69" i="57" s="1"/>
  <c r="BC70" i="57" s="1"/>
  <c r="BC71" i="57" s="1"/>
  <c r="BC72" i="57" s="1"/>
  <c r="BC73" i="57" s="1"/>
  <c r="BC74" i="57" s="1"/>
  <c r="BC75" i="57" s="1"/>
  <c r="BC76" i="57" s="1"/>
  <c r="BC77" i="57" s="1"/>
  <c r="BC78" i="57" s="1"/>
  <c r="BC79" i="57" s="1"/>
  <c r="BC80" i="57" s="1"/>
  <c r="BC81" i="57" s="1"/>
  <c r="BC82" i="57" s="1"/>
  <c r="BC83" i="57" s="1"/>
  <c r="BC84" i="57" s="1"/>
  <c r="BC85" i="57" s="1"/>
  <c r="BC86" i="57" s="1"/>
  <c r="BC87" i="57" s="1"/>
  <c r="BC88" i="57" s="1"/>
  <c r="BC89" i="57" s="1"/>
  <c r="BC90" i="57" s="1"/>
  <c r="BC91" i="57" s="1"/>
  <c r="BC92" i="57" s="1"/>
  <c r="BC93" i="57" s="1"/>
  <c r="BC94" i="57" s="1"/>
  <c r="BC95" i="57" s="1"/>
  <c r="BC96" i="57" s="1"/>
  <c r="G161" i="57"/>
  <c r="E111" i="58"/>
  <c r="F111" i="58" s="1"/>
  <c r="C106" i="58"/>
  <c r="D97" i="58"/>
  <c r="C70" i="58"/>
  <c r="D12" i="58"/>
  <c r="AH114" i="57"/>
  <c r="E170" i="57" s="1"/>
  <c r="E149" i="57"/>
  <c r="E92" i="57"/>
  <c r="E77" i="57"/>
  <c r="BC64" i="57"/>
  <c r="BC63" i="57"/>
  <c r="F92" i="57"/>
  <c r="F77" i="57"/>
  <c r="G92" i="57"/>
  <c r="G93" i="57" s="1"/>
  <c r="G77" i="57"/>
  <c r="H92" i="57"/>
  <c r="H77" i="57"/>
  <c r="I92" i="57"/>
  <c r="I93" i="57" s="1"/>
  <c r="I77" i="57"/>
  <c r="J92" i="57"/>
  <c r="J77" i="57"/>
  <c r="K92" i="57"/>
  <c r="K93" i="57" s="1"/>
  <c r="K77" i="57"/>
  <c r="L92" i="57"/>
  <c r="L77" i="57"/>
  <c r="M92" i="57"/>
  <c r="M93" i="57" s="1"/>
  <c r="M77" i="57"/>
  <c r="N92" i="57"/>
  <c r="N77" i="57"/>
  <c r="O92" i="57"/>
  <c r="O93" i="57" s="1"/>
  <c r="O77" i="57"/>
  <c r="P92" i="57"/>
  <c r="P77" i="57"/>
  <c r="Q92" i="57"/>
  <c r="Q77" i="57"/>
  <c r="R92" i="57"/>
  <c r="R77" i="57"/>
  <c r="S92" i="57"/>
  <c r="S93" i="57" s="1"/>
  <c r="S77" i="57"/>
  <c r="T92" i="57"/>
  <c r="T77" i="57"/>
  <c r="U92" i="57"/>
  <c r="U93" i="57" s="1"/>
  <c r="U77" i="57"/>
  <c r="V92" i="57"/>
  <c r="V77" i="57"/>
  <c r="W92" i="57"/>
  <c r="W93" i="57" s="1"/>
  <c r="W77" i="57"/>
  <c r="X92" i="57"/>
  <c r="X77" i="57"/>
  <c r="Y92" i="57"/>
  <c r="Y93" i="57" s="1"/>
  <c r="Y77" i="57"/>
  <c r="Z92" i="57"/>
  <c r="Z77" i="57"/>
  <c r="AA92" i="57"/>
  <c r="AA93" i="57" s="1"/>
  <c r="AA77" i="57"/>
  <c r="AB92" i="57"/>
  <c r="AB77" i="57"/>
  <c r="AC92" i="57"/>
  <c r="AC93" i="57" s="1"/>
  <c r="AC77" i="57"/>
  <c r="AD92" i="57"/>
  <c r="AD77" i="57"/>
  <c r="AE92" i="57"/>
  <c r="AE93" i="57" s="1"/>
  <c r="AE77" i="57"/>
  <c r="AF92" i="57"/>
  <c r="AF77" i="57"/>
  <c r="AG92" i="57"/>
  <c r="AG77" i="57"/>
  <c r="AH92" i="57"/>
  <c r="AH77" i="57"/>
  <c r="AH93" i="57"/>
  <c r="E146" i="57"/>
  <c r="E148" i="57" s="1"/>
  <c r="E147" i="57"/>
  <c r="AG114" i="57"/>
  <c r="AF114" i="57"/>
  <c r="AE114" i="57"/>
  <c r="AD114" i="57"/>
  <c r="AC114" i="57"/>
  <c r="AB114" i="57"/>
  <c r="AA114" i="57"/>
  <c r="Z114" i="57"/>
  <c r="Y114" i="57"/>
  <c r="X114" i="57"/>
  <c r="W114" i="57"/>
  <c r="V114" i="57"/>
  <c r="U114" i="57"/>
  <c r="T114" i="57"/>
  <c r="S114" i="57"/>
  <c r="R114" i="57"/>
  <c r="Q114" i="57"/>
  <c r="P114" i="57"/>
  <c r="O114" i="57"/>
  <c r="N114" i="57"/>
  <c r="M114" i="57"/>
  <c r="L114" i="57"/>
  <c r="K114" i="57"/>
  <c r="J114" i="57"/>
  <c r="I114" i="57"/>
  <c r="H114" i="57"/>
  <c r="G114" i="57"/>
  <c r="F114" i="57"/>
  <c r="E114" i="57"/>
  <c r="AG93" i="57"/>
  <c r="AF93" i="57"/>
  <c r="AD93" i="57"/>
  <c r="AB93" i="57"/>
  <c r="Z93" i="57"/>
  <c r="X93" i="57"/>
  <c r="V93" i="57"/>
  <c r="T93" i="57"/>
  <c r="R93" i="57"/>
  <c r="Q93" i="57"/>
  <c r="P93" i="57"/>
  <c r="N93" i="57"/>
  <c r="L93" i="57"/>
  <c r="J93" i="57"/>
  <c r="H93" i="57"/>
  <c r="F93" i="57"/>
  <c r="E93" i="57"/>
  <c r="AH111" i="57"/>
  <c r="AG111" i="57" s="1"/>
  <c r="AF111" i="57" s="1"/>
  <c r="AE111" i="57" s="1"/>
  <c r="AD111" i="57" s="1"/>
  <c r="AC111" i="57" s="1"/>
  <c r="AB111" i="57" s="1"/>
  <c r="AA111" i="57" s="1"/>
  <c r="Z111" i="57" s="1"/>
  <c r="Y111" i="57" s="1"/>
  <c r="X111" i="57" s="1"/>
  <c r="W111" i="57" s="1"/>
  <c r="V111" i="57" s="1"/>
  <c r="U111" i="57" s="1"/>
  <c r="T111" i="57" s="1"/>
  <c r="S111" i="57" s="1"/>
  <c r="R111" i="57" s="1"/>
  <c r="Q111" i="57" s="1"/>
  <c r="P111" i="57" s="1"/>
  <c r="O111" i="57" s="1"/>
  <c r="N111" i="57" s="1"/>
  <c r="M111" i="57" s="1"/>
  <c r="L111" i="57" s="1"/>
  <c r="K111" i="57" s="1"/>
  <c r="J111" i="57" s="1"/>
  <c r="I111" i="57" s="1"/>
  <c r="H111" i="57" s="1"/>
  <c r="G111" i="57" s="1"/>
  <c r="F111" i="57" s="1"/>
  <c r="E111" i="57" s="1"/>
  <c r="C108" i="57"/>
  <c r="AH103" i="57"/>
  <c r="AG103" i="57" s="1"/>
  <c r="AF103" i="57" s="1"/>
  <c r="AE103" i="57" s="1"/>
  <c r="AD103" i="57" s="1"/>
  <c r="AC103" i="57" s="1"/>
  <c r="AB103" i="57" s="1"/>
  <c r="AA103" i="57" s="1"/>
  <c r="Z103" i="57" s="1"/>
  <c r="Y103" i="57" s="1"/>
  <c r="X103" i="57" s="1"/>
  <c r="W103" i="57" s="1"/>
  <c r="V103" i="57" s="1"/>
  <c r="U103" i="57" s="1"/>
  <c r="T103" i="57" s="1"/>
  <c r="S103" i="57" s="1"/>
  <c r="R103" i="57" s="1"/>
  <c r="Q103" i="57" s="1"/>
  <c r="P103" i="57" s="1"/>
  <c r="O103" i="57" s="1"/>
  <c r="N103" i="57" s="1"/>
  <c r="M103" i="57" s="1"/>
  <c r="L103" i="57" s="1"/>
  <c r="K103" i="57" s="1"/>
  <c r="J103" i="57" s="1"/>
  <c r="I103" i="57" s="1"/>
  <c r="H103" i="57" s="1"/>
  <c r="G103" i="57" s="1"/>
  <c r="F103" i="57" s="1"/>
  <c r="E103" i="57" s="1"/>
  <c r="AH90" i="57"/>
  <c r="AG90" i="57" s="1"/>
  <c r="AF90" i="57" s="1"/>
  <c r="AE90" i="57" s="1"/>
  <c r="AD90" i="57" s="1"/>
  <c r="AC90" i="57" s="1"/>
  <c r="AB90" i="57" s="1"/>
  <c r="AA90" i="57" s="1"/>
  <c r="Z90" i="57" s="1"/>
  <c r="Y90" i="57" s="1"/>
  <c r="X90" i="57" s="1"/>
  <c r="W90" i="57" s="1"/>
  <c r="V90" i="57" s="1"/>
  <c r="U90" i="57" s="1"/>
  <c r="T90" i="57" s="1"/>
  <c r="S90" i="57" s="1"/>
  <c r="R90" i="57" s="1"/>
  <c r="Q90" i="57" s="1"/>
  <c r="P90" i="57" s="1"/>
  <c r="O90" i="57" s="1"/>
  <c r="N90" i="57" s="1"/>
  <c r="M90" i="57" s="1"/>
  <c r="L90" i="57" s="1"/>
  <c r="K90" i="57" s="1"/>
  <c r="J90" i="57" s="1"/>
  <c r="I90" i="57" s="1"/>
  <c r="H90" i="57" s="1"/>
  <c r="G90" i="57" s="1"/>
  <c r="F90" i="57" s="1"/>
  <c r="E90" i="57" s="1"/>
  <c r="AH76" i="57"/>
  <c r="AG76" i="57"/>
  <c r="AF76" i="57"/>
  <c r="AE76" i="57"/>
  <c r="AD76" i="57"/>
  <c r="AC76" i="57"/>
  <c r="AB76" i="57"/>
  <c r="AA76" i="57"/>
  <c r="Z76" i="57"/>
  <c r="Y76" i="57"/>
  <c r="X76" i="57"/>
  <c r="W76" i="57"/>
  <c r="V76" i="57"/>
  <c r="U76" i="57"/>
  <c r="T76" i="57"/>
  <c r="S76" i="57"/>
  <c r="R76" i="57"/>
  <c r="Q76" i="57"/>
  <c r="P76" i="57"/>
  <c r="O76" i="57"/>
  <c r="N76" i="57"/>
  <c r="M76" i="57"/>
  <c r="L76" i="57"/>
  <c r="K76" i="57"/>
  <c r="J76" i="57"/>
  <c r="I76" i="57"/>
  <c r="H76" i="57"/>
  <c r="G76" i="57"/>
  <c r="F76" i="57"/>
  <c r="E76" i="57"/>
  <c r="AH68" i="57"/>
  <c r="AG68" i="57" s="1"/>
  <c r="AF68" i="57" s="1"/>
  <c r="AE68" i="57" s="1"/>
  <c r="AD68" i="57" s="1"/>
  <c r="AC68" i="57" s="1"/>
  <c r="AB68" i="57" s="1"/>
  <c r="AA68" i="57" s="1"/>
  <c r="Z68" i="57" s="1"/>
  <c r="Y68" i="57" s="1"/>
  <c r="X68" i="57" s="1"/>
  <c r="W68" i="57" s="1"/>
  <c r="V68" i="57" s="1"/>
  <c r="U68" i="57" s="1"/>
  <c r="T68" i="57" s="1"/>
  <c r="S68" i="57" s="1"/>
  <c r="R68" i="57" s="1"/>
  <c r="Q68" i="57" s="1"/>
  <c r="P68" i="57" s="1"/>
  <c r="O68" i="57" s="1"/>
  <c r="N68" i="57" s="1"/>
  <c r="M68" i="57" s="1"/>
  <c r="L68" i="57" s="1"/>
  <c r="K68" i="57" s="1"/>
  <c r="J68" i="57" s="1"/>
  <c r="I68" i="57" s="1"/>
  <c r="H68" i="57" s="1"/>
  <c r="G68" i="57" s="1"/>
  <c r="F68" i="57" s="1"/>
  <c r="E68" i="57" s="1"/>
  <c r="AH57" i="57"/>
  <c r="AG57" i="57" s="1"/>
  <c r="AF57" i="57" s="1"/>
  <c r="AE57" i="57" s="1"/>
  <c r="AD57" i="57" s="1"/>
  <c r="AC57" i="57" s="1"/>
  <c r="AB57" i="57" s="1"/>
  <c r="AA57" i="57" s="1"/>
  <c r="Z57" i="57" s="1"/>
  <c r="Y57" i="57" s="1"/>
  <c r="X57" i="57" s="1"/>
  <c r="W57" i="57" s="1"/>
  <c r="V57" i="57" s="1"/>
  <c r="U57" i="57" s="1"/>
  <c r="T57" i="57" s="1"/>
  <c r="S57" i="57" s="1"/>
  <c r="R57" i="57" s="1"/>
  <c r="Q57" i="57" s="1"/>
  <c r="P57" i="57" s="1"/>
  <c r="O57" i="57" s="1"/>
  <c r="N57" i="57" s="1"/>
  <c r="M57" i="57" s="1"/>
  <c r="L57" i="57" s="1"/>
  <c r="K57" i="57" s="1"/>
  <c r="J57" i="57" s="1"/>
  <c r="I57" i="57" s="1"/>
  <c r="H57" i="57" s="1"/>
  <c r="G57" i="57" s="1"/>
  <c r="F57" i="57" s="1"/>
  <c r="E57" i="57" s="1"/>
  <c r="D48" i="57"/>
  <c r="D12" i="57"/>
  <c r="D117" i="2"/>
  <c r="E117" i="2" s="1"/>
  <c r="D18" i="2" s="1"/>
  <c r="G18" i="2" s="1"/>
  <c r="D116" i="2"/>
  <c r="F28" i="56"/>
  <c r="F29" i="56"/>
  <c r="F99" i="56" s="1"/>
  <c r="D115" i="2" s="1"/>
  <c r="F30" i="56"/>
  <c r="F31" i="56"/>
  <c r="F32" i="56"/>
  <c r="F33" i="56"/>
  <c r="F34" i="56"/>
  <c r="F35" i="56"/>
  <c r="F36" i="56"/>
  <c r="F37" i="56"/>
  <c r="F38" i="56"/>
  <c r="F39" i="56"/>
  <c r="F40" i="56"/>
  <c r="F41" i="56"/>
  <c r="F42" i="56"/>
  <c r="F43" i="56"/>
  <c r="F44" i="56"/>
  <c r="F45" i="56"/>
  <c r="F46" i="56"/>
  <c r="F47" i="56"/>
  <c r="F48" i="56"/>
  <c r="F49" i="56"/>
  <c r="F50" i="56"/>
  <c r="F51" i="56"/>
  <c r="F52" i="56"/>
  <c r="F53" i="56"/>
  <c r="F54" i="56"/>
  <c r="F55" i="56"/>
  <c r="F56" i="56"/>
  <c r="F57" i="56"/>
  <c r="F58" i="56"/>
  <c r="F59" i="56"/>
  <c r="F60" i="56"/>
  <c r="F61" i="56"/>
  <c r="F62" i="56"/>
  <c r="F63" i="56"/>
  <c r="F64" i="56"/>
  <c r="F65" i="56"/>
  <c r="F66" i="56"/>
  <c r="F67" i="56"/>
  <c r="F68" i="56"/>
  <c r="F69" i="56"/>
  <c r="F70" i="56"/>
  <c r="F71" i="56"/>
  <c r="F72" i="56"/>
  <c r="F73" i="56"/>
  <c r="F74" i="56"/>
  <c r="F75" i="56"/>
  <c r="F76" i="56"/>
  <c r="F77" i="56"/>
  <c r="F78" i="56"/>
  <c r="F79" i="56"/>
  <c r="F80" i="56"/>
  <c r="F81" i="56"/>
  <c r="F82" i="56"/>
  <c r="F83" i="56"/>
  <c r="F84" i="56"/>
  <c r="F85" i="56"/>
  <c r="F86" i="56"/>
  <c r="F87" i="56"/>
  <c r="F88" i="56"/>
  <c r="F89" i="56"/>
  <c r="F90" i="56"/>
  <c r="F91" i="56"/>
  <c r="F92" i="56"/>
  <c r="F93" i="56"/>
  <c r="F94" i="56"/>
  <c r="F95" i="56"/>
  <c r="F96" i="56"/>
  <c r="F97" i="56"/>
  <c r="F98" i="56"/>
  <c r="D99" i="56"/>
  <c r="F27" i="56"/>
  <c r="AD23" i="56"/>
  <c r="D12" i="56"/>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27" i="8"/>
  <c r="J44" i="53"/>
  <c r="M44" i="53"/>
  <c r="J45" i="53"/>
  <c r="M45" i="53"/>
  <c r="M46" i="53"/>
  <c r="M47" i="53"/>
  <c r="M48" i="53"/>
  <c r="M49" i="53"/>
  <c r="M50" i="53"/>
  <c r="M51" i="53"/>
  <c r="M52" i="53"/>
  <c r="M53" i="53"/>
  <c r="M54" i="53"/>
  <c r="M55" i="53"/>
  <c r="M56" i="53"/>
  <c r="M57" i="53"/>
  <c r="M58" i="53"/>
  <c r="M59" i="53"/>
  <c r="M60" i="53"/>
  <c r="M61" i="53"/>
  <c r="M62" i="53"/>
  <c r="M63" i="53"/>
  <c r="M64" i="53"/>
  <c r="M65" i="53"/>
  <c r="M66" i="53"/>
  <c r="M67" i="53"/>
  <c r="M68" i="53"/>
  <c r="M69" i="53"/>
  <c r="M70" i="53"/>
  <c r="M71" i="53"/>
  <c r="M72" i="53"/>
  <c r="M73" i="53"/>
  <c r="M74" i="53"/>
  <c r="M75" i="53"/>
  <c r="M76" i="53"/>
  <c r="M77" i="53"/>
  <c r="M78" i="53"/>
  <c r="M79" i="53"/>
  <c r="M80" i="53"/>
  <c r="M81" i="53"/>
  <c r="M82" i="53"/>
  <c r="M83" i="53"/>
  <c r="M84" i="53"/>
  <c r="M85" i="53"/>
  <c r="M86" i="53"/>
  <c r="M87" i="53"/>
  <c r="M88" i="53"/>
  <c r="M89" i="53"/>
  <c r="M90" i="53"/>
  <c r="M91" i="53"/>
  <c r="M92" i="53"/>
  <c r="M93" i="53"/>
  <c r="G103" i="53"/>
  <c r="J103" i="53"/>
  <c r="M103" i="53"/>
  <c r="G104" i="53"/>
  <c r="J104" i="53"/>
  <c r="M104" i="53"/>
  <c r="G105" i="53"/>
  <c r="J105" i="53"/>
  <c r="M105" i="53"/>
  <c r="M106" i="53"/>
  <c r="M107" i="53"/>
  <c r="M108" i="53"/>
  <c r="M109" i="53"/>
  <c r="M110" i="53"/>
  <c r="M111" i="53"/>
  <c r="M112" i="53"/>
  <c r="M113" i="53"/>
  <c r="M114" i="53"/>
  <c r="M115" i="53"/>
  <c r="M116" i="53"/>
  <c r="M117" i="53"/>
  <c r="M118" i="53"/>
  <c r="M119" i="53"/>
  <c r="M120" i="53"/>
  <c r="M121" i="53"/>
  <c r="M122" i="53"/>
  <c r="M123" i="53"/>
  <c r="M124" i="53"/>
  <c r="M125" i="53"/>
  <c r="M126" i="53"/>
  <c r="M127" i="53"/>
  <c r="M128" i="53"/>
  <c r="M129" i="53"/>
  <c r="M130" i="53"/>
  <c r="M131" i="53"/>
  <c r="M132" i="53"/>
  <c r="M133" i="53"/>
  <c r="M134" i="53"/>
  <c r="M135" i="53"/>
  <c r="M136" i="53"/>
  <c r="M137" i="53"/>
  <c r="M138" i="53"/>
  <c r="M139" i="53"/>
  <c r="M140" i="53"/>
  <c r="M141" i="53"/>
  <c r="M142" i="53"/>
  <c r="M143" i="53"/>
  <c r="M144" i="53"/>
  <c r="M145" i="53"/>
  <c r="M146" i="53"/>
  <c r="M147" i="53"/>
  <c r="M148" i="53"/>
  <c r="M149" i="53"/>
  <c r="M150" i="53"/>
  <c r="M151" i="53"/>
  <c r="M152" i="53"/>
  <c r="K166" i="53"/>
  <c r="N166" i="53" s="1"/>
  <c r="K167" i="53"/>
  <c r="N167" i="53"/>
  <c r="N168" i="53"/>
  <c r="N169" i="53"/>
  <c r="N170" i="53"/>
  <c r="N171" i="53"/>
  <c r="N172" i="53"/>
  <c r="N173" i="53"/>
  <c r="N174" i="53"/>
  <c r="N175" i="53"/>
  <c r="N176" i="53"/>
  <c r="N177" i="53"/>
  <c r="N178" i="53"/>
  <c r="N179" i="53"/>
  <c r="N180" i="53"/>
  <c r="N181" i="53"/>
  <c r="N182" i="53"/>
  <c r="N183" i="53"/>
  <c r="N184" i="53"/>
  <c r="N185" i="53"/>
  <c r="N186" i="53"/>
  <c r="N187" i="53"/>
  <c r="N188" i="53"/>
  <c r="N189" i="53"/>
  <c r="N190" i="53"/>
  <c r="N191" i="53"/>
  <c r="N192" i="53"/>
  <c r="N193" i="53"/>
  <c r="N194" i="53"/>
  <c r="N195" i="53"/>
  <c r="N196" i="53"/>
  <c r="N197" i="53"/>
  <c r="N198" i="53"/>
  <c r="N199" i="53"/>
  <c r="N200" i="53"/>
  <c r="N201" i="53"/>
  <c r="N202" i="53"/>
  <c r="N203" i="53"/>
  <c r="N204" i="53"/>
  <c r="N205" i="53"/>
  <c r="N206" i="53"/>
  <c r="N207" i="53"/>
  <c r="N208" i="53"/>
  <c r="N209" i="53"/>
  <c r="N210" i="53"/>
  <c r="N211" i="53"/>
  <c r="N212" i="53"/>
  <c r="N213" i="53"/>
  <c r="N214" i="53"/>
  <c r="N215" i="53"/>
  <c r="K229" i="53"/>
  <c r="N229" i="53"/>
  <c r="K230" i="53"/>
  <c r="N230" i="53" s="1"/>
  <c r="K231" i="53"/>
  <c r="N231" i="53"/>
  <c r="N232" i="53"/>
  <c r="N233" i="53"/>
  <c r="N234" i="53"/>
  <c r="N235" i="53"/>
  <c r="N236" i="53"/>
  <c r="N237" i="53"/>
  <c r="N238" i="53"/>
  <c r="N239" i="53"/>
  <c r="N240" i="53"/>
  <c r="N241" i="53"/>
  <c r="N242" i="53"/>
  <c r="N243" i="53"/>
  <c r="N244" i="53"/>
  <c r="N245" i="53"/>
  <c r="N246" i="53"/>
  <c r="N247" i="53"/>
  <c r="N248" i="53"/>
  <c r="N249" i="53"/>
  <c r="N250" i="53"/>
  <c r="N251" i="53"/>
  <c r="N252" i="53"/>
  <c r="N253" i="53"/>
  <c r="N254" i="53"/>
  <c r="N255" i="53"/>
  <c r="N256" i="53"/>
  <c r="N257" i="53"/>
  <c r="N258" i="53"/>
  <c r="N259" i="53"/>
  <c r="N260" i="53"/>
  <c r="N261" i="53"/>
  <c r="N262" i="53"/>
  <c r="N263" i="53"/>
  <c r="N264" i="53"/>
  <c r="N265" i="53"/>
  <c r="N266" i="53"/>
  <c r="N267" i="53"/>
  <c r="N268" i="53"/>
  <c r="N269" i="53"/>
  <c r="N270" i="53"/>
  <c r="N271" i="53"/>
  <c r="N272" i="53"/>
  <c r="N273" i="53"/>
  <c r="N274" i="53"/>
  <c r="N275" i="53"/>
  <c r="N276" i="53"/>
  <c r="N277" i="53"/>
  <c r="N278" i="53"/>
  <c r="J229" i="53"/>
  <c r="M229" i="53" s="1"/>
  <c r="J230" i="53"/>
  <c r="M230" i="53"/>
  <c r="J231" i="53"/>
  <c r="M231" i="53" s="1"/>
  <c r="M232" i="53"/>
  <c r="M233" i="53"/>
  <c r="M234" i="53"/>
  <c r="M235" i="53"/>
  <c r="M236" i="53"/>
  <c r="M237" i="53"/>
  <c r="M238" i="53"/>
  <c r="M239" i="53"/>
  <c r="M240" i="53"/>
  <c r="M241" i="53"/>
  <c r="M242" i="53"/>
  <c r="M243" i="53"/>
  <c r="M244" i="53"/>
  <c r="M245" i="53"/>
  <c r="M246" i="53"/>
  <c r="M247" i="53"/>
  <c r="M248" i="53"/>
  <c r="M249" i="53"/>
  <c r="M250" i="53"/>
  <c r="M251" i="53"/>
  <c r="M252" i="53"/>
  <c r="M253" i="53"/>
  <c r="M254" i="53"/>
  <c r="M255" i="53"/>
  <c r="M256" i="53"/>
  <c r="M257" i="53"/>
  <c r="M258" i="53"/>
  <c r="M259" i="53"/>
  <c r="M260" i="53"/>
  <c r="M261" i="53"/>
  <c r="M262" i="53"/>
  <c r="M263" i="53"/>
  <c r="M264" i="53"/>
  <c r="M265" i="53"/>
  <c r="M266" i="53"/>
  <c r="M267" i="53"/>
  <c r="M268" i="53"/>
  <c r="M269" i="53"/>
  <c r="M270" i="53"/>
  <c r="M271" i="53"/>
  <c r="M272" i="53"/>
  <c r="M273" i="53"/>
  <c r="M274" i="53"/>
  <c r="M275" i="53"/>
  <c r="M276" i="53"/>
  <c r="M277" i="53"/>
  <c r="M278" i="53"/>
  <c r="J166" i="53"/>
  <c r="M166" i="53" s="1"/>
  <c r="J167" i="53"/>
  <c r="M167" i="53" s="1"/>
  <c r="M168" i="53"/>
  <c r="M169" i="53"/>
  <c r="M170" i="53"/>
  <c r="M171" i="53"/>
  <c r="M172" i="53"/>
  <c r="O172" i="53" s="1"/>
  <c r="M173" i="53"/>
  <c r="M174" i="53"/>
  <c r="M175" i="53"/>
  <c r="M176" i="53"/>
  <c r="M177" i="53"/>
  <c r="M178" i="53"/>
  <c r="M179" i="53"/>
  <c r="M180" i="53"/>
  <c r="M181" i="53"/>
  <c r="M182" i="53"/>
  <c r="M183" i="53"/>
  <c r="M184" i="53"/>
  <c r="M185" i="53"/>
  <c r="M186" i="53"/>
  <c r="M187" i="53"/>
  <c r="M188" i="53"/>
  <c r="M189" i="53"/>
  <c r="M190" i="53"/>
  <c r="M191" i="53"/>
  <c r="M192" i="53"/>
  <c r="M193" i="53"/>
  <c r="M194" i="53"/>
  <c r="M195" i="53"/>
  <c r="M196" i="53"/>
  <c r="M197" i="53"/>
  <c r="M198" i="53"/>
  <c r="M199" i="53"/>
  <c r="M200" i="53"/>
  <c r="M201" i="53"/>
  <c r="M202" i="53"/>
  <c r="M203" i="53"/>
  <c r="M204" i="53"/>
  <c r="M205" i="53"/>
  <c r="M206" i="53"/>
  <c r="M207" i="53"/>
  <c r="M208" i="53"/>
  <c r="M209" i="53"/>
  <c r="M210" i="53"/>
  <c r="M211" i="53"/>
  <c r="M212" i="53"/>
  <c r="M213" i="53"/>
  <c r="M214" i="53"/>
  <c r="M215" i="53"/>
  <c r="I103" i="53"/>
  <c r="L103" i="53"/>
  <c r="I104" i="53"/>
  <c r="L104" i="53"/>
  <c r="I105" i="53"/>
  <c r="L105" i="53"/>
  <c r="L106" i="53"/>
  <c r="L107" i="53"/>
  <c r="L108" i="53"/>
  <c r="L109" i="53"/>
  <c r="L110" i="53"/>
  <c r="L111" i="53"/>
  <c r="L112" i="53"/>
  <c r="L113" i="53"/>
  <c r="L114" i="53"/>
  <c r="L115" i="53"/>
  <c r="L116" i="53"/>
  <c r="L117" i="53"/>
  <c r="L118" i="53"/>
  <c r="L119" i="53"/>
  <c r="L120" i="53"/>
  <c r="L121" i="53"/>
  <c r="L122" i="53"/>
  <c r="L123" i="53"/>
  <c r="L124" i="53"/>
  <c r="L125" i="53"/>
  <c r="L126" i="53"/>
  <c r="L127" i="53"/>
  <c r="L128" i="53"/>
  <c r="L129" i="53"/>
  <c r="L130" i="53"/>
  <c r="L131" i="53"/>
  <c r="L132" i="53"/>
  <c r="L133" i="53"/>
  <c r="L134" i="53"/>
  <c r="L135" i="53"/>
  <c r="L136" i="53"/>
  <c r="L137" i="53"/>
  <c r="L138" i="53"/>
  <c r="L139" i="53"/>
  <c r="L140" i="53"/>
  <c r="L141" i="53"/>
  <c r="L142" i="53"/>
  <c r="L143" i="53"/>
  <c r="L144" i="53"/>
  <c r="L145" i="53"/>
  <c r="L146" i="53"/>
  <c r="L147" i="53"/>
  <c r="L148" i="53"/>
  <c r="L149" i="53"/>
  <c r="L150" i="53"/>
  <c r="L151" i="53"/>
  <c r="L152" i="53"/>
  <c r="I44" i="53"/>
  <c r="L44" i="53"/>
  <c r="I45" i="53"/>
  <c r="L45" i="53"/>
  <c r="L46" i="53"/>
  <c r="L47" i="53"/>
  <c r="L48" i="53"/>
  <c r="L49" i="53"/>
  <c r="L50" i="53"/>
  <c r="L51" i="53"/>
  <c r="L52" i="53"/>
  <c r="L53" i="53"/>
  <c r="L54" i="53"/>
  <c r="L55" i="53"/>
  <c r="L56" i="53"/>
  <c r="L57" i="53"/>
  <c r="L58" i="53"/>
  <c r="L59" i="53"/>
  <c r="L60" i="53"/>
  <c r="L61" i="53"/>
  <c r="L62" i="53"/>
  <c r="L63" i="53"/>
  <c r="L64" i="53"/>
  <c r="L65" i="53"/>
  <c r="L66" i="53"/>
  <c r="L67" i="53"/>
  <c r="L68" i="53"/>
  <c r="L69" i="53"/>
  <c r="L70" i="53"/>
  <c r="L71" i="53"/>
  <c r="L72" i="53"/>
  <c r="L73" i="53"/>
  <c r="L74" i="53"/>
  <c r="L75" i="53"/>
  <c r="L76" i="53"/>
  <c r="L77" i="53"/>
  <c r="L78" i="53"/>
  <c r="L79" i="53"/>
  <c r="L80" i="53"/>
  <c r="L81" i="53"/>
  <c r="L82" i="53"/>
  <c r="L83" i="53"/>
  <c r="L84" i="53"/>
  <c r="L85" i="53"/>
  <c r="L86" i="53"/>
  <c r="L87" i="53"/>
  <c r="L88" i="53"/>
  <c r="L89" i="53"/>
  <c r="L90" i="53"/>
  <c r="L91" i="53"/>
  <c r="L92" i="53"/>
  <c r="L93" i="53"/>
  <c r="H44" i="53"/>
  <c r="K44" i="53"/>
  <c r="N44" i="53" s="1"/>
  <c r="H45" i="53"/>
  <c r="K45" i="53"/>
  <c r="K46" i="53"/>
  <c r="K47" i="53"/>
  <c r="K48" i="53"/>
  <c r="K49" i="53"/>
  <c r="K50" i="53"/>
  <c r="K51" i="53"/>
  <c r="K52" i="53"/>
  <c r="K53" i="53"/>
  <c r="K54" i="53"/>
  <c r="K55" i="53"/>
  <c r="K56" i="53"/>
  <c r="K57" i="53"/>
  <c r="K58" i="53"/>
  <c r="K59" i="53"/>
  <c r="K60" i="53"/>
  <c r="K61" i="53"/>
  <c r="K62" i="53"/>
  <c r="K63" i="53"/>
  <c r="K64" i="53"/>
  <c r="K65" i="53"/>
  <c r="K66" i="53"/>
  <c r="K67" i="53"/>
  <c r="K68" i="53"/>
  <c r="K69" i="53"/>
  <c r="K70" i="53"/>
  <c r="K71" i="53"/>
  <c r="K72" i="53"/>
  <c r="K73" i="53"/>
  <c r="K74" i="53"/>
  <c r="K75" i="53"/>
  <c r="K76" i="53"/>
  <c r="K77" i="53"/>
  <c r="K78" i="53"/>
  <c r="K79" i="53"/>
  <c r="K80" i="53"/>
  <c r="K81" i="53"/>
  <c r="K82" i="53"/>
  <c r="K83" i="53"/>
  <c r="K84" i="53"/>
  <c r="K85" i="53"/>
  <c r="K86" i="53"/>
  <c r="K87" i="53"/>
  <c r="K88" i="53"/>
  <c r="K89" i="53"/>
  <c r="K90" i="53"/>
  <c r="K91" i="53"/>
  <c r="K92" i="53"/>
  <c r="K93" i="53"/>
  <c r="H103" i="53"/>
  <c r="K103" i="53"/>
  <c r="H104" i="53"/>
  <c r="K104" i="53"/>
  <c r="H105" i="53"/>
  <c r="K105" i="53"/>
  <c r="K106" i="53"/>
  <c r="K107" i="53"/>
  <c r="K108" i="53"/>
  <c r="K109" i="53"/>
  <c r="N109" i="53" s="1"/>
  <c r="K110" i="53"/>
  <c r="K111" i="53"/>
  <c r="K112" i="53"/>
  <c r="K113" i="53"/>
  <c r="K114" i="53"/>
  <c r="K115" i="53"/>
  <c r="K116" i="53"/>
  <c r="K117" i="53"/>
  <c r="N117" i="53" s="1"/>
  <c r="K118" i="53"/>
  <c r="K119" i="53"/>
  <c r="K120" i="53"/>
  <c r="K121" i="53"/>
  <c r="K122" i="53"/>
  <c r="K123" i="53"/>
  <c r="K124" i="53"/>
  <c r="K125" i="53"/>
  <c r="K126" i="53"/>
  <c r="K127" i="53"/>
  <c r="K128" i="53"/>
  <c r="K129" i="53"/>
  <c r="K130" i="53"/>
  <c r="K131" i="53"/>
  <c r="K132" i="53"/>
  <c r="K133" i="53"/>
  <c r="K134" i="53"/>
  <c r="K135" i="53"/>
  <c r="K136" i="53"/>
  <c r="K137" i="53"/>
  <c r="N137" i="53" s="1"/>
  <c r="K138" i="53"/>
  <c r="K139" i="53"/>
  <c r="K140" i="53"/>
  <c r="K141" i="53"/>
  <c r="K142" i="53"/>
  <c r="K143" i="53"/>
  <c r="K144" i="53"/>
  <c r="K145" i="53"/>
  <c r="K146" i="53"/>
  <c r="K147" i="53"/>
  <c r="K148" i="53"/>
  <c r="K149" i="53"/>
  <c r="K150" i="53"/>
  <c r="K151" i="53"/>
  <c r="K152" i="53"/>
  <c r="I166" i="53"/>
  <c r="L166" i="53" s="1"/>
  <c r="I167" i="53"/>
  <c r="L167" i="53"/>
  <c r="L168" i="53"/>
  <c r="L169" i="53"/>
  <c r="L170" i="53"/>
  <c r="L171" i="53"/>
  <c r="L172" i="53"/>
  <c r="L173" i="53"/>
  <c r="O173" i="53" s="1"/>
  <c r="L174" i="53"/>
  <c r="L175" i="53"/>
  <c r="L176" i="53"/>
  <c r="L177" i="53"/>
  <c r="L178" i="53"/>
  <c r="L179" i="53"/>
  <c r="L180" i="53"/>
  <c r="L181" i="53"/>
  <c r="L182" i="53"/>
  <c r="L183" i="53"/>
  <c r="L184" i="53"/>
  <c r="L185" i="53"/>
  <c r="L186" i="53"/>
  <c r="L187" i="53"/>
  <c r="L188" i="53"/>
  <c r="L189" i="53"/>
  <c r="L190" i="53"/>
  <c r="L191" i="53"/>
  <c r="L192" i="53"/>
  <c r="L193" i="53"/>
  <c r="L194" i="53"/>
  <c r="L195" i="53"/>
  <c r="L196" i="53"/>
  <c r="L197" i="53"/>
  <c r="L198" i="53"/>
  <c r="L199" i="53"/>
  <c r="L200" i="53"/>
  <c r="L201" i="53"/>
  <c r="L202" i="53"/>
  <c r="L203" i="53"/>
  <c r="O203" i="53" s="1"/>
  <c r="L204" i="53"/>
  <c r="L205" i="53"/>
  <c r="L206" i="53"/>
  <c r="L207" i="53"/>
  <c r="L208" i="53"/>
  <c r="L209" i="53"/>
  <c r="L210" i="53"/>
  <c r="L211" i="53"/>
  <c r="L212" i="53"/>
  <c r="L213" i="53"/>
  <c r="L214" i="53"/>
  <c r="L215" i="53"/>
  <c r="I229" i="53"/>
  <c r="L229" i="53" s="1"/>
  <c r="I230" i="53"/>
  <c r="L230" i="53" s="1"/>
  <c r="I231" i="53"/>
  <c r="L231" i="53" s="1"/>
  <c r="L232" i="53"/>
  <c r="O232" i="53" s="1"/>
  <c r="L233" i="53"/>
  <c r="L234" i="53"/>
  <c r="O234" i="53" s="1"/>
  <c r="L235" i="53"/>
  <c r="L236" i="53"/>
  <c r="L237" i="53"/>
  <c r="L238" i="53"/>
  <c r="O238" i="53" s="1"/>
  <c r="L239" i="53"/>
  <c r="L240" i="53"/>
  <c r="L241" i="53"/>
  <c r="L242" i="53"/>
  <c r="O242" i="53" s="1"/>
  <c r="L243" i="53"/>
  <c r="L244" i="53"/>
  <c r="L245" i="53"/>
  <c r="L246" i="53"/>
  <c r="O246" i="53" s="1"/>
  <c r="L247" i="53"/>
  <c r="L248" i="53"/>
  <c r="L249" i="53"/>
  <c r="L250" i="53"/>
  <c r="O250" i="53" s="1"/>
  <c r="L251" i="53"/>
  <c r="L252" i="53"/>
  <c r="L253" i="53"/>
  <c r="L254" i="53"/>
  <c r="O254" i="53" s="1"/>
  <c r="L255" i="53"/>
  <c r="L256" i="53"/>
  <c r="L257" i="53"/>
  <c r="L258" i="53"/>
  <c r="O258" i="53" s="1"/>
  <c r="L259" i="53"/>
  <c r="L260" i="53"/>
  <c r="L261" i="53"/>
  <c r="L262" i="53"/>
  <c r="O262" i="53" s="1"/>
  <c r="L263" i="53"/>
  <c r="L264" i="53"/>
  <c r="L265" i="53"/>
  <c r="L266" i="53"/>
  <c r="O266" i="53" s="1"/>
  <c r="L267" i="53"/>
  <c r="L268" i="53"/>
  <c r="L269" i="53"/>
  <c r="L270" i="53"/>
  <c r="O270" i="53" s="1"/>
  <c r="L271" i="53"/>
  <c r="L272" i="53"/>
  <c r="L273" i="53"/>
  <c r="L274" i="53"/>
  <c r="L275" i="53"/>
  <c r="L276" i="53"/>
  <c r="L277" i="53"/>
  <c r="L278" i="53"/>
  <c r="O278" i="53" s="1"/>
  <c r="D25" i="40"/>
  <c r="D26" i="40"/>
  <c r="D27" i="40"/>
  <c r="D59" i="40"/>
  <c r="D60" i="40"/>
  <c r="D29" i="40"/>
  <c r="D30" i="40"/>
  <c r="D31" i="40"/>
  <c r="D32" i="40"/>
  <c r="D33" i="40"/>
  <c r="D34" i="40"/>
  <c r="D35" i="40"/>
  <c r="D36" i="40"/>
  <c r="D37" i="40"/>
  <c r="D38" i="40"/>
  <c r="D39" i="40"/>
  <c r="D40" i="40"/>
  <c r="D41" i="40"/>
  <c r="D42" i="40"/>
  <c r="D43" i="40"/>
  <c r="D44" i="40"/>
  <c r="D45" i="40"/>
  <c r="D46" i="40"/>
  <c r="D47" i="40"/>
  <c r="D49" i="40"/>
  <c r="D50" i="40"/>
  <c r="D51" i="40"/>
  <c r="D52" i="40"/>
  <c r="D53" i="40"/>
  <c r="D54" i="40"/>
  <c r="D55" i="40"/>
  <c r="D56" i="40"/>
  <c r="D57" i="40"/>
  <c r="D58" i="40"/>
  <c r="F25" i="40"/>
  <c r="F26" i="40"/>
  <c r="F27" i="40"/>
  <c r="F59" i="40"/>
  <c r="F60" i="40"/>
  <c r="F29" i="40"/>
  <c r="F30" i="40"/>
  <c r="F31" i="40"/>
  <c r="F32" i="40"/>
  <c r="F33" i="40"/>
  <c r="F34" i="40"/>
  <c r="F35" i="40"/>
  <c r="F36" i="40"/>
  <c r="F37" i="40"/>
  <c r="F38" i="40"/>
  <c r="F39" i="40"/>
  <c r="F40" i="40"/>
  <c r="F41" i="40"/>
  <c r="F42" i="40"/>
  <c r="F43" i="40"/>
  <c r="F44" i="40"/>
  <c r="F45" i="40"/>
  <c r="F46" i="40"/>
  <c r="F47" i="40"/>
  <c r="F49" i="40"/>
  <c r="F50" i="40"/>
  <c r="F51" i="40"/>
  <c r="F52" i="40"/>
  <c r="F53" i="40"/>
  <c r="F54" i="40"/>
  <c r="F55" i="40"/>
  <c r="F56" i="40"/>
  <c r="F57" i="40"/>
  <c r="F58" i="40"/>
  <c r="H25" i="40"/>
  <c r="H26" i="40"/>
  <c r="H27" i="40"/>
  <c r="H59" i="40"/>
  <c r="H60" i="40"/>
  <c r="H29" i="40"/>
  <c r="H30" i="40"/>
  <c r="H31" i="40"/>
  <c r="H32" i="40"/>
  <c r="H33" i="40"/>
  <c r="H34" i="40"/>
  <c r="H35" i="40"/>
  <c r="H36" i="40"/>
  <c r="H37" i="40"/>
  <c r="H38" i="40"/>
  <c r="H39" i="40"/>
  <c r="H40" i="40"/>
  <c r="H41" i="40"/>
  <c r="H42" i="40"/>
  <c r="H43" i="40"/>
  <c r="H44" i="40"/>
  <c r="H45" i="40"/>
  <c r="H46" i="40"/>
  <c r="H47" i="40"/>
  <c r="H49" i="40"/>
  <c r="H50" i="40"/>
  <c r="H51" i="40"/>
  <c r="H52" i="40"/>
  <c r="H53" i="40"/>
  <c r="H54" i="40"/>
  <c r="H55" i="40"/>
  <c r="H56" i="40"/>
  <c r="H57" i="40"/>
  <c r="H58" i="40"/>
  <c r="J59" i="40"/>
  <c r="J60" i="40"/>
  <c r="J29" i="40"/>
  <c r="J30" i="40"/>
  <c r="J31" i="40"/>
  <c r="J32" i="40"/>
  <c r="J33" i="40"/>
  <c r="J34" i="40"/>
  <c r="J35" i="40"/>
  <c r="J36" i="40"/>
  <c r="J37" i="40"/>
  <c r="J38" i="40"/>
  <c r="J39" i="40"/>
  <c r="J40" i="40"/>
  <c r="J41" i="40"/>
  <c r="J42" i="40"/>
  <c r="J43" i="40"/>
  <c r="J44" i="40"/>
  <c r="J45" i="40"/>
  <c r="J46" i="40"/>
  <c r="J47" i="40"/>
  <c r="J49" i="40"/>
  <c r="J50" i="40"/>
  <c r="J51" i="40"/>
  <c r="J52" i="40"/>
  <c r="J53" i="40"/>
  <c r="J54" i="40"/>
  <c r="J55" i="40"/>
  <c r="J56" i="40"/>
  <c r="J57" i="40"/>
  <c r="J58" i="40"/>
  <c r="D69" i="40"/>
  <c r="D103" i="40"/>
  <c r="D104" i="40"/>
  <c r="D73" i="40"/>
  <c r="D74" i="40"/>
  <c r="D75" i="40"/>
  <c r="D76" i="40"/>
  <c r="D77" i="40"/>
  <c r="D78" i="40"/>
  <c r="D79" i="40"/>
  <c r="D80" i="40"/>
  <c r="D81" i="40"/>
  <c r="D82" i="40"/>
  <c r="D83" i="40"/>
  <c r="D84" i="40"/>
  <c r="D85" i="40"/>
  <c r="D86" i="40"/>
  <c r="D87" i="40"/>
  <c r="D88" i="40"/>
  <c r="D89" i="40"/>
  <c r="D90" i="40"/>
  <c r="D91" i="40"/>
  <c r="D93" i="40"/>
  <c r="D94" i="40"/>
  <c r="D95" i="40"/>
  <c r="D96" i="40"/>
  <c r="D97" i="40"/>
  <c r="D98" i="40"/>
  <c r="D99" i="40"/>
  <c r="D100" i="40"/>
  <c r="D101" i="40"/>
  <c r="D102" i="40"/>
  <c r="F103" i="40"/>
  <c r="F104" i="40"/>
  <c r="F73" i="40"/>
  <c r="F74" i="40"/>
  <c r="F75" i="40"/>
  <c r="F76" i="40"/>
  <c r="F77" i="40"/>
  <c r="F78" i="40"/>
  <c r="F79" i="40"/>
  <c r="F80" i="40"/>
  <c r="F81" i="40"/>
  <c r="F82" i="40"/>
  <c r="F83" i="40"/>
  <c r="F84" i="40"/>
  <c r="F85" i="40"/>
  <c r="F86" i="40"/>
  <c r="F87" i="40"/>
  <c r="F88" i="40"/>
  <c r="F89" i="40"/>
  <c r="F90" i="40"/>
  <c r="F91" i="40"/>
  <c r="F93" i="40"/>
  <c r="F94" i="40"/>
  <c r="F95" i="40"/>
  <c r="F96" i="40"/>
  <c r="F97" i="40"/>
  <c r="F98" i="40"/>
  <c r="F99" i="40"/>
  <c r="F100" i="40"/>
  <c r="F101" i="40"/>
  <c r="F102" i="40"/>
  <c r="H103" i="40"/>
  <c r="H104" i="40"/>
  <c r="H73" i="40"/>
  <c r="H74" i="40"/>
  <c r="H75" i="40"/>
  <c r="H76" i="40"/>
  <c r="H77" i="40"/>
  <c r="H78" i="40"/>
  <c r="H79" i="40"/>
  <c r="H80" i="40"/>
  <c r="H81" i="40"/>
  <c r="H82" i="40"/>
  <c r="H83" i="40"/>
  <c r="H84" i="40"/>
  <c r="H85" i="40"/>
  <c r="H86" i="40"/>
  <c r="H87" i="40"/>
  <c r="H88" i="40"/>
  <c r="H89" i="40"/>
  <c r="H90" i="40"/>
  <c r="H91" i="40"/>
  <c r="H93" i="40"/>
  <c r="H94" i="40"/>
  <c r="H95" i="40"/>
  <c r="H96" i="40"/>
  <c r="H97" i="40"/>
  <c r="H98" i="40"/>
  <c r="H99" i="40"/>
  <c r="H100" i="40"/>
  <c r="H101" i="40"/>
  <c r="H102" i="40"/>
  <c r="J69" i="40"/>
  <c r="J70" i="40"/>
  <c r="J71" i="40"/>
  <c r="J103" i="40"/>
  <c r="J104" i="40"/>
  <c r="J73" i="40"/>
  <c r="J74" i="40"/>
  <c r="J75" i="40"/>
  <c r="J76" i="40"/>
  <c r="J77" i="40"/>
  <c r="J78" i="40"/>
  <c r="J79" i="40"/>
  <c r="J80" i="40"/>
  <c r="J81" i="40"/>
  <c r="J82" i="40"/>
  <c r="J83" i="40"/>
  <c r="J84" i="40"/>
  <c r="J85" i="40"/>
  <c r="J86" i="40"/>
  <c r="J87" i="40"/>
  <c r="J88" i="40"/>
  <c r="J89" i="40"/>
  <c r="J90" i="40"/>
  <c r="J91" i="40"/>
  <c r="J93" i="40"/>
  <c r="J94" i="40"/>
  <c r="J95" i="40"/>
  <c r="J96" i="40"/>
  <c r="J97" i="40"/>
  <c r="J98" i="40"/>
  <c r="J99" i="40"/>
  <c r="J100" i="40"/>
  <c r="J101" i="40"/>
  <c r="J102" i="40"/>
  <c r="D147" i="40"/>
  <c r="D148" i="40"/>
  <c r="D117" i="40"/>
  <c r="D118" i="40"/>
  <c r="D119" i="40"/>
  <c r="D120" i="40"/>
  <c r="D121" i="40"/>
  <c r="D122" i="40"/>
  <c r="D123" i="40"/>
  <c r="D124" i="40"/>
  <c r="D125" i="40"/>
  <c r="D126" i="40"/>
  <c r="D127" i="40"/>
  <c r="D128" i="40"/>
  <c r="D129" i="40"/>
  <c r="D130" i="40"/>
  <c r="D131" i="40"/>
  <c r="D132" i="40"/>
  <c r="D133" i="40"/>
  <c r="D134" i="40"/>
  <c r="D135" i="40"/>
  <c r="D137" i="40"/>
  <c r="D138" i="40"/>
  <c r="D139" i="40"/>
  <c r="D140" i="40"/>
  <c r="D141" i="40"/>
  <c r="D142" i="40"/>
  <c r="D143" i="40"/>
  <c r="D144" i="40"/>
  <c r="D145" i="40"/>
  <c r="D146" i="40"/>
  <c r="F113" i="40"/>
  <c r="F114" i="40"/>
  <c r="F115" i="40"/>
  <c r="F147" i="40"/>
  <c r="F148" i="40"/>
  <c r="F117" i="40"/>
  <c r="F118" i="40"/>
  <c r="F119" i="40"/>
  <c r="F120" i="40"/>
  <c r="F121" i="40"/>
  <c r="F122" i="40"/>
  <c r="F123" i="40"/>
  <c r="F124" i="40"/>
  <c r="F125" i="40"/>
  <c r="F126" i="40"/>
  <c r="F127" i="40"/>
  <c r="F128" i="40"/>
  <c r="F129" i="40"/>
  <c r="F130" i="40"/>
  <c r="F131" i="40"/>
  <c r="F132" i="40"/>
  <c r="F133" i="40"/>
  <c r="F134" i="40"/>
  <c r="F135" i="40"/>
  <c r="F137" i="40"/>
  <c r="F138" i="40"/>
  <c r="F139" i="40"/>
  <c r="F140" i="40"/>
  <c r="F141" i="40"/>
  <c r="F142" i="40"/>
  <c r="F143" i="40"/>
  <c r="F144" i="40"/>
  <c r="F145" i="40"/>
  <c r="F146" i="40"/>
  <c r="H113" i="40"/>
  <c r="H114" i="40"/>
  <c r="H115" i="40"/>
  <c r="H147" i="40"/>
  <c r="H148" i="40"/>
  <c r="H117" i="40"/>
  <c r="H118" i="40"/>
  <c r="H119" i="40"/>
  <c r="H120" i="40"/>
  <c r="H121" i="40"/>
  <c r="H122" i="40"/>
  <c r="H123" i="40"/>
  <c r="H124" i="40"/>
  <c r="H125" i="40"/>
  <c r="H126" i="40"/>
  <c r="H127" i="40"/>
  <c r="H128" i="40"/>
  <c r="H129" i="40"/>
  <c r="H130" i="40"/>
  <c r="H131" i="40"/>
  <c r="H132" i="40"/>
  <c r="H133" i="40"/>
  <c r="H134" i="40"/>
  <c r="H135" i="40"/>
  <c r="H137" i="40"/>
  <c r="H138" i="40"/>
  <c r="H139" i="40"/>
  <c r="H140" i="40"/>
  <c r="H141" i="40"/>
  <c r="H142" i="40"/>
  <c r="H143" i="40"/>
  <c r="H144" i="40"/>
  <c r="H145" i="40"/>
  <c r="H146" i="40"/>
  <c r="J113" i="40"/>
  <c r="J114" i="40"/>
  <c r="J115" i="40"/>
  <c r="J147" i="40"/>
  <c r="J148" i="40"/>
  <c r="J117" i="40"/>
  <c r="J118" i="40"/>
  <c r="J119" i="40"/>
  <c r="J120" i="40"/>
  <c r="J121" i="40"/>
  <c r="J122" i="40"/>
  <c r="J123" i="40"/>
  <c r="J124" i="40"/>
  <c r="J125" i="40"/>
  <c r="J126" i="40"/>
  <c r="J127" i="40"/>
  <c r="J128" i="40"/>
  <c r="J129" i="40"/>
  <c r="J130" i="40"/>
  <c r="J131" i="40"/>
  <c r="J132" i="40"/>
  <c r="J133" i="40"/>
  <c r="J134" i="40"/>
  <c r="J135" i="40"/>
  <c r="J137" i="40"/>
  <c r="J138" i="40"/>
  <c r="J139" i="40"/>
  <c r="J140" i="40"/>
  <c r="J141" i="40"/>
  <c r="J142" i="40"/>
  <c r="J143" i="40"/>
  <c r="J144" i="40"/>
  <c r="J145" i="40"/>
  <c r="J146" i="40"/>
  <c r="D157" i="40"/>
  <c r="D158" i="40"/>
  <c r="D159" i="40"/>
  <c r="D191" i="40"/>
  <c r="D192" i="40"/>
  <c r="D161" i="40"/>
  <c r="D162" i="40"/>
  <c r="D163" i="40"/>
  <c r="D164" i="40"/>
  <c r="D165" i="40"/>
  <c r="D166" i="40"/>
  <c r="D167" i="40"/>
  <c r="D168" i="40"/>
  <c r="D169" i="40"/>
  <c r="D170" i="40"/>
  <c r="D171" i="40"/>
  <c r="D172" i="40"/>
  <c r="D173" i="40"/>
  <c r="D174" i="40"/>
  <c r="D175" i="40"/>
  <c r="D176" i="40"/>
  <c r="D177" i="40"/>
  <c r="D178" i="40"/>
  <c r="D179" i="40"/>
  <c r="D181" i="40"/>
  <c r="D182" i="40"/>
  <c r="D183" i="40"/>
  <c r="D184" i="40"/>
  <c r="D185" i="40"/>
  <c r="D186" i="40"/>
  <c r="D187" i="40"/>
  <c r="D188" i="40"/>
  <c r="D189" i="40"/>
  <c r="D190" i="40"/>
  <c r="F157" i="40"/>
  <c r="F158" i="40"/>
  <c r="F159" i="40"/>
  <c r="F191" i="40"/>
  <c r="F192" i="40"/>
  <c r="F161" i="40"/>
  <c r="F162" i="40"/>
  <c r="F163" i="40"/>
  <c r="F164" i="40"/>
  <c r="F165" i="40"/>
  <c r="F166" i="40"/>
  <c r="F167" i="40"/>
  <c r="F168" i="40"/>
  <c r="F169" i="40"/>
  <c r="F170" i="40"/>
  <c r="F171" i="40"/>
  <c r="F172" i="40"/>
  <c r="F173" i="40"/>
  <c r="F174" i="40"/>
  <c r="F175" i="40"/>
  <c r="F176" i="40"/>
  <c r="F177" i="40"/>
  <c r="F178" i="40"/>
  <c r="F179" i="40"/>
  <c r="F181" i="40"/>
  <c r="F182" i="40"/>
  <c r="F183" i="40"/>
  <c r="F184" i="40"/>
  <c r="F185" i="40"/>
  <c r="F186" i="40"/>
  <c r="F187" i="40"/>
  <c r="F188" i="40"/>
  <c r="F189" i="40"/>
  <c r="F190" i="40"/>
  <c r="H157" i="40"/>
  <c r="H158" i="40"/>
  <c r="H159" i="40"/>
  <c r="H191" i="40"/>
  <c r="H192" i="40"/>
  <c r="H161" i="40"/>
  <c r="H162" i="40"/>
  <c r="H163" i="40"/>
  <c r="H164" i="40"/>
  <c r="H165" i="40"/>
  <c r="H166" i="40"/>
  <c r="H167" i="40"/>
  <c r="H168" i="40"/>
  <c r="H169" i="40"/>
  <c r="H170" i="40"/>
  <c r="H171" i="40"/>
  <c r="H172" i="40"/>
  <c r="H173" i="40"/>
  <c r="H174" i="40"/>
  <c r="H175" i="40"/>
  <c r="H176" i="40"/>
  <c r="H177" i="40"/>
  <c r="H178" i="40"/>
  <c r="H179" i="40"/>
  <c r="H181" i="40"/>
  <c r="H182" i="40"/>
  <c r="H183" i="40"/>
  <c r="H184" i="40"/>
  <c r="H185" i="40"/>
  <c r="H186" i="40"/>
  <c r="H187" i="40"/>
  <c r="H188" i="40"/>
  <c r="H189" i="40"/>
  <c r="H190" i="40"/>
  <c r="P342" i="53"/>
  <c r="N131" i="53"/>
  <c r="O196" i="53"/>
  <c r="O252" i="53"/>
  <c r="O274" i="53"/>
  <c r="O292" i="53"/>
  <c r="O295" i="53"/>
  <c r="O296" i="53"/>
  <c r="O297" i="53"/>
  <c r="O298" i="53"/>
  <c r="O299" i="53"/>
  <c r="O300" i="53"/>
  <c r="O301" i="53"/>
  <c r="O302" i="53"/>
  <c r="O303" i="53"/>
  <c r="O304" i="53"/>
  <c r="O305" i="53"/>
  <c r="O306" i="53"/>
  <c r="O307" i="53"/>
  <c r="O308" i="53"/>
  <c r="O309" i="53"/>
  <c r="O310" i="53"/>
  <c r="O311" i="53"/>
  <c r="O312" i="53"/>
  <c r="O313" i="53"/>
  <c r="O314" i="53"/>
  <c r="O315" i="53"/>
  <c r="O316" i="53"/>
  <c r="O317" i="53"/>
  <c r="O318" i="53"/>
  <c r="O319" i="53"/>
  <c r="O320" i="53"/>
  <c r="O321" i="53"/>
  <c r="O322" i="53"/>
  <c r="O323" i="53"/>
  <c r="O324" i="53"/>
  <c r="O325" i="53"/>
  <c r="O326" i="53"/>
  <c r="O327" i="53"/>
  <c r="O328" i="53"/>
  <c r="O329" i="53"/>
  <c r="O330" i="53"/>
  <c r="O331" i="53"/>
  <c r="O332" i="53"/>
  <c r="O333" i="53"/>
  <c r="O334" i="53"/>
  <c r="O335" i="53"/>
  <c r="O336" i="53"/>
  <c r="O337" i="53"/>
  <c r="O338" i="53"/>
  <c r="O339" i="53"/>
  <c r="O340" i="53"/>
  <c r="O341" i="53"/>
  <c r="H142" i="53"/>
  <c r="I142" i="53"/>
  <c r="J142" i="53"/>
  <c r="H143" i="53"/>
  <c r="I143" i="53"/>
  <c r="J143" i="53"/>
  <c r="H144" i="53"/>
  <c r="I144" i="53"/>
  <c r="J144" i="53"/>
  <c r="H145" i="53"/>
  <c r="I145" i="53"/>
  <c r="J145" i="53"/>
  <c r="H146" i="53"/>
  <c r="I146" i="53"/>
  <c r="J146" i="53"/>
  <c r="H147" i="53"/>
  <c r="I147" i="53"/>
  <c r="J147" i="53"/>
  <c r="H148" i="53"/>
  <c r="I148" i="53"/>
  <c r="J148" i="53"/>
  <c r="H149" i="53"/>
  <c r="I149" i="53"/>
  <c r="J149" i="53"/>
  <c r="H150" i="53"/>
  <c r="I150" i="53"/>
  <c r="J150" i="53"/>
  <c r="H151" i="53"/>
  <c r="I151" i="53"/>
  <c r="J151" i="53"/>
  <c r="H152" i="53"/>
  <c r="I152" i="53"/>
  <c r="J152" i="53"/>
  <c r="H114" i="53"/>
  <c r="I114" i="53"/>
  <c r="J114" i="53"/>
  <c r="H115" i="53"/>
  <c r="I115" i="53"/>
  <c r="J115" i="53"/>
  <c r="H116" i="53"/>
  <c r="I116" i="53"/>
  <c r="J116" i="53"/>
  <c r="H117" i="53"/>
  <c r="I117" i="53"/>
  <c r="J117" i="53"/>
  <c r="H118" i="53"/>
  <c r="I118" i="53"/>
  <c r="J118" i="53"/>
  <c r="H119" i="53"/>
  <c r="I119" i="53"/>
  <c r="J119" i="53"/>
  <c r="H120" i="53"/>
  <c r="I120" i="53"/>
  <c r="J120" i="53"/>
  <c r="H121" i="53"/>
  <c r="I121" i="53"/>
  <c r="J121" i="53"/>
  <c r="H122" i="53"/>
  <c r="I122" i="53"/>
  <c r="J122" i="53"/>
  <c r="H123" i="53"/>
  <c r="I123" i="53"/>
  <c r="J123" i="53"/>
  <c r="H124" i="53"/>
  <c r="I124" i="53"/>
  <c r="J124" i="53"/>
  <c r="H125" i="53"/>
  <c r="I125" i="53"/>
  <c r="J125" i="53"/>
  <c r="H126" i="53"/>
  <c r="I126" i="53"/>
  <c r="J126" i="53"/>
  <c r="H127" i="53"/>
  <c r="I127" i="53"/>
  <c r="J127" i="53"/>
  <c r="H128" i="53"/>
  <c r="I128" i="53"/>
  <c r="J128" i="53"/>
  <c r="H129" i="53"/>
  <c r="I129" i="53"/>
  <c r="J129" i="53"/>
  <c r="H130" i="53"/>
  <c r="I130" i="53"/>
  <c r="J130" i="53"/>
  <c r="H131" i="53"/>
  <c r="I131" i="53"/>
  <c r="J131" i="53"/>
  <c r="H132" i="53"/>
  <c r="I132" i="53"/>
  <c r="J132" i="53"/>
  <c r="H133" i="53"/>
  <c r="I133" i="53"/>
  <c r="J133" i="53"/>
  <c r="H134" i="53"/>
  <c r="I134" i="53"/>
  <c r="J134" i="53"/>
  <c r="H135" i="53"/>
  <c r="I135" i="53"/>
  <c r="J135" i="53"/>
  <c r="H136" i="53"/>
  <c r="I136" i="53"/>
  <c r="J136" i="53"/>
  <c r="H137" i="53"/>
  <c r="I137" i="53"/>
  <c r="J137" i="53"/>
  <c r="H138" i="53"/>
  <c r="I138" i="53"/>
  <c r="J138" i="53"/>
  <c r="H139" i="53"/>
  <c r="I139" i="53"/>
  <c r="J139" i="53"/>
  <c r="H140" i="53"/>
  <c r="I140" i="53"/>
  <c r="J140" i="53"/>
  <c r="H141" i="53"/>
  <c r="I141" i="53"/>
  <c r="J141" i="53"/>
  <c r="H106" i="53"/>
  <c r="I106" i="53"/>
  <c r="J106" i="53"/>
  <c r="H107" i="53"/>
  <c r="I107" i="53"/>
  <c r="J107" i="53"/>
  <c r="H108" i="53"/>
  <c r="I108" i="53"/>
  <c r="J108" i="53"/>
  <c r="H109" i="53"/>
  <c r="I109" i="53"/>
  <c r="J109" i="53"/>
  <c r="H110" i="53"/>
  <c r="I110" i="53"/>
  <c r="J110" i="53"/>
  <c r="H111" i="53"/>
  <c r="I111" i="53"/>
  <c r="J111" i="53"/>
  <c r="H112" i="53"/>
  <c r="I112" i="53"/>
  <c r="J112" i="53"/>
  <c r="H113" i="53"/>
  <c r="I113" i="53"/>
  <c r="J113" i="53"/>
  <c r="G129" i="53"/>
  <c r="G130" i="53"/>
  <c r="G131" i="53"/>
  <c r="G132" i="53"/>
  <c r="G133" i="53"/>
  <c r="G134" i="53"/>
  <c r="G135" i="53"/>
  <c r="G136" i="53"/>
  <c r="G137" i="53"/>
  <c r="G138" i="53"/>
  <c r="G139" i="53"/>
  <c r="G140" i="53"/>
  <c r="G141" i="53"/>
  <c r="G142" i="53"/>
  <c r="G143" i="53"/>
  <c r="G144" i="53"/>
  <c r="G145" i="53"/>
  <c r="G146" i="53"/>
  <c r="G147" i="53"/>
  <c r="G148" i="53"/>
  <c r="G149" i="53"/>
  <c r="G150" i="53"/>
  <c r="G151" i="53"/>
  <c r="G152" i="53"/>
  <c r="G106" i="53"/>
  <c r="G107" i="53"/>
  <c r="G108" i="53"/>
  <c r="G109" i="53"/>
  <c r="G110" i="53"/>
  <c r="G111" i="53"/>
  <c r="G112" i="53"/>
  <c r="G113" i="53"/>
  <c r="G114" i="53"/>
  <c r="G115" i="53"/>
  <c r="G116" i="53"/>
  <c r="G117" i="53"/>
  <c r="G118" i="53"/>
  <c r="G119" i="53"/>
  <c r="G120" i="53"/>
  <c r="G121" i="53"/>
  <c r="G122" i="53"/>
  <c r="G123" i="53"/>
  <c r="G124" i="53"/>
  <c r="G125" i="53"/>
  <c r="G126" i="53"/>
  <c r="G127" i="53"/>
  <c r="G128" i="53"/>
  <c r="K72" i="6"/>
  <c r="L72" i="6"/>
  <c r="M72" i="6"/>
  <c r="K73" i="6"/>
  <c r="L73" i="6"/>
  <c r="M73" i="6"/>
  <c r="K74" i="6"/>
  <c r="L74" i="6"/>
  <c r="M74" i="6"/>
  <c r="K75" i="6"/>
  <c r="L75" i="6"/>
  <c r="M75" i="6"/>
  <c r="K76" i="6"/>
  <c r="L76" i="6"/>
  <c r="M76" i="6"/>
  <c r="K77" i="6"/>
  <c r="L77" i="6"/>
  <c r="M77" i="6"/>
  <c r="K78" i="6"/>
  <c r="L78" i="6"/>
  <c r="M78" i="6"/>
  <c r="K79" i="6"/>
  <c r="L79" i="6"/>
  <c r="M79" i="6"/>
  <c r="K80" i="6"/>
  <c r="L80" i="6"/>
  <c r="M80" i="6"/>
  <c r="K81" i="6"/>
  <c r="L81" i="6"/>
  <c r="M81" i="6"/>
  <c r="K82" i="6"/>
  <c r="L82" i="6"/>
  <c r="M82" i="6"/>
  <c r="K83" i="6"/>
  <c r="L83" i="6"/>
  <c r="M83" i="6"/>
  <c r="K84" i="6"/>
  <c r="L84" i="6"/>
  <c r="M84" i="6"/>
  <c r="K85" i="6"/>
  <c r="L85" i="6"/>
  <c r="M85" i="6"/>
  <c r="K86" i="6"/>
  <c r="L86" i="6"/>
  <c r="M86" i="6"/>
  <c r="K38" i="6"/>
  <c r="L38" i="6"/>
  <c r="M38" i="6"/>
  <c r="K39" i="6"/>
  <c r="L39" i="6"/>
  <c r="M39" i="6"/>
  <c r="K40" i="6"/>
  <c r="L40" i="6"/>
  <c r="M40" i="6"/>
  <c r="K41" i="6"/>
  <c r="L41" i="6"/>
  <c r="M41" i="6"/>
  <c r="K42" i="6"/>
  <c r="L42" i="6"/>
  <c r="M42" i="6"/>
  <c r="K43" i="6"/>
  <c r="L43" i="6"/>
  <c r="M43" i="6"/>
  <c r="K44" i="6"/>
  <c r="L44" i="6"/>
  <c r="M44" i="6"/>
  <c r="K45" i="6"/>
  <c r="L45" i="6"/>
  <c r="M45" i="6"/>
  <c r="K46" i="6"/>
  <c r="L46" i="6"/>
  <c r="M46" i="6"/>
  <c r="K47" i="6"/>
  <c r="L47" i="6"/>
  <c r="M47" i="6"/>
  <c r="K48" i="6"/>
  <c r="L48" i="6"/>
  <c r="M48" i="6"/>
  <c r="K49" i="6"/>
  <c r="L49" i="6"/>
  <c r="M49" i="6"/>
  <c r="K50" i="6"/>
  <c r="L50" i="6"/>
  <c r="M50" i="6"/>
  <c r="K51" i="6"/>
  <c r="L51" i="6"/>
  <c r="M51" i="6"/>
  <c r="K52" i="6"/>
  <c r="L52" i="6"/>
  <c r="M52" i="6"/>
  <c r="K53" i="6"/>
  <c r="L53" i="6"/>
  <c r="M53" i="6"/>
  <c r="K54" i="6"/>
  <c r="L54" i="6"/>
  <c r="M54" i="6"/>
  <c r="K55" i="6"/>
  <c r="L55" i="6"/>
  <c r="M55" i="6"/>
  <c r="K56" i="6"/>
  <c r="L56" i="6"/>
  <c r="M56" i="6"/>
  <c r="K57" i="6"/>
  <c r="L57" i="6"/>
  <c r="M57" i="6"/>
  <c r="K58" i="6"/>
  <c r="L58" i="6"/>
  <c r="M58" i="6"/>
  <c r="K59" i="6"/>
  <c r="L59" i="6"/>
  <c r="M59" i="6"/>
  <c r="K60" i="6"/>
  <c r="L60" i="6"/>
  <c r="M60" i="6"/>
  <c r="K61" i="6"/>
  <c r="L61" i="6"/>
  <c r="M61" i="6"/>
  <c r="K62" i="6"/>
  <c r="L62" i="6"/>
  <c r="M62" i="6"/>
  <c r="K63" i="6"/>
  <c r="L63" i="6"/>
  <c r="M63" i="6"/>
  <c r="K64" i="6"/>
  <c r="L64" i="6"/>
  <c r="M64" i="6"/>
  <c r="K65" i="6"/>
  <c r="L65" i="6"/>
  <c r="M65" i="6"/>
  <c r="K66" i="6"/>
  <c r="L66" i="6"/>
  <c r="M66" i="6"/>
  <c r="K67" i="6"/>
  <c r="L67" i="6"/>
  <c r="M67" i="6"/>
  <c r="K68" i="6"/>
  <c r="L68" i="6"/>
  <c r="M68" i="6"/>
  <c r="K69" i="6"/>
  <c r="L69" i="6"/>
  <c r="M69" i="6"/>
  <c r="K70" i="6"/>
  <c r="L70" i="6"/>
  <c r="M70" i="6"/>
  <c r="K71" i="6"/>
  <c r="L71" i="6"/>
  <c r="M71" i="6"/>
  <c r="H64" i="53"/>
  <c r="I64" i="53"/>
  <c r="J64" i="53"/>
  <c r="H65" i="53"/>
  <c r="I65" i="53"/>
  <c r="J65" i="53"/>
  <c r="H66" i="53"/>
  <c r="I66" i="53"/>
  <c r="J66" i="53"/>
  <c r="H67" i="53"/>
  <c r="I67" i="53"/>
  <c r="J67" i="53"/>
  <c r="H68" i="53"/>
  <c r="I68" i="53"/>
  <c r="J68" i="53"/>
  <c r="H69" i="53"/>
  <c r="I69" i="53"/>
  <c r="J69" i="53"/>
  <c r="H70" i="53"/>
  <c r="I70" i="53"/>
  <c r="J70" i="53"/>
  <c r="H71" i="53"/>
  <c r="I71" i="53"/>
  <c r="J71" i="53"/>
  <c r="H72" i="53"/>
  <c r="I72" i="53"/>
  <c r="J72" i="53"/>
  <c r="H73" i="53"/>
  <c r="I73" i="53"/>
  <c r="J73" i="53"/>
  <c r="H74" i="53"/>
  <c r="I74" i="53"/>
  <c r="J74" i="53"/>
  <c r="H75" i="53"/>
  <c r="I75" i="53"/>
  <c r="J75" i="53"/>
  <c r="H76" i="53"/>
  <c r="I76" i="53"/>
  <c r="J76" i="53"/>
  <c r="H77" i="53"/>
  <c r="I77" i="53"/>
  <c r="J77" i="53"/>
  <c r="H78" i="53"/>
  <c r="I78" i="53"/>
  <c r="J78" i="53"/>
  <c r="H79" i="53"/>
  <c r="I79" i="53"/>
  <c r="J79" i="53"/>
  <c r="H80" i="53"/>
  <c r="I80" i="53"/>
  <c r="J80" i="53"/>
  <c r="H81" i="53"/>
  <c r="I81" i="53"/>
  <c r="J81" i="53"/>
  <c r="H82" i="53"/>
  <c r="I82" i="53"/>
  <c r="J82" i="53"/>
  <c r="H83" i="53"/>
  <c r="I83" i="53"/>
  <c r="J83" i="53"/>
  <c r="H84" i="53"/>
  <c r="I84" i="53"/>
  <c r="J84" i="53"/>
  <c r="H85" i="53"/>
  <c r="I85" i="53"/>
  <c r="J85" i="53"/>
  <c r="H86" i="53"/>
  <c r="I86" i="53"/>
  <c r="J86" i="53"/>
  <c r="H87" i="53"/>
  <c r="I87" i="53"/>
  <c r="J87" i="53"/>
  <c r="H88" i="53"/>
  <c r="I88" i="53"/>
  <c r="J88" i="53"/>
  <c r="H89" i="53"/>
  <c r="I89" i="53"/>
  <c r="J89" i="53"/>
  <c r="H90" i="53"/>
  <c r="I90" i="53"/>
  <c r="J90" i="53"/>
  <c r="H91" i="53"/>
  <c r="I91" i="53"/>
  <c r="J91" i="53"/>
  <c r="H92" i="53"/>
  <c r="I92" i="53"/>
  <c r="J92" i="53"/>
  <c r="H93" i="53"/>
  <c r="I93" i="53"/>
  <c r="J93" i="53"/>
  <c r="H47" i="53"/>
  <c r="I47" i="53"/>
  <c r="J47" i="53"/>
  <c r="H48" i="53"/>
  <c r="I48" i="53"/>
  <c r="J48" i="53"/>
  <c r="H49" i="53"/>
  <c r="I49" i="53"/>
  <c r="J49" i="53"/>
  <c r="H50" i="53"/>
  <c r="I50" i="53"/>
  <c r="J50" i="53"/>
  <c r="H51" i="53"/>
  <c r="I51" i="53"/>
  <c r="J51" i="53"/>
  <c r="H52" i="53"/>
  <c r="I52" i="53"/>
  <c r="J52" i="53"/>
  <c r="H53" i="53"/>
  <c r="I53" i="53"/>
  <c r="J53" i="53"/>
  <c r="H54" i="53"/>
  <c r="I54" i="53"/>
  <c r="J54" i="53"/>
  <c r="H55" i="53"/>
  <c r="I55" i="53"/>
  <c r="J55" i="53"/>
  <c r="H56" i="53"/>
  <c r="I56" i="53"/>
  <c r="J56" i="53"/>
  <c r="H57" i="53"/>
  <c r="I57" i="53"/>
  <c r="J57" i="53"/>
  <c r="H58" i="53"/>
  <c r="I58" i="53"/>
  <c r="J58" i="53"/>
  <c r="H59" i="53"/>
  <c r="I59" i="53"/>
  <c r="J59" i="53"/>
  <c r="H60" i="53"/>
  <c r="I60" i="53"/>
  <c r="J60" i="53"/>
  <c r="H61" i="53"/>
  <c r="I61" i="53"/>
  <c r="J61" i="53"/>
  <c r="H62" i="53"/>
  <c r="I62" i="53"/>
  <c r="J62" i="53"/>
  <c r="H63" i="53"/>
  <c r="I63" i="53"/>
  <c r="J63" i="53"/>
  <c r="H46" i="53"/>
  <c r="I46" i="53"/>
  <c r="J46" i="53"/>
  <c r="H63" i="6"/>
  <c r="I63" i="6"/>
  <c r="J63" i="6"/>
  <c r="H64" i="6"/>
  <c r="I64" i="6"/>
  <c r="J64" i="6"/>
  <c r="H65" i="6"/>
  <c r="I65" i="6"/>
  <c r="J65" i="6"/>
  <c r="H66" i="6"/>
  <c r="I66" i="6"/>
  <c r="J66" i="6"/>
  <c r="H67" i="6"/>
  <c r="I67" i="6"/>
  <c r="J67" i="6"/>
  <c r="H68" i="6"/>
  <c r="I68" i="6"/>
  <c r="J68" i="6"/>
  <c r="H69" i="6"/>
  <c r="I69" i="6"/>
  <c r="J69" i="6"/>
  <c r="H70" i="6"/>
  <c r="I70" i="6"/>
  <c r="J70" i="6"/>
  <c r="H71" i="6"/>
  <c r="I71" i="6"/>
  <c r="J71" i="6"/>
  <c r="H72" i="6"/>
  <c r="I72" i="6"/>
  <c r="J72" i="6"/>
  <c r="H73" i="6"/>
  <c r="I73" i="6"/>
  <c r="J73" i="6"/>
  <c r="H74" i="6"/>
  <c r="I74" i="6"/>
  <c r="J74" i="6"/>
  <c r="H75" i="6"/>
  <c r="I75" i="6"/>
  <c r="J75" i="6"/>
  <c r="H76" i="6"/>
  <c r="I76" i="6"/>
  <c r="J76" i="6"/>
  <c r="H77" i="6"/>
  <c r="I77" i="6"/>
  <c r="J77" i="6"/>
  <c r="H78" i="6"/>
  <c r="I78" i="6"/>
  <c r="J78" i="6"/>
  <c r="H79" i="6"/>
  <c r="I79" i="6"/>
  <c r="J79" i="6"/>
  <c r="H80" i="6"/>
  <c r="I80" i="6"/>
  <c r="J80" i="6"/>
  <c r="H81" i="6"/>
  <c r="I81" i="6"/>
  <c r="J81" i="6"/>
  <c r="H82" i="6"/>
  <c r="I82" i="6"/>
  <c r="J82" i="6"/>
  <c r="H83" i="6"/>
  <c r="I83" i="6"/>
  <c r="J83" i="6"/>
  <c r="H84" i="6"/>
  <c r="I84" i="6"/>
  <c r="J84" i="6"/>
  <c r="H85" i="6"/>
  <c r="I85" i="6"/>
  <c r="J85" i="6"/>
  <c r="H86" i="6"/>
  <c r="I86" i="6"/>
  <c r="J86" i="6"/>
  <c r="H38" i="6"/>
  <c r="I38" i="6"/>
  <c r="J38" i="6"/>
  <c r="H39" i="6"/>
  <c r="I39" i="6"/>
  <c r="J39" i="6"/>
  <c r="H40" i="6"/>
  <c r="I40" i="6"/>
  <c r="J40" i="6"/>
  <c r="H41" i="6"/>
  <c r="I41" i="6"/>
  <c r="J41" i="6"/>
  <c r="H42" i="6"/>
  <c r="I42" i="6"/>
  <c r="J42" i="6"/>
  <c r="H43" i="6"/>
  <c r="I43" i="6"/>
  <c r="J43" i="6"/>
  <c r="H44" i="6"/>
  <c r="I44" i="6"/>
  <c r="J44" i="6"/>
  <c r="H45" i="6"/>
  <c r="I45" i="6"/>
  <c r="J45" i="6"/>
  <c r="H46" i="6"/>
  <c r="I46" i="6"/>
  <c r="J46" i="6"/>
  <c r="H47" i="6"/>
  <c r="I47" i="6"/>
  <c r="J47" i="6"/>
  <c r="H48" i="6"/>
  <c r="I48" i="6"/>
  <c r="J48" i="6"/>
  <c r="H49" i="6"/>
  <c r="I49" i="6"/>
  <c r="J49" i="6"/>
  <c r="H50" i="6"/>
  <c r="I50" i="6"/>
  <c r="J50" i="6"/>
  <c r="H51" i="6"/>
  <c r="I51" i="6"/>
  <c r="J51" i="6"/>
  <c r="H52" i="6"/>
  <c r="I52" i="6"/>
  <c r="J52" i="6"/>
  <c r="H53" i="6"/>
  <c r="I53" i="6"/>
  <c r="J53" i="6"/>
  <c r="H54" i="6"/>
  <c r="I54" i="6"/>
  <c r="J54" i="6"/>
  <c r="H55" i="6"/>
  <c r="I55" i="6"/>
  <c r="J55" i="6"/>
  <c r="H56" i="6"/>
  <c r="I56" i="6"/>
  <c r="J56" i="6"/>
  <c r="H57" i="6"/>
  <c r="I57" i="6"/>
  <c r="J57" i="6"/>
  <c r="H58" i="6"/>
  <c r="I58" i="6"/>
  <c r="J58" i="6"/>
  <c r="H59" i="6"/>
  <c r="I59" i="6"/>
  <c r="J59" i="6"/>
  <c r="H60" i="6"/>
  <c r="I60" i="6"/>
  <c r="J60" i="6"/>
  <c r="H61" i="6"/>
  <c r="I61" i="6"/>
  <c r="J61" i="6"/>
  <c r="H62" i="6"/>
  <c r="I62" i="6"/>
  <c r="J62" i="6"/>
  <c r="G75" i="53"/>
  <c r="G76" i="53"/>
  <c r="G77" i="53"/>
  <c r="G78" i="53"/>
  <c r="G79" i="53"/>
  <c r="G80" i="53"/>
  <c r="G81" i="53"/>
  <c r="G82" i="53"/>
  <c r="G83" i="53"/>
  <c r="G84" i="53"/>
  <c r="G85" i="53"/>
  <c r="G86" i="53"/>
  <c r="G87" i="53"/>
  <c r="G88" i="53"/>
  <c r="G89" i="53"/>
  <c r="G90" i="53"/>
  <c r="G91" i="53"/>
  <c r="G92" i="53"/>
  <c r="G93" i="53"/>
  <c r="G45" i="53"/>
  <c r="G46" i="53"/>
  <c r="G47" i="53"/>
  <c r="G48" i="53"/>
  <c r="G49" i="53"/>
  <c r="G50" i="53"/>
  <c r="G51" i="53"/>
  <c r="G52" i="53"/>
  <c r="G53" i="53"/>
  <c r="G54" i="53"/>
  <c r="G55" i="53"/>
  <c r="G56" i="53"/>
  <c r="G57" i="53"/>
  <c r="G58" i="53"/>
  <c r="G59" i="53"/>
  <c r="G60" i="53"/>
  <c r="G61" i="53"/>
  <c r="G62" i="53"/>
  <c r="G63" i="53"/>
  <c r="G64" i="53"/>
  <c r="G65" i="53"/>
  <c r="G66" i="53"/>
  <c r="G67" i="53"/>
  <c r="G68" i="53"/>
  <c r="G69" i="53"/>
  <c r="G70" i="53"/>
  <c r="G71" i="53"/>
  <c r="G72" i="53"/>
  <c r="G73" i="53"/>
  <c r="G74" i="53"/>
  <c r="G44" i="53"/>
  <c r="G72" i="6"/>
  <c r="G73" i="6"/>
  <c r="G74" i="6"/>
  <c r="G75" i="6"/>
  <c r="G76" i="6"/>
  <c r="G77" i="6"/>
  <c r="G78" i="6"/>
  <c r="G79" i="6"/>
  <c r="G80" i="6"/>
  <c r="G81" i="6"/>
  <c r="G82" i="6"/>
  <c r="G83" i="6"/>
  <c r="G84" i="6"/>
  <c r="G85" i="6"/>
  <c r="G86"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37" i="6"/>
  <c r="I168" i="53"/>
  <c r="J168" i="53"/>
  <c r="K168" i="53"/>
  <c r="I169" i="53"/>
  <c r="J169" i="53"/>
  <c r="K169" i="53"/>
  <c r="I170" i="53"/>
  <c r="J170" i="53"/>
  <c r="K170" i="53"/>
  <c r="I171" i="53"/>
  <c r="J171" i="53"/>
  <c r="K171" i="53"/>
  <c r="I172" i="53"/>
  <c r="J172" i="53"/>
  <c r="K172" i="53"/>
  <c r="I173" i="53"/>
  <c r="J173" i="53"/>
  <c r="K173" i="53"/>
  <c r="I174" i="53"/>
  <c r="J174" i="53"/>
  <c r="K174" i="53"/>
  <c r="I175" i="53"/>
  <c r="J175" i="53"/>
  <c r="K175" i="53"/>
  <c r="I176" i="53"/>
  <c r="J176" i="53"/>
  <c r="K176" i="53"/>
  <c r="I177" i="53"/>
  <c r="J177" i="53"/>
  <c r="K177" i="53"/>
  <c r="I178" i="53"/>
  <c r="J178" i="53"/>
  <c r="K178" i="53"/>
  <c r="I179" i="53"/>
  <c r="J179" i="53"/>
  <c r="K179" i="53"/>
  <c r="I180" i="53"/>
  <c r="J180" i="53"/>
  <c r="K180" i="53"/>
  <c r="I181" i="53"/>
  <c r="J181" i="53"/>
  <c r="K181" i="53"/>
  <c r="I182" i="53"/>
  <c r="J182" i="53"/>
  <c r="K182" i="53"/>
  <c r="I183" i="53"/>
  <c r="J183" i="53"/>
  <c r="K183" i="53"/>
  <c r="I184" i="53"/>
  <c r="J184" i="53"/>
  <c r="K184" i="53"/>
  <c r="I185" i="53"/>
  <c r="J185" i="53"/>
  <c r="K185" i="53"/>
  <c r="I186" i="53"/>
  <c r="J186" i="53"/>
  <c r="K186" i="53"/>
  <c r="I187" i="53"/>
  <c r="J187" i="53"/>
  <c r="K187" i="53"/>
  <c r="I188" i="53"/>
  <c r="J188" i="53"/>
  <c r="K188" i="53"/>
  <c r="I189" i="53"/>
  <c r="J189" i="53"/>
  <c r="K189" i="53"/>
  <c r="I190" i="53"/>
  <c r="J190" i="53"/>
  <c r="K190" i="53"/>
  <c r="I191" i="53"/>
  <c r="J191" i="53"/>
  <c r="K191" i="53"/>
  <c r="I192" i="53"/>
  <c r="J192" i="53"/>
  <c r="K192" i="53"/>
  <c r="I193" i="53"/>
  <c r="J193" i="53"/>
  <c r="K193" i="53"/>
  <c r="I194" i="53"/>
  <c r="J194" i="53"/>
  <c r="K194" i="53"/>
  <c r="I195" i="53"/>
  <c r="J195" i="53"/>
  <c r="K195" i="53"/>
  <c r="I196" i="53"/>
  <c r="J196" i="53"/>
  <c r="K196" i="53"/>
  <c r="I197" i="53"/>
  <c r="J197" i="53"/>
  <c r="K197" i="53"/>
  <c r="I198" i="53"/>
  <c r="J198" i="53"/>
  <c r="K198" i="53"/>
  <c r="I199" i="53"/>
  <c r="J199" i="53"/>
  <c r="K199" i="53"/>
  <c r="I200" i="53"/>
  <c r="J200" i="53"/>
  <c r="K200" i="53"/>
  <c r="I201" i="53"/>
  <c r="J201" i="53"/>
  <c r="K201" i="53"/>
  <c r="I202" i="53"/>
  <c r="J202" i="53"/>
  <c r="K202" i="53"/>
  <c r="I203" i="53"/>
  <c r="J203" i="53"/>
  <c r="K203" i="53"/>
  <c r="I204" i="53"/>
  <c r="J204" i="53"/>
  <c r="K204" i="53"/>
  <c r="I205" i="53"/>
  <c r="J205" i="53"/>
  <c r="K205" i="53"/>
  <c r="I206" i="53"/>
  <c r="J206" i="53"/>
  <c r="K206" i="53"/>
  <c r="I207" i="53"/>
  <c r="J207" i="53"/>
  <c r="K207" i="53"/>
  <c r="I208" i="53"/>
  <c r="J208" i="53"/>
  <c r="K208" i="53"/>
  <c r="I209" i="53"/>
  <c r="J209" i="53"/>
  <c r="K209" i="53"/>
  <c r="I210" i="53"/>
  <c r="J210" i="53"/>
  <c r="K210" i="53"/>
  <c r="I211" i="53"/>
  <c r="J211" i="53"/>
  <c r="K211" i="53"/>
  <c r="I212" i="53"/>
  <c r="J212" i="53"/>
  <c r="K212" i="53"/>
  <c r="I213" i="53"/>
  <c r="J213" i="53"/>
  <c r="K213" i="53"/>
  <c r="I214" i="53"/>
  <c r="J214" i="53"/>
  <c r="K214" i="53"/>
  <c r="I215" i="53"/>
  <c r="J215" i="53"/>
  <c r="K215" i="53"/>
  <c r="H166" i="53"/>
  <c r="H167" i="53"/>
  <c r="H215" i="53"/>
  <c r="H214" i="53"/>
  <c r="H213" i="53"/>
  <c r="H212" i="53"/>
  <c r="H211" i="53"/>
  <c r="H210" i="53"/>
  <c r="H209" i="53"/>
  <c r="H208" i="53"/>
  <c r="H207" i="53"/>
  <c r="H206" i="53"/>
  <c r="H205" i="53"/>
  <c r="H204" i="53"/>
  <c r="H203" i="53"/>
  <c r="H202" i="53"/>
  <c r="H201" i="53"/>
  <c r="H200" i="53"/>
  <c r="H199" i="53"/>
  <c r="H198" i="53"/>
  <c r="H197" i="53"/>
  <c r="H196" i="53"/>
  <c r="H195" i="53"/>
  <c r="H194" i="53"/>
  <c r="H193" i="53"/>
  <c r="H192" i="53"/>
  <c r="H191" i="53"/>
  <c r="H190" i="53"/>
  <c r="H189" i="53"/>
  <c r="H188" i="53"/>
  <c r="H187" i="53"/>
  <c r="H186" i="53"/>
  <c r="H185" i="53"/>
  <c r="H184" i="53"/>
  <c r="H183" i="53"/>
  <c r="H182" i="53"/>
  <c r="H181" i="53"/>
  <c r="H180" i="53"/>
  <c r="H179" i="53"/>
  <c r="H178" i="53"/>
  <c r="H177" i="53"/>
  <c r="H176" i="53"/>
  <c r="H175" i="53"/>
  <c r="H174" i="53"/>
  <c r="H173" i="53"/>
  <c r="H172" i="53"/>
  <c r="H171" i="53"/>
  <c r="H170" i="53"/>
  <c r="H169" i="53"/>
  <c r="H168" i="53"/>
  <c r="I253" i="53"/>
  <c r="J253" i="53"/>
  <c r="K253" i="53"/>
  <c r="I254" i="53"/>
  <c r="J254" i="53"/>
  <c r="K254" i="53"/>
  <c r="I255" i="53"/>
  <c r="J255" i="53"/>
  <c r="K255" i="53"/>
  <c r="I256" i="53"/>
  <c r="J256" i="53"/>
  <c r="K256" i="53"/>
  <c r="I257" i="53"/>
  <c r="J257" i="53"/>
  <c r="K257" i="53"/>
  <c r="I258" i="53"/>
  <c r="J258" i="53"/>
  <c r="K258" i="53"/>
  <c r="I259" i="53"/>
  <c r="J259" i="53"/>
  <c r="K259" i="53"/>
  <c r="I260" i="53"/>
  <c r="J260" i="53"/>
  <c r="K260" i="53"/>
  <c r="I261" i="53"/>
  <c r="J261" i="53"/>
  <c r="K261" i="53"/>
  <c r="I262" i="53"/>
  <c r="J262" i="53"/>
  <c r="K262" i="53"/>
  <c r="I263" i="53"/>
  <c r="J263" i="53"/>
  <c r="K263" i="53"/>
  <c r="I264" i="53"/>
  <c r="J264" i="53"/>
  <c r="K264" i="53"/>
  <c r="I265" i="53"/>
  <c r="J265" i="53"/>
  <c r="K265" i="53"/>
  <c r="I266" i="53"/>
  <c r="J266" i="53"/>
  <c r="K266" i="53"/>
  <c r="I267" i="53"/>
  <c r="J267" i="53"/>
  <c r="K267" i="53"/>
  <c r="I268" i="53"/>
  <c r="J268" i="53"/>
  <c r="K268" i="53"/>
  <c r="I269" i="53"/>
  <c r="J269" i="53"/>
  <c r="K269" i="53"/>
  <c r="I270" i="53"/>
  <c r="J270" i="53"/>
  <c r="K270" i="53"/>
  <c r="I271" i="53"/>
  <c r="J271" i="53"/>
  <c r="K271" i="53"/>
  <c r="I272" i="53"/>
  <c r="J272" i="53"/>
  <c r="K272" i="53"/>
  <c r="I273" i="53"/>
  <c r="J273" i="53"/>
  <c r="K273" i="53"/>
  <c r="I274" i="53"/>
  <c r="J274" i="53"/>
  <c r="K274" i="53"/>
  <c r="I275" i="53"/>
  <c r="J275" i="53"/>
  <c r="K275" i="53"/>
  <c r="I276" i="53"/>
  <c r="J276" i="53"/>
  <c r="K276" i="53"/>
  <c r="I277" i="53"/>
  <c r="J277" i="53"/>
  <c r="K277" i="53"/>
  <c r="I278" i="53"/>
  <c r="J278" i="53"/>
  <c r="K278" i="53"/>
  <c r="I232" i="53"/>
  <c r="J232" i="53"/>
  <c r="K232" i="53"/>
  <c r="I233" i="53"/>
  <c r="J233" i="53"/>
  <c r="K233" i="53"/>
  <c r="I234" i="53"/>
  <c r="J234" i="53"/>
  <c r="K234" i="53"/>
  <c r="I235" i="53"/>
  <c r="J235" i="53"/>
  <c r="K235" i="53"/>
  <c r="I236" i="53"/>
  <c r="J236" i="53"/>
  <c r="K236" i="53"/>
  <c r="I237" i="53"/>
  <c r="J237" i="53"/>
  <c r="K237" i="53"/>
  <c r="I238" i="53"/>
  <c r="J238" i="53"/>
  <c r="K238" i="53"/>
  <c r="I239" i="53"/>
  <c r="J239" i="53"/>
  <c r="K239" i="53"/>
  <c r="I240" i="53"/>
  <c r="J240" i="53"/>
  <c r="K240" i="53"/>
  <c r="I241" i="53"/>
  <c r="J241" i="53"/>
  <c r="K241" i="53"/>
  <c r="I242" i="53"/>
  <c r="J242" i="53"/>
  <c r="K242" i="53"/>
  <c r="I243" i="53"/>
  <c r="J243" i="53"/>
  <c r="K243" i="53"/>
  <c r="I244" i="53"/>
  <c r="J244" i="53"/>
  <c r="K244" i="53"/>
  <c r="I245" i="53"/>
  <c r="J245" i="53"/>
  <c r="K245" i="53"/>
  <c r="I246" i="53"/>
  <c r="J246" i="53"/>
  <c r="K246" i="53"/>
  <c r="I247" i="53"/>
  <c r="J247" i="53"/>
  <c r="K247" i="53"/>
  <c r="I248" i="53"/>
  <c r="J248" i="53"/>
  <c r="K248" i="53"/>
  <c r="I249" i="53"/>
  <c r="J249" i="53"/>
  <c r="K249" i="53"/>
  <c r="I250" i="53"/>
  <c r="J250" i="53"/>
  <c r="K250" i="53"/>
  <c r="I251" i="53"/>
  <c r="J251" i="53"/>
  <c r="K251" i="53"/>
  <c r="I252" i="53"/>
  <c r="J252" i="53"/>
  <c r="K252" i="53"/>
  <c r="H230" i="53"/>
  <c r="H231" i="53"/>
  <c r="H232" i="53"/>
  <c r="H233" i="53"/>
  <c r="H234" i="53"/>
  <c r="H235" i="53"/>
  <c r="H236" i="53"/>
  <c r="H237" i="53"/>
  <c r="H238" i="53"/>
  <c r="H239" i="53"/>
  <c r="H240" i="53"/>
  <c r="H241" i="53"/>
  <c r="H242" i="53"/>
  <c r="H243" i="53"/>
  <c r="H244" i="53"/>
  <c r="H245" i="53"/>
  <c r="H246" i="53"/>
  <c r="H247" i="53"/>
  <c r="H248" i="53"/>
  <c r="H249" i="53"/>
  <c r="H250" i="53"/>
  <c r="H251" i="53"/>
  <c r="H252" i="53"/>
  <c r="H253" i="53"/>
  <c r="H254" i="53"/>
  <c r="H255" i="53"/>
  <c r="H256" i="53"/>
  <c r="H257" i="53"/>
  <c r="H258" i="53"/>
  <c r="H259" i="53"/>
  <c r="H260" i="53"/>
  <c r="H261" i="53"/>
  <c r="H262" i="53"/>
  <c r="H263" i="53"/>
  <c r="H264" i="53"/>
  <c r="H265" i="53"/>
  <c r="H266" i="53"/>
  <c r="H267" i="53"/>
  <c r="H268" i="53"/>
  <c r="H269" i="53"/>
  <c r="H270" i="53"/>
  <c r="H271" i="53"/>
  <c r="H272" i="53"/>
  <c r="H273" i="53"/>
  <c r="H274" i="53"/>
  <c r="H275" i="53"/>
  <c r="H276" i="53"/>
  <c r="H277" i="53"/>
  <c r="H278" i="53"/>
  <c r="H229" i="53"/>
  <c r="I295" i="53"/>
  <c r="J295" i="53"/>
  <c r="K295" i="53"/>
  <c r="I296" i="53"/>
  <c r="J296" i="53"/>
  <c r="K296" i="53"/>
  <c r="I297" i="53"/>
  <c r="J297" i="53"/>
  <c r="K297" i="53"/>
  <c r="I298" i="53"/>
  <c r="J298" i="53"/>
  <c r="K298" i="53"/>
  <c r="I299" i="53"/>
  <c r="J299" i="53"/>
  <c r="K299" i="53"/>
  <c r="I300" i="53"/>
  <c r="J300" i="53"/>
  <c r="K300" i="53"/>
  <c r="I301" i="53"/>
  <c r="J301" i="53"/>
  <c r="K301" i="53"/>
  <c r="I302" i="53"/>
  <c r="J302" i="53"/>
  <c r="K302" i="53"/>
  <c r="I303" i="53"/>
  <c r="J303" i="53"/>
  <c r="K303" i="53"/>
  <c r="I304" i="53"/>
  <c r="J304" i="53"/>
  <c r="K304" i="53"/>
  <c r="I305" i="53"/>
  <c r="J305" i="53"/>
  <c r="K305" i="53"/>
  <c r="I306" i="53"/>
  <c r="J306" i="53"/>
  <c r="K306" i="53"/>
  <c r="I307" i="53"/>
  <c r="J307" i="53"/>
  <c r="K307" i="53"/>
  <c r="I308" i="53"/>
  <c r="J308" i="53"/>
  <c r="K308" i="53"/>
  <c r="I309" i="53"/>
  <c r="J309" i="53"/>
  <c r="K309" i="53"/>
  <c r="I310" i="53"/>
  <c r="J310" i="53"/>
  <c r="K310" i="53"/>
  <c r="I311" i="53"/>
  <c r="J311" i="53"/>
  <c r="K311" i="53"/>
  <c r="I312" i="53"/>
  <c r="J312" i="53"/>
  <c r="K312" i="53"/>
  <c r="I313" i="53"/>
  <c r="J313" i="53"/>
  <c r="K313" i="53"/>
  <c r="I314" i="53"/>
  <c r="J314" i="53"/>
  <c r="K314" i="53"/>
  <c r="I315" i="53"/>
  <c r="J315" i="53"/>
  <c r="K315" i="53"/>
  <c r="I316" i="53"/>
  <c r="J316" i="53"/>
  <c r="K316" i="53"/>
  <c r="I317" i="53"/>
  <c r="J317" i="53"/>
  <c r="K317" i="53"/>
  <c r="I318" i="53"/>
  <c r="J318" i="53"/>
  <c r="K318" i="53"/>
  <c r="I319" i="53"/>
  <c r="J319" i="53"/>
  <c r="K319" i="53"/>
  <c r="I320" i="53"/>
  <c r="J320" i="53"/>
  <c r="K320" i="53"/>
  <c r="I321" i="53"/>
  <c r="J321" i="53"/>
  <c r="K321" i="53"/>
  <c r="I322" i="53"/>
  <c r="J322" i="53"/>
  <c r="K322" i="53"/>
  <c r="I323" i="53"/>
  <c r="J323" i="53"/>
  <c r="K323" i="53"/>
  <c r="I324" i="53"/>
  <c r="J324" i="53"/>
  <c r="K324" i="53"/>
  <c r="I325" i="53"/>
  <c r="J325" i="53"/>
  <c r="K325" i="53"/>
  <c r="I326" i="53"/>
  <c r="J326" i="53"/>
  <c r="K326" i="53"/>
  <c r="I327" i="53"/>
  <c r="J327" i="53"/>
  <c r="K327" i="53"/>
  <c r="I328" i="53"/>
  <c r="J328" i="53"/>
  <c r="K328" i="53"/>
  <c r="I329" i="53"/>
  <c r="J329" i="53"/>
  <c r="K329" i="53"/>
  <c r="I330" i="53"/>
  <c r="J330" i="53"/>
  <c r="K330" i="53"/>
  <c r="I331" i="53"/>
  <c r="J331" i="53"/>
  <c r="K331" i="53"/>
  <c r="I332" i="53"/>
  <c r="J332" i="53"/>
  <c r="K332" i="53"/>
  <c r="I333" i="53"/>
  <c r="J333" i="53"/>
  <c r="K333" i="53"/>
  <c r="I334" i="53"/>
  <c r="J334" i="53"/>
  <c r="K334" i="53"/>
  <c r="I335" i="53"/>
  <c r="J335" i="53"/>
  <c r="K335" i="53"/>
  <c r="I336" i="53"/>
  <c r="J336" i="53"/>
  <c r="K336" i="53"/>
  <c r="I337" i="53"/>
  <c r="J337" i="53"/>
  <c r="K337" i="53"/>
  <c r="I338" i="53"/>
  <c r="J338" i="53"/>
  <c r="K338" i="53"/>
  <c r="I339" i="53"/>
  <c r="J339" i="53"/>
  <c r="K339" i="53"/>
  <c r="I340" i="53"/>
  <c r="J340" i="53"/>
  <c r="K340" i="53"/>
  <c r="I341" i="53"/>
  <c r="J341" i="53"/>
  <c r="K341" i="53"/>
  <c r="H314" i="53"/>
  <c r="H315" i="53"/>
  <c r="H316" i="53"/>
  <c r="H317" i="53"/>
  <c r="H318" i="53"/>
  <c r="H319" i="53"/>
  <c r="H320" i="53"/>
  <c r="H321" i="53"/>
  <c r="H322" i="53"/>
  <c r="H323" i="53"/>
  <c r="H324" i="53"/>
  <c r="H325" i="53"/>
  <c r="H326" i="53"/>
  <c r="H327" i="53"/>
  <c r="H328" i="53"/>
  <c r="H329" i="53"/>
  <c r="H330" i="53"/>
  <c r="H331" i="53"/>
  <c r="H332" i="53"/>
  <c r="H333" i="53"/>
  <c r="H334" i="53"/>
  <c r="H335" i="53"/>
  <c r="H336" i="53"/>
  <c r="H337" i="53"/>
  <c r="H338" i="53"/>
  <c r="H339" i="53"/>
  <c r="H340" i="53"/>
  <c r="H341" i="53"/>
  <c r="H293" i="53"/>
  <c r="H294" i="53"/>
  <c r="H295" i="53"/>
  <c r="H296" i="53"/>
  <c r="H297" i="53"/>
  <c r="H298" i="53"/>
  <c r="H299" i="53"/>
  <c r="H300" i="53"/>
  <c r="H301" i="53"/>
  <c r="H302" i="53"/>
  <c r="H303" i="53"/>
  <c r="H304" i="53"/>
  <c r="H305" i="53"/>
  <c r="H306" i="53"/>
  <c r="H307" i="53"/>
  <c r="H308" i="53"/>
  <c r="H309" i="53"/>
  <c r="H310" i="53"/>
  <c r="H311" i="53"/>
  <c r="H312" i="53"/>
  <c r="H313" i="53"/>
  <c r="H292" i="53"/>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00" i="6"/>
  <c r="O300" i="6" s="1"/>
  <c r="O350" i="6" s="1"/>
  <c r="D59" i="29"/>
  <c r="E108" i="29"/>
  <c r="F108" i="29" s="1"/>
  <c r="E111" i="29" s="1"/>
  <c r="D119" i="29" s="1"/>
  <c r="E109" i="29"/>
  <c r="F109" i="29" s="1"/>
  <c r="BC64" i="28"/>
  <c r="D49" i="28"/>
  <c r="BC60" i="28" s="1"/>
  <c r="BC61" i="28" s="1"/>
  <c r="E92" i="28"/>
  <c r="E93" i="28" s="1"/>
  <c r="E77" i="28"/>
  <c r="BC63" i="28"/>
  <c r="CG66" i="28"/>
  <c r="CF66" i="28" s="1"/>
  <c r="CE66" i="28" s="1"/>
  <c r="CD66" i="28" s="1"/>
  <c r="CC66" i="28" s="1"/>
  <c r="CB66" i="28" s="1"/>
  <c r="CA66" i="28" s="1"/>
  <c r="BZ66" i="28" s="1"/>
  <c r="BY66" i="28" s="1"/>
  <c r="BX66" i="28" s="1"/>
  <c r="BW66" i="28" s="1"/>
  <c r="BV66" i="28" s="1"/>
  <c r="BU66" i="28" s="1"/>
  <c r="BT66" i="28" s="1"/>
  <c r="BS66" i="28" s="1"/>
  <c r="BR66" i="28" s="1"/>
  <c r="BQ66" i="28" s="1"/>
  <c r="BP66" i="28" s="1"/>
  <c r="BO66" i="28" s="1"/>
  <c r="BN66" i="28" s="1"/>
  <c r="BM66" i="28" s="1"/>
  <c r="BL66" i="28" s="1"/>
  <c r="BK66" i="28" s="1"/>
  <c r="BJ66" i="28" s="1"/>
  <c r="BI66" i="28" s="1"/>
  <c r="BH66" i="28" s="1"/>
  <c r="BG66" i="28" s="1"/>
  <c r="BF66" i="28" s="1"/>
  <c r="BE66" i="28" s="1"/>
  <c r="BD66" i="28" s="1"/>
  <c r="BC67" i="28" s="1"/>
  <c r="BC68" i="28" s="1"/>
  <c r="BC69" i="28" s="1"/>
  <c r="BC70" i="28" s="1"/>
  <c r="BC71" i="28" s="1"/>
  <c r="BC72" i="28" s="1"/>
  <c r="BC73" i="28" s="1"/>
  <c r="BC74" i="28" s="1"/>
  <c r="BC75" i="28" s="1"/>
  <c r="BC76" i="28" s="1"/>
  <c r="BC77" i="28" s="1"/>
  <c r="BC78" i="28" s="1"/>
  <c r="BC79" i="28" s="1"/>
  <c r="BC80" i="28" s="1"/>
  <c r="BC81" i="28" s="1"/>
  <c r="BC82" i="28" s="1"/>
  <c r="BC83" i="28" s="1"/>
  <c r="BC84" i="28" s="1"/>
  <c r="BC85" i="28" s="1"/>
  <c r="BC86" i="28" s="1"/>
  <c r="BC87" i="28" s="1"/>
  <c r="BC88" i="28" s="1"/>
  <c r="BC89" i="28" s="1"/>
  <c r="BC90" i="28" s="1"/>
  <c r="BC91" i="28" s="1"/>
  <c r="BC92" i="28" s="1"/>
  <c r="BC93" i="28" s="1"/>
  <c r="BC94" i="28" s="1"/>
  <c r="BC95" i="28" s="1"/>
  <c r="BC96" i="28" s="1"/>
  <c r="F92" i="28"/>
  <c r="F77" i="28"/>
  <c r="G92" i="28"/>
  <c r="G93" i="28" s="1"/>
  <c r="G77" i="28"/>
  <c r="H92" i="28"/>
  <c r="H77" i="28"/>
  <c r="I92" i="28"/>
  <c r="I93" i="28" s="1"/>
  <c r="I77" i="28"/>
  <c r="J92" i="28"/>
  <c r="J77" i="28"/>
  <c r="K92" i="28"/>
  <c r="K93" i="28" s="1"/>
  <c r="K77" i="28"/>
  <c r="L92" i="28"/>
  <c r="L77" i="28"/>
  <c r="M92" i="28"/>
  <c r="M93" i="28" s="1"/>
  <c r="M77" i="28"/>
  <c r="N92" i="28"/>
  <c r="N77" i="28"/>
  <c r="O92" i="28"/>
  <c r="O93" i="28" s="1"/>
  <c r="O77" i="28"/>
  <c r="P92" i="28"/>
  <c r="P77" i="28"/>
  <c r="Q92" i="28"/>
  <c r="Q93" i="28" s="1"/>
  <c r="Q77" i="28"/>
  <c r="R92" i="28"/>
  <c r="R77" i="28"/>
  <c r="S92" i="28"/>
  <c r="S93" i="28" s="1"/>
  <c r="S77" i="28"/>
  <c r="T92" i="28"/>
  <c r="T77" i="28"/>
  <c r="U92" i="28"/>
  <c r="U93" i="28" s="1"/>
  <c r="U77" i="28"/>
  <c r="V92" i="28"/>
  <c r="V77" i="28"/>
  <c r="W92" i="28"/>
  <c r="W93" i="28" s="1"/>
  <c r="W77" i="28"/>
  <c r="X92" i="28"/>
  <c r="X77" i="28"/>
  <c r="Y92" i="28"/>
  <c r="Y93" i="28" s="1"/>
  <c r="Y77" i="28"/>
  <c r="Z92" i="28"/>
  <c r="Z77" i="28"/>
  <c r="AA92" i="28"/>
  <c r="AA93" i="28" s="1"/>
  <c r="AA77" i="28"/>
  <c r="AB92" i="28"/>
  <c r="AB77" i="28"/>
  <c r="AC92" i="28"/>
  <c r="AC93" i="28" s="1"/>
  <c r="AC77" i="28"/>
  <c r="AD92" i="28"/>
  <c r="AD77" i="28"/>
  <c r="AE92" i="28"/>
  <c r="AE93" i="28" s="1"/>
  <c r="AE77" i="28"/>
  <c r="AF92" i="28"/>
  <c r="AF77" i="28"/>
  <c r="AG92" i="28"/>
  <c r="AG93" i="28" s="1"/>
  <c r="AG77" i="28"/>
  <c r="AH92" i="28"/>
  <c r="AH77" i="28"/>
  <c r="AH93" i="28"/>
  <c r="D48" i="28"/>
  <c r="AL134" i="7"/>
  <c r="AG134" i="7"/>
  <c r="AD134" i="7"/>
  <c r="AE134" i="7"/>
  <c r="AF134" i="7"/>
  <c r="AH134" i="7"/>
  <c r="AI134" i="7"/>
  <c r="AJ134" i="7"/>
  <c r="AK134" i="7"/>
  <c r="E134" i="7"/>
  <c r="I134" i="7" s="1"/>
  <c r="M134" i="7" s="1"/>
  <c r="AG132" i="7"/>
  <c r="AL132" i="7"/>
  <c r="AD132" i="7"/>
  <c r="AE132" i="7"/>
  <c r="AF132" i="7"/>
  <c r="AH132" i="7"/>
  <c r="AI132" i="7"/>
  <c r="AJ132" i="7"/>
  <c r="AK132" i="7"/>
  <c r="E132" i="7"/>
  <c r="I132" i="7" s="1"/>
  <c r="N62" i="7"/>
  <c r="C60" i="7"/>
  <c r="I60" i="7"/>
  <c r="H172" i="7"/>
  <c r="C98" i="7"/>
  <c r="G98" i="7"/>
  <c r="F201" i="7"/>
  <c r="N60" i="7"/>
  <c r="N61" i="7"/>
  <c r="N63" i="7"/>
  <c r="G214" i="7" s="1"/>
  <c r="H214" i="7" s="1"/>
  <c r="O60" i="7"/>
  <c r="C61" i="7"/>
  <c r="I61" i="7"/>
  <c r="O61" i="7"/>
  <c r="C62" i="7"/>
  <c r="I62" i="7"/>
  <c r="O62" i="7"/>
  <c r="I63" i="7"/>
  <c r="C63" i="7"/>
  <c r="O63" i="7"/>
  <c r="I64" i="7"/>
  <c r="C64" i="7"/>
  <c r="O64" i="7"/>
  <c r="I65" i="7"/>
  <c r="C65" i="7"/>
  <c r="O65" i="7"/>
  <c r="I66" i="7"/>
  <c r="C66" i="7"/>
  <c r="O66" i="7"/>
  <c r="I67" i="7"/>
  <c r="C67" i="7"/>
  <c r="O67" i="7"/>
  <c r="I68" i="7"/>
  <c r="C68" i="7"/>
  <c r="O68" i="7"/>
  <c r="I69" i="7"/>
  <c r="C69" i="7"/>
  <c r="O69" i="7"/>
  <c r="I70" i="7"/>
  <c r="C70" i="7"/>
  <c r="O70" i="7"/>
  <c r="I71" i="7"/>
  <c r="C71" i="7"/>
  <c r="O71" i="7"/>
  <c r="I72" i="7"/>
  <c r="C72" i="7"/>
  <c r="O72" i="7"/>
  <c r="I73" i="7"/>
  <c r="C73" i="7"/>
  <c r="O73" i="7"/>
  <c r="I74" i="7"/>
  <c r="C74" i="7"/>
  <c r="O74" i="7"/>
  <c r="N64" i="7"/>
  <c r="N65" i="7"/>
  <c r="N66" i="7"/>
  <c r="N67" i="7"/>
  <c r="N68" i="7"/>
  <c r="N69" i="7"/>
  <c r="N70" i="7"/>
  <c r="N71" i="7"/>
  <c r="N72" i="7"/>
  <c r="N73" i="7"/>
  <c r="N74" i="7"/>
  <c r="R60" i="7"/>
  <c r="R61" i="7"/>
  <c r="R62" i="7"/>
  <c r="R63" i="7"/>
  <c r="R64" i="7"/>
  <c r="R65" i="7"/>
  <c r="R66" i="7"/>
  <c r="R67" i="7"/>
  <c r="R68" i="7"/>
  <c r="R69" i="7"/>
  <c r="R70" i="7"/>
  <c r="R71" i="7"/>
  <c r="R72" i="7"/>
  <c r="R73" i="7"/>
  <c r="R74" i="7"/>
  <c r="Q60" i="7"/>
  <c r="Q61" i="7"/>
  <c r="Q62" i="7"/>
  <c r="Q63" i="7"/>
  <c r="Q64" i="7"/>
  <c r="Q65" i="7"/>
  <c r="Q66" i="7"/>
  <c r="Q67" i="7"/>
  <c r="Q68" i="7"/>
  <c r="Q69" i="7"/>
  <c r="Q70" i="7"/>
  <c r="Q71" i="7"/>
  <c r="Q72" i="7"/>
  <c r="Q73" i="7"/>
  <c r="Q74" i="7"/>
  <c r="U60" i="7"/>
  <c r="U61" i="7"/>
  <c r="U62" i="7"/>
  <c r="U63" i="7"/>
  <c r="U64" i="7"/>
  <c r="U65" i="7"/>
  <c r="U66" i="7"/>
  <c r="U67" i="7"/>
  <c r="U68" i="7"/>
  <c r="U69" i="7"/>
  <c r="U70" i="7"/>
  <c r="U71" i="7"/>
  <c r="U72" i="7"/>
  <c r="U73" i="7"/>
  <c r="U74" i="7"/>
  <c r="T60" i="7"/>
  <c r="T61" i="7"/>
  <c r="T62" i="7"/>
  <c r="T63" i="7"/>
  <c r="T64" i="7"/>
  <c r="T65" i="7"/>
  <c r="T66" i="7"/>
  <c r="T67" i="7"/>
  <c r="T68" i="7"/>
  <c r="T69" i="7"/>
  <c r="T70" i="7"/>
  <c r="T71" i="7"/>
  <c r="T72" i="7"/>
  <c r="T73" i="7"/>
  <c r="T74" i="7"/>
  <c r="X60" i="7"/>
  <c r="X61" i="7"/>
  <c r="X62" i="7"/>
  <c r="X63" i="7"/>
  <c r="X64" i="7"/>
  <c r="X65" i="7"/>
  <c r="X66" i="7"/>
  <c r="X67" i="7"/>
  <c r="X68" i="7"/>
  <c r="X69" i="7"/>
  <c r="X70" i="7"/>
  <c r="X71" i="7"/>
  <c r="X72" i="7"/>
  <c r="X73" i="7"/>
  <c r="X74" i="7"/>
  <c r="W60" i="7"/>
  <c r="W61" i="7"/>
  <c r="W62" i="7"/>
  <c r="W63" i="7"/>
  <c r="W64" i="7"/>
  <c r="W65" i="7"/>
  <c r="W66" i="7"/>
  <c r="W67" i="7"/>
  <c r="W68" i="7"/>
  <c r="W69" i="7"/>
  <c r="W70" i="7"/>
  <c r="W71" i="7"/>
  <c r="W72" i="7"/>
  <c r="W73" i="7"/>
  <c r="W74" i="7"/>
  <c r="AA60" i="7"/>
  <c r="AA61" i="7"/>
  <c r="AA62" i="7"/>
  <c r="AA63" i="7"/>
  <c r="AA64" i="7"/>
  <c r="AA65" i="7"/>
  <c r="AA66" i="7"/>
  <c r="AA67" i="7"/>
  <c r="AA68" i="7"/>
  <c r="AA69" i="7"/>
  <c r="AA70" i="7"/>
  <c r="AA71" i="7"/>
  <c r="AA72" i="7"/>
  <c r="AA73" i="7"/>
  <c r="AA74" i="7"/>
  <c r="Z60" i="7"/>
  <c r="Z61" i="7"/>
  <c r="Z62" i="7"/>
  <c r="Z63" i="7"/>
  <c r="Z64" i="7"/>
  <c r="Z65" i="7"/>
  <c r="Z66" i="7"/>
  <c r="Z67" i="7"/>
  <c r="Z68" i="7"/>
  <c r="Z69" i="7"/>
  <c r="Z70" i="7"/>
  <c r="Z71" i="7"/>
  <c r="Z72" i="7"/>
  <c r="Z73" i="7"/>
  <c r="Z74" i="7"/>
  <c r="O98" i="7"/>
  <c r="C99" i="7"/>
  <c r="G99" i="7"/>
  <c r="O99" i="7"/>
  <c r="G100" i="7"/>
  <c r="C100" i="7"/>
  <c r="O100" i="7"/>
  <c r="G101" i="7"/>
  <c r="C101" i="7"/>
  <c r="O101" i="7"/>
  <c r="G102" i="7"/>
  <c r="C102" i="7"/>
  <c r="O102" i="7"/>
  <c r="G103" i="7"/>
  <c r="C103" i="7"/>
  <c r="O103" i="7"/>
  <c r="G104" i="7"/>
  <c r="C104" i="7"/>
  <c r="O104" i="7"/>
  <c r="G105" i="7"/>
  <c r="C105" i="7"/>
  <c r="O105" i="7"/>
  <c r="G106" i="7"/>
  <c r="C106" i="7"/>
  <c r="O106" i="7"/>
  <c r="G107" i="7"/>
  <c r="C107" i="7"/>
  <c r="O107" i="7"/>
  <c r="G108" i="7"/>
  <c r="C108" i="7"/>
  <c r="O108" i="7"/>
  <c r="G109" i="7"/>
  <c r="C109" i="7"/>
  <c r="O109" i="7"/>
  <c r="G110" i="7"/>
  <c r="C110" i="7"/>
  <c r="O110" i="7"/>
  <c r="G111" i="7"/>
  <c r="C111" i="7"/>
  <c r="O111" i="7"/>
  <c r="G112" i="7"/>
  <c r="C112" i="7"/>
  <c r="O112" i="7"/>
  <c r="N98" i="7"/>
  <c r="N99" i="7"/>
  <c r="N100" i="7"/>
  <c r="N101" i="7"/>
  <c r="N102" i="7"/>
  <c r="N103" i="7"/>
  <c r="N104" i="7"/>
  <c r="N105" i="7"/>
  <c r="N106" i="7"/>
  <c r="N107" i="7"/>
  <c r="N108" i="7"/>
  <c r="N109" i="7"/>
  <c r="N110" i="7"/>
  <c r="N111" i="7"/>
  <c r="N112" i="7"/>
  <c r="R98" i="7"/>
  <c r="R99" i="7"/>
  <c r="R100" i="7"/>
  <c r="R101" i="7"/>
  <c r="R102" i="7"/>
  <c r="R103" i="7"/>
  <c r="R104" i="7"/>
  <c r="R105" i="7"/>
  <c r="R106" i="7"/>
  <c r="R107" i="7"/>
  <c r="R108" i="7"/>
  <c r="R109" i="7"/>
  <c r="R110" i="7"/>
  <c r="R111" i="7"/>
  <c r="R112" i="7"/>
  <c r="Q98" i="7"/>
  <c r="Q99" i="7"/>
  <c r="Q100" i="7"/>
  <c r="Q101" i="7"/>
  <c r="Q102" i="7"/>
  <c r="Q103" i="7"/>
  <c r="Q104" i="7"/>
  <c r="Q105" i="7"/>
  <c r="Q106" i="7"/>
  <c r="Q107" i="7"/>
  <c r="Q108" i="7"/>
  <c r="Q109" i="7"/>
  <c r="Q110" i="7"/>
  <c r="Q111" i="7"/>
  <c r="Q112" i="7"/>
  <c r="U98" i="7"/>
  <c r="U99" i="7"/>
  <c r="U100" i="7"/>
  <c r="U101" i="7"/>
  <c r="U102" i="7"/>
  <c r="U103" i="7"/>
  <c r="U104" i="7"/>
  <c r="U105" i="7"/>
  <c r="U106" i="7"/>
  <c r="U107" i="7"/>
  <c r="U108" i="7"/>
  <c r="U109" i="7"/>
  <c r="U110" i="7"/>
  <c r="U111" i="7"/>
  <c r="U112" i="7"/>
  <c r="T98" i="7"/>
  <c r="T99" i="7"/>
  <c r="T100" i="7"/>
  <c r="T101" i="7"/>
  <c r="T102" i="7"/>
  <c r="T103" i="7"/>
  <c r="T104" i="7"/>
  <c r="T105" i="7"/>
  <c r="T106" i="7"/>
  <c r="T107" i="7"/>
  <c r="T108" i="7"/>
  <c r="T109" i="7"/>
  <c r="T110" i="7"/>
  <c r="T111" i="7"/>
  <c r="T112" i="7"/>
  <c r="X98" i="7"/>
  <c r="X99" i="7"/>
  <c r="X100" i="7"/>
  <c r="X101" i="7"/>
  <c r="X102" i="7"/>
  <c r="X103" i="7"/>
  <c r="X104" i="7"/>
  <c r="X105" i="7"/>
  <c r="X106" i="7"/>
  <c r="X107" i="7"/>
  <c r="X108" i="7"/>
  <c r="X109" i="7"/>
  <c r="X110" i="7"/>
  <c r="X111" i="7"/>
  <c r="X112" i="7"/>
  <c r="W98" i="7"/>
  <c r="W99" i="7"/>
  <c r="W100" i="7"/>
  <c r="W101" i="7"/>
  <c r="W102" i="7"/>
  <c r="W103" i="7"/>
  <c r="W104" i="7"/>
  <c r="W105" i="7"/>
  <c r="W106" i="7"/>
  <c r="W107" i="7"/>
  <c r="W108" i="7"/>
  <c r="W109" i="7"/>
  <c r="W110" i="7"/>
  <c r="W111" i="7"/>
  <c r="W112" i="7"/>
  <c r="AA98" i="7"/>
  <c r="AA99" i="7"/>
  <c r="AA100" i="7"/>
  <c r="AA101" i="7"/>
  <c r="AA102" i="7"/>
  <c r="AA103" i="7"/>
  <c r="AA104" i="7"/>
  <c r="AA105" i="7"/>
  <c r="AA106" i="7"/>
  <c r="AA107" i="7"/>
  <c r="AA108" i="7"/>
  <c r="AA109" i="7"/>
  <c r="AA110" i="7"/>
  <c r="AA111" i="7"/>
  <c r="AA112" i="7"/>
  <c r="Z98" i="7"/>
  <c r="Z99" i="7"/>
  <c r="Z100" i="7"/>
  <c r="Z101" i="7"/>
  <c r="Z102" i="7"/>
  <c r="Z103" i="7"/>
  <c r="Z104" i="7"/>
  <c r="Z105" i="7"/>
  <c r="Z106" i="7"/>
  <c r="Z107" i="7"/>
  <c r="Z108" i="7"/>
  <c r="Z109" i="7"/>
  <c r="Z110" i="7"/>
  <c r="Z111" i="7"/>
  <c r="Z112" i="7"/>
  <c r="O132" i="7"/>
  <c r="E133" i="7"/>
  <c r="I133" i="7" s="1"/>
  <c r="M133" i="7" s="1"/>
  <c r="AD133" i="7"/>
  <c r="AE133" i="7"/>
  <c r="AF133" i="7"/>
  <c r="AG133" i="7"/>
  <c r="AH133" i="7"/>
  <c r="AI133" i="7"/>
  <c r="AJ133" i="7"/>
  <c r="AK133" i="7"/>
  <c r="AL133" i="7"/>
  <c r="O133" i="7"/>
  <c r="O134" i="7"/>
  <c r="E135" i="7"/>
  <c r="I135" i="7" s="1"/>
  <c r="M135" i="7" s="1"/>
  <c r="O135" i="7"/>
  <c r="E136" i="7"/>
  <c r="I136" i="7" s="1"/>
  <c r="M136" i="7" s="1"/>
  <c r="O136" i="7"/>
  <c r="E137" i="7"/>
  <c r="I137" i="7" s="1"/>
  <c r="M137" i="7" s="1"/>
  <c r="O137" i="7"/>
  <c r="E138" i="7"/>
  <c r="I138" i="7" s="1"/>
  <c r="M138" i="7" s="1"/>
  <c r="O138" i="7"/>
  <c r="E139" i="7"/>
  <c r="I139" i="7" s="1"/>
  <c r="M139" i="7" s="1"/>
  <c r="O139" i="7"/>
  <c r="E140" i="7"/>
  <c r="I140" i="7" s="1"/>
  <c r="M140" i="7" s="1"/>
  <c r="O140" i="7"/>
  <c r="E141" i="7"/>
  <c r="I141" i="7" s="1"/>
  <c r="M141" i="7" s="1"/>
  <c r="O141" i="7"/>
  <c r="E142" i="7"/>
  <c r="I142" i="7" s="1"/>
  <c r="M142" i="7" s="1"/>
  <c r="O142" i="7"/>
  <c r="E143" i="7"/>
  <c r="I143" i="7" s="1"/>
  <c r="M143" i="7" s="1"/>
  <c r="O143" i="7"/>
  <c r="E144" i="7"/>
  <c r="I144" i="7" s="1"/>
  <c r="M144" i="7" s="1"/>
  <c r="O144" i="7"/>
  <c r="E145" i="7"/>
  <c r="I145" i="7" s="1"/>
  <c r="M145" i="7" s="1"/>
  <c r="O145" i="7"/>
  <c r="E146" i="7"/>
  <c r="I146" i="7" s="1"/>
  <c r="M146" i="7" s="1"/>
  <c r="O146" i="7"/>
  <c r="N132" i="7"/>
  <c r="N133" i="7"/>
  <c r="N134" i="7"/>
  <c r="N135" i="7"/>
  <c r="N136" i="7"/>
  <c r="N137" i="7"/>
  <c r="N138" i="7"/>
  <c r="N139" i="7"/>
  <c r="N140" i="7"/>
  <c r="N141" i="7"/>
  <c r="N142" i="7"/>
  <c r="N143" i="7"/>
  <c r="N144" i="7"/>
  <c r="N145" i="7"/>
  <c r="N146" i="7"/>
  <c r="R132" i="7"/>
  <c r="R133" i="7"/>
  <c r="R134" i="7"/>
  <c r="R135" i="7"/>
  <c r="R136" i="7"/>
  <c r="R137" i="7"/>
  <c r="R138" i="7"/>
  <c r="R139" i="7"/>
  <c r="R140" i="7"/>
  <c r="R141" i="7"/>
  <c r="R142" i="7"/>
  <c r="R143" i="7"/>
  <c r="R144" i="7"/>
  <c r="R145" i="7"/>
  <c r="R146" i="7"/>
  <c r="Q132" i="7"/>
  <c r="Q133" i="7"/>
  <c r="Q134" i="7"/>
  <c r="Q135" i="7"/>
  <c r="Q136" i="7"/>
  <c r="Q137" i="7"/>
  <c r="Q138" i="7"/>
  <c r="Q139" i="7"/>
  <c r="Q140" i="7"/>
  <c r="Q141" i="7"/>
  <c r="Q142" i="7"/>
  <c r="Q143" i="7"/>
  <c r="Q144" i="7"/>
  <c r="Q145" i="7"/>
  <c r="Q146" i="7"/>
  <c r="U132" i="7"/>
  <c r="U133" i="7"/>
  <c r="U134" i="7"/>
  <c r="U135" i="7"/>
  <c r="U136" i="7"/>
  <c r="U137" i="7"/>
  <c r="U138" i="7"/>
  <c r="U139" i="7"/>
  <c r="U140" i="7"/>
  <c r="U141" i="7"/>
  <c r="U142" i="7"/>
  <c r="U143" i="7"/>
  <c r="U144" i="7"/>
  <c r="U145" i="7"/>
  <c r="U146" i="7"/>
  <c r="T132" i="7"/>
  <c r="T133" i="7"/>
  <c r="T134" i="7"/>
  <c r="T135" i="7"/>
  <c r="T136" i="7"/>
  <c r="T137" i="7"/>
  <c r="T138" i="7"/>
  <c r="T139" i="7"/>
  <c r="T140" i="7"/>
  <c r="T141" i="7"/>
  <c r="T142" i="7"/>
  <c r="T143" i="7"/>
  <c r="T144" i="7"/>
  <c r="T145" i="7"/>
  <c r="T146" i="7"/>
  <c r="X132" i="7"/>
  <c r="X133" i="7"/>
  <c r="X134" i="7"/>
  <c r="X135" i="7"/>
  <c r="X136" i="7"/>
  <c r="X137" i="7"/>
  <c r="X138" i="7"/>
  <c r="X139" i="7"/>
  <c r="X140" i="7"/>
  <c r="X141" i="7"/>
  <c r="X142" i="7"/>
  <c r="X143" i="7"/>
  <c r="X144" i="7"/>
  <c r="X145" i="7"/>
  <c r="X146" i="7"/>
  <c r="W132" i="7"/>
  <c r="W133" i="7"/>
  <c r="W134" i="7"/>
  <c r="W135" i="7"/>
  <c r="W136" i="7"/>
  <c r="W137" i="7"/>
  <c r="W138" i="7"/>
  <c r="W139" i="7"/>
  <c r="W140" i="7"/>
  <c r="W141" i="7"/>
  <c r="W142" i="7"/>
  <c r="W143" i="7"/>
  <c r="W144" i="7"/>
  <c r="W145" i="7"/>
  <c r="W146" i="7"/>
  <c r="AA132" i="7"/>
  <c r="AA133" i="7"/>
  <c r="AA134" i="7"/>
  <c r="AA135" i="7"/>
  <c r="AA136" i="7"/>
  <c r="AA137" i="7"/>
  <c r="AA138" i="7"/>
  <c r="AA139" i="7"/>
  <c r="AA140" i="7"/>
  <c r="AA141" i="7"/>
  <c r="AA142" i="7"/>
  <c r="AA143" i="7"/>
  <c r="AA144" i="7"/>
  <c r="AA145" i="7"/>
  <c r="AA146" i="7"/>
  <c r="Z132" i="7"/>
  <c r="Z133" i="7"/>
  <c r="Z134" i="7"/>
  <c r="Z135" i="7"/>
  <c r="Z136" i="7"/>
  <c r="Z137" i="7"/>
  <c r="Z138" i="7"/>
  <c r="Z139" i="7"/>
  <c r="Z140" i="7"/>
  <c r="Z141" i="7"/>
  <c r="Z142" i="7"/>
  <c r="Z143" i="7"/>
  <c r="Z144" i="7"/>
  <c r="Z145" i="7"/>
  <c r="Z146" i="7"/>
  <c r="D201" i="7"/>
  <c r="H37" i="6"/>
  <c r="K37" i="6"/>
  <c r="I37" i="6"/>
  <c r="L37" i="6" s="1"/>
  <c r="J37" i="6"/>
  <c r="M37" i="6"/>
  <c r="P149" i="6"/>
  <c r="F358" i="6" s="1"/>
  <c r="Q216" i="6"/>
  <c r="Q283" i="6"/>
  <c r="Q350" i="6"/>
  <c r="I51" i="30"/>
  <c r="F57" i="30" s="1"/>
  <c r="G109" i="2" s="1"/>
  <c r="E149" i="28"/>
  <c r="AH114" i="28"/>
  <c r="D95" i="29"/>
  <c r="F135" i="5"/>
  <c r="F136" i="5"/>
  <c r="F137" i="5"/>
  <c r="F138" i="5"/>
  <c r="F139" i="5"/>
  <c r="F140" i="5"/>
  <c r="F141" i="5"/>
  <c r="F142" i="5"/>
  <c r="F143" i="5"/>
  <c r="F144" i="5"/>
  <c r="F145" i="5"/>
  <c r="F146" i="5"/>
  <c r="L300" i="6"/>
  <c r="H99" i="6"/>
  <c r="N99" i="6" s="1"/>
  <c r="K99" i="6"/>
  <c r="H100" i="6"/>
  <c r="K100" i="6"/>
  <c r="N100" i="6" s="1"/>
  <c r="H101" i="6"/>
  <c r="K101"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K300" i="6"/>
  <c r="J99" i="6"/>
  <c r="M99" i="6"/>
  <c r="J100" i="6"/>
  <c r="M100" i="6" s="1"/>
  <c r="J101"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J300" i="6"/>
  <c r="I99" i="6"/>
  <c r="L99" i="6" s="1"/>
  <c r="I100" i="6"/>
  <c r="L100" i="6" s="1"/>
  <c r="I101" i="6"/>
  <c r="L101" i="6"/>
  <c r="L102" i="6"/>
  <c r="L103" i="6"/>
  <c r="L104" i="6"/>
  <c r="L105" i="6"/>
  <c r="L106" i="6"/>
  <c r="L107" i="6"/>
  <c r="L108" i="6"/>
  <c r="L109" i="6"/>
  <c r="L110" i="6"/>
  <c r="L111" i="6"/>
  <c r="L112" i="6"/>
  <c r="L113" i="6"/>
  <c r="L114" i="6"/>
  <c r="O114" i="6" s="1"/>
  <c r="L115" i="6"/>
  <c r="L116" i="6"/>
  <c r="L117" i="6"/>
  <c r="L118" i="6"/>
  <c r="L119" i="6"/>
  <c r="L120" i="6"/>
  <c r="L121" i="6"/>
  <c r="L122" i="6"/>
  <c r="O122" i="6" s="1"/>
  <c r="L123" i="6"/>
  <c r="L124" i="6"/>
  <c r="L125" i="6"/>
  <c r="L126" i="6"/>
  <c r="L127" i="6"/>
  <c r="L128" i="6"/>
  <c r="L129" i="6"/>
  <c r="L130" i="6"/>
  <c r="L131" i="6"/>
  <c r="L132" i="6"/>
  <c r="L133" i="6"/>
  <c r="L134" i="6"/>
  <c r="L135" i="6"/>
  <c r="L136" i="6"/>
  <c r="L137" i="6"/>
  <c r="L138" i="6"/>
  <c r="L139" i="6"/>
  <c r="L140" i="6"/>
  <c r="L141" i="6"/>
  <c r="L142" i="6"/>
  <c r="L143" i="6"/>
  <c r="L144" i="6"/>
  <c r="L145" i="6"/>
  <c r="L146" i="6"/>
  <c r="O146" i="6" s="1"/>
  <c r="L147" i="6"/>
  <c r="L148"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77" i="6"/>
  <c r="M278" i="6"/>
  <c r="M279" i="6"/>
  <c r="M280" i="6"/>
  <c r="M281" i="6"/>
  <c r="M282" i="6"/>
  <c r="J301" i="6"/>
  <c r="K301" i="6"/>
  <c r="L301" i="6"/>
  <c r="P301" i="6"/>
  <c r="J302" i="6"/>
  <c r="K302" i="6"/>
  <c r="L302" i="6"/>
  <c r="P302" i="6"/>
  <c r="P303" i="6"/>
  <c r="P304" i="6"/>
  <c r="P305" i="6"/>
  <c r="P306" i="6"/>
  <c r="P307" i="6"/>
  <c r="P308" i="6"/>
  <c r="P309" i="6"/>
  <c r="P310" i="6"/>
  <c r="P311" i="6"/>
  <c r="P312" i="6"/>
  <c r="P313" i="6"/>
  <c r="P314" i="6"/>
  <c r="P315" i="6"/>
  <c r="P316" i="6"/>
  <c r="P317" i="6"/>
  <c r="P318" i="6"/>
  <c r="P319" i="6"/>
  <c r="P320" i="6"/>
  <c r="P321" i="6"/>
  <c r="P322" i="6"/>
  <c r="P323" i="6"/>
  <c r="P324" i="6"/>
  <c r="P325" i="6"/>
  <c r="P326" i="6"/>
  <c r="P327" i="6"/>
  <c r="P328" i="6"/>
  <c r="P329" i="6"/>
  <c r="P330" i="6"/>
  <c r="P331" i="6"/>
  <c r="P332" i="6"/>
  <c r="P333" i="6"/>
  <c r="P334" i="6"/>
  <c r="P335" i="6"/>
  <c r="P336" i="6"/>
  <c r="P337" i="6"/>
  <c r="P338" i="6"/>
  <c r="P339" i="6"/>
  <c r="P340" i="6"/>
  <c r="P341" i="6"/>
  <c r="P342" i="6"/>
  <c r="P343" i="6"/>
  <c r="P344" i="6"/>
  <c r="P345" i="6"/>
  <c r="P346" i="6"/>
  <c r="P347" i="6"/>
  <c r="P348" i="6"/>
  <c r="P349" i="6"/>
  <c r="O94" i="53"/>
  <c r="O153" i="53"/>
  <c r="P216" i="53"/>
  <c r="P279" i="53"/>
  <c r="AH63" i="40"/>
  <c r="AI63" i="40" s="1"/>
  <c r="C167" i="2"/>
  <c r="D167" i="2"/>
  <c r="E167" i="2"/>
  <c r="AF63" i="40"/>
  <c r="AG63" i="40" s="1"/>
  <c r="F208" i="2"/>
  <c r="D249" i="2"/>
  <c r="E249" i="2"/>
  <c r="F249" i="2"/>
  <c r="C290" i="2"/>
  <c r="D290" i="2"/>
  <c r="E290" i="2"/>
  <c r="J335" i="6"/>
  <c r="K335" i="6"/>
  <c r="L335" i="6"/>
  <c r="J336" i="6"/>
  <c r="K336" i="6"/>
  <c r="L336" i="6"/>
  <c r="J337" i="6"/>
  <c r="K337" i="6"/>
  <c r="L337" i="6"/>
  <c r="J338" i="6"/>
  <c r="K338" i="6"/>
  <c r="L338" i="6"/>
  <c r="J339" i="6"/>
  <c r="K339" i="6"/>
  <c r="L339" i="6"/>
  <c r="J340" i="6"/>
  <c r="K340" i="6"/>
  <c r="L340" i="6"/>
  <c r="J341" i="6"/>
  <c r="K341" i="6"/>
  <c r="L341" i="6"/>
  <c r="J342" i="6"/>
  <c r="K342" i="6"/>
  <c r="L342" i="6"/>
  <c r="J343" i="6"/>
  <c r="K343" i="6"/>
  <c r="L343" i="6"/>
  <c r="J344" i="6"/>
  <c r="K344" i="6"/>
  <c r="L344" i="6"/>
  <c r="J345" i="6"/>
  <c r="K345" i="6"/>
  <c r="L345" i="6"/>
  <c r="J346" i="6"/>
  <c r="K346" i="6"/>
  <c r="L346" i="6"/>
  <c r="J347" i="6"/>
  <c r="K347" i="6"/>
  <c r="L347" i="6"/>
  <c r="J348" i="6"/>
  <c r="K348" i="6"/>
  <c r="L348" i="6"/>
  <c r="J349" i="6"/>
  <c r="K349" i="6"/>
  <c r="L349" i="6"/>
  <c r="J310" i="6"/>
  <c r="K310" i="6"/>
  <c r="L310" i="6"/>
  <c r="J311" i="6"/>
  <c r="K311" i="6"/>
  <c r="L311" i="6"/>
  <c r="J312" i="6"/>
  <c r="K312" i="6"/>
  <c r="L312" i="6"/>
  <c r="J313" i="6"/>
  <c r="K313" i="6"/>
  <c r="L313" i="6"/>
  <c r="J314" i="6"/>
  <c r="K314" i="6"/>
  <c r="L314" i="6"/>
  <c r="J315" i="6"/>
  <c r="K315" i="6"/>
  <c r="L315" i="6"/>
  <c r="J316" i="6"/>
  <c r="K316" i="6"/>
  <c r="L316" i="6"/>
  <c r="J317" i="6"/>
  <c r="K317" i="6"/>
  <c r="L317" i="6"/>
  <c r="J318" i="6"/>
  <c r="K318" i="6"/>
  <c r="L318" i="6"/>
  <c r="J319" i="6"/>
  <c r="K319" i="6"/>
  <c r="L319" i="6"/>
  <c r="J320" i="6"/>
  <c r="K320" i="6"/>
  <c r="L320" i="6"/>
  <c r="J321" i="6"/>
  <c r="K321" i="6"/>
  <c r="L321" i="6"/>
  <c r="J322" i="6"/>
  <c r="K322" i="6"/>
  <c r="L322" i="6"/>
  <c r="J323" i="6"/>
  <c r="K323" i="6"/>
  <c r="L323" i="6"/>
  <c r="J324" i="6"/>
  <c r="K324" i="6"/>
  <c r="L324" i="6"/>
  <c r="J325" i="6"/>
  <c r="K325" i="6"/>
  <c r="L325" i="6"/>
  <c r="J326" i="6"/>
  <c r="K326" i="6"/>
  <c r="L326" i="6"/>
  <c r="J327" i="6"/>
  <c r="K327" i="6"/>
  <c r="L327" i="6"/>
  <c r="J328" i="6"/>
  <c r="K328" i="6"/>
  <c r="L328" i="6"/>
  <c r="J329" i="6"/>
  <c r="K329" i="6"/>
  <c r="L329" i="6"/>
  <c r="J330" i="6"/>
  <c r="K330" i="6"/>
  <c r="L330" i="6"/>
  <c r="J331" i="6"/>
  <c r="K331" i="6"/>
  <c r="L331" i="6"/>
  <c r="J332" i="6"/>
  <c r="K332" i="6"/>
  <c r="L332" i="6"/>
  <c r="J333" i="6"/>
  <c r="K333" i="6"/>
  <c r="L333" i="6"/>
  <c r="J334" i="6"/>
  <c r="K334" i="6"/>
  <c r="L334" i="6"/>
  <c r="J303" i="6"/>
  <c r="K303" i="6"/>
  <c r="L303" i="6"/>
  <c r="J304" i="6"/>
  <c r="K304" i="6"/>
  <c r="L304" i="6"/>
  <c r="J305" i="6"/>
  <c r="K305" i="6"/>
  <c r="L305" i="6"/>
  <c r="J306" i="6"/>
  <c r="K306" i="6"/>
  <c r="L306" i="6"/>
  <c r="J307" i="6"/>
  <c r="K307" i="6"/>
  <c r="L307" i="6"/>
  <c r="J308" i="6"/>
  <c r="K308" i="6"/>
  <c r="L308" i="6"/>
  <c r="J309" i="6"/>
  <c r="K309" i="6"/>
  <c r="L309" i="6"/>
  <c r="I234" i="6"/>
  <c r="J234" i="6"/>
  <c r="K234" i="6"/>
  <c r="L234" i="6"/>
  <c r="I235" i="6"/>
  <c r="J235" i="6"/>
  <c r="K235" i="6"/>
  <c r="L235" i="6"/>
  <c r="I233" i="6"/>
  <c r="N233" i="6" s="1"/>
  <c r="K233" i="6"/>
  <c r="L233" i="6"/>
  <c r="J233" i="6"/>
  <c r="M233" i="6" s="1"/>
  <c r="J259" i="6"/>
  <c r="K259" i="6"/>
  <c r="L259" i="6"/>
  <c r="J260" i="6"/>
  <c r="K260" i="6"/>
  <c r="L260" i="6"/>
  <c r="J261" i="6"/>
  <c r="K261" i="6"/>
  <c r="L261" i="6"/>
  <c r="J262" i="6"/>
  <c r="K262" i="6"/>
  <c r="L262" i="6"/>
  <c r="J263" i="6"/>
  <c r="K263" i="6"/>
  <c r="L263" i="6"/>
  <c r="J264" i="6"/>
  <c r="K264" i="6"/>
  <c r="L264" i="6"/>
  <c r="J265" i="6"/>
  <c r="K265" i="6"/>
  <c r="L265" i="6"/>
  <c r="J266" i="6"/>
  <c r="K266" i="6"/>
  <c r="L266" i="6"/>
  <c r="J267" i="6"/>
  <c r="K267" i="6"/>
  <c r="L267" i="6"/>
  <c r="J268" i="6"/>
  <c r="K268" i="6"/>
  <c r="L268" i="6"/>
  <c r="J269" i="6"/>
  <c r="K269" i="6"/>
  <c r="L269" i="6"/>
  <c r="J270" i="6"/>
  <c r="K270" i="6"/>
  <c r="L270" i="6"/>
  <c r="J271" i="6"/>
  <c r="K271" i="6"/>
  <c r="L271" i="6"/>
  <c r="J272" i="6"/>
  <c r="K272" i="6"/>
  <c r="L272" i="6"/>
  <c r="J273" i="6"/>
  <c r="K273" i="6"/>
  <c r="L273" i="6"/>
  <c r="J274" i="6"/>
  <c r="K274" i="6"/>
  <c r="L274" i="6"/>
  <c r="J275" i="6"/>
  <c r="K275" i="6"/>
  <c r="L275" i="6"/>
  <c r="J276" i="6"/>
  <c r="K276" i="6"/>
  <c r="L276" i="6"/>
  <c r="J277" i="6"/>
  <c r="K277" i="6"/>
  <c r="L277" i="6"/>
  <c r="J278" i="6"/>
  <c r="K278" i="6"/>
  <c r="L278" i="6"/>
  <c r="J279" i="6"/>
  <c r="K279" i="6"/>
  <c r="L279" i="6"/>
  <c r="J280" i="6"/>
  <c r="K280" i="6"/>
  <c r="L280" i="6"/>
  <c r="J281" i="6"/>
  <c r="K281" i="6"/>
  <c r="L281" i="6"/>
  <c r="J282" i="6"/>
  <c r="K282" i="6"/>
  <c r="L282" i="6"/>
  <c r="J236" i="6"/>
  <c r="K236" i="6"/>
  <c r="L236" i="6"/>
  <c r="J237" i="6"/>
  <c r="K237" i="6"/>
  <c r="L237" i="6"/>
  <c r="J238" i="6"/>
  <c r="K238" i="6"/>
  <c r="L238" i="6"/>
  <c r="J239" i="6"/>
  <c r="K239" i="6"/>
  <c r="L239" i="6"/>
  <c r="J240" i="6"/>
  <c r="K240" i="6"/>
  <c r="L240" i="6"/>
  <c r="J241" i="6"/>
  <c r="K241" i="6"/>
  <c r="L241" i="6"/>
  <c r="J242" i="6"/>
  <c r="K242" i="6"/>
  <c r="L242" i="6"/>
  <c r="J243" i="6"/>
  <c r="K243" i="6"/>
  <c r="L243" i="6"/>
  <c r="J244" i="6"/>
  <c r="K244" i="6"/>
  <c r="L244" i="6"/>
  <c r="J245" i="6"/>
  <c r="K245" i="6"/>
  <c r="L245" i="6"/>
  <c r="J246" i="6"/>
  <c r="K246" i="6"/>
  <c r="L246" i="6"/>
  <c r="J247" i="6"/>
  <c r="K247" i="6"/>
  <c r="L247" i="6"/>
  <c r="J248" i="6"/>
  <c r="K248" i="6"/>
  <c r="L248" i="6"/>
  <c r="J249" i="6"/>
  <c r="K249" i="6"/>
  <c r="L249" i="6"/>
  <c r="J250" i="6"/>
  <c r="K250" i="6"/>
  <c r="L250" i="6"/>
  <c r="J251" i="6"/>
  <c r="K251" i="6"/>
  <c r="L251" i="6"/>
  <c r="J252" i="6"/>
  <c r="K252" i="6"/>
  <c r="L252" i="6"/>
  <c r="J253" i="6"/>
  <c r="K253" i="6"/>
  <c r="L253" i="6"/>
  <c r="J254" i="6"/>
  <c r="K254" i="6"/>
  <c r="L254" i="6"/>
  <c r="J255" i="6"/>
  <c r="K255" i="6"/>
  <c r="L255" i="6"/>
  <c r="J256" i="6"/>
  <c r="K256" i="6"/>
  <c r="L256" i="6"/>
  <c r="J257" i="6"/>
  <c r="K257" i="6"/>
  <c r="L257" i="6"/>
  <c r="J258" i="6"/>
  <c r="K258" i="6"/>
  <c r="L258"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166" i="6"/>
  <c r="M166" i="6" s="1"/>
  <c r="J166" i="6"/>
  <c r="I167" i="6"/>
  <c r="J167" i="6"/>
  <c r="I168" i="6"/>
  <c r="J168" i="6"/>
  <c r="K167" i="6"/>
  <c r="L167" i="6"/>
  <c r="K168" i="6"/>
  <c r="L168" i="6"/>
  <c r="K166" i="6"/>
  <c r="L166" i="6"/>
  <c r="K191" i="6"/>
  <c r="L191" i="6"/>
  <c r="K192" i="6"/>
  <c r="L192" i="6"/>
  <c r="K193" i="6"/>
  <c r="L193" i="6"/>
  <c r="K194" i="6"/>
  <c r="L194" i="6"/>
  <c r="K195" i="6"/>
  <c r="L195" i="6"/>
  <c r="K196" i="6"/>
  <c r="L196" i="6"/>
  <c r="K197" i="6"/>
  <c r="L197" i="6"/>
  <c r="K198" i="6"/>
  <c r="L198" i="6"/>
  <c r="K199" i="6"/>
  <c r="L199" i="6"/>
  <c r="K200" i="6"/>
  <c r="L200" i="6"/>
  <c r="K201" i="6"/>
  <c r="L201" i="6"/>
  <c r="K202" i="6"/>
  <c r="L202" i="6"/>
  <c r="K203" i="6"/>
  <c r="L203" i="6"/>
  <c r="K204" i="6"/>
  <c r="L204" i="6"/>
  <c r="K205" i="6"/>
  <c r="L205" i="6"/>
  <c r="K206" i="6"/>
  <c r="L206" i="6"/>
  <c r="K207" i="6"/>
  <c r="L207" i="6"/>
  <c r="K208" i="6"/>
  <c r="L208" i="6"/>
  <c r="K209" i="6"/>
  <c r="L209" i="6"/>
  <c r="K210" i="6"/>
  <c r="L210" i="6"/>
  <c r="K211" i="6"/>
  <c r="L211" i="6"/>
  <c r="K212" i="6"/>
  <c r="L212" i="6"/>
  <c r="K213" i="6"/>
  <c r="L213" i="6"/>
  <c r="K214" i="6"/>
  <c r="L214" i="6"/>
  <c r="K215" i="6"/>
  <c r="L215" i="6"/>
  <c r="K169" i="6"/>
  <c r="L169" i="6"/>
  <c r="K170" i="6"/>
  <c r="L170" i="6"/>
  <c r="K171" i="6"/>
  <c r="L171" i="6"/>
  <c r="K172" i="6"/>
  <c r="L172" i="6"/>
  <c r="K173" i="6"/>
  <c r="L173" i="6"/>
  <c r="K174" i="6"/>
  <c r="L174" i="6"/>
  <c r="K175" i="6"/>
  <c r="L175" i="6"/>
  <c r="K176" i="6"/>
  <c r="L176" i="6"/>
  <c r="K177" i="6"/>
  <c r="L177" i="6"/>
  <c r="K178" i="6"/>
  <c r="L178" i="6"/>
  <c r="K179" i="6"/>
  <c r="L179" i="6"/>
  <c r="K180" i="6"/>
  <c r="L180" i="6"/>
  <c r="K181" i="6"/>
  <c r="L181" i="6"/>
  <c r="K182" i="6"/>
  <c r="L182" i="6"/>
  <c r="K183" i="6"/>
  <c r="L183" i="6"/>
  <c r="K184" i="6"/>
  <c r="L184" i="6"/>
  <c r="K185" i="6"/>
  <c r="L185" i="6"/>
  <c r="K186" i="6"/>
  <c r="L186" i="6"/>
  <c r="K187" i="6"/>
  <c r="L187" i="6"/>
  <c r="K188" i="6"/>
  <c r="L188" i="6"/>
  <c r="K189" i="6"/>
  <c r="L189" i="6"/>
  <c r="K190" i="6"/>
  <c r="L190"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169" i="6"/>
  <c r="I170" i="6"/>
  <c r="I171" i="6"/>
  <c r="I172" i="6"/>
  <c r="I173" i="6"/>
  <c r="I174" i="6"/>
  <c r="I175" i="6"/>
  <c r="I176" i="6"/>
  <c r="I177" i="6"/>
  <c r="I178" i="6"/>
  <c r="I179" i="6"/>
  <c r="I180" i="6"/>
  <c r="I181" i="6"/>
  <c r="I182" i="6"/>
  <c r="I183" i="6"/>
  <c r="I184" i="6"/>
  <c r="I185" i="6"/>
  <c r="I186" i="6"/>
  <c r="I187" i="6"/>
  <c r="I188" i="6"/>
  <c r="I189" i="6"/>
  <c r="I190" i="6"/>
  <c r="H102" i="6"/>
  <c r="I102" i="6"/>
  <c r="J102" i="6"/>
  <c r="K102" i="6"/>
  <c r="I120" i="6"/>
  <c r="J120" i="6"/>
  <c r="K120" i="6"/>
  <c r="I121" i="6"/>
  <c r="J121" i="6"/>
  <c r="K121" i="6"/>
  <c r="I122" i="6"/>
  <c r="J122" i="6"/>
  <c r="K122" i="6"/>
  <c r="I123" i="6"/>
  <c r="J123" i="6"/>
  <c r="K123" i="6"/>
  <c r="I124" i="6"/>
  <c r="J124" i="6"/>
  <c r="K124" i="6"/>
  <c r="I125" i="6"/>
  <c r="J125" i="6"/>
  <c r="K125" i="6"/>
  <c r="I126" i="6"/>
  <c r="J126" i="6"/>
  <c r="K126" i="6"/>
  <c r="I127" i="6"/>
  <c r="J127" i="6"/>
  <c r="K127" i="6"/>
  <c r="I128" i="6"/>
  <c r="J128" i="6"/>
  <c r="K128" i="6"/>
  <c r="I129" i="6"/>
  <c r="J129" i="6"/>
  <c r="K129" i="6"/>
  <c r="I130" i="6"/>
  <c r="J130" i="6"/>
  <c r="K130" i="6"/>
  <c r="I131" i="6"/>
  <c r="J131" i="6"/>
  <c r="K131" i="6"/>
  <c r="I132" i="6"/>
  <c r="J132" i="6"/>
  <c r="K132" i="6"/>
  <c r="I133" i="6"/>
  <c r="J133" i="6"/>
  <c r="K133" i="6"/>
  <c r="I134" i="6"/>
  <c r="J134" i="6"/>
  <c r="K134" i="6"/>
  <c r="I135" i="6"/>
  <c r="J135" i="6"/>
  <c r="K135" i="6"/>
  <c r="I136" i="6"/>
  <c r="J136" i="6"/>
  <c r="K136" i="6"/>
  <c r="I137" i="6"/>
  <c r="J137" i="6"/>
  <c r="K137" i="6"/>
  <c r="I138" i="6"/>
  <c r="J138" i="6"/>
  <c r="K138" i="6"/>
  <c r="I139" i="6"/>
  <c r="J139" i="6"/>
  <c r="K139" i="6"/>
  <c r="I140" i="6"/>
  <c r="J140" i="6"/>
  <c r="K140" i="6"/>
  <c r="I141" i="6"/>
  <c r="J141" i="6"/>
  <c r="K141" i="6"/>
  <c r="I142" i="6"/>
  <c r="J142" i="6"/>
  <c r="K142" i="6"/>
  <c r="I143" i="6"/>
  <c r="J143" i="6"/>
  <c r="K143" i="6"/>
  <c r="I144" i="6"/>
  <c r="J144" i="6"/>
  <c r="K144" i="6"/>
  <c r="I145" i="6"/>
  <c r="J145" i="6"/>
  <c r="K145" i="6"/>
  <c r="I146" i="6"/>
  <c r="J146" i="6"/>
  <c r="K146" i="6"/>
  <c r="I147" i="6"/>
  <c r="J147" i="6"/>
  <c r="K147" i="6"/>
  <c r="I148" i="6"/>
  <c r="J148" i="6"/>
  <c r="K148" i="6"/>
  <c r="I103" i="6"/>
  <c r="J103" i="6"/>
  <c r="K103" i="6"/>
  <c r="I104" i="6"/>
  <c r="J104" i="6"/>
  <c r="K104" i="6"/>
  <c r="I105" i="6"/>
  <c r="J105" i="6"/>
  <c r="K105" i="6"/>
  <c r="I106" i="6"/>
  <c r="J106" i="6"/>
  <c r="K106" i="6"/>
  <c r="I107" i="6"/>
  <c r="J107" i="6"/>
  <c r="K107" i="6"/>
  <c r="I108" i="6"/>
  <c r="J108" i="6"/>
  <c r="K108" i="6"/>
  <c r="I109" i="6"/>
  <c r="J109" i="6"/>
  <c r="K109" i="6"/>
  <c r="I110" i="6"/>
  <c r="J110" i="6"/>
  <c r="K110" i="6"/>
  <c r="I111" i="6"/>
  <c r="J111" i="6"/>
  <c r="K111" i="6"/>
  <c r="I112" i="6"/>
  <c r="J112" i="6"/>
  <c r="K112" i="6"/>
  <c r="I113" i="6"/>
  <c r="J113" i="6"/>
  <c r="K113" i="6"/>
  <c r="I114" i="6"/>
  <c r="J114" i="6"/>
  <c r="K114" i="6"/>
  <c r="I115" i="6"/>
  <c r="J115" i="6"/>
  <c r="K115" i="6"/>
  <c r="I116" i="6"/>
  <c r="J116" i="6"/>
  <c r="K116" i="6"/>
  <c r="I117" i="6"/>
  <c r="J117" i="6"/>
  <c r="K117" i="6"/>
  <c r="I118" i="6"/>
  <c r="J118" i="6"/>
  <c r="K118" i="6"/>
  <c r="I119" i="6"/>
  <c r="J119" i="6"/>
  <c r="K119" i="6"/>
  <c r="H103" i="3"/>
  <c r="H102" i="3"/>
  <c r="H91" i="3"/>
  <c r="F39" i="3"/>
  <c r="E91" i="3" s="1"/>
  <c r="H87" i="3"/>
  <c r="E87" i="3"/>
  <c r="I87" i="3" s="1"/>
  <c r="I95" i="3" s="1"/>
  <c r="L13" i="22"/>
  <c r="N13" i="22" s="1"/>
  <c r="F72" i="2" s="1"/>
  <c r="L36" i="30"/>
  <c r="N36" i="30" s="1"/>
  <c r="G72" i="2" s="1"/>
  <c r="H72" i="2"/>
  <c r="K61" i="3"/>
  <c r="M61" i="3" s="1"/>
  <c r="R61" i="3" s="1"/>
  <c r="R60"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19" i="3"/>
  <c r="R18" i="3"/>
  <c r="F95" i="5"/>
  <c r="E138" i="5"/>
  <c r="E136" i="5"/>
  <c r="E137" i="5"/>
  <c r="E139" i="5"/>
  <c r="E140" i="5"/>
  <c r="E141" i="5"/>
  <c r="E142" i="5"/>
  <c r="E143" i="5"/>
  <c r="E144" i="5"/>
  <c r="E145" i="5"/>
  <c r="E146" i="5"/>
  <c r="E135" i="5"/>
  <c r="E128" i="5"/>
  <c r="E129" i="5"/>
  <c r="E130" i="5"/>
  <c r="E131" i="5"/>
  <c r="E132" i="5"/>
  <c r="E133"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97" i="5"/>
  <c r="C136" i="5"/>
  <c r="D136" i="5" s="1"/>
  <c r="C137" i="5"/>
  <c r="D137" i="5" s="1"/>
  <c r="C138" i="5"/>
  <c r="D138" i="5" s="1"/>
  <c r="C139" i="5"/>
  <c r="D139" i="5" s="1"/>
  <c r="C140" i="5"/>
  <c r="D140" i="5" s="1"/>
  <c r="C141" i="5"/>
  <c r="D141" i="5" s="1"/>
  <c r="C142" i="5"/>
  <c r="D142" i="5" s="1"/>
  <c r="C143" i="5"/>
  <c r="D143" i="5" s="1"/>
  <c r="C144" i="5"/>
  <c r="D144" i="5" s="1"/>
  <c r="C145" i="5"/>
  <c r="D145" i="5" s="1"/>
  <c r="C146" i="5"/>
  <c r="D146" i="5" s="1"/>
  <c r="C135" i="5"/>
  <c r="D135" i="5" s="1"/>
  <c r="I135" i="5" s="1"/>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CE20" i="3"/>
  <c r="CE21" i="3"/>
  <c r="CE22" i="3"/>
  <c r="CE23" i="3"/>
  <c r="CE24" i="3"/>
  <c r="CE25" i="3"/>
  <c r="CE26" i="3"/>
  <c r="CE27" i="3"/>
  <c r="CE28" i="3"/>
  <c r="CE29" i="3"/>
  <c r="CE30" i="3"/>
  <c r="CE31" i="3"/>
  <c r="CE32" i="3"/>
  <c r="CE33" i="3"/>
  <c r="CE34" i="3"/>
  <c r="CE35" i="3"/>
  <c r="CE36" i="3"/>
  <c r="CE37" i="3"/>
  <c r="CE38" i="3"/>
  <c r="CE39" i="3"/>
  <c r="CE40" i="3"/>
  <c r="CE41" i="3"/>
  <c r="CE42" i="3"/>
  <c r="CE43" i="3"/>
  <c r="CE44" i="3"/>
  <c r="CE45" i="3"/>
  <c r="CE46" i="3"/>
  <c r="CE47" i="3"/>
  <c r="CE48" i="3"/>
  <c r="CE49" i="3"/>
  <c r="CE50" i="3"/>
  <c r="CE51" i="3"/>
  <c r="CE52" i="3"/>
  <c r="CE53" i="3"/>
  <c r="CE54" i="3"/>
  <c r="CE55" i="3"/>
  <c r="CE56" i="3"/>
  <c r="BS57" i="3"/>
  <c r="BS58" i="3"/>
  <c r="BS59" i="3"/>
  <c r="BS60" i="3"/>
  <c r="BS61" i="3"/>
  <c r="BS62" i="3"/>
  <c r="BS63" i="3"/>
  <c r="BS64" i="3"/>
  <c r="BS65" i="3"/>
  <c r="BS66" i="3"/>
  <c r="BS67" i="3"/>
  <c r="CE19" i="3"/>
  <c r="G35" i="5"/>
  <c r="AJ43" i="3"/>
  <c r="X67" i="3"/>
  <c r="F67" i="3"/>
  <c r="X66" i="3"/>
  <c r="X65" i="3"/>
  <c r="F65" i="3"/>
  <c r="X72" i="3"/>
  <c r="F72" i="3"/>
  <c r="X68" i="3"/>
  <c r="F68" i="3"/>
  <c r="X69" i="3"/>
  <c r="F69" i="3"/>
  <c r="X70" i="3"/>
  <c r="X71" i="3"/>
  <c r="X64" i="3"/>
  <c r="X63" i="3"/>
  <c r="H63" i="3"/>
  <c r="F63" i="3"/>
  <c r="X62" i="3"/>
  <c r="F62" i="3"/>
  <c r="X61" i="3"/>
  <c r="F61" i="3"/>
  <c r="H51" i="3"/>
  <c r="AJ51" i="3"/>
  <c r="AJ36" i="3"/>
  <c r="H36" i="3"/>
  <c r="AJ34" i="3"/>
  <c r="H34" i="3"/>
  <c r="AJ37" i="3"/>
  <c r="AJ38" i="3"/>
  <c r="AJ35" i="3"/>
  <c r="AJ33" i="3"/>
  <c r="H33" i="3"/>
  <c r="AJ29" i="3"/>
  <c r="AJ31" i="3"/>
  <c r="H31" i="3"/>
  <c r="H22" i="3"/>
  <c r="AJ49" i="3"/>
  <c r="AJ48" i="3"/>
  <c r="AJ30" i="3"/>
  <c r="F30" i="3"/>
  <c r="AJ46" i="3"/>
  <c r="AJ50" i="3"/>
  <c r="H50" i="3"/>
  <c r="AJ55" i="3"/>
  <c r="F55" i="3"/>
  <c r="AJ39" i="3"/>
  <c r="AJ47" i="3"/>
  <c r="AJ25" i="3"/>
  <c r="AJ45" i="3"/>
  <c r="F45" i="3"/>
  <c r="AJ53" i="3"/>
  <c r="AJ42" i="3"/>
  <c r="AJ40" i="3"/>
  <c r="AJ52" i="3"/>
  <c r="AJ41" i="3"/>
  <c r="H41" i="3"/>
  <c r="AJ23" i="3"/>
  <c r="H23" i="3"/>
  <c r="AJ28" i="3"/>
  <c r="F28" i="3"/>
  <c r="AJ24" i="3"/>
  <c r="AJ54" i="3"/>
  <c r="H54" i="3"/>
  <c r="AJ44" i="3"/>
  <c r="H44" i="3"/>
  <c r="F44" i="3"/>
  <c r="F43" i="3"/>
  <c r="H43" i="3"/>
  <c r="AJ32" i="3"/>
  <c r="H32" i="3"/>
  <c r="H26" i="3"/>
  <c r="F27" i="3"/>
  <c r="H20" i="3"/>
  <c r="F20" i="3"/>
  <c r="H19" i="3"/>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F216" i="3"/>
  <c r="F215" i="3"/>
  <c r="F214" i="3"/>
  <c r="F213" i="3"/>
  <c r="F211" i="3"/>
  <c r="I304" i="59" s="1"/>
  <c r="F199" i="3"/>
  <c r="F198" i="3"/>
  <c r="F197" i="3"/>
  <c r="F196" i="3"/>
  <c r="F195" i="3"/>
  <c r="F194" i="3"/>
  <c r="H96" i="3"/>
  <c r="H90" i="3"/>
  <c r="H86" i="3"/>
  <c r="F183" i="3"/>
  <c r="I170" i="59" s="1"/>
  <c r="F181" i="3"/>
  <c r="F144" i="3"/>
  <c r="F141" i="3"/>
  <c r="F139" i="3"/>
  <c r="F138" i="3"/>
  <c r="F137" i="3"/>
  <c r="F135" i="3"/>
  <c r="F133" i="3"/>
  <c r="F166" i="3"/>
  <c r="F165" i="3"/>
  <c r="F164" i="3"/>
  <c r="F153" i="3"/>
  <c r="F152" i="3"/>
  <c r="F151" i="3"/>
  <c r="F150" i="3"/>
  <c r="F172" i="3"/>
  <c r="F171" i="3"/>
  <c r="F170" i="3"/>
  <c r="F169" i="3"/>
  <c r="F168" i="3"/>
  <c r="F167" i="3"/>
  <c r="F163" i="3"/>
  <c r="F162" i="3"/>
  <c r="F161" i="3"/>
  <c r="F160" i="3"/>
  <c r="F159" i="3"/>
  <c r="F158" i="3"/>
  <c r="F157" i="3"/>
  <c r="F156" i="3"/>
  <c r="F155" i="3"/>
  <c r="F154" i="3"/>
  <c r="F149" i="3"/>
  <c r="F148" i="3"/>
  <c r="F147" i="3"/>
  <c r="F146" i="3"/>
  <c r="F145" i="3"/>
  <c r="F143" i="3"/>
  <c r="F142" i="3"/>
  <c r="F140" i="3"/>
  <c r="F136" i="3"/>
  <c r="F132" i="3"/>
  <c r="F131" i="3"/>
  <c r="F130" i="3"/>
  <c r="F129" i="3"/>
  <c r="F128" i="3"/>
  <c r="F127" i="3"/>
  <c r="F126" i="3"/>
  <c r="F125" i="3"/>
  <c r="F124" i="3"/>
  <c r="F123" i="3"/>
  <c r="F122" i="3"/>
  <c r="F120" i="3"/>
  <c r="F119" i="3"/>
  <c r="F117" i="3"/>
  <c r="F116" i="3"/>
  <c r="F115" i="3"/>
  <c r="J83" i="3"/>
  <c r="J84" i="3"/>
  <c r="J88" i="3"/>
  <c r="J89" i="3"/>
  <c r="I89" i="3"/>
  <c r="I88" i="3"/>
  <c r="I84" i="3"/>
  <c r="I83" i="3"/>
  <c r="H89" i="3"/>
  <c r="H88" i="3"/>
  <c r="H84" i="3"/>
  <c r="H83" i="3"/>
  <c r="H97" i="3"/>
  <c r="I97" i="3"/>
  <c r="J97" i="3"/>
  <c r="H94" i="3"/>
  <c r="I94" i="3"/>
  <c r="J94" i="3"/>
  <c r="H93" i="3"/>
  <c r="AD25" i="40"/>
  <c r="AE25" i="40" s="1"/>
  <c r="AE61" i="40" s="1"/>
  <c r="AD27" i="40"/>
  <c r="AE27" i="40" s="1"/>
  <c r="AF25" i="40"/>
  <c r="AG25" i="40" s="1"/>
  <c r="AG61" i="40" s="1"/>
  <c r="AF26" i="40"/>
  <c r="AG26" i="40" s="1"/>
  <c r="AF27" i="40"/>
  <c r="AG27" i="40" s="1"/>
  <c r="C164" i="2"/>
  <c r="E205" i="2"/>
  <c r="F205" i="2"/>
  <c r="D246" i="2"/>
  <c r="E246" i="2"/>
  <c r="F246" i="2"/>
  <c r="E164" i="2"/>
  <c r="D164" i="2"/>
  <c r="C287" i="2"/>
  <c r="D287" i="2"/>
  <c r="E287" i="2"/>
  <c r="E206" i="2"/>
  <c r="F206" i="2"/>
  <c r="D247" i="2"/>
  <c r="E247" i="2"/>
  <c r="F247" i="2"/>
  <c r="E165" i="2"/>
  <c r="D165" i="2"/>
  <c r="C165" i="2"/>
  <c r="C288" i="2"/>
  <c r="D288" i="2"/>
  <c r="E288" i="2"/>
  <c r="E136" i="40"/>
  <c r="D235" i="2" s="1"/>
  <c r="G136" i="40"/>
  <c r="E235" i="2" s="1"/>
  <c r="I136" i="40"/>
  <c r="F235" i="2" s="1"/>
  <c r="G92" i="40"/>
  <c r="E194" i="2" s="1"/>
  <c r="I92" i="40"/>
  <c r="F194" i="2" s="1"/>
  <c r="C153" i="2"/>
  <c r="E48" i="40"/>
  <c r="D153" i="2" s="1"/>
  <c r="G48" i="40"/>
  <c r="E153" i="2" s="1"/>
  <c r="C180" i="40"/>
  <c r="C276" i="2" s="1"/>
  <c r="E180" i="40"/>
  <c r="D276" i="2" s="1"/>
  <c r="G180" i="40"/>
  <c r="E276" i="2" s="1"/>
  <c r="G72" i="40"/>
  <c r="E174" i="2" s="1"/>
  <c r="I72" i="40"/>
  <c r="F174" i="2" s="1"/>
  <c r="E116" i="40"/>
  <c r="D215" i="2" s="1"/>
  <c r="G116" i="40"/>
  <c r="E215" i="2" s="1"/>
  <c r="I116" i="40"/>
  <c r="F215" i="2" s="1"/>
  <c r="C28" i="40"/>
  <c r="C133" i="2" s="1"/>
  <c r="E28" i="40"/>
  <c r="D133" i="2" s="1"/>
  <c r="G28" i="40"/>
  <c r="E133" i="2" s="1"/>
  <c r="C160" i="40"/>
  <c r="C256" i="2" s="1"/>
  <c r="E160" i="40"/>
  <c r="D256" i="2" s="1"/>
  <c r="G160" i="40"/>
  <c r="E256" i="2" s="1"/>
  <c r="C132" i="2"/>
  <c r="D132" i="2"/>
  <c r="E132" i="2"/>
  <c r="D214" i="2"/>
  <c r="E214" i="2"/>
  <c r="F214" i="2"/>
  <c r="F173" i="2"/>
  <c r="C255" i="2"/>
  <c r="D255" i="2"/>
  <c r="E255" i="2"/>
  <c r="C131" i="2"/>
  <c r="D131" i="2"/>
  <c r="E131" i="2"/>
  <c r="D213" i="2"/>
  <c r="E213" i="2"/>
  <c r="F213" i="2"/>
  <c r="F172" i="2"/>
  <c r="C254" i="2"/>
  <c r="D254" i="2"/>
  <c r="E254" i="2"/>
  <c r="C130" i="2"/>
  <c r="D130" i="2"/>
  <c r="E130" i="2"/>
  <c r="D212" i="2"/>
  <c r="E212" i="2"/>
  <c r="F212" i="2"/>
  <c r="F171" i="2"/>
  <c r="C253" i="2"/>
  <c r="D253" i="2"/>
  <c r="E253" i="2"/>
  <c r="E154" i="2"/>
  <c r="E155" i="2"/>
  <c r="E156" i="2"/>
  <c r="E157" i="2"/>
  <c r="E158" i="2"/>
  <c r="E159" i="2"/>
  <c r="E160" i="2"/>
  <c r="E161" i="2"/>
  <c r="E162" i="2"/>
  <c r="E163" i="2"/>
  <c r="E134" i="2"/>
  <c r="E135" i="2"/>
  <c r="E136" i="2"/>
  <c r="E137" i="2"/>
  <c r="E138" i="2"/>
  <c r="E139" i="2"/>
  <c r="E140" i="2"/>
  <c r="E141" i="2"/>
  <c r="E142" i="2"/>
  <c r="E143" i="2"/>
  <c r="E144" i="2"/>
  <c r="E145" i="2"/>
  <c r="E146" i="2"/>
  <c r="E147" i="2"/>
  <c r="E148" i="2"/>
  <c r="E149" i="2"/>
  <c r="E150" i="2"/>
  <c r="E151" i="2"/>
  <c r="E152" i="2"/>
  <c r="D154" i="2"/>
  <c r="D155" i="2"/>
  <c r="D156" i="2"/>
  <c r="D157" i="2"/>
  <c r="D158" i="2"/>
  <c r="D159" i="2"/>
  <c r="D160" i="2"/>
  <c r="D161" i="2"/>
  <c r="D162" i="2"/>
  <c r="D163" i="2"/>
  <c r="D134" i="2"/>
  <c r="D135" i="2"/>
  <c r="D136" i="2"/>
  <c r="D137" i="2"/>
  <c r="D138" i="2"/>
  <c r="D139" i="2"/>
  <c r="D140" i="2"/>
  <c r="D141" i="2"/>
  <c r="D142" i="2"/>
  <c r="D143" i="2"/>
  <c r="D144" i="2"/>
  <c r="D145" i="2"/>
  <c r="D146" i="2"/>
  <c r="D147" i="2"/>
  <c r="D148" i="2"/>
  <c r="D149" i="2"/>
  <c r="D150" i="2"/>
  <c r="D151" i="2"/>
  <c r="D152" i="2"/>
  <c r="C154" i="2"/>
  <c r="C155" i="2"/>
  <c r="C156" i="2"/>
  <c r="C157" i="2"/>
  <c r="C158" i="2"/>
  <c r="C159" i="2"/>
  <c r="C160" i="2"/>
  <c r="C161" i="2"/>
  <c r="C162" i="2"/>
  <c r="C163" i="2"/>
  <c r="C134" i="2"/>
  <c r="C135" i="2"/>
  <c r="C136" i="2"/>
  <c r="C137" i="2"/>
  <c r="C138" i="2"/>
  <c r="C139" i="2"/>
  <c r="C140" i="2"/>
  <c r="C141" i="2"/>
  <c r="C142" i="2"/>
  <c r="C143" i="2"/>
  <c r="C144" i="2"/>
  <c r="C145" i="2"/>
  <c r="C146" i="2"/>
  <c r="C147" i="2"/>
  <c r="C148" i="2"/>
  <c r="C149" i="2"/>
  <c r="C150" i="2"/>
  <c r="C151" i="2"/>
  <c r="C152" i="2"/>
  <c r="F175" i="2"/>
  <c r="F176" i="2"/>
  <c r="F177" i="2"/>
  <c r="F178" i="2"/>
  <c r="F179" i="2"/>
  <c r="F180" i="2"/>
  <c r="F181" i="2"/>
  <c r="F182" i="2"/>
  <c r="F183" i="2"/>
  <c r="F184" i="2"/>
  <c r="F185" i="2"/>
  <c r="F186" i="2"/>
  <c r="F187" i="2"/>
  <c r="F188" i="2"/>
  <c r="F189" i="2"/>
  <c r="F190" i="2"/>
  <c r="F191" i="2"/>
  <c r="F192" i="2"/>
  <c r="F193" i="2"/>
  <c r="F195" i="2"/>
  <c r="F196" i="2"/>
  <c r="F197" i="2"/>
  <c r="F198" i="2"/>
  <c r="F199" i="2"/>
  <c r="F200" i="2"/>
  <c r="F201" i="2"/>
  <c r="F202" i="2"/>
  <c r="F203" i="2"/>
  <c r="F204" i="2"/>
  <c r="E175" i="2"/>
  <c r="E176" i="2"/>
  <c r="E177" i="2"/>
  <c r="E178" i="2"/>
  <c r="E179" i="2"/>
  <c r="E180" i="2"/>
  <c r="E181" i="2"/>
  <c r="E182" i="2"/>
  <c r="E183" i="2"/>
  <c r="E184" i="2"/>
  <c r="E185" i="2"/>
  <c r="E186" i="2"/>
  <c r="E187" i="2"/>
  <c r="E188" i="2"/>
  <c r="E189" i="2"/>
  <c r="E190" i="2"/>
  <c r="E191" i="2"/>
  <c r="E192" i="2"/>
  <c r="E193" i="2"/>
  <c r="E195" i="2"/>
  <c r="E196" i="2"/>
  <c r="E197" i="2"/>
  <c r="E198" i="2"/>
  <c r="E199" i="2"/>
  <c r="E200" i="2"/>
  <c r="E201" i="2"/>
  <c r="E202" i="2"/>
  <c r="E203" i="2"/>
  <c r="E204" i="2"/>
  <c r="F216" i="2"/>
  <c r="F217" i="2"/>
  <c r="F218" i="2"/>
  <c r="F219" i="2"/>
  <c r="F220" i="2"/>
  <c r="F221" i="2"/>
  <c r="F222" i="2"/>
  <c r="F223" i="2"/>
  <c r="F224" i="2"/>
  <c r="F225" i="2"/>
  <c r="F226" i="2"/>
  <c r="F227" i="2"/>
  <c r="F228" i="2"/>
  <c r="F229" i="2"/>
  <c r="F230" i="2"/>
  <c r="F231" i="2"/>
  <c r="F232" i="2"/>
  <c r="F233" i="2"/>
  <c r="F234" i="2"/>
  <c r="F236" i="2"/>
  <c r="F237" i="2"/>
  <c r="F238" i="2"/>
  <c r="F239" i="2"/>
  <c r="F240" i="2"/>
  <c r="F241" i="2"/>
  <c r="F242" i="2"/>
  <c r="F243" i="2"/>
  <c r="F244" i="2"/>
  <c r="F245" i="2"/>
  <c r="E216" i="2"/>
  <c r="E217" i="2"/>
  <c r="E218" i="2"/>
  <c r="E219" i="2"/>
  <c r="E220" i="2"/>
  <c r="E221" i="2"/>
  <c r="E222" i="2"/>
  <c r="E223" i="2"/>
  <c r="E224" i="2"/>
  <c r="E225" i="2"/>
  <c r="E226" i="2"/>
  <c r="E227" i="2"/>
  <c r="E228" i="2"/>
  <c r="E229" i="2"/>
  <c r="E230" i="2"/>
  <c r="E231" i="2"/>
  <c r="E232" i="2"/>
  <c r="E233" i="2"/>
  <c r="E234" i="2"/>
  <c r="E236" i="2"/>
  <c r="E237" i="2"/>
  <c r="E238" i="2"/>
  <c r="E239" i="2"/>
  <c r="E240" i="2"/>
  <c r="E241" i="2"/>
  <c r="E242" i="2"/>
  <c r="E243" i="2"/>
  <c r="E244" i="2"/>
  <c r="E245" i="2"/>
  <c r="D216" i="2"/>
  <c r="D217" i="2"/>
  <c r="D218" i="2"/>
  <c r="D219" i="2"/>
  <c r="D220" i="2"/>
  <c r="D221" i="2"/>
  <c r="D222" i="2"/>
  <c r="D223" i="2"/>
  <c r="D224" i="2"/>
  <c r="D225" i="2"/>
  <c r="D226" i="2"/>
  <c r="D227" i="2"/>
  <c r="D228" i="2"/>
  <c r="D229" i="2"/>
  <c r="D230" i="2"/>
  <c r="D231" i="2"/>
  <c r="D232" i="2"/>
  <c r="D233" i="2"/>
  <c r="D234" i="2"/>
  <c r="D236" i="2"/>
  <c r="D237" i="2"/>
  <c r="D238" i="2"/>
  <c r="D239" i="2"/>
  <c r="D240" i="2"/>
  <c r="D241" i="2"/>
  <c r="D242" i="2"/>
  <c r="D243" i="2"/>
  <c r="D244" i="2"/>
  <c r="D245" i="2"/>
  <c r="C257" i="2"/>
  <c r="C258" i="2"/>
  <c r="C259" i="2"/>
  <c r="C260" i="2"/>
  <c r="C261" i="2"/>
  <c r="C262" i="2"/>
  <c r="C263" i="2"/>
  <c r="C264" i="2"/>
  <c r="C265" i="2"/>
  <c r="C266" i="2"/>
  <c r="C267" i="2"/>
  <c r="C268" i="2"/>
  <c r="C269" i="2"/>
  <c r="C270" i="2"/>
  <c r="C271" i="2"/>
  <c r="C272" i="2"/>
  <c r="C273" i="2"/>
  <c r="C274" i="2"/>
  <c r="C275" i="2"/>
  <c r="C277" i="2"/>
  <c r="C278" i="2"/>
  <c r="C279" i="2"/>
  <c r="C280" i="2"/>
  <c r="C281" i="2"/>
  <c r="C282" i="2"/>
  <c r="C283" i="2"/>
  <c r="C284" i="2"/>
  <c r="C285" i="2"/>
  <c r="C286" i="2"/>
  <c r="D257" i="2"/>
  <c r="D258" i="2"/>
  <c r="D259" i="2"/>
  <c r="D260" i="2"/>
  <c r="D261" i="2"/>
  <c r="D262" i="2"/>
  <c r="D263" i="2"/>
  <c r="D264" i="2"/>
  <c r="D265" i="2"/>
  <c r="D266" i="2"/>
  <c r="D267" i="2"/>
  <c r="D268" i="2"/>
  <c r="D269" i="2"/>
  <c r="D270" i="2"/>
  <c r="D271" i="2"/>
  <c r="D272" i="2"/>
  <c r="D273" i="2"/>
  <c r="D274" i="2"/>
  <c r="D275" i="2"/>
  <c r="D277" i="2"/>
  <c r="D278" i="2"/>
  <c r="D279" i="2"/>
  <c r="D280" i="2"/>
  <c r="D281" i="2"/>
  <c r="D282" i="2"/>
  <c r="D283" i="2"/>
  <c r="D284" i="2"/>
  <c r="D285" i="2"/>
  <c r="D286" i="2"/>
  <c r="E277" i="2"/>
  <c r="E278" i="2"/>
  <c r="E279" i="2"/>
  <c r="E280" i="2"/>
  <c r="E281" i="2"/>
  <c r="E282" i="2"/>
  <c r="E283" i="2"/>
  <c r="E284" i="2"/>
  <c r="E285" i="2"/>
  <c r="E286" i="2"/>
  <c r="E257" i="2"/>
  <c r="E258" i="2"/>
  <c r="E259" i="2"/>
  <c r="E260" i="2"/>
  <c r="E261" i="2"/>
  <c r="E262" i="2"/>
  <c r="E263" i="2"/>
  <c r="E264" i="2"/>
  <c r="E265" i="2"/>
  <c r="E266" i="2"/>
  <c r="E267" i="2"/>
  <c r="E268" i="2"/>
  <c r="E269" i="2"/>
  <c r="E270" i="2"/>
  <c r="E271" i="2"/>
  <c r="E272" i="2"/>
  <c r="E273" i="2"/>
  <c r="E274" i="2"/>
  <c r="E275" i="2"/>
  <c r="C136" i="40"/>
  <c r="C116" i="40"/>
  <c r="E92" i="40"/>
  <c r="E72" i="40"/>
  <c r="I48" i="40"/>
  <c r="I28" i="40"/>
  <c r="J151" i="40"/>
  <c r="H151" i="40"/>
  <c r="F151" i="40"/>
  <c r="J107" i="40"/>
  <c r="H63" i="40"/>
  <c r="F63" i="40"/>
  <c r="C92" i="40"/>
  <c r="C72" i="40"/>
  <c r="H195" i="40"/>
  <c r="F195" i="40"/>
  <c r="D195" i="40"/>
  <c r="D63" i="40"/>
  <c r="L38" i="30"/>
  <c r="N38" i="30" s="1"/>
  <c r="G74" i="2" s="1"/>
  <c r="L37" i="30"/>
  <c r="N37" i="30" s="1"/>
  <c r="G73" i="2" s="1"/>
  <c r="AD135" i="7"/>
  <c r="AE135" i="7"/>
  <c r="AF135" i="7"/>
  <c r="AG135" i="7"/>
  <c r="AH135" i="7"/>
  <c r="AI135" i="7"/>
  <c r="AJ135" i="7"/>
  <c r="AK135" i="7"/>
  <c r="AL135" i="7"/>
  <c r="AD136" i="7"/>
  <c r="AE136" i="7"/>
  <c r="AF136" i="7"/>
  <c r="AG136" i="7"/>
  <c r="AH136" i="7"/>
  <c r="AI136" i="7"/>
  <c r="AJ136" i="7"/>
  <c r="AK136" i="7"/>
  <c r="AL136" i="7"/>
  <c r="AD137" i="7"/>
  <c r="AE137" i="7"/>
  <c r="AF137" i="7"/>
  <c r="AG137" i="7"/>
  <c r="AH137" i="7"/>
  <c r="AI137" i="7"/>
  <c r="AJ137" i="7"/>
  <c r="AK137" i="7"/>
  <c r="AL137" i="7"/>
  <c r="AD138" i="7"/>
  <c r="AE138" i="7"/>
  <c r="AF138" i="7"/>
  <c r="AG138" i="7"/>
  <c r="AH138" i="7"/>
  <c r="AI138" i="7"/>
  <c r="AJ138" i="7"/>
  <c r="AK138" i="7"/>
  <c r="AL138" i="7"/>
  <c r="AD139" i="7"/>
  <c r="AE139" i="7"/>
  <c r="AF139" i="7"/>
  <c r="AG139" i="7"/>
  <c r="AH139" i="7"/>
  <c r="AI139" i="7"/>
  <c r="AJ139" i="7"/>
  <c r="AK139" i="7"/>
  <c r="AL139" i="7"/>
  <c r="AD140" i="7"/>
  <c r="AE140" i="7"/>
  <c r="AF140" i="7"/>
  <c r="AG140" i="7"/>
  <c r="AH140" i="7"/>
  <c r="AI140" i="7"/>
  <c r="AJ140" i="7"/>
  <c r="AK140" i="7"/>
  <c r="AL140" i="7"/>
  <c r="AD141" i="7"/>
  <c r="AE141" i="7"/>
  <c r="AF141" i="7"/>
  <c r="AG141" i="7"/>
  <c r="AH141" i="7"/>
  <c r="AI141" i="7"/>
  <c r="AJ141" i="7"/>
  <c r="AK141" i="7"/>
  <c r="AL141" i="7"/>
  <c r="AD142" i="7"/>
  <c r="AE142" i="7"/>
  <c r="AF142" i="7"/>
  <c r="AG142" i="7"/>
  <c r="AH142" i="7"/>
  <c r="AI142" i="7"/>
  <c r="AJ142" i="7"/>
  <c r="AK142" i="7"/>
  <c r="AL142" i="7"/>
  <c r="AD143" i="7"/>
  <c r="AE143" i="7"/>
  <c r="AF143" i="7"/>
  <c r="AG143" i="7"/>
  <c r="AH143" i="7"/>
  <c r="AI143" i="7"/>
  <c r="AJ143" i="7"/>
  <c r="AK143" i="7"/>
  <c r="AL143" i="7"/>
  <c r="AD144" i="7"/>
  <c r="AE144" i="7"/>
  <c r="AF144" i="7"/>
  <c r="AG144" i="7"/>
  <c r="AH144" i="7"/>
  <c r="AI144" i="7"/>
  <c r="AJ144" i="7"/>
  <c r="AK144" i="7"/>
  <c r="AL144" i="7"/>
  <c r="AD145" i="7"/>
  <c r="AE145" i="7"/>
  <c r="AF145" i="7"/>
  <c r="AG145" i="7"/>
  <c r="AH145" i="7"/>
  <c r="AI145" i="7"/>
  <c r="AJ145" i="7"/>
  <c r="AK145" i="7"/>
  <c r="AL145" i="7"/>
  <c r="AD146" i="7"/>
  <c r="AE146" i="7"/>
  <c r="AF146" i="7"/>
  <c r="AG146" i="7"/>
  <c r="AH146" i="7"/>
  <c r="AI146" i="7"/>
  <c r="AJ146" i="7"/>
  <c r="AK146" i="7"/>
  <c r="AL146" i="7"/>
  <c r="C68" i="29"/>
  <c r="C104" i="29"/>
  <c r="G228" i="3"/>
  <c r="D12" i="22"/>
  <c r="D200" i="7"/>
  <c r="D12" i="8"/>
  <c r="F41" i="3"/>
  <c r="D99" i="8"/>
  <c r="AD23" i="8"/>
  <c r="G229" i="3"/>
  <c r="F229" i="3"/>
  <c r="E229" i="3"/>
  <c r="C229" i="3"/>
  <c r="F228" i="3"/>
  <c r="E228" i="3"/>
  <c r="C228" i="3"/>
  <c r="G227" i="3"/>
  <c r="F227" i="3"/>
  <c r="E227" i="3"/>
  <c r="C227" i="3"/>
  <c r="I102" i="3"/>
  <c r="H95" i="3"/>
  <c r="J93" i="3"/>
  <c r="I93" i="3"/>
  <c r="E252" i="2"/>
  <c r="D252" i="2"/>
  <c r="C252" i="2"/>
  <c r="F211" i="2"/>
  <c r="E211" i="2"/>
  <c r="D211" i="2"/>
  <c r="C211" i="2"/>
  <c r="F170" i="2"/>
  <c r="E170" i="2"/>
  <c r="C170" i="2"/>
  <c r="F129" i="2"/>
  <c r="E129" i="2"/>
  <c r="D129" i="2"/>
  <c r="C129" i="2"/>
  <c r="I51" i="22"/>
  <c r="F56" i="22" s="1"/>
  <c r="F109" i="2" s="1"/>
  <c r="F93" i="28"/>
  <c r="H93" i="28"/>
  <c r="J93" i="28"/>
  <c r="L93" i="28"/>
  <c r="N93" i="28"/>
  <c r="P93" i="28"/>
  <c r="R93" i="28"/>
  <c r="T93" i="28"/>
  <c r="V93" i="28"/>
  <c r="X93" i="28"/>
  <c r="Z93" i="28"/>
  <c r="AB93" i="28"/>
  <c r="AD93" i="28"/>
  <c r="AF93" i="28"/>
  <c r="E146" i="28"/>
  <c r="F146" i="28" s="1"/>
  <c r="E147" i="28"/>
  <c r="F202" i="7"/>
  <c r="D202" i="7"/>
  <c r="F203" i="7"/>
  <c r="D203" i="7"/>
  <c r="F204" i="7"/>
  <c r="D204" i="7"/>
  <c r="F205" i="7"/>
  <c r="D205" i="7"/>
  <c r="C59" i="7" s="1"/>
  <c r="I59" i="7" s="1"/>
  <c r="F206" i="7"/>
  <c r="D206" i="7"/>
  <c r="F207" i="7"/>
  <c r="D207" i="7"/>
  <c r="F208" i="7"/>
  <c r="D208" i="7"/>
  <c r="F209" i="7"/>
  <c r="D209" i="7"/>
  <c r="E209" i="7" s="1"/>
  <c r="F210" i="7"/>
  <c r="D210" i="7"/>
  <c r="F211" i="7"/>
  <c r="D211" i="7"/>
  <c r="F212" i="7"/>
  <c r="D212" i="7"/>
  <c r="F213" i="7"/>
  <c r="D213" i="7"/>
  <c r="E213" i="7" s="1"/>
  <c r="F214" i="7"/>
  <c r="D214" i="7"/>
  <c r="F215" i="7"/>
  <c r="D215" i="7"/>
  <c r="E215" i="7" s="1"/>
  <c r="F216" i="7"/>
  <c r="E216" i="7" s="1"/>
  <c r="D216" i="7"/>
  <c r="F217" i="7"/>
  <c r="D217" i="7"/>
  <c r="E217" i="7" s="1"/>
  <c r="F218" i="7"/>
  <c r="D218" i="7"/>
  <c r="F219" i="7"/>
  <c r="D219" i="7"/>
  <c r="F220" i="7"/>
  <c r="D220" i="7"/>
  <c r="F221" i="7"/>
  <c r="D221" i="7"/>
  <c r="F222" i="7"/>
  <c r="D222" i="7"/>
  <c r="F225" i="7"/>
  <c r="D225" i="7"/>
  <c r="F226" i="7"/>
  <c r="E226" i="7" s="1"/>
  <c r="I226" i="7" s="1"/>
  <c r="E97" i="2" s="1"/>
  <c r="I97" i="2" s="1"/>
  <c r="C41" i="2" s="1"/>
  <c r="F41" i="2" s="1"/>
  <c r="D226" i="7"/>
  <c r="C97" i="7" s="1"/>
  <c r="F227" i="7"/>
  <c r="D227" i="7"/>
  <c r="E227" i="7" s="1"/>
  <c r="I227" i="7" s="1"/>
  <c r="E98" i="2" s="1"/>
  <c r="F228" i="7"/>
  <c r="E228" i="7" s="1"/>
  <c r="D228" i="7"/>
  <c r="F229" i="7"/>
  <c r="D229" i="7"/>
  <c r="F230" i="7"/>
  <c r="D230" i="7"/>
  <c r="F231" i="7"/>
  <c r="D231" i="7"/>
  <c r="F232" i="7"/>
  <c r="E232" i="7" s="1"/>
  <c r="D232" i="7"/>
  <c r="F233" i="7"/>
  <c r="D233" i="7"/>
  <c r="F234" i="7"/>
  <c r="D234" i="7"/>
  <c r="F223" i="7"/>
  <c r="D223" i="7"/>
  <c r="H173" i="7"/>
  <c r="G173" i="7" s="1"/>
  <c r="F224" i="7"/>
  <c r="D224" i="7"/>
  <c r="L14" i="22"/>
  <c r="N14" i="22" s="1"/>
  <c r="F73" i="2" s="1"/>
  <c r="L15" i="22"/>
  <c r="N15" i="22" s="1"/>
  <c r="F74" i="2" s="1"/>
  <c r="L16" i="22"/>
  <c r="N16" i="22" s="1"/>
  <c r="F76" i="2" s="1"/>
  <c r="L17" i="22"/>
  <c r="N17" i="22" s="1"/>
  <c r="F77" i="2" s="1"/>
  <c r="L18" i="22"/>
  <c r="N18" i="22" s="1"/>
  <c r="F78" i="2" s="1"/>
  <c r="L19" i="22"/>
  <c r="N19" i="22" s="1"/>
  <c r="F79" i="2" s="1"/>
  <c r="L20" i="22"/>
  <c r="N20" i="22" s="1"/>
  <c r="F80" i="2" s="1"/>
  <c r="L21" i="22"/>
  <c r="N21" i="22" s="1"/>
  <c r="F81" i="2" s="1"/>
  <c r="L22" i="22"/>
  <c r="N22" i="22" s="1"/>
  <c r="F82" i="2" s="1"/>
  <c r="L23" i="22"/>
  <c r="N23" i="22" s="1"/>
  <c r="F83" i="2" s="1"/>
  <c r="L24" i="22"/>
  <c r="N24" i="22" s="1"/>
  <c r="F84" i="2" s="1"/>
  <c r="L26" i="22"/>
  <c r="N26" i="22" s="1"/>
  <c r="F85" i="2" s="1"/>
  <c r="L28" i="22"/>
  <c r="N28" i="22" s="1"/>
  <c r="F86" i="2" s="1"/>
  <c r="L29" i="22"/>
  <c r="N29" i="22" s="1"/>
  <c r="F87" i="2" s="1"/>
  <c r="L30" i="22"/>
  <c r="N30" i="22" s="1"/>
  <c r="F88" i="2" s="1"/>
  <c r="L31" i="22"/>
  <c r="N31" i="22" s="1"/>
  <c r="F89" i="2" s="1"/>
  <c r="L32" i="22"/>
  <c r="N32" i="22" s="1"/>
  <c r="F90" i="2" s="1"/>
  <c r="L33" i="22"/>
  <c r="N33" i="22" s="1"/>
  <c r="F91" i="2" s="1"/>
  <c r="L34" i="22"/>
  <c r="N34" i="22" s="1"/>
  <c r="F92" i="2" s="1"/>
  <c r="L35" i="22"/>
  <c r="N35" i="22" s="1"/>
  <c r="F93" i="2" s="1"/>
  <c r="L36" i="22"/>
  <c r="N36" i="22" s="1"/>
  <c r="F94" i="2" s="1"/>
  <c r="L39" i="22"/>
  <c r="N39" i="22" s="1"/>
  <c r="F96" i="2" s="1"/>
  <c r="L40" i="22"/>
  <c r="N40" i="22" s="1"/>
  <c r="F97" i="2" s="1"/>
  <c r="L41" i="22"/>
  <c r="N41" i="22" s="1"/>
  <c r="F98" i="2" s="1"/>
  <c r="L42" i="22"/>
  <c r="N42" i="22" s="1"/>
  <c r="F99" i="2" s="1"/>
  <c r="L43" i="22"/>
  <c r="N43" i="22" s="1"/>
  <c r="F100" i="2" s="1"/>
  <c r="L44" i="22"/>
  <c r="N44" i="22" s="1"/>
  <c r="F101" i="2" s="1"/>
  <c r="L45" i="22"/>
  <c r="N45" i="22" s="1"/>
  <c r="F102" i="2" s="1"/>
  <c r="L46" i="22"/>
  <c r="N46" i="22" s="1"/>
  <c r="F103" i="2" s="1"/>
  <c r="L47" i="22"/>
  <c r="N47" i="22" s="1"/>
  <c r="F104" i="2" s="1"/>
  <c r="L48" i="22"/>
  <c r="N48" i="22" s="1"/>
  <c r="F105" i="2" s="1"/>
  <c r="L37" i="22"/>
  <c r="N37" i="22" s="1"/>
  <c r="F106" i="2" s="1"/>
  <c r="L38" i="22"/>
  <c r="N38" i="22" s="1"/>
  <c r="F107" i="2" s="1"/>
  <c r="D13" i="53"/>
  <c r="D12" i="29"/>
  <c r="G161" i="28"/>
  <c r="AG114" i="28"/>
  <c r="AF114" i="28"/>
  <c r="AE114" i="28"/>
  <c r="AD114" i="28"/>
  <c r="AC114" i="28"/>
  <c r="AB114" i="28"/>
  <c r="AA114" i="28"/>
  <c r="Z114" i="28"/>
  <c r="Y114" i="28"/>
  <c r="X114" i="28"/>
  <c r="W114" i="28"/>
  <c r="V114" i="28"/>
  <c r="U114" i="28"/>
  <c r="T114" i="28"/>
  <c r="S114" i="28"/>
  <c r="R114" i="28"/>
  <c r="Q114" i="28"/>
  <c r="P114" i="28"/>
  <c r="O114" i="28"/>
  <c r="N114" i="28"/>
  <c r="M114" i="28"/>
  <c r="L114" i="28"/>
  <c r="K114" i="28"/>
  <c r="J114" i="28"/>
  <c r="I114" i="28"/>
  <c r="H114" i="28"/>
  <c r="G114" i="28"/>
  <c r="F114" i="28"/>
  <c r="E114" i="28"/>
  <c r="AH111" i="28"/>
  <c r="AG111" i="28" s="1"/>
  <c r="AF111" i="28" s="1"/>
  <c r="AE111" i="28" s="1"/>
  <c r="AD111" i="28" s="1"/>
  <c r="AC111" i="28" s="1"/>
  <c r="AB111" i="28" s="1"/>
  <c r="AA111" i="28" s="1"/>
  <c r="Z111" i="28" s="1"/>
  <c r="Y111" i="28" s="1"/>
  <c r="X111" i="28" s="1"/>
  <c r="W111" i="28" s="1"/>
  <c r="V111" i="28" s="1"/>
  <c r="U111" i="28" s="1"/>
  <c r="T111" i="28" s="1"/>
  <c r="S111" i="28" s="1"/>
  <c r="R111" i="28" s="1"/>
  <c r="Q111" i="28" s="1"/>
  <c r="P111" i="28" s="1"/>
  <c r="O111" i="28" s="1"/>
  <c r="N111" i="28" s="1"/>
  <c r="M111" i="28" s="1"/>
  <c r="L111" i="28" s="1"/>
  <c r="K111" i="28" s="1"/>
  <c r="J111" i="28" s="1"/>
  <c r="I111" i="28" s="1"/>
  <c r="H111" i="28" s="1"/>
  <c r="G111" i="28" s="1"/>
  <c r="F111" i="28" s="1"/>
  <c r="E111" i="28" s="1"/>
  <c r="C108" i="28"/>
  <c r="AH103" i="28"/>
  <c r="AG103" i="28" s="1"/>
  <c r="AF103" i="28" s="1"/>
  <c r="AE103" i="28" s="1"/>
  <c r="AD103" i="28" s="1"/>
  <c r="AC103" i="28" s="1"/>
  <c r="AB103" i="28" s="1"/>
  <c r="AA103" i="28" s="1"/>
  <c r="Z103" i="28" s="1"/>
  <c r="Y103" i="28" s="1"/>
  <c r="X103" i="28" s="1"/>
  <c r="W103" i="28" s="1"/>
  <c r="V103" i="28" s="1"/>
  <c r="U103" i="28" s="1"/>
  <c r="T103" i="28" s="1"/>
  <c r="S103" i="28" s="1"/>
  <c r="R103" i="28" s="1"/>
  <c r="Q103" i="28" s="1"/>
  <c r="P103" i="28" s="1"/>
  <c r="O103" i="28" s="1"/>
  <c r="N103" i="28" s="1"/>
  <c r="M103" i="28" s="1"/>
  <c r="L103" i="28" s="1"/>
  <c r="K103" i="28" s="1"/>
  <c r="J103" i="28" s="1"/>
  <c r="I103" i="28" s="1"/>
  <c r="H103" i="28" s="1"/>
  <c r="G103" i="28" s="1"/>
  <c r="F103" i="28" s="1"/>
  <c r="E103" i="28" s="1"/>
  <c r="AH90" i="28"/>
  <c r="AG90" i="28" s="1"/>
  <c r="AF90" i="28" s="1"/>
  <c r="AE90" i="28" s="1"/>
  <c r="AD90" i="28" s="1"/>
  <c r="AC90" i="28" s="1"/>
  <c r="AB90" i="28" s="1"/>
  <c r="AA90" i="28" s="1"/>
  <c r="Z90" i="28" s="1"/>
  <c r="Y90" i="28" s="1"/>
  <c r="X90" i="28" s="1"/>
  <c r="W90" i="28" s="1"/>
  <c r="V90" i="28" s="1"/>
  <c r="U90" i="28" s="1"/>
  <c r="T90" i="28" s="1"/>
  <c r="S90" i="28" s="1"/>
  <c r="R90" i="28" s="1"/>
  <c r="Q90" i="28" s="1"/>
  <c r="P90" i="28" s="1"/>
  <c r="O90" i="28" s="1"/>
  <c r="N90" i="28" s="1"/>
  <c r="M90" i="28" s="1"/>
  <c r="L90" i="28" s="1"/>
  <c r="K90" i="28" s="1"/>
  <c r="J90" i="28" s="1"/>
  <c r="I90" i="28" s="1"/>
  <c r="H90" i="28" s="1"/>
  <c r="G90" i="28" s="1"/>
  <c r="F90" i="28" s="1"/>
  <c r="E90" i="28" s="1"/>
  <c r="AH76" i="28"/>
  <c r="AG76" i="28"/>
  <c r="AF76" i="28"/>
  <c r="AE76" i="28"/>
  <c r="AD76" i="28"/>
  <c r="AC76" i="28"/>
  <c r="AB76" i="28"/>
  <c r="AA76" i="28"/>
  <c r="Z76" i="28"/>
  <c r="Y76" i="28"/>
  <c r="X76" i="28"/>
  <c r="W76" i="28"/>
  <c r="V76" i="28"/>
  <c r="U76" i="28"/>
  <c r="T76" i="28"/>
  <c r="S76" i="28"/>
  <c r="R76" i="28"/>
  <c r="Q76" i="28"/>
  <c r="P76" i="28"/>
  <c r="O76" i="28"/>
  <c r="N76" i="28"/>
  <c r="M76" i="28"/>
  <c r="L76" i="28"/>
  <c r="K76" i="28"/>
  <c r="J76" i="28"/>
  <c r="I76" i="28"/>
  <c r="H76" i="28"/>
  <c r="G76" i="28"/>
  <c r="F76" i="28"/>
  <c r="E76" i="28"/>
  <c r="AH68" i="28"/>
  <c r="AG68" i="28" s="1"/>
  <c r="AF68" i="28" s="1"/>
  <c r="AE68" i="28" s="1"/>
  <c r="AD68" i="28" s="1"/>
  <c r="AC68" i="28" s="1"/>
  <c r="AB68" i="28" s="1"/>
  <c r="AA68" i="28" s="1"/>
  <c r="Z68" i="28" s="1"/>
  <c r="Y68" i="28" s="1"/>
  <c r="X68" i="28" s="1"/>
  <c r="W68" i="28" s="1"/>
  <c r="V68" i="28" s="1"/>
  <c r="U68" i="28" s="1"/>
  <c r="T68" i="28" s="1"/>
  <c r="S68" i="28" s="1"/>
  <c r="R68" i="28" s="1"/>
  <c r="Q68" i="28" s="1"/>
  <c r="P68" i="28" s="1"/>
  <c r="O68" i="28" s="1"/>
  <c r="N68" i="28" s="1"/>
  <c r="M68" i="28" s="1"/>
  <c r="L68" i="28" s="1"/>
  <c r="K68" i="28" s="1"/>
  <c r="J68" i="28" s="1"/>
  <c r="I68" i="28" s="1"/>
  <c r="H68" i="28" s="1"/>
  <c r="G68" i="28" s="1"/>
  <c r="F68" i="28" s="1"/>
  <c r="E68" i="28" s="1"/>
  <c r="AH57" i="28"/>
  <c r="AG57" i="28" s="1"/>
  <c r="AF57" i="28" s="1"/>
  <c r="AE57" i="28" s="1"/>
  <c r="AD57" i="28" s="1"/>
  <c r="AC57" i="28" s="1"/>
  <c r="AB57" i="28" s="1"/>
  <c r="AA57" i="28" s="1"/>
  <c r="Z57" i="28" s="1"/>
  <c r="Y57" i="28" s="1"/>
  <c r="X57" i="28" s="1"/>
  <c r="W57" i="28" s="1"/>
  <c r="V57" i="28" s="1"/>
  <c r="U57" i="28" s="1"/>
  <c r="T57" i="28" s="1"/>
  <c r="S57" i="28" s="1"/>
  <c r="R57" i="28" s="1"/>
  <c r="Q57" i="28" s="1"/>
  <c r="P57" i="28" s="1"/>
  <c r="O57" i="28" s="1"/>
  <c r="N57" i="28" s="1"/>
  <c r="M57" i="28" s="1"/>
  <c r="L57" i="28" s="1"/>
  <c r="K57" i="28" s="1"/>
  <c r="J57" i="28" s="1"/>
  <c r="I57" i="28" s="1"/>
  <c r="H57" i="28" s="1"/>
  <c r="G57" i="28" s="1"/>
  <c r="F57" i="28" s="1"/>
  <c r="E57" i="28" s="1"/>
  <c r="D12" i="28"/>
  <c r="G31" i="30"/>
  <c r="H31" i="30" s="1"/>
  <c r="G32" i="30"/>
  <c r="H32" i="30" s="1"/>
  <c r="G33" i="30"/>
  <c r="H33" i="30" s="1"/>
  <c r="G34" i="30"/>
  <c r="H34" i="30" s="1"/>
  <c r="G35" i="30"/>
  <c r="H35" i="30" s="1"/>
  <c r="G36" i="30"/>
  <c r="H36" i="30" s="1"/>
  <c r="G37" i="30"/>
  <c r="H37" i="30" s="1"/>
  <c r="G38" i="30"/>
  <c r="H38" i="30" s="1"/>
  <c r="G39" i="30"/>
  <c r="H39" i="30" s="1"/>
  <c r="G40" i="30"/>
  <c r="H40" i="30" s="1"/>
  <c r="G41" i="30"/>
  <c r="H41" i="30" s="1"/>
  <c r="G42" i="30"/>
  <c r="H42" i="30" s="1"/>
  <c r="G43" i="30"/>
  <c r="H43" i="30" s="1"/>
  <c r="G44" i="30"/>
  <c r="H44" i="30" s="1"/>
  <c r="G45" i="30"/>
  <c r="H45" i="30" s="1"/>
  <c r="G46" i="30"/>
  <c r="H46" i="30" s="1"/>
  <c r="G47" i="30"/>
  <c r="H47" i="30" s="1"/>
  <c r="G48" i="30"/>
  <c r="H48" i="30" s="1"/>
  <c r="G49" i="30"/>
  <c r="H49" i="30" s="1"/>
  <c r="G50" i="30"/>
  <c r="H50" i="30" s="1"/>
  <c r="M38" i="30"/>
  <c r="M37" i="30"/>
  <c r="M36" i="30"/>
  <c r="M35" i="30"/>
  <c r="L35" i="30"/>
  <c r="H30" i="30"/>
  <c r="D12" i="30"/>
  <c r="G31" i="22"/>
  <c r="H31" i="22" s="1"/>
  <c r="G32" i="22"/>
  <c r="H32" i="22" s="1"/>
  <c r="G33" i="22"/>
  <c r="H33" i="22" s="1"/>
  <c r="G34" i="22"/>
  <c r="H34" i="22" s="1"/>
  <c r="G35" i="22"/>
  <c r="H35" i="22" s="1"/>
  <c r="G36" i="22"/>
  <c r="H36" i="22" s="1"/>
  <c r="G37" i="22"/>
  <c r="H37" i="22" s="1"/>
  <c r="G38" i="22"/>
  <c r="H38" i="22" s="1"/>
  <c r="G39" i="22"/>
  <c r="H39" i="22" s="1"/>
  <c r="G40" i="22"/>
  <c r="H40" i="22" s="1"/>
  <c r="G41" i="22"/>
  <c r="H41" i="22" s="1"/>
  <c r="G42" i="22"/>
  <c r="H42" i="22" s="1"/>
  <c r="G43" i="22"/>
  <c r="H43" i="22" s="1"/>
  <c r="G44" i="22"/>
  <c r="H44" i="22" s="1"/>
  <c r="G45" i="22"/>
  <c r="H45" i="22" s="1"/>
  <c r="G46" i="22"/>
  <c r="H46" i="22" s="1"/>
  <c r="G47" i="22"/>
  <c r="H47" i="22" s="1"/>
  <c r="G48" i="22"/>
  <c r="H48" i="22" s="1"/>
  <c r="G49" i="22"/>
  <c r="H49" i="22" s="1"/>
  <c r="G50" i="22"/>
  <c r="H50" i="22" s="1"/>
  <c r="M48" i="22"/>
  <c r="M47" i="22"/>
  <c r="M46" i="22"/>
  <c r="M45" i="22"/>
  <c r="M44" i="22"/>
  <c r="M43" i="22"/>
  <c r="M42" i="22"/>
  <c r="M41" i="22"/>
  <c r="M40" i="22"/>
  <c r="M39" i="22"/>
  <c r="M38" i="22"/>
  <c r="M37" i="22"/>
  <c r="M36" i="22"/>
  <c r="M35" i="22"/>
  <c r="M34" i="22"/>
  <c r="M33" i="22"/>
  <c r="M32" i="22"/>
  <c r="M31" i="22"/>
  <c r="M30" i="22"/>
  <c r="G30" i="22"/>
  <c r="H30" i="22" s="1"/>
  <c r="M29" i="22"/>
  <c r="M28" i="22"/>
  <c r="M26" i="22"/>
  <c r="M24" i="22"/>
  <c r="M23" i="22"/>
  <c r="M22" i="22"/>
  <c r="M21" i="22"/>
  <c r="M20" i="22"/>
  <c r="M19" i="22"/>
  <c r="M18" i="22"/>
  <c r="M17" i="22"/>
  <c r="M16" i="22"/>
  <c r="M15" i="22"/>
  <c r="M14" i="22"/>
  <c r="M13" i="22"/>
  <c r="M12" i="22"/>
  <c r="L12" i="22"/>
  <c r="C225" i="7"/>
  <c r="C224" i="7"/>
  <c r="C223" i="7"/>
  <c r="C204" i="7"/>
  <c r="C203" i="7"/>
  <c r="C202" i="7"/>
  <c r="C201" i="7"/>
  <c r="C200" i="7"/>
  <c r="B200" i="7"/>
  <c r="H174" i="7"/>
  <c r="I174" i="7" s="1"/>
  <c r="H175" i="7"/>
  <c r="H176" i="7"/>
  <c r="G176" i="7" s="1"/>
  <c r="H177" i="7"/>
  <c r="H178" i="7"/>
  <c r="G178" i="7" s="1"/>
  <c r="H179" i="7"/>
  <c r="G179" i="7" s="1"/>
  <c r="H180" i="7"/>
  <c r="H181" i="7"/>
  <c r="G181" i="7" s="1"/>
  <c r="H182" i="7"/>
  <c r="G182" i="7" s="1"/>
  <c r="H183" i="7"/>
  <c r="I183" i="7" s="1"/>
  <c r="H184" i="7"/>
  <c r="I184" i="7" s="1"/>
  <c r="H185" i="7"/>
  <c r="G185" i="7" s="1"/>
  <c r="H186" i="7"/>
  <c r="G186" i="7" s="1"/>
  <c r="H171" i="7"/>
  <c r="G171" i="7"/>
  <c r="I171" i="7" s="1"/>
  <c r="C171" i="7"/>
  <c r="B97" i="7"/>
  <c r="B59" i="7"/>
  <c r="D13" i="7"/>
  <c r="D13" i="6"/>
  <c r="G222" i="7"/>
  <c r="E110" i="29"/>
  <c r="D117" i="29" s="1"/>
  <c r="G212" i="7"/>
  <c r="H212" i="7" s="1"/>
  <c r="I75" i="7"/>
  <c r="J104" i="3"/>
  <c r="I104" i="3"/>
  <c r="G113" i="7"/>
  <c r="J102" i="3"/>
  <c r="G174" i="7"/>
  <c r="E148" i="28"/>
  <c r="G220" i="7"/>
  <c r="H220" i="7" s="1"/>
  <c r="G216" i="7"/>
  <c r="H216" i="7" s="1"/>
  <c r="G226" i="7"/>
  <c r="H226" i="7" s="1"/>
  <c r="G210" i="7"/>
  <c r="H210" i="7" s="1"/>
  <c r="G218" i="7"/>
  <c r="H218" i="7" s="1"/>
  <c r="G205" i="7"/>
  <c r="G209" i="7"/>
  <c r="G221" i="7"/>
  <c r="G227" i="7"/>
  <c r="G203" i="7"/>
  <c r="H203" i="7" s="1"/>
  <c r="J203" i="7" s="1"/>
  <c r="G207" i="7"/>
  <c r="H207" i="7" s="1"/>
  <c r="J207" i="7" s="1"/>
  <c r="G219" i="7"/>
  <c r="H219" i="7" s="1"/>
  <c r="J219" i="7" s="1"/>
  <c r="G225" i="7"/>
  <c r="H225" i="7" s="1"/>
  <c r="I103" i="3"/>
  <c r="J103" i="3"/>
  <c r="E205" i="7"/>
  <c r="E234" i="7"/>
  <c r="H74" i="2"/>
  <c r="F273" i="2"/>
  <c r="E36" i="2" s="1"/>
  <c r="H36" i="2" s="1"/>
  <c r="E208" i="7"/>
  <c r="E202" i="7"/>
  <c r="E222" i="7"/>
  <c r="I222" i="7" s="1"/>
  <c r="E94" i="2" s="1"/>
  <c r="I94" i="2" s="1"/>
  <c r="C38" i="2" s="1"/>
  <c r="F38" i="2" s="1"/>
  <c r="E229" i="7"/>
  <c r="AE63" i="40"/>
  <c r="AB27" i="40"/>
  <c r="AC27" i="40" s="1"/>
  <c r="AH27" i="40"/>
  <c r="AI27" i="40" s="1"/>
  <c r="AH26" i="40"/>
  <c r="AH25" i="40"/>
  <c r="AB26" i="40"/>
  <c r="AC26" i="40" s="1"/>
  <c r="E116" i="2"/>
  <c r="D17" i="2" s="1"/>
  <c r="G17" i="2" s="1"/>
  <c r="AB25" i="40"/>
  <c r="AC25" i="40" s="1"/>
  <c r="AC61" i="40" s="1"/>
  <c r="AD26" i="40"/>
  <c r="AE26" i="40" s="1"/>
  <c r="N354" i="59" l="1"/>
  <c r="O324" i="59"/>
  <c r="O323" i="59"/>
  <c r="O320" i="59"/>
  <c r="O319" i="59"/>
  <c r="O316" i="59"/>
  <c r="O315" i="59"/>
  <c r="O351" i="59"/>
  <c r="O350" i="59"/>
  <c r="O347" i="59"/>
  <c r="O346" i="59"/>
  <c r="O343" i="59"/>
  <c r="O342" i="59"/>
  <c r="O339" i="59"/>
  <c r="O338" i="59"/>
  <c r="O335" i="59"/>
  <c r="O334" i="59"/>
  <c r="O331" i="59"/>
  <c r="O330" i="59"/>
  <c r="O327" i="59"/>
  <c r="O326" i="59"/>
  <c r="O250" i="59"/>
  <c r="O322" i="59"/>
  <c r="O318" i="59"/>
  <c r="O314" i="59"/>
  <c r="O353" i="59"/>
  <c r="O349" i="59"/>
  <c r="O345" i="59"/>
  <c r="O341" i="59"/>
  <c r="O337" i="59"/>
  <c r="O333" i="59"/>
  <c r="O329" i="59"/>
  <c r="G229" i="7"/>
  <c r="H229" i="7" s="1"/>
  <c r="G211" i="7"/>
  <c r="H211" i="7" s="1"/>
  <c r="G231" i="7"/>
  <c r="H231" i="7" s="1"/>
  <c r="J231" i="7" s="1"/>
  <c r="G213" i="7"/>
  <c r="H213" i="7" s="1"/>
  <c r="G228" i="7"/>
  <c r="H228" i="7" s="1"/>
  <c r="J228" i="7" s="1"/>
  <c r="G234" i="7"/>
  <c r="H234" i="7" s="1"/>
  <c r="J234" i="7" s="1"/>
  <c r="G230" i="7"/>
  <c r="G206" i="7"/>
  <c r="H206" i="7" s="1"/>
  <c r="G232" i="7"/>
  <c r="H232" i="7" s="1"/>
  <c r="I143" i="5"/>
  <c r="I139" i="5"/>
  <c r="E170" i="28"/>
  <c r="H109" i="2" s="1"/>
  <c r="N149" i="53"/>
  <c r="N141" i="53"/>
  <c r="N121" i="53"/>
  <c r="O130" i="5"/>
  <c r="D130" i="5"/>
  <c r="H227" i="7"/>
  <c r="J227" i="7" s="1"/>
  <c r="H209" i="7"/>
  <c r="J209" i="7" s="1"/>
  <c r="G201" i="7"/>
  <c r="K92" i="60"/>
  <c r="C71" i="40"/>
  <c r="E112" i="58"/>
  <c r="D119" i="58" s="1"/>
  <c r="M304" i="59"/>
  <c r="M354" i="59" s="1"/>
  <c r="O305" i="59"/>
  <c r="O341" i="61"/>
  <c r="O337" i="61"/>
  <c r="O333" i="61"/>
  <c r="O329" i="61"/>
  <c r="O325" i="61"/>
  <c r="O321" i="61"/>
  <c r="O317" i="61"/>
  <c r="O313" i="61"/>
  <c r="O309" i="61"/>
  <c r="O305" i="61"/>
  <c r="O301" i="61"/>
  <c r="G102" i="5"/>
  <c r="G233" i="7"/>
  <c r="G215" i="7"/>
  <c r="H215" i="7" s="1"/>
  <c r="G223" i="7"/>
  <c r="G217" i="7"/>
  <c r="H217" i="7" s="1"/>
  <c r="J217" i="7" s="1"/>
  <c r="G224" i="7"/>
  <c r="H224" i="7" s="1"/>
  <c r="G202" i="7"/>
  <c r="G208" i="7"/>
  <c r="H208" i="7" s="1"/>
  <c r="G204" i="7"/>
  <c r="F268" i="2"/>
  <c r="E31" i="2" s="1"/>
  <c r="H31" i="2" s="1"/>
  <c r="F258" i="2"/>
  <c r="E21" i="2" s="1"/>
  <c r="H21" i="2" s="1"/>
  <c r="F271" i="2"/>
  <c r="E34" i="2" s="1"/>
  <c r="H34" i="2" s="1"/>
  <c r="F267" i="2"/>
  <c r="E30" i="2" s="1"/>
  <c r="H30" i="2" s="1"/>
  <c r="F285" i="2"/>
  <c r="E48" i="2" s="1"/>
  <c r="H48" i="2" s="1"/>
  <c r="I144" i="5"/>
  <c r="I140" i="5"/>
  <c r="I136" i="5"/>
  <c r="O275" i="53"/>
  <c r="O271" i="53"/>
  <c r="O267" i="53"/>
  <c r="O263" i="53"/>
  <c r="O259" i="53"/>
  <c r="O255" i="53"/>
  <c r="O251" i="53"/>
  <c r="O247" i="53"/>
  <c r="O243" i="53"/>
  <c r="O239" i="53"/>
  <c r="O235" i="53"/>
  <c r="N130" i="53"/>
  <c r="N92" i="53"/>
  <c r="N88" i="53"/>
  <c r="N84" i="53"/>
  <c r="N80" i="53"/>
  <c r="N76" i="53"/>
  <c r="N72" i="53"/>
  <c r="O191" i="53"/>
  <c r="O264" i="53"/>
  <c r="O212" i="53"/>
  <c r="O204" i="53"/>
  <c r="O188" i="53"/>
  <c r="O180" i="53"/>
  <c r="O168" i="53"/>
  <c r="N85" i="53"/>
  <c r="O219" i="59"/>
  <c r="O215" i="59"/>
  <c r="O211" i="59"/>
  <c r="O207" i="59"/>
  <c r="O203" i="59"/>
  <c r="O199" i="59"/>
  <c r="O195" i="59"/>
  <c r="O191" i="59"/>
  <c r="O187" i="59"/>
  <c r="O183" i="59"/>
  <c r="O179" i="59"/>
  <c r="O175" i="59"/>
  <c r="O171" i="59"/>
  <c r="O248" i="59"/>
  <c r="O244" i="59"/>
  <c r="N150" i="59"/>
  <c r="N146" i="59"/>
  <c r="N142" i="59"/>
  <c r="N138" i="59"/>
  <c r="N134" i="59"/>
  <c r="N130" i="59"/>
  <c r="N126" i="59"/>
  <c r="N122" i="59"/>
  <c r="N118" i="59"/>
  <c r="N114" i="59"/>
  <c r="N110" i="59"/>
  <c r="N106" i="59"/>
  <c r="N152" i="60"/>
  <c r="N148" i="60"/>
  <c r="N144" i="60"/>
  <c r="N140" i="60"/>
  <c r="N136" i="60"/>
  <c r="N132" i="60"/>
  <c r="N128" i="60"/>
  <c r="N124" i="60"/>
  <c r="N120" i="60"/>
  <c r="N116" i="60"/>
  <c r="N112" i="60"/>
  <c r="N108" i="60"/>
  <c r="O279" i="59"/>
  <c r="O275" i="59"/>
  <c r="O271" i="59"/>
  <c r="O267" i="59"/>
  <c r="O263" i="59"/>
  <c r="O259" i="59"/>
  <c r="O255" i="59"/>
  <c r="O251" i="59"/>
  <c r="O247" i="59"/>
  <c r="O243" i="59"/>
  <c r="O239" i="59"/>
  <c r="O283" i="60"/>
  <c r="O279" i="60"/>
  <c r="O275" i="60"/>
  <c r="O271" i="60"/>
  <c r="O267" i="60"/>
  <c r="O263" i="60"/>
  <c r="O259" i="60"/>
  <c r="O255" i="60"/>
  <c r="O251" i="60"/>
  <c r="O247" i="60"/>
  <c r="O243" i="60"/>
  <c r="O239" i="60"/>
  <c r="O235" i="60"/>
  <c r="O253" i="61"/>
  <c r="O245" i="61"/>
  <c r="O214" i="61"/>
  <c r="O210" i="61"/>
  <c r="O206" i="61"/>
  <c r="O202" i="61"/>
  <c r="O198" i="61"/>
  <c r="O194" i="61"/>
  <c r="O190" i="61"/>
  <c r="O186" i="61"/>
  <c r="O182" i="61"/>
  <c r="O178" i="61"/>
  <c r="O174" i="61"/>
  <c r="N152" i="61"/>
  <c r="N148" i="61"/>
  <c r="N144" i="61"/>
  <c r="N140" i="61"/>
  <c r="N136" i="61"/>
  <c r="N132" i="61"/>
  <c r="N128" i="61"/>
  <c r="N124" i="61"/>
  <c r="N120" i="61"/>
  <c r="N116" i="61"/>
  <c r="N112" i="61"/>
  <c r="N108" i="61"/>
  <c r="H133" i="5"/>
  <c r="G108" i="5"/>
  <c r="M300" i="6"/>
  <c r="N300" i="6"/>
  <c r="N350" i="6" s="1"/>
  <c r="O233" i="6"/>
  <c r="O166" i="6"/>
  <c r="O216" i="6" s="1"/>
  <c r="K87" i="6"/>
  <c r="L304" i="59"/>
  <c r="O304" i="59" s="1"/>
  <c r="L170" i="59"/>
  <c r="O170" i="59" s="1"/>
  <c r="M170" i="59"/>
  <c r="I146" i="5"/>
  <c r="I142" i="5"/>
  <c r="I138" i="5"/>
  <c r="I145" i="5"/>
  <c r="I141" i="5"/>
  <c r="I137" i="5"/>
  <c r="F262" i="2"/>
  <c r="E25" i="2" s="1"/>
  <c r="H25" i="2" s="1"/>
  <c r="F281" i="2"/>
  <c r="E44" i="2" s="1"/>
  <c r="H44" i="2" s="1"/>
  <c r="F277" i="2"/>
  <c r="E40" i="2" s="1"/>
  <c r="H40" i="2" s="1"/>
  <c r="F264" i="2"/>
  <c r="E27" i="2" s="1"/>
  <c r="H27" i="2" s="1"/>
  <c r="F286" i="2"/>
  <c r="E49" i="2" s="1"/>
  <c r="H49" i="2" s="1"/>
  <c r="F265" i="2"/>
  <c r="E28" i="2" s="1"/>
  <c r="H28" i="2" s="1"/>
  <c r="F279" i="2"/>
  <c r="E42" i="2" s="1"/>
  <c r="H42" i="2" s="1"/>
  <c r="BD65" i="28"/>
  <c r="BE65" i="28"/>
  <c r="BF65" i="28"/>
  <c r="BG65" i="28"/>
  <c r="BH65" i="28"/>
  <c r="BI65" i="28"/>
  <c r="BJ65" i="28"/>
  <c r="BK65" i="28"/>
  <c r="BL65" i="28"/>
  <c r="BM65" i="28"/>
  <c r="BN65" i="28"/>
  <c r="BO65" i="28"/>
  <c r="BP65" i="28"/>
  <c r="BQ65" i="28"/>
  <c r="BR65" i="28"/>
  <c r="BS65" i="28"/>
  <c r="BT65" i="28"/>
  <c r="BU65" i="28"/>
  <c r="BV65" i="28"/>
  <c r="BW65" i="28"/>
  <c r="BX65" i="28"/>
  <c r="BY65" i="28"/>
  <c r="BZ65" i="28"/>
  <c r="CA65" i="28"/>
  <c r="CB65" i="28"/>
  <c r="CC65" i="28"/>
  <c r="CD65" i="28"/>
  <c r="CE65" i="28"/>
  <c r="CF65" i="28"/>
  <c r="CG65" i="28"/>
  <c r="CG96" i="28" s="1"/>
  <c r="I202" i="7"/>
  <c r="E73" i="2" s="1"/>
  <c r="F272" i="2"/>
  <c r="E35" i="2" s="1"/>
  <c r="H35" i="2" s="1"/>
  <c r="F260" i="2"/>
  <c r="E23" i="2" s="1"/>
  <c r="H23" i="2" s="1"/>
  <c r="F278" i="2"/>
  <c r="E41" i="2" s="1"/>
  <c r="F261" i="2"/>
  <c r="E24" i="2" s="1"/>
  <c r="H24" i="2" s="1"/>
  <c r="F257" i="2"/>
  <c r="E20" i="2" s="1"/>
  <c r="H20" i="2" s="1"/>
  <c r="F283" i="2"/>
  <c r="E46" i="2" s="1"/>
  <c r="H46" i="2" s="1"/>
  <c r="F270" i="2"/>
  <c r="E33" i="2" s="1"/>
  <c r="H33" i="2" s="1"/>
  <c r="F266" i="2"/>
  <c r="E29" i="2" s="1"/>
  <c r="H29" i="2" s="1"/>
  <c r="F284" i="2"/>
  <c r="E47" i="2" s="1"/>
  <c r="H47" i="2" s="1"/>
  <c r="F280" i="2"/>
  <c r="E43" i="2" s="1"/>
  <c r="H43" i="2" s="1"/>
  <c r="M71" i="7"/>
  <c r="AB71" i="7" s="1"/>
  <c r="M63" i="7"/>
  <c r="F350" i="53"/>
  <c r="C173" i="2"/>
  <c r="D71" i="40"/>
  <c r="O276" i="53"/>
  <c r="O272" i="53"/>
  <c r="O268" i="53"/>
  <c r="O260" i="53"/>
  <c r="O256" i="53"/>
  <c r="O248" i="53"/>
  <c r="O244" i="53"/>
  <c r="O240" i="53"/>
  <c r="O236" i="53"/>
  <c r="O215" i="53"/>
  <c r="O211" i="53"/>
  <c r="O207" i="53"/>
  <c r="O199" i="53"/>
  <c r="O195" i="53"/>
  <c r="O187" i="53"/>
  <c r="O183" i="53"/>
  <c r="N151" i="53"/>
  <c r="N147" i="53"/>
  <c r="N143" i="53"/>
  <c r="N135" i="53"/>
  <c r="N127" i="53"/>
  <c r="N119" i="53"/>
  <c r="N115" i="53"/>
  <c r="N111" i="53"/>
  <c r="N69" i="53"/>
  <c r="N65" i="53"/>
  <c r="N57" i="53"/>
  <c r="F146" i="57"/>
  <c r="C107" i="40"/>
  <c r="G118" i="5"/>
  <c r="G110" i="5"/>
  <c r="J110" i="5" s="1"/>
  <c r="O284" i="59"/>
  <c r="O280" i="59"/>
  <c r="O272" i="59"/>
  <c r="O268" i="59"/>
  <c r="O260" i="59"/>
  <c r="O256" i="59"/>
  <c r="O252" i="59"/>
  <c r="O240" i="59"/>
  <c r="N89" i="61"/>
  <c r="N85" i="61"/>
  <c r="N81" i="61"/>
  <c r="N73" i="61"/>
  <c r="N69" i="61"/>
  <c r="N65" i="61"/>
  <c r="N57" i="61"/>
  <c r="N53" i="61"/>
  <c r="N150" i="61"/>
  <c r="N146" i="61"/>
  <c r="N142" i="61"/>
  <c r="N138" i="61"/>
  <c r="N134" i="61"/>
  <c r="N130" i="61"/>
  <c r="N126" i="61"/>
  <c r="N122" i="61"/>
  <c r="N118" i="61"/>
  <c r="N114" i="61"/>
  <c r="N110" i="61"/>
  <c r="N106" i="61"/>
  <c r="I208" i="7"/>
  <c r="E80" i="2" s="1"/>
  <c r="I80" i="2" s="1"/>
  <c r="C24" i="2" s="1"/>
  <c r="F24" i="2" s="1"/>
  <c r="P282" i="6"/>
  <c r="P278" i="6"/>
  <c r="P274" i="6"/>
  <c r="P270" i="6"/>
  <c r="P266" i="6"/>
  <c r="P262" i="6"/>
  <c r="P258" i="6"/>
  <c r="P254" i="6"/>
  <c r="P250" i="6"/>
  <c r="P246" i="6"/>
  <c r="P242" i="6"/>
  <c r="P238" i="6"/>
  <c r="P234" i="6"/>
  <c r="P212" i="6"/>
  <c r="P208" i="6"/>
  <c r="P204" i="6"/>
  <c r="L92" i="60"/>
  <c r="P200" i="6"/>
  <c r="P196" i="6"/>
  <c r="P192" i="6"/>
  <c r="P188" i="6"/>
  <c r="P184" i="6"/>
  <c r="P180" i="6"/>
  <c r="P176" i="6"/>
  <c r="P172" i="6"/>
  <c r="P168" i="6"/>
  <c r="O147" i="6"/>
  <c r="O143" i="6"/>
  <c r="O139" i="6"/>
  <c r="O135" i="6"/>
  <c r="O131" i="6"/>
  <c r="O127" i="6"/>
  <c r="O123" i="6"/>
  <c r="O119" i="6"/>
  <c r="O115" i="6"/>
  <c r="O111" i="6"/>
  <c r="O107" i="6"/>
  <c r="O103" i="6"/>
  <c r="O214" i="53"/>
  <c r="O210" i="53"/>
  <c r="O206" i="53"/>
  <c r="O202" i="53"/>
  <c r="O198" i="53"/>
  <c r="O194" i="53"/>
  <c r="O190" i="53"/>
  <c r="O186" i="53"/>
  <c r="O182" i="53"/>
  <c r="O178" i="53"/>
  <c r="O174" i="53"/>
  <c r="O170" i="53"/>
  <c r="N150" i="53"/>
  <c r="N146" i="53"/>
  <c r="N142" i="53"/>
  <c r="N138" i="53"/>
  <c r="N134" i="53"/>
  <c r="N126" i="53"/>
  <c r="N122" i="53"/>
  <c r="N118" i="53"/>
  <c r="N114" i="53"/>
  <c r="N110" i="53"/>
  <c r="N106" i="53"/>
  <c r="N68" i="53"/>
  <c r="N64" i="53"/>
  <c r="N60" i="53"/>
  <c r="N56" i="53"/>
  <c r="N52" i="53"/>
  <c r="N48" i="53"/>
  <c r="O286" i="59"/>
  <c r="O282" i="59"/>
  <c r="O278" i="59"/>
  <c r="O274" i="59"/>
  <c r="O270" i="59"/>
  <c r="O266" i="59"/>
  <c r="O262" i="59"/>
  <c r="O258" i="59"/>
  <c r="O254" i="59"/>
  <c r="O246" i="59"/>
  <c r="O242" i="59"/>
  <c r="O238" i="59"/>
  <c r="O287" i="59" s="1"/>
  <c r="N152" i="59"/>
  <c r="N148" i="59"/>
  <c r="N144" i="59"/>
  <c r="N140" i="59"/>
  <c r="N136" i="59"/>
  <c r="N132" i="59"/>
  <c r="N128" i="59"/>
  <c r="N124" i="59"/>
  <c r="N120" i="59"/>
  <c r="N116" i="59"/>
  <c r="N112" i="59"/>
  <c r="N108" i="59"/>
  <c r="I213" i="7"/>
  <c r="E85" i="2" s="1"/>
  <c r="I178" i="7"/>
  <c r="H51" i="30"/>
  <c r="F55" i="30" s="1"/>
  <c r="H51" i="22"/>
  <c r="F54" i="22" s="1"/>
  <c r="E223" i="7"/>
  <c r="E233" i="7"/>
  <c r="E225" i="7"/>
  <c r="E221" i="7"/>
  <c r="E219" i="7"/>
  <c r="E211" i="7"/>
  <c r="I211" i="7" s="1"/>
  <c r="E83" i="2" s="1"/>
  <c r="I83" i="2" s="1"/>
  <c r="C27" i="2" s="1"/>
  <c r="F27" i="2" s="1"/>
  <c r="H221" i="7"/>
  <c r="H205" i="7"/>
  <c r="I182" i="7"/>
  <c r="N88" i="60"/>
  <c r="N84" i="60"/>
  <c r="N80" i="60"/>
  <c r="N76" i="60"/>
  <c r="N72" i="60"/>
  <c r="N68" i="60"/>
  <c r="N45" i="61"/>
  <c r="M69" i="7"/>
  <c r="AB69" i="7" s="1"/>
  <c r="P280" i="6"/>
  <c r="P276" i="6"/>
  <c r="P272" i="6"/>
  <c r="P268" i="6"/>
  <c r="P264" i="6"/>
  <c r="P260" i="6"/>
  <c r="P256" i="6"/>
  <c r="P252" i="6"/>
  <c r="P248" i="6"/>
  <c r="P244" i="6"/>
  <c r="P240" i="6"/>
  <c r="P236" i="6"/>
  <c r="P214" i="6"/>
  <c r="P210" i="6"/>
  <c r="P206" i="6"/>
  <c r="P202" i="6"/>
  <c r="P198" i="6"/>
  <c r="P194" i="6"/>
  <c r="P190" i="6"/>
  <c r="P186" i="6"/>
  <c r="P182" i="6"/>
  <c r="P178" i="6"/>
  <c r="P174" i="6"/>
  <c r="P170" i="6"/>
  <c r="P166" i="6"/>
  <c r="O145" i="6"/>
  <c r="O141" i="6"/>
  <c r="O137" i="6"/>
  <c r="O133" i="6"/>
  <c r="O129" i="6"/>
  <c r="O125" i="6"/>
  <c r="O121" i="6"/>
  <c r="O117" i="6"/>
  <c r="O113" i="6"/>
  <c r="O109" i="6"/>
  <c r="O105" i="6"/>
  <c r="O101" i="6"/>
  <c r="H201" i="7"/>
  <c r="O277" i="53"/>
  <c r="O273" i="53"/>
  <c r="O269" i="53"/>
  <c r="O265" i="53"/>
  <c r="O261" i="53"/>
  <c r="O257" i="53"/>
  <c r="O253" i="53"/>
  <c r="O249" i="53"/>
  <c r="O245" i="53"/>
  <c r="O241" i="53"/>
  <c r="O237" i="53"/>
  <c r="O233" i="53"/>
  <c r="N90" i="53"/>
  <c r="N86" i="53"/>
  <c r="N82" i="53"/>
  <c r="N78" i="53"/>
  <c r="N74" i="53"/>
  <c r="N70" i="53"/>
  <c r="N66" i="53"/>
  <c r="N62" i="53"/>
  <c r="N58" i="53"/>
  <c r="N54" i="53"/>
  <c r="N50" i="53"/>
  <c r="N46" i="53"/>
  <c r="N104" i="61"/>
  <c r="J92" i="3"/>
  <c r="I92" i="3"/>
  <c r="I234" i="7"/>
  <c r="E105" i="2" s="1"/>
  <c r="I105" i="2" s="1"/>
  <c r="C49" i="2" s="1"/>
  <c r="F49" i="2" s="1"/>
  <c r="I209" i="7"/>
  <c r="E81" i="2" s="1"/>
  <c r="J229" i="7"/>
  <c r="J215" i="7"/>
  <c r="J221" i="7"/>
  <c r="J205" i="7"/>
  <c r="I186" i="7"/>
  <c r="J232" i="7"/>
  <c r="J87" i="3"/>
  <c r="J95" i="3" s="1"/>
  <c r="E201" i="7"/>
  <c r="N133" i="53"/>
  <c r="N125" i="53"/>
  <c r="N105" i="53"/>
  <c r="I85" i="2"/>
  <c r="C29" i="2" s="1"/>
  <c r="F29" i="2" s="1"/>
  <c r="I185" i="7"/>
  <c r="O130" i="6"/>
  <c r="D111" i="5"/>
  <c r="I219" i="7"/>
  <c r="E91" i="2" s="1"/>
  <c r="M72" i="7"/>
  <c r="AB72" i="7" s="1"/>
  <c r="M68" i="7"/>
  <c r="AB68" i="7" s="1"/>
  <c r="M64" i="7"/>
  <c r="M61" i="7"/>
  <c r="AB61" i="7" s="1"/>
  <c r="H109" i="5"/>
  <c r="AB63" i="7"/>
  <c r="Y63" i="7"/>
  <c r="V63" i="7"/>
  <c r="Y72" i="7"/>
  <c r="G184" i="7"/>
  <c r="G183" i="7"/>
  <c r="H204" i="7"/>
  <c r="J204" i="7" s="1"/>
  <c r="H222" i="7"/>
  <c r="E224" i="7"/>
  <c r="E231" i="7"/>
  <c r="I231" i="7" s="1"/>
  <c r="E102" i="2" s="1"/>
  <c r="J214" i="7"/>
  <c r="E212" i="7"/>
  <c r="E210" i="7"/>
  <c r="E206" i="7"/>
  <c r="I206" i="7" s="1"/>
  <c r="E78" i="2" s="1"/>
  <c r="I78" i="2" s="1"/>
  <c r="C22" i="2" s="1"/>
  <c r="F22" i="2" s="1"/>
  <c r="O138" i="6"/>
  <c r="O134" i="6"/>
  <c r="O118" i="6"/>
  <c r="O106" i="6"/>
  <c r="M105" i="7"/>
  <c r="M102" i="7"/>
  <c r="M101" i="7"/>
  <c r="M98" i="7"/>
  <c r="N53" i="6"/>
  <c r="N49" i="6"/>
  <c r="N45" i="6"/>
  <c r="N41" i="6"/>
  <c r="N86" i="6"/>
  <c r="N82" i="6"/>
  <c r="N78" i="6"/>
  <c r="N74" i="6"/>
  <c r="M153" i="61"/>
  <c r="I225" i="7"/>
  <c r="E96" i="2" s="1"/>
  <c r="I96" i="2" s="1"/>
  <c r="C40" i="2" s="1"/>
  <c r="I229" i="7"/>
  <c r="E100" i="2" s="1"/>
  <c r="I100" i="2" s="1"/>
  <c r="C44" i="2" s="1"/>
  <c r="F44" i="2" s="1"/>
  <c r="I223" i="7"/>
  <c r="E106" i="2" s="1"/>
  <c r="I106" i="2" s="1"/>
  <c r="C50" i="2" s="1"/>
  <c r="F50" i="2" s="1"/>
  <c r="I173" i="7"/>
  <c r="M107" i="7"/>
  <c r="M62" i="7"/>
  <c r="V62" i="7" s="1"/>
  <c r="I120" i="5"/>
  <c r="D107" i="5"/>
  <c r="I107" i="5" s="1"/>
  <c r="E230" i="7"/>
  <c r="E207" i="7"/>
  <c r="O283" i="6"/>
  <c r="J201" i="7"/>
  <c r="H117" i="5"/>
  <c r="K117" i="5" s="1"/>
  <c r="G129" i="5"/>
  <c r="H125" i="5"/>
  <c r="I98" i="2"/>
  <c r="C42" i="2" s="1"/>
  <c r="F42" i="2" s="1"/>
  <c r="H101" i="5"/>
  <c r="K101" i="5" s="1"/>
  <c r="I91" i="3"/>
  <c r="J91" i="3"/>
  <c r="I91" i="2"/>
  <c r="C35" i="2" s="1"/>
  <c r="F35" i="2" s="1"/>
  <c r="I233" i="7"/>
  <c r="E104" i="2" s="1"/>
  <c r="I104" i="2" s="1"/>
  <c r="C48" i="2" s="1"/>
  <c r="F48" i="2" s="1"/>
  <c r="I216" i="7"/>
  <c r="E88" i="2" s="1"/>
  <c r="I88" i="2" s="1"/>
  <c r="C32" i="2" s="1"/>
  <c r="F32" i="2" s="1"/>
  <c r="I217" i="7"/>
  <c r="E89" i="2" s="1"/>
  <c r="I89" i="2" s="1"/>
  <c r="C33" i="2" s="1"/>
  <c r="F33" i="2" s="1"/>
  <c r="E203" i="7"/>
  <c r="O142" i="6"/>
  <c r="O126" i="6"/>
  <c r="O110" i="6"/>
  <c r="O102" i="6"/>
  <c r="M110" i="7"/>
  <c r="I215" i="7"/>
  <c r="E87" i="2" s="1"/>
  <c r="I87" i="2" s="1"/>
  <c r="C31" i="2" s="1"/>
  <c r="F31" i="2" s="1"/>
  <c r="I221" i="7"/>
  <c r="E93" i="2" s="1"/>
  <c r="O99" i="6"/>
  <c r="M103" i="7"/>
  <c r="N51" i="6"/>
  <c r="N47" i="6"/>
  <c r="N43" i="6"/>
  <c r="N39" i="6"/>
  <c r="N84" i="6"/>
  <c r="N80" i="6"/>
  <c r="N76" i="6"/>
  <c r="N72" i="6"/>
  <c r="I102" i="2"/>
  <c r="C46" i="2" s="1"/>
  <c r="F46" i="2" s="1"/>
  <c r="I81" i="2"/>
  <c r="C25" i="2" s="1"/>
  <c r="F25" i="2" s="1"/>
  <c r="H230" i="7"/>
  <c r="J230" i="7" s="1"/>
  <c r="E204" i="7"/>
  <c r="I204" i="7" s="1"/>
  <c r="E76" i="2" s="1"/>
  <c r="I76" i="2" s="1"/>
  <c r="C20" i="2" s="1"/>
  <c r="M108" i="7"/>
  <c r="M73" i="7"/>
  <c r="M65" i="7"/>
  <c r="M60" i="7"/>
  <c r="AB60" i="7" s="1"/>
  <c r="N283" i="6"/>
  <c r="M154" i="59"/>
  <c r="O340" i="61"/>
  <c r="O336" i="61"/>
  <c r="O332" i="61"/>
  <c r="O328" i="61"/>
  <c r="O324" i="61"/>
  <c r="O320" i="61"/>
  <c r="O316" i="61"/>
  <c r="O312" i="61"/>
  <c r="O308" i="61"/>
  <c r="O304" i="61"/>
  <c r="O300" i="61"/>
  <c r="O296" i="61"/>
  <c r="N149" i="61"/>
  <c r="N145" i="61"/>
  <c r="N141" i="61"/>
  <c r="N137" i="61"/>
  <c r="N133" i="61"/>
  <c r="N129" i="61"/>
  <c r="N125" i="61"/>
  <c r="N121" i="61"/>
  <c r="N117" i="61"/>
  <c r="N113" i="61"/>
  <c r="N109" i="61"/>
  <c r="N105" i="61"/>
  <c r="N103" i="61"/>
  <c r="N89" i="53"/>
  <c r="N81" i="53"/>
  <c r="N73" i="53"/>
  <c r="N53" i="53"/>
  <c r="N49" i="53"/>
  <c r="N90" i="59"/>
  <c r="N89" i="59"/>
  <c r="N85" i="59"/>
  <c r="N81" i="59"/>
  <c r="N77" i="59"/>
  <c r="N73" i="59"/>
  <c r="N69" i="59"/>
  <c r="N65" i="59"/>
  <c r="N61" i="59"/>
  <c r="N57" i="59"/>
  <c r="N53" i="59"/>
  <c r="N49" i="59"/>
  <c r="N45" i="59"/>
  <c r="H97" i="5"/>
  <c r="H126" i="5"/>
  <c r="H122" i="5"/>
  <c r="D113" i="5"/>
  <c r="I113" i="5" s="1"/>
  <c r="D105" i="5"/>
  <c r="I105" i="5" s="1"/>
  <c r="N220" i="59"/>
  <c r="H106" i="5"/>
  <c r="O208" i="53"/>
  <c r="O200" i="53"/>
  <c r="O192" i="53"/>
  <c r="O184" i="53"/>
  <c r="O176" i="53"/>
  <c r="N145" i="53"/>
  <c r="N129" i="53"/>
  <c r="N113" i="53"/>
  <c r="N103" i="53"/>
  <c r="O213" i="53"/>
  <c r="O209" i="53"/>
  <c r="O205" i="53"/>
  <c r="O201" i="53"/>
  <c r="O197" i="53"/>
  <c r="O193" i="53"/>
  <c r="O189" i="53"/>
  <c r="O185" i="53"/>
  <c r="O181" i="53"/>
  <c r="O177" i="53"/>
  <c r="O169" i="53"/>
  <c r="N91" i="53"/>
  <c r="N87" i="53"/>
  <c r="N83" i="53"/>
  <c r="N79" i="53"/>
  <c r="N75" i="53"/>
  <c r="N71" i="53"/>
  <c r="N67" i="53"/>
  <c r="N63" i="53"/>
  <c r="N59" i="53"/>
  <c r="N55" i="53"/>
  <c r="N51" i="53"/>
  <c r="N47" i="53"/>
  <c r="N151" i="59"/>
  <c r="N147" i="59"/>
  <c r="N143" i="59"/>
  <c r="N139" i="59"/>
  <c r="N135" i="59"/>
  <c r="N131" i="59"/>
  <c r="N127" i="59"/>
  <c r="N123" i="59"/>
  <c r="N119" i="59"/>
  <c r="N115" i="59"/>
  <c r="N111" i="59"/>
  <c r="N107" i="59"/>
  <c r="M220" i="59"/>
  <c r="N87" i="59"/>
  <c r="N83" i="59"/>
  <c r="N79" i="59"/>
  <c r="N75" i="59"/>
  <c r="N71" i="59"/>
  <c r="N67" i="59"/>
  <c r="N63" i="59"/>
  <c r="N59" i="59"/>
  <c r="N55" i="59"/>
  <c r="N51" i="59"/>
  <c r="N47" i="59"/>
  <c r="N43" i="59"/>
  <c r="N103" i="60"/>
  <c r="H129" i="5"/>
  <c r="H98" i="5"/>
  <c r="G124" i="5"/>
  <c r="G120" i="5"/>
  <c r="J120" i="5" s="1"/>
  <c r="G113" i="5"/>
  <c r="J113" i="5" s="1"/>
  <c r="D109" i="5"/>
  <c r="K109" i="5" s="1"/>
  <c r="N91" i="60"/>
  <c r="N87" i="60"/>
  <c r="N83" i="60"/>
  <c r="N79" i="60"/>
  <c r="N75" i="60"/>
  <c r="N71" i="60"/>
  <c r="N67" i="60"/>
  <c r="N71" i="6"/>
  <c r="N67" i="6"/>
  <c r="N63" i="6"/>
  <c r="N59" i="6"/>
  <c r="N55" i="6"/>
  <c r="K92" i="59"/>
  <c r="L87" i="6"/>
  <c r="N89" i="60"/>
  <c r="N85" i="60"/>
  <c r="N81" i="60"/>
  <c r="N77" i="60"/>
  <c r="N73" i="60"/>
  <c r="N69" i="60"/>
  <c r="M87" i="6"/>
  <c r="N37" i="6"/>
  <c r="N69" i="6"/>
  <c r="N65" i="6"/>
  <c r="N61" i="6"/>
  <c r="N57" i="6"/>
  <c r="N90" i="60"/>
  <c r="N86" i="60"/>
  <c r="N82" i="60"/>
  <c r="N78" i="60"/>
  <c r="N74" i="60"/>
  <c r="N70" i="60"/>
  <c r="N66" i="60"/>
  <c r="N62" i="60"/>
  <c r="N58" i="60"/>
  <c r="N54" i="60"/>
  <c r="N50" i="60"/>
  <c r="N46" i="60"/>
  <c r="N42" i="60"/>
  <c r="I228" i="7"/>
  <c r="E99" i="2" s="1"/>
  <c r="I99" i="2" s="1"/>
  <c r="C43" i="2" s="1"/>
  <c r="F43" i="2" s="1"/>
  <c r="I180" i="7"/>
  <c r="G180" i="7"/>
  <c r="I203" i="7"/>
  <c r="E74" i="2" s="1"/>
  <c r="G175" i="7"/>
  <c r="I175" i="7"/>
  <c r="I230" i="7"/>
  <c r="E101" i="2" s="1"/>
  <c r="I101" i="2" s="1"/>
  <c r="C45" i="2" s="1"/>
  <c r="F45" i="2" s="1"/>
  <c r="J225" i="7"/>
  <c r="I93" i="2"/>
  <c r="C37" i="2" s="1"/>
  <c r="F37" i="2" s="1"/>
  <c r="M132" i="7"/>
  <c r="I147" i="7"/>
  <c r="I207" i="7"/>
  <c r="E79" i="2" s="1"/>
  <c r="I79" i="2" s="1"/>
  <c r="C23" i="2" s="1"/>
  <c r="F23" i="2" s="1"/>
  <c r="I205" i="7"/>
  <c r="E77" i="2" s="1"/>
  <c r="I77" i="2" s="1"/>
  <c r="C21" i="2" s="1"/>
  <c r="F21" i="2" s="1"/>
  <c r="G177" i="7"/>
  <c r="I177" i="7"/>
  <c r="J226" i="7"/>
  <c r="J222" i="7"/>
  <c r="J220" i="7"/>
  <c r="E220" i="7"/>
  <c r="I220" i="7" s="1"/>
  <c r="E92" i="2" s="1"/>
  <c r="I92" i="2" s="1"/>
  <c r="C36" i="2" s="1"/>
  <c r="F36" i="2" s="1"/>
  <c r="J218" i="7"/>
  <c r="E218" i="7"/>
  <c r="I218" i="7" s="1"/>
  <c r="E90" i="2" s="1"/>
  <c r="I90" i="2" s="1"/>
  <c r="C34" i="2" s="1"/>
  <c r="F34" i="2" s="1"/>
  <c r="J216" i="7"/>
  <c r="I212" i="7"/>
  <c r="E84" i="2" s="1"/>
  <c r="I84" i="2" s="1"/>
  <c r="C28" i="2" s="1"/>
  <c r="F28" i="2" s="1"/>
  <c r="I210" i="7"/>
  <c r="E82" i="2" s="1"/>
  <c r="I82" i="2" s="1"/>
  <c r="C26" i="2" s="1"/>
  <c r="F26" i="2" s="1"/>
  <c r="J208" i="7"/>
  <c r="AB105" i="7"/>
  <c r="Y105" i="7"/>
  <c r="H223" i="7"/>
  <c r="J223" i="7" s="1"/>
  <c r="J213" i="7"/>
  <c r="H202" i="7"/>
  <c r="J202" i="7" s="1"/>
  <c r="P279" i="6"/>
  <c r="P275" i="6"/>
  <c r="P271" i="6"/>
  <c r="P267" i="6"/>
  <c r="P263" i="6"/>
  <c r="P259" i="6"/>
  <c r="P255" i="6"/>
  <c r="P251" i="6"/>
  <c r="P247" i="6"/>
  <c r="P243" i="6"/>
  <c r="P239" i="6"/>
  <c r="P235" i="6"/>
  <c r="P213" i="6"/>
  <c r="P209" i="6"/>
  <c r="P205" i="6"/>
  <c r="P201" i="6"/>
  <c r="P197" i="6"/>
  <c r="P193" i="6"/>
  <c r="P189" i="6"/>
  <c r="P185" i="6"/>
  <c r="P181" i="6"/>
  <c r="P177" i="6"/>
  <c r="P173" i="6"/>
  <c r="P169" i="6"/>
  <c r="Y71" i="7"/>
  <c r="V71" i="7"/>
  <c r="H233" i="7"/>
  <c r="J233" i="7" s="1"/>
  <c r="J211" i="7"/>
  <c r="P215" i="6"/>
  <c r="P211" i="6"/>
  <c r="P207" i="6"/>
  <c r="P203" i="6"/>
  <c r="P199" i="6"/>
  <c r="P195" i="6"/>
  <c r="P191" i="6"/>
  <c r="P187" i="6"/>
  <c r="P183" i="6"/>
  <c r="P179" i="6"/>
  <c r="P175" i="6"/>
  <c r="P171" i="6"/>
  <c r="P167" i="6"/>
  <c r="P281" i="6"/>
  <c r="P277" i="6"/>
  <c r="P273" i="6"/>
  <c r="P269" i="6"/>
  <c r="P265" i="6"/>
  <c r="P261" i="6"/>
  <c r="P257" i="6"/>
  <c r="P253" i="6"/>
  <c r="P249" i="6"/>
  <c r="P245" i="6"/>
  <c r="P241" i="6"/>
  <c r="P237" i="6"/>
  <c r="P233" i="6"/>
  <c r="P283" i="6" s="1"/>
  <c r="M112" i="7"/>
  <c r="M111" i="7"/>
  <c r="M99" i="7"/>
  <c r="M67" i="7"/>
  <c r="Y67" i="7" s="1"/>
  <c r="Y64" i="7"/>
  <c r="AB64" i="7"/>
  <c r="O148" i="6"/>
  <c r="O144" i="6"/>
  <c r="O140" i="6"/>
  <c r="O136" i="6"/>
  <c r="O132" i="6"/>
  <c r="O128" i="6"/>
  <c r="O124" i="6"/>
  <c r="O120" i="6"/>
  <c r="O116" i="6"/>
  <c r="O112" i="6"/>
  <c r="O108" i="6"/>
  <c r="O104" i="6"/>
  <c r="I201" i="7"/>
  <c r="E72" i="2" s="1"/>
  <c r="I172" i="7"/>
  <c r="G172" i="7"/>
  <c r="G187" i="7" s="1"/>
  <c r="M109" i="7"/>
  <c r="M106" i="7"/>
  <c r="M104" i="7"/>
  <c r="AB104" i="7" s="1"/>
  <c r="M100" i="7"/>
  <c r="O179" i="53"/>
  <c r="O175" i="53"/>
  <c r="O171" i="53"/>
  <c r="N139" i="53"/>
  <c r="N123" i="53"/>
  <c r="N107" i="53"/>
  <c r="N104" i="53"/>
  <c r="N93" i="53"/>
  <c r="N77" i="53"/>
  <c r="N61" i="53"/>
  <c r="N105" i="59"/>
  <c r="L92" i="59"/>
  <c r="N91" i="59"/>
  <c r="N63" i="60"/>
  <c r="N59" i="60"/>
  <c r="N55" i="60"/>
  <c r="N51" i="60"/>
  <c r="N47" i="60"/>
  <c r="N43" i="60"/>
  <c r="M342" i="61"/>
  <c r="H135" i="5"/>
  <c r="K135" i="5" s="1"/>
  <c r="G135" i="5"/>
  <c r="J135" i="5" s="1"/>
  <c r="F116" i="40"/>
  <c r="M284" i="60"/>
  <c r="M92" i="60"/>
  <c r="N64" i="60"/>
  <c r="N60" i="60"/>
  <c r="N56" i="60"/>
  <c r="N52" i="60"/>
  <c r="N48" i="60"/>
  <c r="N44" i="60"/>
  <c r="L216" i="61"/>
  <c r="O170" i="61"/>
  <c r="L153" i="53"/>
  <c r="L154" i="59"/>
  <c r="N65" i="60"/>
  <c r="N61" i="60"/>
  <c r="N57" i="60"/>
  <c r="N53" i="60"/>
  <c r="N49" i="60"/>
  <c r="N45" i="60"/>
  <c r="J82" i="3"/>
  <c r="I82" i="3"/>
  <c r="O285" i="59"/>
  <c r="O281" i="59"/>
  <c r="O277" i="59"/>
  <c r="O273" i="59"/>
  <c r="O269" i="59"/>
  <c r="O265" i="59"/>
  <c r="O261" i="59"/>
  <c r="O257" i="59"/>
  <c r="O253" i="59"/>
  <c r="O249" i="59"/>
  <c r="O245" i="59"/>
  <c r="O241" i="59"/>
  <c r="O237" i="59"/>
  <c r="L342" i="61"/>
  <c r="O278" i="61"/>
  <c r="O274" i="61"/>
  <c r="O270" i="61"/>
  <c r="O266" i="61"/>
  <c r="O262" i="61"/>
  <c r="O258" i="61"/>
  <c r="O254" i="61"/>
  <c r="O250" i="61"/>
  <c r="O246" i="61"/>
  <c r="O242" i="61"/>
  <c r="O238" i="61"/>
  <c r="O234" i="61"/>
  <c r="N91" i="61"/>
  <c r="N87" i="61"/>
  <c r="N83" i="61"/>
  <c r="N79" i="61"/>
  <c r="N75" i="61"/>
  <c r="N71" i="61"/>
  <c r="N67" i="61"/>
  <c r="N63" i="61"/>
  <c r="N59" i="61"/>
  <c r="N55" i="61"/>
  <c r="N51" i="61"/>
  <c r="N47" i="61"/>
  <c r="N279" i="61"/>
  <c r="H130" i="5"/>
  <c r="H114" i="5"/>
  <c r="G126" i="5"/>
  <c r="G116" i="5"/>
  <c r="G105" i="5"/>
  <c r="D112" i="5"/>
  <c r="D108" i="5"/>
  <c r="I108" i="5" s="1"/>
  <c r="D104" i="5"/>
  <c r="I104" i="5" s="1"/>
  <c r="H121" i="5"/>
  <c r="H113" i="5"/>
  <c r="H105" i="5"/>
  <c r="H99" i="5"/>
  <c r="G98" i="5"/>
  <c r="O297" i="61"/>
  <c r="M216" i="61"/>
  <c r="H118" i="5"/>
  <c r="H110" i="5"/>
  <c r="H102" i="5"/>
  <c r="B62" i="3"/>
  <c r="G132" i="5"/>
  <c r="G128" i="5"/>
  <c r="G121" i="5"/>
  <c r="G100" i="5"/>
  <c r="D114" i="5"/>
  <c r="D110" i="5"/>
  <c r="I110" i="5" s="1"/>
  <c r="D106" i="5"/>
  <c r="I106" i="5" s="1"/>
  <c r="F108" i="2"/>
  <c r="J224" i="7"/>
  <c r="I224" i="7"/>
  <c r="E107" i="2" s="1"/>
  <c r="I107" i="2" s="1"/>
  <c r="C51" i="2" s="1"/>
  <c r="F51" i="2" s="1"/>
  <c r="J210" i="7"/>
  <c r="I181" i="7"/>
  <c r="F75" i="2"/>
  <c r="M216" i="6"/>
  <c r="Y144" i="7"/>
  <c r="AB144" i="7"/>
  <c r="S144" i="7"/>
  <c r="P144" i="7"/>
  <c r="V144" i="7"/>
  <c r="S139" i="7"/>
  <c r="V139" i="7"/>
  <c r="P139" i="7"/>
  <c r="Y139" i="7"/>
  <c r="AB139" i="7"/>
  <c r="Y136" i="7"/>
  <c r="AB136" i="7"/>
  <c r="S136" i="7"/>
  <c r="P136" i="7"/>
  <c r="V136" i="7"/>
  <c r="V112" i="7"/>
  <c r="Y112" i="7"/>
  <c r="P112" i="7"/>
  <c r="AB112" i="7"/>
  <c r="S112" i="7"/>
  <c r="P110" i="7"/>
  <c r="V110" i="7"/>
  <c r="Y110" i="7"/>
  <c r="AB110" i="7"/>
  <c r="S110" i="7"/>
  <c r="AB107" i="7"/>
  <c r="S107" i="7"/>
  <c r="P107" i="7"/>
  <c r="V107" i="7"/>
  <c r="Y107" i="7"/>
  <c r="P102" i="7"/>
  <c r="V102" i="7"/>
  <c r="Y102" i="7"/>
  <c r="AB102" i="7"/>
  <c r="S102" i="7"/>
  <c r="AB101" i="7"/>
  <c r="S101" i="7"/>
  <c r="V101" i="7"/>
  <c r="P101" i="7"/>
  <c r="Y101" i="7"/>
  <c r="AB73" i="7"/>
  <c r="V73" i="7"/>
  <c r="Y73" i="7"/>
  <c r="S73" i="7"/>
  <c r="P73" i="7"/>
  <c r="AB65" i="7"/>
  <c r="V65" i="7"/>
  <c r="Y65" i="7"/>
  <c r="S65" i="7"/>
  <c r="P65" i="7"/>
  <c r="Y134" i="7"/>
  <c r="P134" i="7"/>
  <c r="AB134" i="7"/>
  <c r="S134" i="7"/>
  <c r="V134" i="7"/>
  <c r="E214" i="7"/>
  <c r="I214" i="7" s="1"/>
  <c r="E86" i="2" s="1"/>
  <c r="I86" i="2" s="1"/>
  <c r="C30" i="2" s="1"/>
  <c r="F30" i="2" s="1"/>
  <c r="N216" i="6"/>
  <c r="N149" i="6"/>
  <c r="P145" i="7"/>
  <c r="S145" i="7"/>
  <c r="V145" i="7"/>
  <c r="Y145" i="7"/>
  <c r="AB145" i="7"/>
  <c r="Y142" i="7"/>
  <c r="P142" i="7"/>
  <c r="AB142" i="7"/>
  <c r="S142" i="7"/>
  <c r="V142" i="7"/>
  <c r="P137" i="7"/>
  <c r="S137" i="7"/>
  <c r="V137" i="7"/>
  <c r="Y137" i="7"/>
  <c r="AB137" i="7"/>
  <c r="AB99" i="7"/>
  <c r="S99" i="7"/>
  <c r="P99" i="7"/>
  <c r="V99" i="7"/>
  <c r="Y99" i="7"/>
  <c r="P98" i="7"/>
  <c r="V98" i="7"/>
  <c r="Y98" i="7"/>
  <c r="AB98" i="7"/>
  <c r="S98" i="7"/>
  <c r="P132" i="7"/>
  <c r="Y132" i="7"/>
  <c r="AB132" i="7"/>
  <c r="S132" i="7"/>
  <c r="V132" i="7"/>
  <c r="J212" i="7"/>
  <c r="G108" i="2"/>
  <c r="M283" i="6"/>
  <c r="L149" i="6"/>
  <c r="O100" i="6"/>
  <c r="S143" i="7"/>
  <c r="V143" i="7"/>
  <c r="P143" i="7"/>
  <c r="Y143" i="7"/>
  <c r="AB143" i="7"/>
  <c r="Y140" i="7"/>
  <c r="AB140" i="7"/>
  <c r="S140" i="7"/>
  <c r="P140" i="7"/>
  <c r="V140" i="7"/>
  <c r="S135" i="7"/>
  <c r="V135" i="7"/>
  <c r="P135" i="7"/>
  <c r="Y135" i="7"/>
  <c r="AB135" i="7"/>
  <c r="S133" i="7"/>
  <c r="V133" i="7"/>
  <c r="P133" i="7"/>
  <c r="Y133" i="7"/>
  <c r="AB133" i="7"/>
  <c r="P103" i="7"/>
  <c r="AB103" i="7"/>
  <c r="S103" i="7"/>
  <c r="V103" i="7"/>
  <c r="Y103" i="7"/>
  <c r="AB67" i="7"/>
  <c r="V67" i="7"/>
  <c r="I179" i="7"/>
  <c r="I176" i="7"/>
  <c r="J206" i="7"/>
  <c r="F95" i="2"/>
  <c r="M149" i="6"/>
  <c r="Y146" i="7"/>
  <c r="P146" i="7"/>
  <c r="AB146" i="7"/>
  <c r="S146" i="7"/>
  <c r="V146" i="7"/>
  <c r="P141" i="7"/>
  <c r="S141" i="7"/>
  <c r="V141" i="7"/>
  <c r="Y141" i="7"/>
  <c r="AB141" i="7"/>
  <c r="Y138" i="7"/>
  <c r="P138" i="7"/>
  <c r="AB138" i="7"/>
  <c r="S138" i="7"/>
  <c r="V138" i="7"/>
  <c r="AB109" i="7"/>
  <c r="S109" i="7"/>
  <c r="V109" i="7"/>
  <c r="P109" i="7"/>
  <c r="Y109" i="7"/>
  <c r="P106" i="7"/>
  <c r="V106" i="7"/>
  <c r="Y106" i="7"/>
  <c r="AB106" i="7"/>
  <c r="S106" i="7"/>
  <c r="P68" i="7"/>
  <c r="V68" i="7"/>
  <c r="P60" i="7"/>
  <c r="V60" i="7"/>
  <c r="AB108" i="7"/>
  <c r="AB100" i="7"/>
  <c r="V111" i="7"/>
  <c r="V105" i="7"/>
  <c r="P108" i="7"/>
  <c r="P100" i="7"/>
  <c r="AB62" i="7"/>
  <c r="Y68" i="7"/>
  <c r="Y62" i="7"/>
  <c r="Y60" i="7"/>
  <c r="V69" i="7"/>
  <c r="V61" i="7"/>
  <c r="S71" i="7"/>
  <c r="S69" i="7"/>
  <c r="S63" i="7"/>
  <c r="S61" i="7"/>
  <c r="P71" i="7"/>
  <c r="M70" i="7"/>
  <c r="P63" i="7"/>
  <c r="Y108" i="7"/>
  <c r="Y100" i="7"/>
  <c r="S111" i="7"/>
  <c r="S105" i="7"/>
  <c r="P111" i="7"/>
  <c r="P105" i="7"/>
  <c r="P72" i="7"/>
  <c r="V72" i="7"/>
  <c r="P69" i="7"/>
  <c r="P64" i="7"/>
  <c r="V64" i="7"/>
  <c r="P62" i="7"/>
  <c r="P61" i="7"/>
  <c r="Y69" i="7"/>
  <c r="Y61" i="7"/>
  <c r="S72" i="7"/>
  <c r="S68" i="7"/>
  <c r="S64" i="7"/>
  <c r="S62" i="7"/>
  <c r="S60" i="7"/>
  <c r="M74" i="7"/>
  <c r="M66" i="7"/>
  <c r="N70" i="6"/>
  <c r="N66" i="6"/>
  <c r="N62" i="6"/>
  <c r="N58" i="6"/>
  <c r="N54" i="6"/>
  <c r="N50" i="6"/>
  <c r="N46" i="6"/>
  <c r="N42" i="6"/>
  <c r="N38" i="6"/>
  <c r="N83" i="6"/>
  <c r="N79" i="6"/>
  <c r="N75" i="6"/>
  <c r="D160" i="40"/>
  <c r="J116" i="40"/>
  <c r="F180" i="40"/>
  <c r="F92" i="40"/>
  <c r="N152" i="53"/>
  <c r="N148" i="53"/>
  <c r="N144" i="53"/>
  <c r="N140" i="53"/>
  <c r="N136" i="53"/>
  <c r="N132" i="53"/>
  <c r="N128" i="53"/>
  <c r="N124" i="53"/>
  <c r="N120" i="53"/>
  <c r="N116" i="53"/>
  <c r="N112" i="53"/>
  <c r="N108" i="53"/>
  <c r="N68" i="6"/>
  <c r="N64" i="6"/>
  <c r="N60" i="6"/>
  <c r="N56" i="6"/>
  <c r="N52" i="6"/>
  <c r="N48" i="6"/>
  <c r="N44" i="6"/>
  <c r="N40" i="6"/>
  <c r="N85" i="6"/>
  <c r="N81" i="6"/>
  <c r="N77" i="6"/>
  <c r="N73" i="6"/>
  <c r="J72" i="40"/>
  <c r="D180" i="40"/>
  <c r="D116" i="40"/>
  <c r="J92" i="40"/>
  <c r="J28" i="40"/>
  <c r="O220" i="59"/>
  <c r="L220" i="59"/>
  <c r="M287" i="59"/>
  <c r="N287" i="59"/>
  <c r="N88" i="59"/>
  <c r="N84" i="59"/>
  <c r="N80" i="59"/>
  <c r="N76" i="59"/>
  <c r="N72" i="59"/>
  <c r="N68" i="59"/>
  <c r="N64" i="59"/>
  <c r="N60" i="59"/>
  <c r="N56" i="59"/>
  <c r="N52" i="59"/>
  <c r="N48" i="59"/>
  <c r="N44" i="59"/>
  <c r="M92" i="59"/>
  <c r="F136" i="40"/>
  <c r="D136" i="40"/>
  <c r="D92" i="40"/>
  <c r="O230" i="53"/>
  <c r="L287" i="59"/>
  <c r="N86" i="59"/>
  <c r="N82" i="59"/>
  <c r="N78" i="59"/>
  <c r="N74" i="59"/>
  <c r="N70" i="59"/>
  <c r="N66" i="59"/>
  <c r="N62" i="59"/>
  <c r="N58" i="59"/>
  <c r="N54" i="59"/>
  <c r="N50" i="59"/>
  <c r="N46" i="59"/>
  <c r="N42" i="59"/>
  <c r="O342" i="61"/>
  <c r="N153" i="61"/>
  <c r="H132" i="5"/>
  <c r="H128" i="5"/>
  <c r="H124" i="5"/>
  <c r="H120" i="5"/>
  <c r="K120" i="5" s="1"/>
  <c r="H116" i="5"/>
  <c r="H112" i="5"/>
  <c r="H108" i="5"/>
  <c r="H104" i="5"/>
  <c r="H100" i="5"/>
  <c r="G112" i="5"/>
  <c r="G104" i="5"/>
  <c r="I119" i="5"/>
  <c r="I111" i="5"/>
  <c r="I103" i="5"/>
  <c r="I101" i="5"/>
  <c r="L218" i="60"/>
  <c r="M279" i="61"/>
  <c r="N216" i="61"/>
  <c r="H131" i="5"/>
  <c r="H127" i="5"/>
  <c r="H123" i="5"/>
  <c r="H119" i="5"/>
  <c r="K119" i="5" s="1"/>
  <c r="H115" i="5"/>
  <c r="H111" i="5"/>
  <c r="K111" i="5" s="1"/>
  <c r="H107" i="5"/>
  <c r="H103" i="5"/>
  <c r="K103" i="5" s="1"/>
  <c r="G133" i="5"/>
  <c r="G130" i="5"/>
  <c r="G125" i="5"/>
  <c r="G122" i="5"/>
  <c r="G117" i="5"/>
  <c r="J117" i="5" s="1"/>
  <c r="G114" i="5"/>
  <c r="G109" i="5"/>
  <c r="G106" i="5"/>
  <c r="G101" i="5"/>
  <c r="J101" i="5" s="1"/>
  <c r="D116" i="5"/>
  <c r="N116" i="5"/>
  <c r="O116" i="5"/>
  <c r="N218" i="60"/>
  <c r="I117" i="5"/>
  <c r="I109" i="5"/>
  <c r="N284" i="60"/>
  <c r="N342" i="61"/>
  <c r="G97" i="5"/>
  <c r="G99" i="5"/>
  <c r="G103" i="5"/>
  <c r="J103" i="5" s="1"/>
  <c r="G107" i="5"/>
  <c r="G111" i="5"/>
  <c r="J111" i="5" s="1"/>
  <c r="G115" i="5"/>
  <c r="G119" i="5"/>
  <c r="J119" i="5" s="1"/>
  <c r="G123" i="5"/>
  <c r="G127" i="5"/>
  <c r="G131" i="5"/>
  <c r="O97" i="5"/>
  <c r="O113" i="5"/>
  <c r="O109" i="5"/>
  <c r="O105" i="5"/>
  <c r="O101" i="5"/>
  <c r="O133" i="5"/>
  <c r="O129" i="5"/>
  <c r="O125" i="5"/>
  <c r="O121" i="5"/>
  <c r="N132" i="5"/>
  <c r="N128" i="5"/>
  <c r="N124" i="5"/>
  <c r="N119" i="5"/>
  <c r="P119" i="5" s="1"/>
  <c r="N114" i="5"/>
  <c r="N110" i="5"/>
  <c r="N106" i="5"/>
  <c r="N102" i="5"/>
  <c r="N98" i="5"/>
  <c r="D133" i="5"/>
  <c r="D132" i="5"/>
  <c r="D131" i="5"/>
  <c r="D129" i="5"/>
  <c r="D128" i="5"/>
  <c r="D127" i="5"/>
  <c r="D126" i="5"/>
  <c r="D125" i="5"/>
  <c r="D124" i="5"/>
  <c r="D123" i="5"/>
  <c r="D122" i="5"/>
  <c r="D121" i="5"/>
  <c r="O112" i="5"/>
  <c r="O108" i="5"/>
  <c r="O104" i="5"/>
  <c r="O100" i="5"/>
  <c r="O119" i="5"/>
  <c r="N131" i="5"/>
  <c r="N127" i="5"/>
  <c r="N123" i="5"/>
  <c r="N118" i="5"/>
  <c r="N101" i="5"/>
  <c r="D118" i="5"/>
  <c r="D115" i="5"/>
  <c r="L94" i="61"/>
  <c r="D102" i="5"/>
  <c r="D100" i="5"/>
  <c r="D99" i="5"/>
  <c r="D98" i="5"/>
  <c r="O115" i="5"/>
  <c r="O111" i="5"/>
  <c r="O107" i="5"/>
  <c r="O103" i="5"/>
  <c r="O99" i="5"/>
  <c r="N130" i="5"/>
  <c r="N126" i="5"/>
  <c r="N122" i="5"/>
  <c r="D97" i="5"/>
  <c r="N103" i="5"/>
  <c r="P103" i="5" s="1"/>
  <c r="F40" i="2"/>
  <c r="F20" i="2"/>
  <c r="D122" i="2"/>
  <c r="F248" i="2"/>
  <c r="H136" i="40"/>
  <c r="H92" i="40"/>
  <c r="D289" i="2"/>
  <c r="C289" i="2"/>
  <c r="F207" i="2"/>
  <c r="H180" i="40"/>
  <c r="F160" i="40"/>
  <c r="F193" i="40" s="1"/>
  <c r="D193" i="40"/>
  <c r="F288" i="2"/>
  <c r="E51" i="2" s="1"/>
  <c r="H51" i="2" s="1"/>
  <c r="H160" i="40"/>
  <c r="H193" i="40" s="1"/>
  <c r="J136" i="40"/>
  <c r="J149" i="40" s="1"/>
  <c r="H116" i="40"/>
  <c r="F274" i="2"/>
  <c r="E37" i="2" s="1"/>
  <c r="H37" i="2" s="1"/>
  <c r="H72" i="40"/>
  <c r="F72" i="40"/>
  <c r="D72" i="40"/>
  <c r="F48" i="40"/>
  <c r="E289" i="2"/>
  <c r="F269" i="2"/>
  <c r="E32" i="2" s="1"/>
  <c r="H32" i="2" s="1"/>
  <c r="F275" i="2"/>
  <c r="E38" i="2" s="1"/>
  <c r="H38" i="2" s="1"/>
  <c r="F263" i="2"/>
  <c r="E26" i="2" s="1"/>
  <c r="H26" i="2" s="1"/>
  <c r="F259" i="2"/>
  <c r="E22" i="2" s="1"/>
  <c r="H22" i="2" s="1"/>
  <c r="F350" i="61"/>
  <c r="L279" i="61"/>
  <c r="O279" i="61"/>
  <c r="O216" i="61"/>
  <c r="L153" i="61"/>
  <c r="K153" i="61"/>
  <c r="M94" i="61"/>
  <c r="K94" i="61"/>
  <c r="D248" i="2"/>
  <c r="E248" i="2"/>
  <c r="O284" i="60"/>
  <c r="L284" i="60"/>
  <c r="M218" i="60"/>
  <c r="O218" i="60"/>
  <c r="N153" i="60"/>
  <c r="K153" i="60"/>
  <c r="G69" i="40" s="1"/>
  <c r="H69" i="40" s="1"/>
  <c r="M153" i="60"/>
  <c r="L153" i="60"/>
  <c r="K154" i="59"/>
  <c r="J105" i="40"/>
  <c r="BD65" i="57"/>
  <c r="BF65" i="57"/>
  <c r="BH65" i="57"/>
  <c r="BJ65" i="57"/>
  <c r="BL65" i="57"/>
  <c r="BN65" i="57"/>
  <c r="BP65" i="57"/>
  <c r="BR65" i="57"/>
  <c r="BT65" i="57"/>
  <c r="BV65" i="57"/>
  <c r="BX65" i="57"/>
  <c r="BZ65" i="57"/>
  <c r="CB65" i="57"/>
  <c r="CD65" i="57"/>
  <c r="CF65" i="57"/>
  <c r="BE65" i="57"/>
  <c r="BG65" i="57"/>
  <c r="BI65" i="57"/>
  <c r="BK65" i="57"/>
  <c r="BM65" i="57"/>
  <c r="BO65" i="57"/>
  <c r="BQ65" i="57"/>
  <c r="BS65" i="57"/>
  <c r="BU65" i="57"/>
  <c r="BW65" i="57"/>
  <c r="BY65" i="57"/>
  <c r="CA65" i="57"/>
  <c r="CC65" i="57"/>
  <c r="CE65" i="57"/>
  <c r="CG65" i="57"/>
  <c r="CG96" i="57" s="1"/>
  <c r="AI26" i="40"/>
  <c r="M279" i="53"/>
  <c r="N279" i="53"/>
  <c r="N216" i="53"/>
  <c r="O167" i="53"/>
  <c r="O231" i="53"/>
  <c r="O294" i="53"/>
  <c r="L216" i="53"/>
  <c r="O166" i="53"/>
  <c r="N342" i="53"/>
  <c r="O229" i="53"/>
  <c r="L279" i="53"/>
  <c r="M216" i="53"/>
  <c r="M342" i="53"/>
  <c r="O293" i="53"/>
  <c r="L342" i="53"/>
  <c r="N45" i="53"/>
  <c r="N94" i="53" s="1"/>
  <c r="K153" i="53"/>
  <c r="M94" i="53"/>
  <c r="M153" i="53"/>
  <c r="I63" i="40"/>
  <c r="J63" i="40" s="1"/>
  <c r="AB63" i="40"/>
  <c r="L94" i="53"/>
  <c r="K94" i="53"/>
  <c r="F287" i="2"/>
  <c r="E50" i="2" s="1"/>
  <c r="H50" i="2" s="1"/>
  <c r="H48" i="40"/>
  <c r="H28" i="40"/>
  <c r="E166" i="2"/>
  <c r="F282" i="2"/>
  <c r="E45" i="2" s="1"/>
  <c r="H45" i="2" s="1"/>
  <c r="F28" i="40"/>
  <c r="F61" i="40" s="1"/>
  <c r="F256" i="2"/>
  <c r="J48" i="40"/>
  <c r="D166" i="2"/>
  <c r="F276" i="2"/>
  <c r="H41" i="2"/>
  <c r="D48" i="40"/>
  <c r="C166" i="2"/>
  <c r="D28" i="40"/>
  <c r="H106" i="56"/>
  <c r="F99" i="8"/>
  <c r="H106" i="8" s="1"/>
  <c r="C115" i="2" s="1"/>
  <c r="E115" i="2" s="1"/>
  <c r="D16" i="2" s="1"/>
  <c r="G16" i="2" s="1"/>
  <c r="G52" i="2" s="1"/>
  <c r="AI25" i="40"/>
  <c r="AI61" i="40" s="1"/>
  <c r="N154" i="59" l="1"/>
  <c r="O354" i="59"/>
  <c r="N92" i="60"/>
  <c r="F292" i="60" s="1"/>
  <c r="G107" i="40" s="1"/>
  <c r="N153" i="53"/>
  <c r="I232" i="7"/>
  <c r="E103" i="2" s="1"/>
  <c r="I103" i="2" s="1"/>
  <c r="C47" i="2" s="1"/>
  <c r="F47" i="2" s="1"/>
  <c r="F39" i="2" s="1"/>
  <c r="C39" i="2"/>
  <c r="P216" i="6"/>
  <c r="M350" i="6"/>
  <c r="P300" i="6"/>
  <c r="P350" i="6" s="1"/>
  <c r="N87" i="6"/>
  <c r="D109" i="2"/>
  <c r="J106" i="5"/>
  <c r="K113" i="5"/>
  <c r="K114" i="5"/>
  <c r="L354" i="59"/>
  <c r="E69" i="40" s="1"/>
  <c r="E71" i="40"/>
  <c r="F71" i="40" s="1"/>
  <c r="D73" i="2"/>
  <c r="K108" i="5"/>
  <c r="J112" i="5"/>
  <c r="J109" i="5"/>
  <c r="L109" i="5" s="1"/>
  <c r="J104" i="5"/>
  <c r="I147" i="5"/>
  <c r="E156" i="5" s="1"/>
  <c r="C109" i="2" s="1"/>
  <c r="I109" i="2" s="1"/>
  <c r="C58" i="2" s="1"/>
  <c r="C65" i="2" s="1"/>
  <c r="J108" i="5"/>
  <c r="K106" i="5"/>
  <c r="L106" i="5" s="1"/>
  <c r="J107" i="5"/>
  <c r="I112" i="5"/>
  <c r="K112" i="5"/>
  <c r="K105" i="5"/>
  <c r="K107" i="5"/>
  <c r="K110" i="5"/>
  <c r="L110" i="5" s="1"/>
  <c r="J105" i="5"/>
  <c r="J114" i="5"/>
  <c r="K104" i="5"/>
  <c r="L104" i="5" s="1"/>
  <c r="F290" i="60"/>
  <c r="I114" i="5"/>
  <c r="V104" i="7"/>
  <c r="P67" i="7"/>
  <c r="O149" i="6"/>
  <c r="CF96" i="28"/>
  <c r="CF95" i="28"/>
  <c r="CB96" i="28"/>
  <c r="CB94" i="28"/>
  <c r="CB95" i="28"/>
  <c r="CB92" i="28"/>
  <c r="CB91" i="28"/>
  <c r="CB93" i="28"/>
  <c r="BX96" i="28"/>
  <c r="BX89" i="28"/>
  <c r="BX90" i="28"/>
  <c r="BX91" i="28"/>
  <c r="BX92" i="28"/>
  <c r="BX94" i="28"/>
  <c r="BX95" i="28"/>
  <c r="BX88" i="28"/>
  <c r="BX87" i="28"/>
  <c r="BX93" i="28"/>
  <c r="BT96" i="28"/>
  <c r="BT84" i="28"/>
  <c r="BT86" i="28"/>
  <c r="BT88" i="28"/>
  <c r="BT89" i="28"/>
  <c r="BT92" i="28"/>
  <c r="BT94" i="28"/>
  <c r="BT95" i="28"/>
  <c r="BT85" i="28"/>
  <c r="BT91" i="28"/>
  <c r="BT83" i="28"/>
  <c r="BT87" i="28"/>
  <c r="BT90" i="28"/>
  <c r="BT93" i="28"/>
  <c r="BP96" i="28"/>
  <c r="BP82" i="28"/>
  <c r="BP84" i="28"/>
  <c r="BP88" i="28"/>
  <c r="BP89" i="28"/>
  <c r="BP94" i="28"/>
  <c r="BP79" i="28"/>
  <c r="BP85" i="28"/>
  <c r="BP86" i="28"/>
  <c r="BP91" i="28"/>
  <c r="BP80" i="28"/>
  <c r="BP87" i="28"/>
  <c r="BP93" i="28"/>
  <c r="BP95" i="28"/>
  <c r="BP81" i="28"/>
  <c r="BP83" i="28"/>
  <c r="BP90" i="28"/>
  <c r="BP92" i="28"/>
  <c r="BL96" i="28"/>
  <c r="BL77" i="28"/>
  <c r="BL78" i="28"/>
  <c r="BL84" i="28"/>
  <c r="BL86" i="28"/>
  <c r="BL94" i="28"/>
  <c r="BL93" i="28"/>
  <c r="BL83" i="28"/>
  <c r="BL90" i="28"/>
  <c r="BL79" i="28"/>
  <c r="BL80" i="28"/>
  <c r="BL82" i="28"/>
  <c r="BL87" i="28"/>
  <c r="BL89" i="28"/>
  <c r="BL75" i="28"/>
  <c r="BL81" i="28"/>
  <c r="BL85" i="28"/>
  <c r="BL76" i="28"/>
  <c r="BL88" i="28"/>
  <c r="BL91" i="28"/>
  <c r="BL92" i="28"/>
  <c r="BL95" i="28"/>
  <c r="BH96" i="28"/>
  <c r="BH73" i="28"/>
  <c r="BH86" i="28"/>
  <c r="BH90" i="28"/>
  <c r="BH94" i="28"/>
  <c r="BH71" i="28"/>
  <c r="BH74" i="28"/>
  <c r="BH75" i="28"/>
  <c r="BH76" i="28"/>
  <c r="BH78" i="28"/>
  <c r="BH84" i="28"/>
  <c r="BH91" i="28"/>
  <c r="BH72" i="28"/>
  <c r="BH82" i="28"/>
  <c r="BH88" i="28"/>
  <c r="BH93" i="28"/>
  <c r="BH77" i="28"/>
  <c r="BH81" i="28"/>
  <c r="BH83" i="28"/>
  <c r="BH87" i="28"/>
  <c r="BH89" i="28"/>
  <c r="BH79" i="28"/>
  <c r="BH80" i="28"/>
  <c r="BH85" i="28"/>
  <c r="BH92" i="28"/>
  <c r="BH95" i="28"/>
  <c r="BD96" i="28"/>
  <c r="BD67" i="28"/>
  <c r="BD97" i="28" s="1"/>
  <c r="E112" i="28" s="1"/>
  <c r="E113" i="28" s="1"/>
  <c r="BD69" i="28"/>
  <c r="BD71" i="28"/>
  <c r="BD74" i="28"/>
  <c r="BD83" i="28"/>
  <c r="BD87" i="28"/>
  <c r="BD94" i="28"/>
  <c r="BD68" i="28"/>
  <c r="BD70" i="28"/>
  <c r="BD72" i="28"/>
  <c r="BD77" i="28"/>
  <c r="BD92" i="28"/>
  <c r="BD75" i="28"/>
  <c r="BD79" i="28"/>
  <c r="BD81" i="28"/>
  <c r="BD84" i="28"/>
  <c r="BD85" i="28"/>
  <c r="BD86" i="28"/>
  <c r="BD73" i="28"/>
  <c r="BD78" i="28"/>
  <c r="BD90" i="28"/>
  <c r="BD91" i="28"/>
  <c r="BD76" i="28"/>
  <c r="BD80" i="28"/>
  <c r="BD82" i="28"/>
  <c r="BD93" i="28"/>
  <c r="BD95" i="28"/>
  <c r="BD88" i="28"/>
  <c r="BD89" i="28"/>
  <c r="CE96" i="28"/>
  <c r="CE95" i="28"/>
  <c r="CE94" i="28"/>
  <c r="CA96" i="28"/>
  <c r="CA91" i="28"/>
  <c r="CA92" i="28"/>
  <c r="CA93" i="28"/>
  <c r="CA90" i="28"/>
  <c r="CA94" i="28"/>
  <c r="CA95" i="28"/>
  <c r="BW96" i="28"/>
  <c r="BW86" i="28"/>
  <c r="BW87" i="28"/>
  <c r="BW89" i="28"/>
  <c r="BW91" i="28"/>
  <c r="BW88" i="28"/>
  <c r="BW93" i="28"/>
  <c r="BW94" i="28"/>
  <c r="BW95" i="28"/>
  <c r="BW90" i="28"/>
  <c r="BW92" i="28"/>
  <c r="BS96" i="28"/>
  <c r="BS87" i="28"/>
  <c r="BS95" i="28"/>
  <c r="BS94" i="28"/>
  <c r="BS86" i="28"/>
  <c r="BS88" i="28"/>
  <c r="BS92" i="28"/>
  <c r="BS93" i="28"/>
  <c r="BS83" i="28"/>
  <c r="BS84" i="28"/>
  <c r="BS82" i="28"/>
  <c r="BS89" i="28"/>
  <c r="BS90" i="28"/>
  <c r="BS85" i="28"/>
  <c r="BS91" i="28"/>
  <c r="BO96" i="28"/>
  <c r="BO81" i="28"/>
  <c r="BO82" i="28"/>
  <c r="BO86" i="28"/>
  <c r="BO87" i="28"/>
  <c r="BO85" i="28"/>
  <c r="BO80" i="28"/>
  <c r="BO88" i="28"/>
  <c r="BO92" i="28"/>
  <c r="BO78" i="28"/>
  <c r="BO79" i="28"/>
  <c r="BO83" i="28"/>
  <c r="BO90" i="28"/>
  <c r="BO84" i="28"/>
  <c r="BO89" i="28"/>
  <c r="BO91" i="28"/>
  <c r="BO94" i="28"/>
  <c r="BO93" i="28"/>
  <c r="BO95" i="28"/>
  <c r="BK96" i="28"/>
  <c r="BK75" i="28"/>
  <c r="BK76" i="28"/>
  <c r="BK79" i="28"/>
  <c r="BK81" i="28"/>
  <c r="BK86" i="28"/>
  <c r="BK88" i="28"/>
  <c r="BK89" i="28"/>
  <c r="BK91" i="28"/>
  <c r="BK92" i="28"/>
  <c r="BK78" i="28"/>
  <c r="BK80" i="28"/>
  <c r="BK82" i="28"/>
  <c r="BK87" i="28"/>
  <c r="BK74" i="28"/>
  <c r="BK77" i="28"/>
  <c r="BK83" i="28"/>
  <c r="BK84" i="28"/>
  <c r="BK85" i="28"/>
  <c r="BK93" i="28"/>
  <c r="BK90" i="28"/>
  <c r="BK95" i="28"/>
  <c r="BK94" i="28"/>
  <c r="BG96" i="28"/>
  <c r="BG70" i="28"/>
  <c r="BG73" i="28"/>
  <c r="BG78" i="28"/>
  <c r="BG80" i="28"/>
  <c r="BG87" i="28"/>
  <c r="BG89" i="28"/>
  <c r="BG91" i="28"/>
  <c r="BG93" i="28"/>
  <c r="BG75" i="28"/>
  <c r="BG77" i="28"/>
  <c r="BG79" i="28"/>
  <c r="BG83" i="28"/>
  <c r="BG71" i="28"/>
  <c r="BG88" i="28"/>
  <c r="BG90" i="28"/>
  <c r="BG95" i="28"/>
  <c r="BG74" i="28"/>
  <c r="BG76" i="28"/>
  <c r="BG84" i="28"/>
  <c r="BG72" i="28"/>
  <c r="BG85" i="28"/>
  <c r="BG86" i="28"/>
  <c r="BG94" i="28"/>
  <c r="BG81" i="28"/>
  <c r="BG82" i="28"/>
  <c r="BG92" i="28"/>
  <c r="G71" i="40"/>
  <c r="H71" i="40" s="1"/>
  <c r="C19" i="2"/>
  <c r="S67" i="7"/>
  <c r="C208" i="2"/>
  <c r="D107" i="40"/>
  <c r="CD96" i="28"/>
  <c r="CD93" i="28"/>
  <c r="CD95" i="28"/>
  <c r="CD94" i="28"/>
  <c r="BZ96" i="28"/>
  <c r="BZ90" i="28"/>
  <c r="BZ93" i="28"/>
  <c r="BZ91" i="28"/>
  <c r="BZ92" i="28"/>
  <c r="BZ89" i="28"/>
  <c r="BZ94" i="28"/>
  <c r="BZ95" i="28"/>
  <c r="BV96" i="28"/>
  <c r="BV85" i="28"/>
  <c r="BV91" i="28"/>
  <c r="BV93" i="28"/>
  <c r="BV89" i="28"/>
  <c r="BV88" i="28"/>
  <c r="BV90" i="28"/>
  <c r="BV86" i="28"/>
  <c r="BV87" i="28"/>
  <c r="BV92" i="28"/>
  <c r="BV94" i="28"/>
  <c r="BV95" i="28"/>
  <c r="BR96" i="28"/>
  <c r="BR83" i="28"/>
  <c r="BR85" i="28"/>
  <c r="BR90" i="28"/>
  <c r="BR95" i="28"/>
  <c r="BR81" i="28"/>
  <c r="BR84" i="28"/>
  <c r="BR89" i="28"/>
  <c r="BR82" i="28"/>
  <c r="BR91" i="28"/>
  <c r="BR92" i="28"/>
  <c r="BR94" i="28"/>
  <c r="BR86" i="28"/>
  <c r="BR87" i="28"/>
  <c r="BR88" i="28"/>
  <c r="BR93" i="28"/>
  <c r="BN96" i="28"/>
  <c r="BN81" i="28"/>
  <c r="BN83" i="28"/>
  <c r="BN85" i="28"/>
  <c r="BN89" i="28"/>
  <c r="BN90" i="28"/>
  <c r="BN95" i="28"/>
  <c r="BN77" i="28"/>
  <c r="BN80" i="28"/>
  <c r="BN82" i="28"/>
  <c r="BN92" i="28"/>
  <c r="BN78" i="28"/>
  <c r="BN88" i="28"/>
  <c r="BN79" i="28"/>
  <c r="BN84" i="28"/>
  <c r="BN86" i="28"/>
  <c r="BN87" i="28"/>
  <c r="BN91" i="28"/>
  <c r="BN94" i="28"/>
  <c r="BN93" i="28"/>
  <c r="BJ96" i="28"/>
  <c r="BJ74" i="28"/>
  <c r="BJ77" i="28"/>
  <c r="BJ78" i="28"/>
  <c r="BJ79" i="28"/>
  <c r="BJ80" i="28"/>
  <c r="BJ81" i="28"/>
  <c r="BJ85" i="28"/>
  <c r="BJ88" i="28"/>
  <c r="BJ86" i="28"/>
  <c r="BJ89" i="28"/>
  <c r="BJ94" i="28"/>
  <c r="BJ73" i="28"/>
  <c r="BJ75" i="28"/>
  <c r="BJ76" i="28"/>
  <c r="BJ87" i="28"/>
  <c r="BJ91" i="28"/>
  <c r="BJ92" i="28"/>
  <c r="BJ95" i="28"/>
  <c r="BJ82" i="28"/>
  <c r="BJ83" i="28"/>
  <c r="BJ84" i="28"/>
  <c r="BJ90" i="28"/>
  <c r="BJ93" i="28"/>
  <c r="BF96" i="28"/>
  <c r="BF75" i="28"/>
  <c r="BF76" i="28"/>
  <c r="BF82" i="28"/>
  <c r="BF85" i="28"/>
  <c r="BF69" i="28"/>
  <c r="BF73" i="28"/>
  <c r="BF74" i="28"/>
  <c r="BF78" i="28"/>
  <c r="BF91" i="28"/>
  <c r="BF72" i="28"/>
  <c r="BF79" i="28"/>
  <c r="BF87" i="28"/>
  <c r="BF88" i="28"/>
  <c r="BF93" i="28"/>
  <c r="BF70" i="28"/>
  <c r="BF77" i="28"/>
  <c r="BF81" i="28"/>
  <c r="BF83" i="28"/>
  <c r="BF89" i="28"/>
  <c r="BF90" i="28"/>
  <c r="BF71" i="28"/>
  <c r="BF80" i="28"/>
  <c r="BF86" i="28"/>
  <c r="BF84" i="28"/>
  <c r="BF95" i="28"/>
  <c r="BF92" i="28"/>
  <c r="BF94" i="28"/>
  <c r="C151" i="40"/>
  <c r="C249" i="2" s="1"/>
  <c r="F19" i="2"/>
  <c r="F149" i="40"/>
  <c r="CC96" i="28"/>
  <c r="CC93" i="28"/>
  <c r="CC92" i="28"/>
  <c r="CC94" i="28"/>
  <c r="CC95" i="28"/>
  <c r="BY96" i="28"/>
  <c r="BY88" i="28"/>
  <c r="BY90" i="28"/>
  <c r="BY92" i="28"/>
  <c r="BY89" i="28"/>
  <c r="BY91" i="28"/>
  <c r="BY93" i="28"/>
  <c r="BY94" i="28"/>
  <c r="BY95" i="28"/>
  <c r="BU96" i="28"/>
  <c r="BU87" i="28"/>
  <c r="BU89" i="28"/>
  <c r="BU90" i="28"/>
  <c r="BU84" i="28"/>
  <c r="BU94" i="28"/>
  <c r="BU85" i="28"/>
  <c r="BU86" i="28"/>
  <c r="BU88" i="28"/>
  <c r="BU91" i="28"/>
  <c r="BU92" i="28"/>
  <c r="BU93" i="28"/>
  <c r="BU95" i="28"/>
  <c r="BQ96" i="28"/>
  <c r="BQ80" i="28"/>
  <c r="BQ82" i="28"/>
  <c r="BQ91" i="28"/>
  <c r="BQ93" i="28"/>
  <c r="BQ81" i="28"/>
  <c r="BQ83" i="28"/>
  <c r="BQ84" i="28"/>
  <c r="BQ89" i="28"/>
  <c r="BQ90" i="28"/>
  <c r="BQ85" i="28"/>
  <c r="BQ86" i="28"/>
  <c r="BQ88" i="28"/>
  <c r="BQ92" i="28"/>
  <c r="BQ87" i="28"/>
  <c r="BQ94" i="28"/>
  <c r="BQ95" i="28"/>
  <c r="BM96" i="28"/>
  <c r="BM93" i="28"/>
  <c r="BM90" i="28"/>
  <c r="BM76" i="28"/>
  <c r="BM77" i="28"/>
  <c r="BM91" i="28"/>
  <c r="BM79" i="28"/>
  <c r="BM80" i="28"/>
  <c r="BM82" i="28"/>
  <c r="BM83" i="28"/>
  <c r="BM86" i="28"/>
  <c r="BM87" i="28"/>
  <c r="BM92" i="28"/>
  <c r="BM78" i="28"/>
  <c r="BM81" i="28"/>
  <c r="BM84" i="28"/>
  <c r="BM89" i="28"/>
  <c r="BM94" i="28"/>
  <c r="BM85" i="28"/>
  <c r="BM88" i="28"/>
  <c r="BM95" i="28"/>
  <c r="BI96" i="28"/>
  <c r="BI72" i="28"/>
  <c r="BI77" i="28"/>
  <c r="BI79" i="28"/>
  <c r="BI83" i="28"/>
  <c r="BI84" i="28"/>
  <c r="BI95" i="28"/>
  <c r="BI89" i="28"/>
  <c r="BI73" i="28"/>
  <c r="BI74" i="28"/>
  <c r="BI78" i="28"/>
  <c r="BI82" i="28"/>
  <c r="BI85" i="28"/>
  <c r="BI87" i="28"/>
  <c r="BI75" i="28"/>
  <c r="BI76" i="28"/>
  <c r="BI81" i="28"/>
  <c r="BI91" i="28"/>
  <c r="BI92" i="28"/>
  <c r="BI93" i="28"/>
  <c r="BI88" i="28"/>
  <c r="BI90" i="28"/>
  <c r="BI80" i="28"/>
  <c r="BI86" i="28"/>
  <c r="BI94" i="28"/>
  <c r="BE96" i="28"/>
  <c r="BE68" i="28"/>
  <c r="BE72" i="28"/>
  <c r="BE80" i="28"/>
  <c r="BE88" i="28"/>
  <c r="BE92" i="28"/>
  <c r="BE95" i="28"/>
  <c r="BE76" i="28"/>
  <c r="BE82" i="28"/>
  <c r="BE69" i="28"/>
  <c r="BE70" i="28"/>
  <c r="BE83" i="28"/>
  <c r="BE89" i="28"/>
  <c r="BE71" i="28"/>
  <c r="BE85" i="28"/>
  <c r="BE86" i="28"/>
  <c r="BE87" i="28"/>
  <c r="BE73" i="28"/>
  <c r="BE74" i="28"/>
  <c r="BE75" i="28"/>
  <c r="BE77" i="28"/>
  <c r="BE78" i="28"/>
  <c r="BE79" i="28"/>
  <c r="BE84" i="28"/>
  <c r="BE90" i="28"/>
  <c r="BE91" i="28"/>
  <c r="BE81" i="28"/>
  <c r="BE93" i="28"/>
  <c r="BE94" i="28"/>
  <c r="I187" i="7"/>
  <c r="E192" i="7" s="1"/>
  <c r="H19" i="2"/>
  <c r="N94" i="61"/>
  <c r="V108" i="7"/>
  <c r="S108" i="7"/>
  <c r="E208" i="2"/>
  <c r="H107" i="40"/>
  <c r="E70" i="40"/>
  <c r="F70" i="40" s="1"/>
  <c r="F360" i="59"/>
  <c r="D74" i="2"/>
  <c r="D61" i="40"/>
  <c r="L108" i="5"/>
  <c r="V100" i="7"/>
  <c r="S100" i="7"/>
  <c r="P118" i="5"/>
  <c r="P104" i="7"/>
  <c r="S104" i="7"/>
  <c r="Y104" i="7"/>
  <c r="O279" i="53"/>
  <c r="B136" i="5"/>
  <c r="B63" i="3"/>
  <c r="K62" i="3"/>
  <c r="M62" i="3" s="1"/>
  <c r="R62" i="3" s="1"/>
  <c r="AB111" i="7"/>
  <c r="Y111" i="7"/>
  <c r="C113" i="40"/>
  <c r="C212" i="2" s="1"/>
  <c r="J97" i="5"/>
  <c r="I97" i="5"/>
  <c r="K97" i="5"/>
  <c r="J102" i="5"/>
  <c r="K102" i="5"/>
  <c r="I102" i="5"/>
  <c r="J122" i="5"/>
  <c r="K122" i="5"/>
  <c r="I122" i="5"/>
  <c r="J126" i="5"/>
  <c r="K126" i="5"/>
  <c r="I126" i="5"/>
  <c r="J130" i="5"/>
  <c r="K130" i="5"/>
  <c r="I130" i="5"/>
  <c r="L120" i="5"/>
  <c r="P116" i="5"/>
  <c r="L103" i="5"/>
  <c r="L111" i="5"/>
  <c r="L135" i="5"/>
  <c r="V66" i="7"/>
  <c r="S66" i="7"/>
  <c r="AB66" i="7"/>
  <c r="Y66" i="7"/>
  <c r="P66" i="7"/>
  <c r="V70" i="7"/>
  <c r="S70" i="7"/>
  <c r="P70" i="7"/>
  <c r="Y70" i="7"/>
  <c r="AB70" i="7"/>
  <c r="J98" i="5"/>
  <c r="K98" i="5"/>
  <c r="I98" i="5"/>
  <c r="C114" i="40"/>
  <c r="K123" i="5"/>
  <c r="J123" i="5"/>
  <c r="I123" i="5"/>
  <c r="K127" i="5"/>
  <c r="J127" i="5"/>
  <c r="I127" i="5"/>
  <c r="K131" i="5"/>
  <c r="J131" i="5"/>
  <c r="I131" i="5"/>
  <c r="L117" i="5"/>
  <c r="K116" i="5"/>
  <c r="I116" i="5"/>
  <c r="J116" i="5"/>
  <c r="L101" i="5"/>
  <c r="L119" i="5"/>
  <c r="G70" i="40"/>
  <c r="E172" i="2" s="1"/>
  <c r="V74" i="7"/>
  <c r="S74" i="7"/>
  <c r="AB74" i="7"/>
  <c r="Y74" i="7"/>
  <c r="P74" i="7"/>
  <c r="E108" i="2"/>
  <c r="C115" i="40"/>
  <c r="C214" i="2" s="1"/>
  <c r="H149" i="40"/>
  <c r="I99" i="5"/>
  <c r="K99" i="5"/>
  <c r="J99" i="5"/>
  <c r="I115" i="5"/>
  <c r="K115" i="5"/>
  <c r="J115" i="5"/>
  <c r="K124" i="5"/>
  <c r="J124" i="5"/>
  <c r="I124" i="5"/>
  <c r="K128" i="5"/>
  <c r="J128" i="5"/>
  <c r="I128" i="5"/>
  <c r="K132" i="5"/>
  <c r="J132" i="5"/>
  <c r="I132" i="5"/>
  <c r="L113" i="5"/>
  <c r="P115" i="5"/>
  <c r="L107" i="5"/>
  <c r="N92" i="59"/>
  <c r="F362" i="59" s="1"/>
  <c r="E107" i="40" s="1"/>
  <c r="K100" i="5"/>
  <c r="I100" i="5"/>
  <c r="J100" i="5"/>
  <c r="I118" i="5"/>
  <c r="J118" i="5"/>
  <c r="K118" i="5"/>
  <c r="J121" i="5"/>
  <c r="K121" i="5"/>
  <c r="I121" i="5"/>
  <c r="J125" i="5"/>
  <c r="K125" i="5"/>
  <c r="I125" i="5"/>
  <c r="J129" i="5"/>
  <c r="K129" i="5"/>
  <c r="I129" i="5"/>
  <c r="J133" i="5"/>
  <c r="K133" i="5"/>
  <c r="I133" i="5"/>
  <c r="D72" i="2"/>
  <c r="E75" i="2"/>
  <c r="I75" i="2" s="1"/>
  <c r="E19" i="2"/>
  <c r="F348" i="61"/>
  <c r="E173" i="2"/>
  <c r="E171" i="2"/>
  <c r="CC96" i="57"/>
  <c r="CC95" i="57"/>
  <c r="CC92" i="57"/>
  <c r="CC94" i="57"/>
  <c r="CC93" i="57"/>
  <c r="BU96" i="57"/>
  <c r="BU95" i="57"/>
  <c r="BU92" i="57"/>
  <c r="BU87" i="57"/>
  <c r="BU89" i="57"/>
  <c r="BU88" i="57"/>
  <c r="BU84" i="57"/>
  <c r="BU91" i="57"/>
  <c r="BU86" i="57"/>
  <c r="BU85" i="57"/>
  <c r="BU94" i="57"/>
  <c r="BU93" i="57"/>
  <c r="BU90" i="57"/>
  <c r="BM96" i="57"/>
  <c r="BM95" i="57"/>
  <c r="BM92" i="57"/>
  <c r="BM87" i="57"/>
  <c r="BM94" i="57"/>
  <c r="BM93" i="57"/>
  <c r="BM84" i="57"/>
  <c r="BM90" i="57"/>
  <c r="BM86" i="57"/>
  <c r="BM85" i="57"/>
  <c r="BM89" i="57"/>
  <c r="BM88" i="57"/>
  <c r="BM83" i="57"/>
  <c r="BM80" i="57"/>
  <c r="BM82" i="57"/>
  <c r="BM81" i="57"/>
  <c r="BM79" i="57"/>
  <c r="BM76" i="57"/>
  <c r="BM91" i="57"/>
  <c r="BM78" i="57"/>
  <c r="BM77" i="57"/>
  <c r="BE96" i="57"/>
  <c r="BE95" i="57"/>
  <c r="BE92" i="57"/>
  <c r="BE87" i="57"/>
  <c r="BE89" i="57"/>
  <c r="BE88" i="57"/>
  <c r="BE84" i="57"/>
  <c r="BE91" i="57"/>
  <c r="BE85" i="57"/>
  <c r="BE94" i="57"/>
  <c r="BE93" i="57"/>
  <c r="BE83" i="57"/>
  <c r="BE80" i="57"/>
  <c r="BE90" i="57"/>
  <c r="BE86" i="57"/>
  <c r="BE82" i="57"/>
  <c r="BE75" i="57"/>
  <c r="BE72" i="57"/>
  <c r="BE74" i="57"/>
  <c r="BE73" i="57"/>
  <c r="BE81" i="57"/>
  <c r="BE79" i="57"/>
  <c r="BE76" i="57"/>
  <c r="BE71" i="57"/>
  <c r="BE68" i="57"/>
  <c r="BE78" i="57"/>
  <c r="BE77" i="57"/>
  <c r="BE70" i="57"/>
  <c r="BE69" i="57"/>
  <c r="BZ90" i="57"/>
  <c r="BZ89" i="57"/>
  <c r="BZ96" i="57"/>
  <c r="BZ95" i="57"/>
  <c r="BZ91" i="57"/>
  <c r="BZ94" i="57"/>
  <c r="BZ93" i="57"/>
  <c r="BZ92" i="57"/>
  <c r="BR90" i="57"/>
  <c r="BR89" i="57"/>
  <c r="BR94" i="57"/>
  <c r="BR93" i="57"/>
  <c r="BR92" i="57"/>
  <c r="BR82" i="57"/>
  <c r="BR81" i="57"/>
  <c r="BR96" i="57"/>
  <c r="BR84" i="57"/>
  <c r="BR88" i="57"/>
  <c r="BR87" i="57"/>
  <c r="BR86" i="57"/>
  <c r="BR85" i="57"/>
  <c r="BR91" i="57"/>
  <c r="BR83" i="57"/>
  <c r="BR95" i="57"/>
  <c r="BJ90" i="57"/>
  <c r="BJ89" i="57"/>
  <c r="BJ88" i="57"/>
  <c r="BJ87" i="57"/>
  <c r="BJ82" i="57"/>
  <c r="BJ81" i="57"/>
  <c r="BJ96" i="57"/>
  <c r="BJ95" i="57"/>
  <c r="BJ91" i="57"/>
  <c r="BJ84" i="57"/>
  <c r="BJ94" i="57"/>
  <c r="BJ93" i="57"/>
  <c r="BJ92" i="57"/>
  <c r="BJ85" i="57"/>
  <c r="BJ78" i="57"/>
  <c r="BJ77" i="57"/>
  <c r="BJ86" i="57"/>
  <c r="BJ83" i="57"/>
  <c r="BJ75" i="57"/>
  <c r="BJ74" i="57"/>
  <c r="BJ73" i="57"/>
  <c r="BJ80" i="57"/>
  <c r="BJ79" i="57"/>
  <c r="BJ76" i="57"/>
  <c r="CA96" i="57"/>
  <c r="CA91" i="57"/>
  <c r="CA95" i="57"/>
  <c r="CA90" i="57"/>
  <c r="CA93" i="57"/>
  <c r="CA94" i="57"/>
  <c r="CA92" i="57"/>
  <c r="BS96" i="57"/>
  <c r="BS91" i="57"/>
  <c r="BS88" i="57"/>
  <c r="BS95" i="57"/>
  <c r="BS83" i="57"/>
  <c r="BS94" i="57"/>
  <c r="BS93" i="57"/>
  <c r="BS92" i="57"/>
  <c r="BS90" i="57"/>
  <c r="BS89" i="57"/>
  <c r="BS84" i="57"/>
  <c r="BS87" i="57"/>
  <c r="BS85" i="57"/>
  <c r="BS86" i="57"/>
  <c r="BS82" i="57"/>
  <c r="BK96" i="57"/>
  <c r="BK91" i="57"/>
  <c r="BK88" i="57"/>
  <c r="BK89" i="57"/>
  <c r="BK86" i="57"/>
  <c r="BK83" i="57"/>
  <c r="BK87" i="57"/>
  <c r="BK95" i="57"/>
  <c r="BK84" i="57"/>
  <c r="BK94" i="57"/>
  <c r="BK92" i="57"/>
  <c r="BK85" i="57"/>
  <c r="BK80" i="57"/>
  <c r="BK79" i="57"/>
  <c r="BK76" i="57"/>
  <c r="BK90" i="57"/>
  <c r="BK81" i="57"/>
  <c r="BK78" i="57"/>
  <c r="BK77" i="57"/>
  <c r="BK93" i="57"/>
  <c r="BK75" i="57"/>
  <c r="BK82" i="57"/>
  <c r="BK74" i="57"/>
  <c r="CF96" i="57"/>
  <c r="CF95" i="57"/>
  <c r="BX94" i="57"/>
  <c r="BX93" i="57"/>
  <c r="BX96" i="57"/>
  <c r="BX95" i="57"/>
  <c r="BX92" i="57"/>
  <c r="BX90" i="57"/>
  <c r="BX89" i="57"/>
  <c r="BX88" i="57"/>
  <c r="BX91" i="57"/>
  <c r="BX87" i="57"/>
  <c r="BP94" i="57"/>
  <c r="BP93" i="57"/>
  <c r="BP96" i="57"/>
  <c r="BP89" i="57"/>
  <c r="BP88" i="57"/>
  <c r="BP86" i="57"/>
  <c r="BP85" i="57"/>
  <c r="BP91" i="57"/>
  <c r="BP87" i="57"/>
  <c r="BP95" i="57"/>
  <c r="BP82" i="57"/>
  <c r="BP81" i="57"/>
  <c r="BP84" i="57"/>
  <c r="BP80" i="57"/>
  <c r="BP92" i="57"/>
  <c r="BP79" i="57"/>
  <c r="BP90" i="57"/>
  <c r="BP83" i="57"/>
  <c r="BH94" i="57"/>
  <c r="BH93" i="57"/>
  <c r="BH86" i="57"/>
  <c r="BH96" i="57"/>
  <c r="BH95" i="57"/>
  <c r="BH85" i="57"/>
  <c r="BH92" i="57"/>
  <c r="BH90" i="57"/>
  <c r="BH83" i="57"/>
  <c r="BH89" i="57"/>
  <c r="BH88" i="57"/>
  <c r="BH82" i="57"/>
  <c r="BH81" i="57"/>
  <c r="BH74" i="57"/>
  <c r="BH73" i="57"/>
  <c r="BH79" i="57"/>
  <c r="BH76" i="57"/>
  <c r="BH71" i="57"/>
  <c r="BH91" i="57"/>
  <c r="BH84" i="57"/>
  <c r="BH80" i="57"/>
  <c r="BH78" i="57"/>
  <c r="BH77" i="57"/>
  <c r="BH87" i="57"/>
  <c r="BH75" i="57"/>
  <c r="BH72" i="57"/>
  <c r="BY96" i="57"/>
  <c r="BY95" i="57"/>
  <c r="BY92" i="57"/>
  <c r="BY91" i="57"/>
  <c r="BY94" i="57"/>
  <c r="BY93" i="57"/>
  <c r="BY90" i="57"/>
  <c r="BY88" i="57"/>
  <c r="BY89" i="57"/>
  <c r="BQ96" i="57"/>
  <c r="BQ95" i="57"/>
  <c r="BQ92" i="57"/>
  <c r="BQ87" i="57"/>
  <c r="BQ90" i="57"/>
  <c r="BQ84" i="57"/>
  <c r="BQ89" i="57"/>
  <c r="BQ88" i="57"/>
  <c r="BQ86" i="57"/>
  <c r="BQ85" i="57"/>
  <c r="BQ91" i="57"/>
  <c r="BQ83" i="57"/>
  <c r="BQ80" i="57"/>
  <c r="BQ81" i="57"/>
  <c r="BQ94" i="57"/>
  <c r="BQ82" i="57"/>
  <c r="BQ93" i="57"/>
  <c r="BI96" i="57"/>
  <c r="BI95" i="57"/>
  <c r="BI92" i="57"/>
  <c r="BI87" i="57"/>
  <c r="BI91" i="57"/>
  <c r="BI84" i="57"/>
  <c r="BI94" i="57"/>
  <c r="BI93" i="57"/>
  <c r="BI85" i="57"/>
  <c r="BI90" i="57"/>
  <c r="BI86" i="57"/>
  <c r="BI83" i="57"/>
  <c r="BI80" i="57"/>
  <c r="BI81" i="57"/>
  <c r="BI75" i="57"/>
  <c r="BI72" i="57"/>
  <c r="BI88" i="57"/>
  <c r="BI74" i="57"/>
  <c r="BI73" i="57"/>
  <c r="BI82" i="57"/>
  <c r="BI79" i="57"/>
  <c r="BI76" i="57"/>
  <c r="BI89" i="57"/>
  <c r="BI78" i="57"/>
  <c r="BI77" i="57"/>
  <c r="CD95" i="57"/>
  <c r="CD94" i="57"/>
  <c r="CD93" i="57"/>
  <c r="CD96" i="57"/>
  <c r="BV90" i="57"/>
  <c r="BV89" i="57"/>
  <c r="BV88" i="57"/>
  <c r="BV87" i="57"/>
  <c r="BV95" i="57"/>
  <c r="BV91" i="57"/>
  <c r="BV86" i="57"/>
  <c r="BV85" i="57"/>
  <c r="BV93" i="57"/>
  <c r="BV96" i="57"/>
  <c r="BV94" i="57"/>
  <c r="BV92" i="57"/>
  <c r="BN90" i="57"/>
  <c r="BN89" i="57"/>
  <c r="BN95" i="57"/>
  <c r="BN91" i="57"/>
  <c r="BN82" i="57"/>
  <c r="BN81" i="57"/>
  <c r="BN94" i="57"/>
  <c r="BN93" i="57"/>
  <c r="BN92" i="57"/>
  <c r="BN84" i="57"/>
  <c r="BN86" i="57"/>
  <c r="BN85" i="57"/>
  <c r="BN96" i="57"/>
  <c r="BN87" i="57"/>
  <c r="BN78" i="57"/>
  <c r="BN77" i="57"/>
  <c r="BN88" i="57"/>
  <c r="BN83" i="57"/>
  <c r="BN80" i="57"/>
  <c r="BN79" i="57"/>
  <c r="BF90" i="57"/>
  <c r="BF89" i="57"/>
  <c r="BF86" i="57"/>
  <c r="BF82" i="57"/>
  <c r="BF81" i="57"/>
  <c r="BF88" i="57"/>
  <c r="BF87" i="57"/>
  <c r="BF84" i="57"/>
  <c r="BF95" i="57"/>
  <c r="BF91" i="57"/>
  <c r="BF85" i="57"/>
  <c r="BF83" i="57"/>
  <c r="BF78" i="57"/>
  <c r="BF77" i="57"/>
  <c r="BF70" i="57"/>
  <c r="BF69" i="57"/>
  <c r="BF93" i="57"/>
  <c r="BF80" i="57"/>
  <c r="BF75" i="57"/>
  <c r="BF72" i="57"/>
  <c r="BF74" i="57"/>
  <c r="BF73" i="57"/>
  <c r="BF96" i="57"/>
  <c r="BF94" i="57"/>
  <c r="BF92" i="57"/>
  <c r="BF79" i="57"/>
  <c r="BF76" i="57"/>
  <c r="BF71" i="57"/>
  <c r="CE96" i="57"/>
  <c r="CE95" i="57"/>
  <c r="CE94" i="57"/>
  <c r="BW96" i="57"/>
  <c r="BW91" i="57"/>
  <c r="BW88" i="57"/>
  <c r="BW94" i="57"/>
  <c r="BW93" i="57"/>
  <c r="BW92" i="57"/>
  <c r="BW90" i="57"/>
  <c r="BW89" i="57"/>
  <c r="BW87" i="57"/>
  <c r="BW95" i="57"/>
  <c r="BW86" i="57"/>
  <c r="BO96" i="57"/>
  <c r="BO91" i="57"/>
  <c r="BO88" i="57"/>
  <c r="BO87" i="57"/>
  <c r="BO83" i="57"/>
  <c r="BO95" i="57"/>
  <c r="BO94" i="57"/>
  <c r="BO93" i="57"/>
  <c r="BO92" i="57"/>
  <c r="BO90" i="57"/>
  <c r="BO84" i="57"/>
  <c r="BO89" i="57"/>
  <c r="BO79" i="57"/>
  <c r="BO85" i="57"/>
  <c r="BO82" i="57"/>
  <c r="BO78" i="57"/>
  <c r="BO86" i="57"/>
  <c r="BO81" i="57"/>
  <c r="BO80" i="57"/>
  <c r="BG96" i="57"/>
  <c r="BG91" i="57"/>
  <c r="BG88" i="57"/>
  <c r="BG94" i="57"/>
  <c r="BG93" i="57"/>
  <c r="BG92" i="57"/>
  <c r="BG90" i="57"/>
  <c r="BG83" i="57"/>
  <c r="BG80" i="57"/>
  <c r="BG89" i="57"/>
  <c r="BG86" i="57"/>
  <c r="BG87" i="57"/>
  <c r="BG84" i="57"/>
  <c r="BG79" i="57"/>
  <c r="BG76" i="57"/>
  <c r="BG71" i="57"/>
  <c r="BG95" i="57"/>
  <c r="BG82" i="57"/>
  <c r="BG78" i="57"/>
  <c r="BG77" i="57"/>
  <c r="BG70" i="57"/>
  <c r="BG75" i="57"/>
  <c r="BG72" i="57"/>
  <c r="BG85" i="57"/>
  <c r="BG81" i="57"/>
  <c r="BG74" i="57"/>
  <c r="BG73" i="57"/>
  <c r="CB94" i="57"/>
  <c r="CB93" i="57"/>
  <c r="CB92" i="57"/>
  <c r="CB96" i="57"/>
  <c r="CB91" i="57"/>
  <c r="CB95" i="57"/>
  <c r="BT94" i="57"/>
  <c r="BT93" i="57"/>
  <c r="BT91" i="57"/>
  <c r="BT87" i="57"/>
  <c r="BT86" i="57"/>
  <c r="BT85" i="57"/>
  <c r="BT95" i="57"/>
  <c r="BT96" i="57"/>
  <c r="BT92" i="57"/>
  <c r="BT90" i="57"/>
  <c r="BT89" i="57"/>
  <c r="BT84" i="57"/>
  <c r="BT83" i="57"/>
  <c r="BT88" i="57"/>
  <c r="BL94" i="57"/>
  <c r="BL93" i="57"/>
  <c r="BL86" i="57"/>
  <c r="BL92" i="57"/>
  <c r="BL90" i="57"/>
  <c r="BL85" i="57"/>
  <c r="BL89" i="57"/>
  <c r="BL88" i="57"/>
  <c r="BL83" i="57"/>
  <c r="BL96" i="57"/>
  <c r="BL91" i="57"/>
  <c r="BL87" i="57"/>
  <c r="BL82" i="57"/>
  <c r="BL81" i="57"/>
  <c r="BL80" i="57"/>
  <c r="BL79" i="57"/>
  <c r="BL76" i="57"/>
  <c r="BL95" i="57"/>
  <c r="BL78" i="57"/>
  <c r="BL77" i="57"/>
  <c r="BL84" i="57"/>
  <c r="BL75" i="57"/>
  <c r="BD94" i="57"/>
  <c r="BD93" i="57"/>
  <c r="BD86" i="57"/>
  <c r="BD96" i="57"/>
  <c r="BD91" i="57"/>
  <c r="BD87" i="57"/>
  <c r="BD85" i="57"/>
  <c r="BD95" i="57"/>
  <c r="BD83" i="57"/>
  <c r="BD92" i="57"/>
  <c r="BD90" i="57"/>
  <c r="BD82" i="57"/>
  <c r="BD81" i="57"/>
  <c r="BD88" i="57"/>
  <c r="BY97" i="57" s="1"/>
  <c r="Z112" i="57" s="1"/>
  <c r="Z113" i="57" s="1"/>
  <c r="BD80" i="57"/>
  <c r="BD74" i="57"/>
  <c r="BD73" i="57"/>
  <c r="BD84" i="57"/>
  <c r="BD79" i="57"/>
  <c r="BD76" i="57"/>
  <c r="BD71" i="57"/>
  <c r="BD68" i="57"/>
  <c r="BE97" i="57" s="1"/>
  <c r="F112" i="57" s="1"/>
  <c r="F113" i="57" s="1"/>
  <c r="BD89" i="57"/>
  <c r="BD78" i="57"/>
  <c r="BD77" i="57"/>
  <c r="BD70" i="57"/>
  <c r="BG97" i="57" s="1"/>
  <c r="H112" i="57" s="1"/>
  <c r="H113" i="57" s="1"/>
  <c r="BD69" i="57"/>
  <c r="BD75" i="57"/>
  <c r="BL97" i="57" s="1"/>
  <c r="M112" i="57" s="1"/>
  <c r="M113" i="57" s="1"/>
  <c r="BD72" i="57"/>
  <c r="BD67" i="57"/>
  <c r="BD97" i="57" s="1"/>
  <c r="E112" i="57" s="1"/>
  <c r="E113" i="57" s="1"/>
  <c r="O342" i="53"/>
  <c r="I25" i="40"/>
  <c r="F130" i="2" s="1"/>
  <c r="I27" i="40"/>
  <c r="J27" i="40" s="1"/>
  <c r="O216" i="53"/>
  <c r="F348" i="53" s="1"/>
  <c r="I26" i="40"/>
  <c r="J26" i="40" s="1"/>
  <c r="F167" i="2"/>
  <c r="AC63" i="40"/>
  <c r="E39" i="2"/>
  <c r="H61" i="40"/>
  <c r="H39" i="2"/>
  <c r="C122" i="2"/>
  <c r="E122" i="2" s="1"/>
  <c r="BK97" i="57" l="1"/>
  <c r="L112" i="57" s="1"/>
  <c r="L113" i="57" s="1"/>
  <c r="E95" i="2"/>
  <c r="I95" i="2" s="1"/>
  <c r="F356" i="6"/>
  <c r="BU97" i="57"/>
  <c r="V112" i="57" s="1"/>
  <c r="V113" i="57" s="1"/>
  <c r="D171" i="2"/>
  <c r="F69" i="40"/>
  <c r="F105" i="40" s="1"/>
  <c r="D173" i="2"/>
  <c r="L112" i="5"/>
  <c r="L114" i="5"/>
  <c r="L105" i="5"/>
  <c r="P134" i="5"/>
  <c r="L126" i="5"/>
  <c r="BO97" i="57"/>
  <c r="P112" i="57" s="1"/>
  <c r="P113" i="57" s="1"/>
  <c r="BM97" i="57"/>
  <c r="N112" i="57" s="1"/>
  <c r="N113" i="57" s="1"/>
  <c r="CF97" i="57"/>
  <c r="AG112" i="57" s="1"/>
  <c r="AG113" i="57" s="1"/>
  <c r="BS97" i="57"/>
  <c r="T112" i="57" s="1"/>
  <c r="T113" i="57" s="1"/>
  <c r="CG97" i="57"/>
  <c r="AH112" i="57" s="1"/>
  <c r="BF97" i="57"/>
  <c r="G112" i="57" s="1"/>
  <c r="G113" i="57" s="1"/>
  <c r="BI97" i="57"/>
  <c r="J112" i="57" s="1"/>
  <c r="J113" i="57" s="1"/>
  <c r="BH97" i="57"/>
  <c r="I112" i="57" s="1"/>
  <c r="I113" i="57" s="1"/>
  <c r="BJ97" i="57"/>
  <c r="K112" i="57" s="1"/>
  <c r="K113" i="57" s="1"/>
  <c r="BT97" i="57"/>
  <c r="U112" i="57" s="1"/>
  <c r="U113" i="57" s="1"/>
  <c r="CB97" i="57"/>
  <c r="AC112" i="57" s="1"/>
  <c r="AC113" i="57" s="1"/>
  <c r="CE97" i="57"/>
  <c r="AF112" i="57" s="1"/>
  <c r="AF113" i="57" s="1"/>
  <c r="CF97" i="28"/>
  <c r="AG112" i="28" s="1"/>
  <c r="AG113" i="28" s="1"/>
  <c r="BM97" i="28"/>
  <c r="N112" i="28" s="1"/>
  <c r="N113" i="28" s="1"/>
  <c r="BJ97" i="28"/>
  <c r="K112" i="28" s="1"/>
  <c r="K113" i="28" s="1"/>
  <c r="BR97" i="28"/>
  <c r="S112" i="28" s="1"/>
  <c r="S113" i="28" s="1"/>
  <c r="BN97" i="28"/>
  <c r="O112" i="28" s="1"/>
  <c r="O113" i="28" s="1"/>
  <c r="CE97" i="28"/>
  <c r="AF112" i="28" s="1"/>
  <c r="AF113" i="28" s="1"/>
  <c r="BH97" i="28"/>
  <c r="I112" i="28" s="1"/>
  <c r="I113" i="28" s="1"/>
  <c r="BN97" i="57"/>
  <c r="O112" i="57" s="1"/>
  <c r="O113" i="57" s="1"/>
  <c r="BR97" i="57"/>
  <c r="S112" i="57" s="1"/>
  <c r="S113" i="57" s="1"/>
  <c r="H70" i="40"/>
  <c r="H105" i="40" s="1"/>
  <c r="CD97" i="28"/>
  <c r="AE112" i="28" s="1"/>
  <c r="AE113" i="28" s="1"/>
  <c r="CB97" i="28"/>
  <c r="AC112" i="28" s="1"/>
  <c r="AC113" i="28" s="1"/>
  <c r="BW97" i="28"/>
  <c r="X112" i="28" s="1"/>
  <c r="X113" i="28" s="1"/>
  <c r="BP97" i="28"/>
  <c r="Q112" i="28" s="1"/>
  <c r="Q113" i="28" s="1"/>
  <c r="BI97" i="28"/>
  <c r="J112" i="28" s="1"/>
  <c r="J113" i="28" s="1"/>
  <c r="BX97" i="28"/>
  <c r="Y112" i="28" s="1"/>
  <c r="Y113" i="28" s="1"/>
  <c r="BF97" i="28"/>
  <c r="G112" i="28" s="1"/>
  <c r="G113" i="28" s="1"/>
  <c r="BZ97" i="28"/>
  <c r="AA112" i="28" s="1"/>
  <c r="AA113" i="28" s="1"/>
  <c r="BS97" i="28"/>
  <c r="T112" i="28" s="1"/>
  <c r="T113" i="28" s="1"/>
  <c r="CA97" i="28"/>
  <c r="AB112" i="28" s="1"/>
  <c r="AB113" i="28" s="1"/>
  <c r="BV97" i="28"/>
  <c r="W112" i="28" s="1"/>
  <c r="W113" i="28" s="1"/>
  <c r="BL97" i="28"/>
  <c r="M112" i="28" s="1"/>
  <c r="M113" i="28" s="1"/>
  <c r="BG97" i="28"/>
  <c r="H112" i="28" s="1"/>
  <c r="H113" i="28" s="1"/>
  <c r="BT97" i="28"/>
  <c r="U112" i="28" s="1"/>
  <c r="U113" i="28" s="1"/>
  <c r="BZ97" i="57"/>
  <c r="AA112" i="57" s="1"/>
  <c r="AA113" i="57" s="1"/>
  <c r="BP97" i="57"/>
  <c r="Q112" i="57" s="1"/>
  <c r="Q113" i="57" s="1"/>
  <c r="BQ97" i="57"/>
  <c r="R112" i="57" s="1"/>
  <c r="R113" i="57" s="1"/>
  <c r="CA97" i="57"/>
  <c r="AB112" i="57" s="1"/>
  <c r="AB113" i="57" s="1"/>
  <c r="BV97" i="57"/>
  <c r="W112" i="57" s="1"/>
  <c r="W113" i="57" s="1"/>
  <c r="BW97" i="57"/>
  <c r="X112" i="57" s="1"/>
  <c r="X113" i="57" s="1"/>
  <c r="D151" i="40"/>
  <c r="BY97" i="28"/>
  <c r="Z112" i="28" s="1"/>
  <c r="Z113" i="28" s="1"/>
  <c r="BQ97" i="28"/>
  <c r="R112" i="28" s="1"/>
  <c r="R113" i="28" s="1"/>
  <c r="BO97" i="28"/>
  <c r="P112" i="28" s="1"/>
  <c r="P113" i="28" s="1"/>
  <c r="BU97" i="28"/>
  <c r="V112" i="28" s="1"/>
  <c r="V113" i="28" s="1"/>
  <c r="CC97" i="28"/>
  <c r="AD112" i="28" s="1"/>
  <c r="AD113" i="28" s="1"/>
  <c r="BE97" i="28"/>
  <c r="F112" i="28" s="1"/>
  <c r="F113" i="28" s="1"/>
  <c r="BK97" i="28"/>
  <c r="L112" i="28" s="1"/>
  <c r="L113" i="28" s="1"/>
  <c r="CG97" i="28"/>
  <c r="AH112" i="28" s="1"/>
  <c r="D108" i="2"/>
  <c r="L129" i="5"/>
  <c r="D172" i="2"/>
  <c r="J25" i="40"/>
  <c r="L128" i="5"/>
  <c r="B64" i="3"/>
  <c r="B137" i="5"/>
  <c r="K63" i="3"/>
  <c r="M63" i="3" s="1"/>
  <c r="R63" i="3" s="1"/>
  <c r="L130" i="5"/>
  <c r="G136" i="5"/>
  <c r="J136" i="5" s="1"/>
  <c r="H136" i="5"/>
  <c r="K136" i="5" s="1"/>
  <c r="L125" i="5"/>
  <c r="L118" i="5"/>
  <c r="L124" i="5"/>
  <c r="L99" i="5"/>
  <c r="L131" i="5"/>
  <c r="L127" i="5"/>
  <c r="F253" i="2"/>
  <c r="E16" i="2" s="1"/>
  <c r="H16" i="2" s="1"/>
  <c r="D208" i="2"/>
  <c r="F290" i="2" s="1"/>
  <c r="E58" i="2" s="1"/>
  <c r="F107" i="40"/>
  <c r="I199" i="40" s="1"/>
  <c r="L115" i="5"/>
  <c r="K134" i="5"/>
  <c r="D113" i="40"/>
  <c r="L133" i="5"/>
  <c r="L100" i="5"/>
  <c r="L132" i="5"/>
  <c r="L116" i="5"/>
  <c r="C213" i="2"/>
  <c r="C248" i="2" s="1"/>
  <c r="D114" i="40"/>
  <c r="L102" i="5"/>
  <c r="I134" i="5"/>
  <c r="L97" i="5"/>
  <c r="L121" i="5"/>
  <c r="D115" i="40"/>
  <c r="L123" i="5"/>
  <c r="L98" i="5"/>
  <c r="L122" i="5"/>
  <c r="J134" i="5"/>
  <c r="E207" i="2"/>
  <c r="CC97" i="57"/>
  <c r="AD112" i="57" s="1"/>
  <c r="AD113" i="57" s="1"/>
  <c r="BX97" i="57"/>
  <c r="Y112" i="57" s="1"/>
  <c r="Y113" i="57" s="1"/>
  <c r="CD97" i="57"/>
  <c r="AE112" i="57" s="1"/>
  <c r="AE113" i="57" s="1"/>
  <c r="AH113" i="57"/>
  <c r="E116" i="57" s="1"/>
  <c r="E168" i="57" s="1"/>
  <c r="C70" i="40"/>
  <c r="F131" i="2"/>
  <c r="J61" i="40"/>
  <c r="F132" i="2"/>
  <c r="F255" i="2" s="1"/>
  <c r="E18" i="2" s="1"/>
  <c r="H18" i="2" s="1"/>
  <c r="D207" i="2" l="1"/>
  <c r="AH113" i="28"/>
  <c r="E116" i="28" s="1"/>
  <c r="E168" i="28" s="1"/>
  <c r="H73" i="2"/>
  <c r="H108" i="2" s="1"/>
  <c r="L136" i="5"/>
  <c r="G137" i="5"/>
  <c r="J137" i="5" s="1"/>
  <c r="H137" i="5"/>
  <c r="K137" i="5" s="1"/>
  <c r="B65" i="3"/>
  <c r="B138" i="5"/>
  <c r="K64" i="3"/>
  <c r="M64" i="3" s="1"/>
  <c r="R64" i="3" s="1"/>
  <c r="E65" i="2"/>
  <c r="F65" i="2" s="1"/>
  <c r="F58" i="2"/>
  <c r="L134" i="5"/>
  <c r="D149" i="40"/>
  <c r="C72" i="2"/>
  <c r="I72" i="2" s="1"/>
  <c r="C16" i="2" s="1"/>
  <c r="F16" i="2" s="1"/>
  <c r="C172" i="2"/>
  <c r="C207" i="2" s="1"/>
  <c r="D70" i="40"/>
  <c r="D105" i="40" s="1"/>
  <c r="F166" i="2"/>
  <c r="I197" i="40" l="1"/>
  <c r="H138" i="5"/>
  <c r="K138" i="5" s="1"/>
  <c r="G138" i="5"/>
  <c r="J138" i="5" s="1"/>
  <c r="B66" i="3"/>
  <c r="B139" i="5"/>
  <c r="K65" i="3"/>
  <c r="M65" i="3" s="1"/>
  <c r="R65" i="3" s="1"/>
  <c r="L137" i="5"/>
  <c r="F254" i="2"/>
  <c r="E17" i="2" s="1"/>
  <c r="H17" i="2" s="1"/>
  <c r="H52" i="2" s="1"/>
  <c r="F289" i="2"/>
  <c r="H139" i="5" l="1"/>
  <c r="K139" i="5" s="1"/>
  <c r="G139" i="5"/>
  <c r="J139" i="5" s="1"/>
  <c r="B67" i="3"/>
  <c r="B140" i="5"/>
  <c r="K66" i="3"/>
  <c r="M66" i="3" s="1"/>
  <c r="R66" i="3" s="1"/>
  <c r="L138" i="5"/>
  <c r="L139" i="5" l="1"/>
  <c r="H140" i="5"/>
  <c r="K140" i="5" s="1"/>
  <c r="G140" i="5"/>
  <c r="J140" i="5" s="1"/>
  <c r="B141" i="5"/>
  <c r="B68" i="3"/>
  <c r="K67" i="3"/>
  <c r="M67" i="3" s="1"/>
  <c r="R67" i="3" s="1"/>
  <c r="L140" i="5" l="1"/>
  <c r="B142" i="5"/>
  <c r="B69" i="3"/>
  <c r="K68" i="3"/>
  <c r="M68" i="3" s="1"/>
  <c r="R68" i="3" s="1"/>
  <c r="G141" i="5"/>
  <c r="J141" i="5" s="1"/>
  <c r="H141" i="5"/>
  <c r="K141" i="5" s="1"/>
  <c r="L141" i="5" l="1"/>
  <c r="B143" i="5"/>
  <c r="B70" i="3"/>
  <c r="K69" i="3"/>
  <c r="M69" i="3" s="1"/>
  <c r="R69" i="3" s="1"/>
  <c r="G142" i="5"/>
  <c r="J142" i="5" s="1"/>
  <c r="H142" i="5"/>
  <c r="K142" i="5" s="1"/>
  <c r="L142" i="5" l="1"/>
  <c r="B71" i="3"/>
  <c r="B144" i="5"/>
  <c r="K70" i="3"/>
  <c r="M70" i="3" s="1"/>
  <c r="R70" i="3" s="1"/>
  <c r="H143" i="5"/>
  <c r="K143" i="5" s="1"/>
  <c r="G143" i="5"/>
  <c r="J143" i="5" s="1"/>
  <c r="L143" i="5" l="1"/>
  <c r="G144" i="5"/>
  <c r="J144" i="5" s="1"/>
  <c r="H144" i="5"/>
  <c r="K144" i="5" s="1"/>
  <c r="B72" i="3"/>
  <c r="B145" i="5"/>
  <c r="K71" i="3"/>
  <c r="M71" i="3" s="1"/>
  <c r="R71" i="3" s="1"/>
  <c r="B146" i="5" l="1"/>
  <c r="K72" i="3"/>
  <c r="M72" i="3" s="1"/>
  <c r="R72" i="3" s="1"/>
  <c r="G145" i="5"/>
  <c r="J145" i="5" s="1"/>
  <c r="H145" i="5"/>
  <c r="K145" i="5" s="1"/>
  <c r="L144" i="5"/>
  <c r="L145" i="5" l="1"/>
  <c r="H146" i="5"/>
  <c r="K146" i="5" s="1"/>
  <c r="K147" i="5" s="1"/>
  <c r="C74" i="2" s="1"/>
  <c r="I74" i="2" s="1"/>
  <c r="C18" i="2" s="1"/>
  <c r="F18" i="2" s="1"/>
  <c r="G146" i="5"/>
  <c r="J146" i="5" s="1"/>
  <c r="L146" i="5" l="1"/>
  <c r="L147" i="5" s="1"/>
  <c r="J147" i="5"/>
  <c r="C73" i="2" l="1"/>
  <c r="E154" i="5"/>
  <c r="I73" i="2" l="1"/>
  <c r="C17" i="2" s="1"/>
  <c r="F17" i="2" s="1"/>
  <c r="F52" i="2" s="1"/>
  <c r="C108" i="2"/>
  <c r="I108" i="2" s="1"/>
</calcChain>
</file>

<file path=xl/comments1.xml><?xml version="1.0" encoding="utf-8"?>
<comments xmlns="http://schemas.openxmlformats.org/spreadsheetml/2006/main">
  <authors>
    <author>Sistema</author>
  </authors>
  <commentList>
    <comment ref="E168" authorId="0" shapeId="0">
      <text>
        <r>
          <rPr>
            <sz val="8"/>
            <color indexed="81"/>
            <rFont val="Tahoma"/>
            <family val="2"/>
          </rPr>
          <t xml:space="preserve">Total, considerando também a quantidade de gás comprada no ano inventariado
</t>
        </r>
      </text>
    </comment>
  </commentList>
</comments>
</file>

<file path=xl/comments2.xml><?xml version="1.0" encoding="utf-8"?>
<comments xmlns="http://schemas.openxmlformats.org/spreadsheetml/2006/main">
  <authors>
    <author>Aletea Cristina Avila Madacki</author>
  </authors>
  <commentList>
    <comment ref="D45" authorId="0" shapeId="0">
      <text>
        <r>
          <rPr>
            <sz val="10"/>
            <color indexed="81"/>
            <rFont val="Calibri Light"/>
            <family val="2"/>
          </rPr>
          <t>Caso não encontre a cidade procurada, selecione a cidade mais próxima para que o cálculo considere condições de pluviosidade e temperatura similares.</t>
        </r>
      </text>
    </comment>
  </commentList>
</comments>
</file>

<file path=xl/comments3.xml><?xml version="1.0" encoding="utf-8"?>
<comments xmlns="http://schemas.openxmlformats.org/spreadsheetml/2006/main">
  <authors>
    <author>Aletea Cristina Avila Madacki</author>
  </authors>
  <commentList>
    <comment ref="D45" authorId="0" shapeId="0">
      <text>
        <r>
          <rPr>
            <sz val="10"/>
            <color indexed="81"/>
            <rFont val="Calibri Light"/>
            <family val="2"/>
          </rPr>
          <t>Caso não encontre a cidade procurada, selecione a cidade mais próxima para que o cálculo considere condições de pluviosidade e temperatura similares.</t>
        </r>
      </text>
    </comment>
  </commentList>
</comments>
</file>

<file path=xl/comments4.xml><?xml version="1.0" encoding="utf-8"?>
<comments xmlns="http://schemas.openxmlformats.org/spreadsheetml/2006/main">
  <authors>
    <author>George Magalhães</author>
  </authors>
  <commentList>
    <comment ref="C22" authorId="0" shapeId="0">
      <text>
        <r>
          <rPr>
            <b/>
            <sz val="10"/>
            <color indexed="81"/>
            <rFont val="Calibri Light"/>
            <family val="2"/>
          </rPr>
          <t xml:space="preserve">Categoria 1 - Bens e serviços adquiridos
Descrição da categoria:
</t>
        </r>
        <r>
          <rPr>
            <sz val="10"/>
            <color indexed="81"/>
            <rFont val="Calibri Light"/>
            <family val="2"/>
          </rPr>
          <t xml:space="preserve">Todas as emissões que ocorrem no ciclo de vida (extração, produção, transporte) dos produtos (bens e serviços) comprados ou adquiridos, até o ponto de receção pela organização inventariante que não estejam contabilizadas em outra categoria de Âmbito 3.
As emissões relacionadas ao uso dos produtos comprados ou adquiridos devem ser contabilizadas nos Âmbitos 1 e 2.
</t>
        </r>
        <r>
          <rPr>
            <b/>
            <sz val="10"/>
            <color indexed="81"/>
            <rFont val="Calibri Light"/>
            <family val="2"/>
          </rPr>
          <t>Exemplo:</t>
        </r>
        <r>
          <rPr>
            <sz val="10"/>
            <color indexed="81"/>
            <rFont val="Calibri Light"/>
            <family val="2"/>
          </rPr>
          <t xml:space="preserve">
Latas compradas por uma fábrica de bebidas: emissões da extração da bauxite, produção do alumínio, transformação em latas de alumínio e transporte das latas até a fábrica de bebidas. Caso o transporte das latas seja pago pela fábrica de bebidas, as emissões do transporte são contabilizadas na categoria 4.</t>
        </r>
      </text>
    </comment>
    <comment ref="E22" authorId="0" shapeId="0">
      <text>
        <r>
          <rPr>
            <b/>
            <sz val="10"/>
            <color indexed="81"/>
            <rFont val="Calibri Light"/>
            <family val="2"/>
          </rPr>
          <t>Categoria 2 - Bens de capital
Descrição da categoria:</t>
        </r>
        <r>
          <rPr>
            <sz val="10"/>
            <color indexed="81"/>
            <rFont val="Calibri Light"/>
            <family val="2"/>
          </rPr>
          <t xml:space="preserve">
Todas as emissões que ocorrem no ciclo de vida (extração, produção, transporte) dos bens de capital comprados ou adquiridos no ano de inventário, até ao ponto de receção pela organização inventariante. Emissões relacionadas ao uso desses bens de capital serão contabilizadas nos Âmbitos 1 e 2.</t>
        </r>
        <r>
          <rPr>
            <b/>
            <sz val="10"/>
            <color indexed="81"/>
            <rFont val="Calibri Light"/>
            <family val="2"/>
          </rPr>
          <t xml:space="preserve">
Exemplo:
</t>
        </r>
        <r>
          <rPr>
            <sz val="10"/>
            <color indexed="81"/>
            <rFont val="Calibri Light"/>
            <family val="2"/>
          </rPr>
          <t xml:space="preserve">Uma empresa que compra uma nova máquina: emissões de toda a produção da máquina, desde a extração das matérias-primas (metal), processo de montagem e transporte da máquina até à empresa. Caso o transporte da máquina seja pago pela empresa, estas emissões são contabilizadas na categoria 4. As emissões do uso da máquina são contabilizadas no Âmbito 1 da empresa. </t>
        </r>
      </text>
    </comment>
    <comment ref="G22" authorId="0" shapeId="0">
      <text>
        <r>
          <rPr>
            <b/>
            <sz val="10"/>
            <color indexed="81"/>
            <rFont val="Calibri Light"/>
            <family val="2"/>
          </rPr>
          <t xml:space="preserve">Categoria 3 - Atividades relacionadas com combustível e energia não incluídas nos Âmbitos 1 e 2
Descrição da categoria:
</t>
        </r>
        <r>
          <rPr>
            <sz val="10"/>
            <color indexed="81"/>
            <rFont val="Calibri Light"/>
            <family val="2"/>
          </rPr>
          <t>Emissões relativas à extração, produção e transporte de combustíveis e energia comprados e consumidos pela organização inventariante no ano inventariado, os quais não estão contabilizados nos Âmbitos 1 e 2 (ou seja, excluída a combustão de combustíveis ou o consumo de eletricidade).</t>
        </r>
        <r>
          <rPr>
            <b/>
            <sz val="10"/>
            <color indexed="81"/>
            <rFont val="Calibri Light"/>
            <family val="2"/>
          </rPr>
          <t xml:space="preserve">
Exemplo:
</t>
        </r>
        <r>
          <rPr>
            <sz val="10"/>
            <color indexed="81"/>
            <rFont val="Calibri Light"/>
            <family val="2"/>
          </rPr>
          <t>Empresa com frota própria de veículos a gasolina: emissões da produção (extração, refinação) e do transporte da gasolina consumida pela frota até o ponto de abastecimento. As emissões da combustão da gasolina nos veículos são contabilizadas no Âmbito 1 da empresa.</t>
        </r>
      </text>
    </comment>
    <comment ref="I22" authorId="0" shapeId="0">
      <text>
        <r>
          <rPr>
            <b/>
            <sz val="10"/>
            <color indexed="81"/>
            <rFont val="Calibri Light"/>
            <family val="2"/>
          </rPr>
          <t xml:space="preserve">Categoria 4 - Transporte e distribuição (upstream)
Descrição da categoria:
</t>
        </r>
        <r>
          <rPr>
            <sz val="10"/>
            <color indexed="81"/>
            <rFont val="Calibri Light"/>
            <family val="2"/>
          </rPr>
          <t xml:space="preserve">Emissões de transporte e distribuição de matérias-primas (excluindo combustíveis e produtos energéticos - ver categoria 3) comprados ou adquiridos pela organização inventariante no ano inventariado em veículos e instalações que não são de propriedade nem operados pela organização, bem como de outros serviços contratados de transporte e distribuição (incluindo tanto logística de entrada quanto de saída).
</t>
        </r>
        <r>
          <rPr>
            <b/>
            <sz val="10"/>
            <color indexed="81"/>
            <rFont val="Calibri Light"/>
            <family val="2"/>
          </rPr>
          <t>Exemplo:</t>
        </r>
        <r>
          <rPr>
            <sz val="10"/>
            <color indexed="81"/>
            <rFont val="Calibri Light"/>
            <family val="2"/>
          </rPr>
          <t xml:space="preserve">
Empresa engarrafadora de água: emissões do transporte contratado da água entre a fonte e a fábrica; emissões do transporte contratado para levar as garrafas engarrafadas da fábrica até o centro de distribuição; emissões do armazenamento da carga de garrafas de plástico no centro de distribuição/armazém; emissão do transporte das garrafas até os locais de venda das garrafas. Devem ser contabilizados apenas os serviços pagos ou contratados pela empresa engarrafadora.</t>
        </r>
        <r>
          <rPr>
            <sz val="9"/>
            <color indexed="81"/>
            <rFont val="Tahoma"/>
            <family val="2"/>
          </rPr>
          <t xml:space="preserve">
</t>
        </r>
      </text>
    </comment>
    <comment ref="C66" authorId="0" shapeId="0">
      <text>
        <r>
          <rPr>
            <b/>
            <sz val="10"/>
            <color indexed="81"/>
            <rFont val="Calibri Light"/>
            <family val="2"/>
          </rPr>
          <t xml:space="preserve">Categoria 5 - Resíduos gerados nas operações
Descrição da categoria:
</t>
        </r>
        <r>
          <rPr>
            <sz val="10"/>
            <color indexed="81"/>
            <rFont val="Calibri Light"/>
            <family val="2"/>
          </rPr>
          <t xml:space="preserve">Inclui as emissões do tratamento e/ou deposição final dos resíduos sólidos e efluentes líquidos decorrentes das operações da organização inventariante no ano inventariado, realizados em instalações de propriedade ou controladas por terceiros.
Esta categoria contabiliza todas as emissões futuras (ao longo do processo de tratamento e/ou disposição final) que resultam dos resíduos gerados no ano inventariado.
</t>
        </r>
        <r>
          <rPr>
            <b/>
            <sz val="10"/>
            <color indexed="81"/>
            <rFont val="Calibri Light"/>
            <family val="2"/>
          </rPr>
          <t>Exemplos:</t>
        </r>
        <r>
          <rPr>
            <sz val="10"/>
            <color indexed="81"/>
            <rFont val="Calibri Light"/>
            <family val="2"/>
          </rPr>
          <t xml:space="preserve">
Emissões de resíduos sólidos de uma empresa de enlatados: a empresa inventariante reporta todas as emissões de metano decorrentes da disposição final dos resíduos gerados no ano inventariado. Todas as emissões de GEE oriundas do tratamento do resíduo, o que inclui emissões futuras decorrentes da geração gradual de metano a partir dos resíduos aterrados, são reportadas no ano inventariado.
Emissões de efluentes de uma fábrica: caso os efluentes sejam tratados pela organização inventariante, as emissões são contabilizadas no Âmbito 1; caso sejam tratados por uma empresa terceira, as emissões são contabilizadas nesta categoria; caso os efluentes sejam enviados à rede pública de coleta, as emissões relacionadas à fração desse efluente no tratamento final, realizado pela empresa de saneamento, devem ser contabilizadas nesta categoria também.</t>
        </r>
      </text>
    </comment>
    <comment ref="E66" authorId="0" shapeId="0">
      <text>
        <r>
          <rPr>
            <b/>
            <sz val="10"/>
            <color indexed="81"/>
            <rFont val="Calibri Light"/>
            <family val="2"/>
          </rPr>
          <t xml:space="preserve">Categoria 6 - Viagens de negócios
Descrição da categoria:
</t>
        </r>
        <r>
          <rPr>
            <sz val="10"/>
            <color indexed="81"/>
            <rFont val="Calibri Light"/>
            <family val="2"/>
          </rPr>
          <t xml:space="preserve">Emissões do transporte de funcionários para atividades relacionadas aos negócios da organização inventariante, realizado em veículos operados por ou de propriedade de terceiros, tais como aeronaves, trens, ônibus, automóveis de passageiros e embarcações.
São considerados nesta categoria todos os funcionários de entidades e unidades operadas, alugadas ou de propriedade da organização inventariante. Podem ser incluídos nesta categoria funcionários de outras entidades relevantes (por exemplo, prestadores de serviços terceirizados), assim como consultores e outros indivíduos que não são funcionários da organização inventariante, mas que se deslocam às suas unidades.
</t>
        </r>
        <r>
          <rPr>
            <b/>
            <sz val="10"/>
            <color indexed="81"/>
            <rFont val="Calibri Light"/>
            <family val="2"/>
          </rPr>
          <t>Exemplo:</t>
        </r>
        <r>
          <rPr>
            <sz val="10"/>
            <color indexed="81"/>
            <rFont val="Calibri Light"/>
            <family val="2"/>
          </rPr>
          <t xml:space="preserve">
Emissões dos deslocamentos aéreos realizados por funcionários da organização: fração das emissões dos aviões correspondente ao funcionário, relativos aos trechos percorridos. Emissões relacionadas aos deslocamentos realizados em veículos de propriedade ou controlados pela empresa inventariante devem ser contabilizadas no Âmbito 1.</t>
        </r>
        <r>
          <rPr>
            <sz val="9"/>
            <color indexed="81"/>
            <rFont val="Tahoma"/>
            <family val="2"/>
          </rPr>
          <t xml:space="preserve">
</t>
        </r>
      </text>
    </comment>
    <comment ref="G66" authorId="0" shapeId="0">
      <text>
        <r>
          <rPr>
            <b/>
            <sz val="10"/>
            <color indexed="81"/>
            <rFont val="Calibri Light"/>
            <family val="2"/>
          </rPr>
          <t xml:space="preserve">Categoria 7 - Deslocamento de funcionários (casa-trabalho)
Descrição da categoria:
</t>
        </r>
        <r>
          <rPr>
            <sz val="10"/>
            <color indexed="81"/>
            <rFont val="Calibri Light"/>
            <family val="2"/>
          </rPr>
          <t xml:space="preserve">Emissões devido ao deslocamento de funcionários entre suas casas e seus locais de trabalho nos diferentes modos de transporte não operados nem pertencentes à organização inventariante.
São considerados nesta categoria todos os funcionários de entidades e unidades operadas, alugadas ou de propriedade da organização inventariante. Podem ser incluídos nesta categoria funcionários de outras entidades relevantes (por exemplo, prestadores de serviços contratados), assim como consultores e outros indivíduos que não são funcionários da organização inventariante, mas que se deslocam às suas unidades.
</t>
        </r>
        <r>
          <rPr>
            <b/>
            <sz val="10"/>
            <color indexed="81"/>
            <rFont val="Calibri Light"/>
            <family val="2"/>
          </rPr>
          <t>Exemplo:</t>
        </r>
        <r>
          <rPr>
            <sz val="10"/>
            <color indexed="81"/>
            <rFont val="Calibri Light"/>
            <family val="2"/>
          </rPr>
          <t xml:space="preserve">
Emissões do consumo diário de combustível pelo funcionário no seu carro particular para ir e voltar do trabalho. Ou ainda, a fração das emissões relacionadas ou funcionário do uso diário de autocarro, metro, etc. Caso a organização disponibilize um serviço de transporte (frota da própria organização) as emissões devem ser contabilizadas no Âmbito 1. </t>
        </r>
        <r>
          <rPr>
            <sz val="9"/>
            <color indexed="81"/>
            <rFont val="Tahoma"/>
            <family val="2"/>
          </rPr>
          <t xml:space="preserve">
</t>
        </r>
      </text>
    </comment>
    <comment ref="I66" authorId="0" shapeId="0">
      <text>
        <r>
          <rPr>
            <b/>
            <sz val="10"/>
            <color indexed="81"/>
            <rFont val="Calibri Light"/>
            <family val="2"/>
          </rPr>
          <t xml:space="preserve">Categoria 8 - Bens arrendados (a organização como arrendatária)
Descrição da categoria:
</t>
        </r>
        <r>
          <rPr>
            <sz val="10"/>
            <color indexed="81"/>
            <rFont val="Calibri Light"/>
            <family val="2"/>
          </rPr>
          <t xml:space="preserve">Emissões provenientes da operação de bens arrendados pela organização inventariante (arrendatária) e que não foram incluídas nos Âmbitos 1 e 2 da mesma.
A contabilização das emissões do bem arrendado está relacionada ao tipo de arrendamento e à abordagem de consolidação utilizada nos limites organizacionais.
</t>
        </r>
      </text>
    </comment>
    <comment ref="C110" authorId="0" shapeId="0">
      <text>
        <r>
          <rPr>
            <b/>
            <sz val="10"/>
            <color indexed="81"/>
            <rFont val="Calibri Light"/>
            <family val="2"/>
          </rPr>
          <t xml:space="preserve">Categoria 9 - Transporte e distribuição (downstream)
Descrição da categoria:
</t>
        </r>
        <r>
          <rPr>
            <sz val="10"/>
            <color indexed="81"/>
            <rFont val="Calibri Light"/>
            <family val="2"/>
          </rPr>
          <t xml:space="preserve">Emissões do transporte e distribuição de produtos vendidos pela organização inventariante (se não for pago por esta) entre as suas operações e o consumidor final, incluindo armazenagem, em veículos e instalações de terceiros. Serviços de logística de saída comprados pela organização não entram nesta categoria, mas na categoria 4.
</t>
        </r>
        <r>
          <rPr>
            <b/>
            <sz val="10"/>
            <color indexed="81"/>
            <rFont val="Calibri Light"/>
            <family val="2"/>
          </rPr>
          <t>Exemplos:</t>
        </r>
        <r>
          <rPr>
            <sz val="10"/>
            <color indexed="81"/>
            <rFont val="Calibri Light"/>
            <family val="2"/>
          </rPr>
          <t xml:space="preserve">
Fábrica de papel (produto final): emissões do transporte do papel (não pago pela fábrica) da fábrica até o centro de distribuição; emissões do armazenamento da carga de papel no centro de distribuição (fração das emissões dos Âmbitos 1 e 2 do centro de distribuição/armazém correspondentes ao armazenamento da carga de papel); emissões do transporte do centro de distribuição até ao comercializador final.
Fábrica de polímeros (produto intermediário):emissões do transporte (não pago pela fábrica) do polímero até a fábrica de plástico; emissões do transporte dos plásticos até o consumidor final, se estes são conhecidos.
Se algum transporte é contratado pela fábrica, as emissões associadas devem ser contabilizadas na categoria 4.</t>
        </r>
      </text>
    </comment>
    <comment ref="E110" authorId="0" shapeId="0">
      <text>
        <r>
          <rPr>
            <b/>
            <sz val="10"/>
            <color indexed="81"/>
            <rFont val="Calibri Light"/>
            <family val="2"/>
          </rPr>
          <t xml:space="preserve">Categoria 10 - Processamento de produtos vendidos
Descrição da categoria:
</t>
        </r>
        <r>
          <rPr>
            <sz val="10"/>
            <color indexed="81"/>
            <rFont val="Calibri Light"/>
            <family val="2"/>
          </rPr>
          <t xml:space="preserve">Emissões do processamento de produtos intermediários, realizado por outra organização, após sua venda pela organização inventariante.
</t>
        </r>
        <r>
          <rPr>
            <b/>
            <sz val="10"/>
            <color indexed="81"/>
            <rFont val="Calibri Light"/>
            <family val="2"/>
          </rPr>
          <t>Exemplo:</t>
        </r>
        <r>
          <rPr>
            <sz val="10"/>
            <color indexed="81"/>
            <rFont val="Calibri Light"/>
            <family val="2"/>
          </rPr>
          <t xml:space="preserve">
Empresa produtora de cal: emissões do processo de transformação da cal (vendida pela empresa inventariante) em cimento.</t>
        </r>
        <r>
          <rPr>
            <sz val="9"/>
            <color indexed="81"/>
            <rFont val="Tahoma"/>
            <family val="2"/>
          </rPr>
          <t xml:space="preserve">
</t>
        </r>
      </text>
    </comment>
    <comment ref="G110" authorId="0" shapeId="0">
      <text>
        <r>
          <rPr>
            <b/>
            <sz val="10"/>
            <color indexed="81"/>
            <rFont val="Calibri Light"/>
            <family val="2"/>
          </rPr>
          <t xml:space="preserve">Categoria 11 - Uso de bens e serviços vendidos
Descrição da categoria:
</t>
        </r>
        <r>
          <rPr>
            <sz val="10"/>
            <color indexed="81"/>
            <rFont val="Calibri Light"/>
            <family val="2"/>
          </rPr>
          <t xml:space="preserve">Emissões provenientes do uso final de bens e serviços vendidos pela organização inventariante no ano inventariado. São contabilizadas no ano inventariado todas as emissões ao longo da sua vida útil.
</t>
        </r>
        <r>
          <rPr>
            <b/>
            <sz val="10"/>
            <color indexed="81"/>
            <rFont val="Calibri Light"/>
            <family val="2"/>
          </rPr>
          <t>Exemplo:</t>
        </r>
        <r>
          <rPr>
            <sz val="10"/>
            <color indexed="81"/>
            <rFont val="Calibri Light"/>
            <family val="2"/>
          </rPr>
          <t xml:space="preserve">
Fábrica de frigoríficos: emissões do consumo de eletricidade projetada para toda a vida útil de cada frigorífico produzido no ano inventariado. Essas emissões são as emissões de Âmbito 2 dos consumidores finais.</t>
        </r>
      </text>
    </comment>
    <comment ref="I110" authorId="0" shapeId="0">
      <text>
        <r>
          <rPr>
            <b/>
            <sz val="10"/>
            <color indexed="81"/>
            <rFont val="Calibri Light"/>
            <family val="2"/>
          </rPr>
          <t xml:space="preserve">Categoria 12 - Tratamento de fim de vida dos produtos vendidos
Descrição da categoria:
</t>
        </r>
        <r>
          <rPr>
            <sz val="10"/>
            <color indexed="81"/>
            <rFont val="Calibri Light"/>
            <family val="2"/>
          </rPr>
          <t xml:space="preserve">Emissões provenientes da deposição final e tratamento dos produtos vendidos no ano inventariado pela organização inventariante, no final da sua vida útil.
</t>
        </r>
        <r>
          <rPr>
            <b/>
            <sz val="10"/>
            <color indexed="81"/>
            <rFont val="Calibri Light"/>
            <family val="2"/>
          </rPr>
          <t>Exemplo:</t>
        </r>
        <r>
          <rPr>
            <sz val="10"/>
            <color indexed="81"/>
            <rFont val="Calibri Light"/>
            <family val="2"/>
          </rPr>
          <t xml:space="preserve">
Fábrica de geladeiras: emissões da liberação de gases refrigerantes presentes nas geladeiras no momento de seu descarte final. As geladeiras em questão são as geladeiras produzidas no ano inventariado.</t>
        </r>
        <r>
          <rPr>
            <sz val="9"/>
            <color indexed="81"/>
            <rFont val="Tahoma"/>
            <family val="2"/>
          </rPr>
          <t xml:space="preserve">
</t>
        </r>
      </text>
    </comment>
    <comment ref="C154" authorId="0" shapeId="0">
      <text>
        <r>
          <rPr>
            <b/>
            <sz val="10"/>
            <color indexed="81"/>
            <rFont val="Calibri Light"/>
            <family val="2"/>
          </rPr>
          <t xml:space="preserve">Categoria 13 - Bens arrendados (a organização como proprietária)
Descrição da categoria:
</t>
        </r>
        <r>
          <rPr>
            <sz val="10"/>
            <color indexed="81"/>
            <rFont val="Calibri Light"/>
            <family val="2"/>
          </rPr>
          <t xml:space="preserve">Emissões da operação dos bens de propriedade da organização inventariante (proprietária) e arrendados a outras entidades no ano inventariado, não incluídas nos Âmbitos 1 e 2 da organização inventariante.
A contabilização das emissões do bem arrendado está relacionada ao tipo de arrendamento e à abordagem de consolidação adotada nos limites organizacionais.
</t>
        </r>
        <r>
          <rPr>
            <b/>
            <sz val="10"/>
            <color indexed="81"/>
            <rFont val="Calibri Light"/>
            <family val="2"/>
          </rPr>
          <t xml:space="preserve">
Exemplos:</t>
        </r>
        <r>
          <rPr>
            <sz val="10"/>
            <color indexed="81"/>
            <rFont val="Calibri Light"/>
            <family val="2"/>
          </rPr>
          <t xml:space="preserve">
Empresa de aluguer de máquinas: emissões de Âmbitos 1 e 2 resultantes da operação dos bens alugados a terceiros.
Empresa que aluga prédios ou salas comerciais: emissões de Âmbitos 1 e 2 resultantes da utilização desses espaços pela empresa arrendatária
</t>
        </r>
      </text>
    </comment>
    <comment ref="E154" authorId="0" shapeId="0">
      <text>
        <r>
          <rPr>
            <b/>
            <sz val="10"/>
            <color indexed="81"/>
            <rFont val="Calibri Light"/>
            <family val="2"/>
          </rPr>
          <t xml:space="preserve">Categoria 14 - Franquias/ Franchisings
Descrição da categoria:
</t>
        </r>
        <r>
          <rPr>
            <sz val="10"/>
            <color indexed="81"/>
            <rFont val="Calibri Light"/>
            <family val="2"/>
          </rPr>
          <t xml:space="preserve">Emissões das operações de franquias/ franchisings no ano inventariado, não inclusas nos Âmbitos 1 e 2 da organização inventariante (franqueador).
</t>
        </r>
        <r>
          <rPr>
            <b/>
            <sz val="10"/>
            <color indexed="81"/>
            <rFont val="Calibri Light"/>
            <family val="2"/>
          </rPr>
          <t>Exemplo:</t>
        </r>
        <r>
          <rPr>
            <sz val="10"/>
            <color indexed="81"/>
            <rFont val="Calibri Light"/>
            <family val="2"/>
          </rPr>
          <t xml:space="preserve">
Rede de franchisings: emissões dos Âmbitos 1 e 2 da operação dos franchisings devem ser contabilizadas no Âmbito 3 do franqueador</t>
        </r>
        <r>
          <rPr>
            <b/>
            <sz val="9"/>
            <color indexed="81"/>
            <rFont val="Tahoma"/>
            <family val="2"/>
          </rPr>
          <t xml:space="preserve">
</t>
        </r>
      </text>
    </comment>
    <comment ref="G154" authorId="0" shapeId="0">
      <text>
        <r>
          <rPr>
            <b/>
            <sz val="10"/>
            <color indexed="81"/>
            <rFont val="Calibri Light"/>
            <family val="2"/>
          </rPr>
          <t xml:space="preserve">Categoria 15 - Investimentos
Descrição da categoria:
</t>
        </r>
        <r>
          <rPr>
            <sz val="10"/>
            <color indexed="81"/>
            <rFont val="Calibri Light"/>
            <family val="2"/>
          </rPr>
          <t>Emissões das operações de investimentos (incluindo investimentos de capital, investimento de dívida e financiamento de projetos) no ano inventariado, não incluídas nos Âmbitos 1 e 2</t>
        </r>
        <r>
          <rPr>
            <sz val="9"/>
            <color indexed="81"/>
            <rFont val="Tahoma"/>
            <family val="2"/>
          </rPr>
          <t xml:space="preserve">
</t>
        </r>
      </text>
    </comment>
  </commentList>
</comments>
</file>

<file path=xl/comments5.xml><?xml version="1.0" encoding="utf-8"?>
<comments xmlns="http://schemas.openxmlformats.org/spreadsheetml/2006/main">
  <authors>
    <author>RV</author>
    <author>Ricardo</author>
  </authors>
  <commentList>
    <comment ref="B14" authorId="0" shapeId="0">
      <text>
        <r>
          <rPr>
            <b/>
            <sz val="8"/>
            <color indexed="81"/>
            <rFont val="Tahoma"/>
            <family val="2"/>
          </rPr>
          <t xml:space="preserve">GRI 305-1b
GRI 305-2b
GRI 305-3b
</t>
        </r>
      </text>
    </comment>
    <comment ref="F52" authorId="0" shapeId="0">
      <text>
        <r>
          <rPr>
            <b/>
            <sz val="8"/>
            <color indexed="81"/>
            <rFont val="Tahoma"/>
            <family val="2"/>
          </rPr>
          <t>GRI 305-1 a.</t>
        </r>
      </text>
    </comment>
    <comment ref="C59" authorId="1" shapeId="0">
      <text>
        <r>
          <rPr>
            <sz val="10"/>
            <color indexed="81"/>
            <rFont val="Calibri Light"/>
            <family val="2"/>
          </rPr>
          <t>As emissões de CH</t>
        </r>
        <r>
          <rPr>
            <vertAlign val="subscript"/>
            <sz val="10"/>
            <color indexed="81"/>
            <rFont val="Calibri Light"/>
            <family val="2"/>
          </rPr>
          <t>4</t>
        </r>
        <r>
          <rPr>
            <sz val="10"/>
            <color indexed="81"/>
            <rFont val="Calibri Light"/>
            <family val="2"/>
          </rPr>
          <t xml:space="preserve"> e N</t>
        </r>
        <r>
          <rPr>
            <vertAlign val="subscript"/>
            <sz val="10"/>
            <color indexed="81"/>
            <rFont val="Calibri Light"/>
            <family val="2"/>
          </rPr>
          <t>2</t>
        </r>
        <r>
          <rPr>
            <sz val="10"/>
            <color indexed="81"/>
            <rFont val="Calibri Light"/>
            <family val="2"/>
          </rPr>
          <t>O, mesmo quando provenientes de biomassa, devem ser relatadas nos Âmbitos como emissões de GEE e não como emissões de biomassa.</t>
        </r>
      </text>
    </comment>
    <comment ref="D59" authorId="1" shapeId="0">
      <text>
        <r>
          <rPr>
            <sz val="10"/>
            <color indexed="81"/>
            <rFont val="Calibri Light"/>
            <family val="2"/>
          </rPr>
          <t>As emissões de CH4 e N2O, mesmo quando provenientes de biomassa, devem ser relatadas nos Âmbitos como emissões de GEE e não como emissões de biomassa.</t>
        </r>
      </text>
    </comment>
    <comment ref="E59" authorId="1" shapeId="0">
      <text>
        <r>
          <rPr>
            <sz val="10"/>
            <color indexed="81"/>
            <rFont val="Calibri Light"/>
            <family val="2"/>
          </rPr>
          <t>As emissões de CH4 e N2O, mesmo quando provenientes de biomassa, devem ser relatadas nos Âmbitos como emissões de GEE e não como emissões de biomassa.</t>
        </r>
      </text>
    </comment>
    <comment ref="F59" authorId="1" shapeId="0">
      <text>
        <r>
          <rPr>
            <sz val="10"/>
            <color indexed="81"/>
            <rFont val="Calibri Light"/>
            <family val="2"/>
          </rPr>
          <t>As emissões de CH4 e N2O, mesmo quando provenientes de biomassa, devem ser relatadas nos Âmbitos como emissões de GEE e não como emissões de biomassa.</t>
        </r>
      </text>
    </comment>
    <comment ref="C60" authorId="1" shapeId="0">
      <text>
        <r>
          <rPr>
            <sz val="10"/>
            <color indexed="81"/>
            <rFont val="Calibri Light"/>
            <family val="2"/>
          </rPr>
          <t>As emissões de CH</t>
        </r>
        <r>
          <rPr>
            <vertAlign val="subscript"/>
            <sz val="10"/>
            <color indexed="81"/>
            <rFont val="Calibri Light"/>
            <family val="2"/>
          </rPr>
          <t>4</t>
        </r>
        <r>
          <rPr>
            <sz val="10"/>
            <color indexed="81"/>
            <rFont val="Calibri Light"/>
            <family val="2"/>
          </rPr>
          <t xml:space="preserve"> e N</t>
        </r>
        <r>
          <rPr>
            <vertAlign val="subscript"/>
            <sz val="10"/>
            <color indexed="81"/>
            <rFont val="Calibri Light"/>
            <family val="2"/>
          </rPr>
          <t>2</t>
        </r>
        <r>
          <rPr>
            <sz val="10"/>
            <color indexed="81"/>
            <rFont val="Calibri Light"/>
            <family val="2"/>
          </rPr>
          <t>O, mesmo quando provenientes de biomassa, devem ser relatadas nos Âmbitos como emissões de GEE e não como emissões de biomassa.</t>
        </r>
      </text>
    </comment>
    <comment ref="D60" authorId="1" shapeId="0">
      <text>
        <r>
          <rPr>
            <sz val="10"/>
            <color indexed="81"/>
            <rFont val="Calibri Light"/>
            <family val="2"/>
          </rPr>
          <t>As emissões de CH4 e N2O, mesmo quando provenientes de biomassa, devem ser relatadas nos Âmbitos como emissões de GEE e não como emissões de biomassa.</t>
        </r>
      </text>
    </comment>
    <comment ref="E60" authorId="1" shapeId="0">
      <text>
        <r>
          <rPr>
            <sz val="10"/>
            <color indexed="81"/>
            <rFont val="Calibri Light"/>
            <family val="2"/>
          </rPr>
          <t>As emissões de CH4 e N2O, mesmo quando provenientes de biomassa, devem ser relatadas nos Âmbitos como emissões de GEE e não como emissões de biomassa.</t>
        </r>
      </text>
    </comment>
    <comment ref="F60" authorId="1" shapeId="0">
      <text>
        <r>
          <rPr>
            <sz val="10"/>
            <color indexed="81"/>
            <rFont val="Calibri Light"/>
            <family val="2"/>
          </rPr>
          <t>As emissões de CH4 e N2O, mesmo quando provenientes de biomassa, devem ser relatadas nos Âmbitos como emissões de GEE e não como emissões de biomassa.</t>
        </r>
      </text>
    </comment>
    <comment ref="C65" authorId="0" shapeId="0">
      <text>
        <r>
          <rPr>
            <b/>
            <sz val="8"/>
            <color indexed="81"/>
            <rFont val="Tahoma"/>
            <family val="2"/>
          </rPr>
          <t>GRI 305-1c.</t>
        </r>
        <r>
          <rPr>
            <sz val="8"/>
            <color indexed="81"/>
            <rFont val="Tahoma"/>
            <family val="2"/>
          </rPr>
          <t xml:space="preserve">
</t>
        </r>
      </text>
    </comment>
  </commentList>
</comments>
</file>

<file path=xl/comments6.xml><?xml version="1.0" encoding="utf-8"?>
<comments xmlns="http://schemas.openxmlformats.org/spreadsheetml/2006/main">
  <authors>
    <author>Ricardo Mattos e Dinato</author>
    <author>Ricardo S. Vieira</author>
    <author>EcoAct2</author>
  </authors>
  <commentList>
    <comment ref="C16" authorId="0" shapeId="0">
      <text>
        <r>
          <rPr>
            <sz val="10"/>
            <color indexed="81"/>
            <rFont val="Calibri Light"/>
            <family val="2"/>
          </rPr>
          <t>A lista de combustíveis foi elaborada com base no Despacho n.º 17313/2008 e IPCC 2006.</t>
        </r>
      </text>
    </comment>
    <comment ref="D16" authorId="0" shapeId="0">
      <text>
        <r>
          <rPr>
            <sz val="10"/>
            <color indexed="81"/>
            <rFont val="Calibri Light"/>
            <family val="2"/>
          </rPr>
          <t>Esta coluna aponta a relação entre o combustível utilizado e o combustível correspondente adotado em IPCC (2006).</t>
        </r>
      </text>
    </comment>
    <comment ref="L37" authorId="1" shapeId="0">
      <text>
        <r>
          <rPr>
            <sz val="8"/>
            <color indexed="81"/>
            <rFont val="Tahoma"/>
            <family val="2"/>
          </rPr>
          <t xml:space="preserve">
Valor estimado com base no Despacho n.º 17313/2008
</t>
        </r>
      </text>
    </comment>
    <comment ref="C58" authorId="0" shapeId="0">
      <text>
        <r>
          <rPr>
            <sz val="10"/>
            <color indexed="81"/>
            <rFont val="Calibri Light"/>
            <family val="2"/>
          </rPr>
          <t>A lista de combustíveis foi elaborada com base no Despacho n.º 17313/2008 e IPCC 2006.</t>
        </r>
      </text>
    </comment>
    <comment ref="D58" authorId="0" shapeId="0">
      <text>
        <r>
          <rPr>
            <sz val="10"/>
            <color indexed="81"/>
            <rFont val="Calibri Light"/>
            <family val="2"/>
          </rPr>
          <t>Esta coluna aponta a relação entre o combustível utilizado e o combustível mais próximo existente em IPCC 2006.</t>
        </r>
      </text>
    </comment>
    <comment ref="H82" authorId="0" shapeId="0">
      <text>
        <r>
          <rPr>
            <sz val="10"/>
            <color indexed="81"/>
            <rFont val="Calibri Light"/>
            <family val="2"/>
          </rPr>
          <t>IPCC (2006)</t>
        </r>
      </text>
    </comment>
    <comment ref="I82" authorId="0" shapeId="0">
      <text>
        <r>
          <rPr>
            <sz val="10"/>
            <color indexed="81"/>
            <rFont val="Calibri Light"/>
            <family val="2"/>
          </rPr>
          <t>Fonte: IPCC (2006)</t>
        </r>
      </text>
    </comment>
    <comment ref="J82" authorId="0" shapeId="0">
      <text>
        <r>
          <rPr>
            <sz val="10"/>
            <color indexed="81"/>
            <rFont val="Calibri Light"/>
            <family val="2"/>
          </rPr>
          <t>Fonte: IPCC (2006)</t>
        </r>
      </text>
    </comment>
    <comment ref="H87" authorId="0" shapeId="0">
      <text>
        <r>
          <rPr>
            <sz val="10"/>
            <color indexed="81"/>
            <rFont val="Calibri Light"/>
            <family val="2"/>
          </rPr>
          <t>IPCC (2006)</t>
        </r>
      </text>
    </comment>
    <comment ref="I87" authorId="0" shapeId="0">
      <text>
        <r>
          <rPr>
            <sz val="10"/>
            <color indexed="81"/>
            <rFont val="Calibri Light"/>
            <family val="2"/>
          </rPr>
          <t>Fonte: IPCC (2006)</t>
        </r>
      </text>
    </comment>
    <comment ref="J87" authorId="0" shapeId="0">
      <text>
        <r>
          <rPr>
            <sz val="10"/>
            <color indexed="81"/>
            <rFont val="Calibri Light"/>
            <family val="2"/>
          </rPr>
          <t>Fonte: IPCC (2006)</t>
        </r>
      </text>
    </comment>
    <comment ref="H91" authorId="0" shapeId="0">
      <text>
        <r>
          <rPr>
            <sz val="10"/>
            <color indexed="81"/>
            <rFont val="Calibri Light"/>
            <family val="2"/>
          </rPr>
          <t xml:space="preserve">IPCC (2006) </t>
        </r>
      </text>
    </comment>
    <comment ref="I91" authorId="0" shapeId="0">
      <text>
        <r>
          <rPr>
            <sz val="10"/>
            <color indexed="81"/>
            <rFont val="Calibri Light"/>
            <family val="2"/>
          </rPr>
          <t>Fonte: IPCC (2006)</t>
        </r>
      </text>
    </comment>
    <comment ref="J91" authorId="0" shapeId="0">
      <text>
        <r>
          <rPr>
            <sz val="10"/>
            <color indexed="81"/>
            <rFont val="Calibri Light"/>
            <family val="2"/>
          </rPr>
          <t>Fonte: IPCC (2006)</t>
        </r>
      </text>
    </comment>
    <comment ref="H92" authorId="0" shapeId="0">
      <text>
        <r>
          <rPr>
            <sz val="10"/>
            <color indexed="81"/>
            <rFont val="Calibri Light"/>
            <family val="2"/>
          </rPr>
          <t>Fonte: IPCC (2006)</t>
        </r>
      </text>
    </comment>
    <comment ref="I92" authorId="0" shapeId="0">
      <text>
        <r>
          <rPr>
            <sz val="10"/>
            <color indexed="81"/>
            <rFont val="Calibri Light"/>
            <family val="2"/>
          </rPr>
          <t>Fonte: IPCC (2006)</t>
        </r>
      </text>
    </comment>
    <comment ref="J92" authorId="0" shapeId="0">
      <text>
        <r>
          <rPr>
            <sz val="10"/>
            <color indexed="81"/>
            <rFont val="Calibri Light"/>
            <family val="2"/>
          </rPr>
          <t>Fonte: IPCC (2006)</t>
        </r>
      </text>
    </comment>
    <comment ref="E93" authorId="1" shapeId="0">
      <text>
        <r>
          <rPr>
            <sz val="8"/>
            <color indexed="81"/>
            <rFont val="Tahoma"/>
            <family val="2"/>
          </rPr>
          <t>MJ/kg</t>
        </r>
      </text>
    </comment>
    <comment ref="H93" authorId="0" shapeId="0">
      <text>
        <r>
          <rPr>
            <sz val="10"/>
            <color indexed="81"/>
            <rFont val="Calibri Light"/>
            <family val="2"/>
          </rPr>
          <t>Kg/GJ</t>
        </r>
      </text>
    </comment>
    <comment ref="I93" authorId="0" shapeId="0">
      <text>
        <r>
          <rPr>
            <sz val="10"/>
            <color indexed="81"/>
            <rFont val="Calibri Light"/>
            <family val="2"/>
          </rPr>
          <t>Fonte: MCT (2010)</t>
        </r>
      </text>
    </comment>
    <comment ref="J93" authorId="0" shapeId="0">
      <text>
        <r>
          <rPr>
            <sz val="10"/>
            <color indexed="81"/>
            <rFont val="Calibri Light"/>
            <family val="2"/>
          </rPr>
          <t>Fonte: MCT (2010)</t>
        </r>
      </text>
    </comment>
    <comment ref="I94" authorId="0" shapeId="0">
      <text>
        <r>
          <rPr>
            <sz val="10"/>
            <color indexed="81"/>
            <rFont val="Calibri Light"/>
            <family val="2"/>
          </rPr>
          <t>Fonte: MCT (2010)</t>
        </r>
      </text>
    </comment>
    <comment ref="J94" authorId="0" shapeId="0">
      <text>
        <r>
          <rPr>
            <sz val="10"/>
            <color indexed="81"/>
            <rFont val="Calibri Light"/>
            <family val="2"/>
          </rPr>
          <t>Fonte: MCT (2010)</t>
        </r>
      </text>
    </comment>
    <comment ref="H95" authorId="0" shapeId="0">
      <text>
        <r>
          <rPr>
            <sz val="10"/>
            <color indexed="81"/>
            <rFont val="Calibri Light"/>
            <family val="2"/>
          </rPr>
          <t>Fonte: IPCC (2006)</t>
        </r>
      </text>
    </comment>
    <comment ref="I95" authorId="0" shapeId="0">
      <text>
        <r>
          <rPr>
            <sz val="10"/>
            <color indexed="81"/>
            <rFont val="Calibri Light"/>
            <family val="2"/>
          </rPr>
          <t>Valor extrapolado.</t>
        </r>
      </text>
    </comment>
    <comment ref="J95" authorId="0" shapeId="0">
      <text>
        <r>
          <rPr>
            <sz val="10"/>
            <color indexed="81"/>
            <rFont val="Calibri Light"/>
            <family val="2"/>
          </rPr>
          <t>Valor extrapolado.</t>
        </r>
      </text>
    </comment>
    <comment ref="I97" authorId="0" shapeId="0">
      <text>
        <r>
          <rPr>
            <sz val="10"/>
            <color indexed="81"/>
            <rFont val="Calibri Light"/>
            <family val="2"/>
          </rPr>
          <t>Valor extrapolado.</t>
        </r>
      </text>
    </comment>
    <comment ref="J97" authorId="0" shapeId="0">
      <text>
        <r>
          <rPr>
            <sz val="10"/>
            <color indexed="81"/>
            <rFont val="Calibri Light"/>
            <family val="2"/>
          </rPr>
          <t>Valor extrapolado.</t>
        </r>
      </text>
    </comment>
    <comment ref="H102" authorId="0" shapeId="0">
      <text>
        <r>
          <rPr>
            <sz val="10"/>
            <color indexed="81"/>
            <rFont val="Calibri Light"/>
            <family val="2"/>
          </rPr>
          <t>Fonte: IPCC (2006)</t>
        </r>
      </text>
    </comment>
    <comment ref="I102" authorId="0" shapeId="0">
      <text>
        <r>
          <rPr>
            <sz val="10"/>
            <color indexed="81"/>
            <rFont val="Calibri Light"/>
            <family val="2"/>
          </rPr>
          <t>Fonte: IPCC (2006)</t>
        </r>
      </text>
    </comment>
    <comment ref="J102" authorId="0" shapeId="0">
      <text>
        <r>
          <rPr>
            <sz val="10"/>
            <color indexed="81"/>
            <rFont val="Calibri Light"/>
            <family val="2"/>
          </rPr>
          <t>Valor extrapolado.</t>
        </r>
      </text>
    </comment>
    <comment ref="H103" authorId="0" shapeId="0">
      <text>
        <r>
          <rPr>
            <sz val="10"/>
            <color indexed="81"/>
            <rFont val="Calibri Light"/>
            <family val="2"/>
          </rPr>
          <t>Fonte: IPCC (2006)</t>
        </r>
      </text>
    </comment>
    <comment ref="I103" authorId="0" shapeId="0">
      <text>
        <r>
          <rPr>
            <sz val="10"/>
            <color indexed="81"/>
            <rFont val="Calibri Light"/>
            <family val="2"/>
          </rPr>
          <t>Valor extrapolado.</t>
        </r>
      </text>
    </comment>
    <comment ref="J103" authorId="0" shapeId="0">
      <text>
        <r>
          <rPr>
            <sz val="10"/>
            <color indexed="81"/>
            <rFont val="Calibri Light"/>
            <family val="2"/>
          </rPr>
          <t>Valor extrapolado.</t>
        </r>
      </text>
    </comment>
    <comment ref="H104" authorId="0" shapeId="0">
      <text>
        <r>
          <rPr>
            <sz val="10"/>
            <color indexed="81"/>
            <rFont val="Calibri Light"/>
            <family val="2"/>
          </rPr>
          <t>Fonte: MMA (2014)</t>
        </r>
      </text>
    </comment>
    <comment ref="I104" authorId="0" shapeId="0">
      <text>
        <r>
          <rPr>
            <sz val="10"/>
            <color indexed="81"/>
            <rFont val="Calibri Light"/>
            <family val="2"/>
          </rPr>
          <t>Valor extrapolado.</t>
        </r>
      </text>
    </comment>
    <comment ref="J104" authorId="0" shapeId="0">
      <text>
        <r>
          <rPr>
            <sz val="10"/>
            <color indexed="81"/>
            <rFont val="Calibri Light"/>
            <family val="2"/>
          </rPr>
          <t>Valor extrapolado.</t>
        </r>
      </text>
    </comment>
    <comment ref="D225" authorId="2" shapeId="0">
      <text>
        <r>
          <rPr>
            <sz val="10"/>
            <color indexed="81"/>
            <rFont val="Calibri Light"/>
            <family val="2"/>
          </rPr>
          <t>Para efeito de ajuste do método, é necessário acrescentar à distância do círculo máximo a ser calculada, para contabilizar imperfeições nas rotas
(multiplicar distância entre as cidades por 1,08).</t>
        </r>
      </text>
    </comment>
  </commentList>
</comments>
</file>

<file path=xl/sharedStrings.xml><?xml version="1.0" encoding="utf-8"?>
<sst xmlns="http://schemas.openxmlformats.org/spreadsheetml/2006/main" count="6173" uniqueCount="2322">
  <si>
    <t>Emissões de totais por incineração</t>
  </si>
  <si>
    <t>ocultar</t>
  </si>
  <si>
    <t>Descrição do Processo Industrial</t>
  </si>
  <si>
    <t>Transporte aéreo</t>
  </si>
  <si>
    <t>Orientações gerais:</t>
  </si>
  <si>
    <t>Quantidade Emitida (kg)</t>
  </si>
  <si>
    <t>Densidade</t>
  </si>
  <si>
    <t>Poder Calorífico Inferior</t>
  </si>
  <si>
    <t>(kcal/kg)</t>
  </si>
  <si>
    <t>(kg/unidade)</t>
  </si>
  <si>
    <t>m³</t>
  </si>
  <si>
    <t>Litros</t>
  </si>
  <si>
    <t>Etanol Anidro</t>
  </si>
  <si>
    <t>Consumo anual</t>
  </si>
  <si>
    <t xml:space="preserve">Poder calorífico inferior </t>
  </si>
  <si>
    <t>Consumo de combustível</t>
  </si>
  <si>
    <t>Toneladas</t>
  </si>
  <si>
    <t xml:space="preserve">      </t>
  </si>
  <si>
    <t>Nº ref.</t>
  </si>
  <si>
    <t>Quantidade consumida</t>
  </si>
  <si>
    <t>Passo 2.    Indique a quantidade total de combustível consumido para cada unidade, local, ou ponto (de acordo com o tipo de combustível) na Tabela 1.</t>
  </si>
  <si>
    <t>Transporte ferroviário</t>
  </si>
  <si>
    <t>Temperatura</t>
  </si>
  <si>
    <t>CH4 recuperado</t>
  </si>
  <si>
    <t>&gt;20</t>
  </si>
  <si>
    <t>≤20</t>
  </si>
  <si>
    <t>&lt;1.000</t>
  </si>
  <si>
    <t>[t/ano]</t>
  </si>
  <si>
    <t>B - Resíduos têxteis</t>
  </si>
  <si>
    <t>C - Resíduos alimentares</t>
  </si>
  <si>
    <t>D - Madeira</t>
  </si>
  <si>
    <t>F - Fraldas</t>
  </si>
  <si>
    <t>G - Borracha e couro</t>
  </si>
  <si>
    <t>[%]</t>
  </si>
  <si>
    <t>DOC - Carbono Orgânico Degradável no ano</t>
  </si>
  <si>
    <t>[tC/tMSW]</t>
  </si>
  <si>
    <t>A</t>
  </si>
  <si>
    <t>B</t>
  </si>
  <si>
    <t>C</t>
  </si>
  <si>
    <t>D</t>
  </si>
  <si>
    <t>E</t>
  </si>
  <si>
    <t>Classificação para cada ano (A, B, C, D ou E)</t>
  </si>
  <si>
    <t xml:space="preserve">Metano recuperado do aterro </t>
  </si>
  <si>
    <t xml:space="preserve">No ano do inventário, qual o destino do biogás recuperado? </t>
  </si>
  <si>
    <t>Concentração do Biogás</t>
  </si>
  <si>
    <t>Massa de resíduo* destinado à compostagem</t>
  </si>
  <si>
    <t>Incineração</t>
  </si>
  <si>
    <t>Tipos de tratamento</t>
  </si>
  <si>
    <t>MCF</t>
  </si>
  <si>
    <t>Fossa séptica</t>
  </si>
  <si>
    <t>Quantidade de efluente líquido gerada no ano do inventário</t>
  </si>
  <si>
    <t xml:space="preserve"> [m³/ano]</t>
  </si>
  <si>
    <t>[kgN/ano]</t>
  </si>
  <si>
    <t xml:space="preserve">     (B) Existem duas Opções de cálculo (na ordem de precisão) para estimativa das emissões referentes a instalação, operação, manutenção e disposição final do equipamento:</t>
  </si>
  <si>
    <t>Anos</t>
  </si>
  <si>
    <t>Fator de correção de metano (MCF)</t>
  </si>
  <si>
    <t>Fator de oxidação (OX)</t>
  </si>
  <si>
    <t>Geração de energia</t>
  </si>
  <si>
    <t>k=</t>
  </si>
  <si>
    <t xml:space="preserve">A=Fator de normalização de soma = (1-e(-k))/k = </t>
  </si>
  <si>
    <t>O IPCC(2006) sugere como default 0,5</t>
  </si>
  <si>
    <t>16/12 [adimensional]=</t>
  </si>
  <si>
    <t>F [adimensional]=</t>
  </si>
  <si>
    <t>Decomposição da matéria orgânica no tempo:</t>
  </si>
  <si>
    <t>Emissões por ano:</t>
  </si>
  <si>
    <t>Compostagem anaeróbica</t>
  </si>
  <si>
    <t>Descrição da fonte</t>
  </si>
  <si>
    <t>Gás Natural Veicular (GNV)</t>
  </si>
  <si>
    <t>Fatores de Emissão</t>
  </si>
  <si>
    <t>Óleo de Xisto</t>
  </si>
  <si>
    <t>Etano</t>
  </si>
  <si>
    <t>Nafta</t>
  </si>
  <si>
    <t>Lubrificantes</t>
  </si>
  <si>
    <t>Gás de Refinaria</t>
  </si>
  <si>
    <t>Referência</t>
  </si>
  <si>
    <t>Fonte</t>
  </si>
  <si>
    <t>HFCs</t>
  </si>
  <si>
    <t>PFCs</t>
  </si>
  <si>
    <t>Total</t>
  </si>
  <si>
    <t>Gás Liquefeito de Petróleo (GLP)</t>
  </si>
  <si>
    <t>TJ</t>
  </si>
  <si>
    <t>Carvão Vegetal</t>
  </si>
  <si>
    <t>Turfa</t>
  </si>
  <si>
    <t>Gasolina de Aviação</t>
  </si>
  <si>
    <t>Distância aérea</t>
  </si>
  <si>
    <t>HFC-23</t>
  </si>
  <si>
    <t>HFC-32</t>
  </si>
  <si>
    <t>HFC-125</t>
  </si>
  <si>
    <t>HFC-134a</t>
  </si>
  <si>
    <t>2006 IPCC Guidelines for National Greenhouse Gas Inventories:</t>
  </si>
  <si>
    <t>Chapter 2: Stationary Combustion</t>
  </si>
  <si>
    <t>Chapter 3: Mobile Combustion</t>
  </si>
  <si>
    <t>-</t>
  </si>
  <si>
    <t>Registro</t>
  </si>
  <si>
    <t>da Fonte</t>
  </si>
  <si>
    <t>Combustível</t>
  </si>
  <si>
    <t>Unidades</t>
  </si>
  <si>
    <t>Observações</t>
  </si>
  <si>
    <t>Gás</t>
  </si>
  <si>
    <t>Transferida</t>
  </si>
  <si>
    <t>Capacidade</t>
  </si>
  <si>
    <t>Emissões</t>
  </si>
  <si>
    <t>Unidades Novas</t>
  </si>
  <si>
    <t>Unidades Existentes</t>
  </si>
  <si>
    <t>Unidades Dispensadas</t>
  </si>
  <si>
    <t>Carga</t>
  </si>
  <si>
    <t>Recarga</t>
  </si>
  <si>
    <t>HFC-143a</t>
  </si>
  <si>
    <t>HFC-152a</t>
  </si>
  <si>
    <t>HFC-236fa</t>
  </si>
  <si>
    <t>GWP</t>
  </si>
  <si>
    <t>Volume</t>
  </si>
  <si>
    <t>1 megajoule (MJ)</t>
  </si>
  <si>
    <t>1 gigajoule (GJ)</t>
  </si>
  <si>
    <t>1 Btu (Btu)</t>
  </si>
  <si>
    <t>(kg)</t>
  </si>
  <si>
    <t>Orientações</t>
  </si>
  <si>
    <t>Unidades em</t>
  </si>
  <si>
    <t>Operação</t>
  </si>
  <si>
    <t>Dispensadas</t>
  </si>
  <si>
    <t>Refrigeração Residencial</t>
  </si>
  <si>
    <t>Comercial Individual</t>
  </si>
  <si>
    <t>http://www.anp.gov.br/</t>
  </si>
  <si>
    <t>Agência Nacional do Petróleo, Gás Natural e Biocombustíveis</t>
  </si>
  <si>
    <t>Orientações:</t>
  </si>
  <si>
    <t>Tabela 1.  Fontes Estacionárias de Combustão</t>
  </si>
  <si>
    <t>Observações:</t>
  </si>
  <si>
    <t>Refrigeração Industrial</t>
  </si>
  <si>
    <t>Frigoríficos</t>
  </si>
  <si>
    <t>Ar Condicionado de Carros</t>
  </si>
  <si>
    <t>Unidades de refrigeração de transporte (capacidade: 3 a 8 kg)</t>
  </si>
  <si>
    <t>Recuperada</t>
  </si>
  <si>
    <t>Tipo de Equipamento</t>
  </si>
  <si>
    <t>Descrição da Fonte</t>
  </si>
  <si>
    <t>1 barril (bbl)</t>
  </si>
  <si>
    <t>1 milha terrestre</t>
  </si>
  <si>
    <t>1 milha náutica</t>
  </si>
  <si>
    <t>Outros</t>
  </si>
  <si>
    <t>Distância</t>
  </si>
  <si>
    <t>Energia</t>
  </si>
  <si>
    <t>42 galões americanos (gal)</t>
  </si>
  <si>
    <t>Massa</t>
  </si>
  <si>
    <t>Ano do inventário:</t>
  </si>
  <si>
    <t>Unidade</t>
  </si>
  <si>
    <t>Etanol</t>
  </si>
  <si>
    <t>Ano</t>
  </si>
  <si>
    <t>exemplo</t>
  </si>
  <si>
    <t>R-401A</t>
  </si>
  <si>
    <t>R-401B</t>
  </si>
  <si>
    <t>R-401C</t>
  </si>
  <si>
    <t>R-402A</t>
  </si>
  <si>
    <t>R-402B</t>
  </si>
  <si>
    <t>R-403A</t>
  </si>
  <si>
    <t>R-403B</t>
  </si>
  <si>
    <t>R-404A</t>
  </si>
  <si>
    <t>R-406A</t>
  </si>
  <si>
    <t>R-407A</t>
  </si>
  <si>
    <t>R-407B</t>
  </si>
  <si>
    <t>R-407C</t>
  </si>
  <si>
    <t>R-407D</t>
  </si>
  <si>
    <t>R-407E</t>
  </si>
  <si>
    <t>R-408A</t>
  </si>
  <si>
    <t>R-409A</t>
  </si>
  <si>
    <t>R-409B</t>
  </si>
  <si>
    <t>R-410A</t>
  </si>
  <si>
    <t>R-410B</t>
  </si>
  <si>
    <t>R-411A</t>
  </si>
  <si>
    <t>R-411B</t>
  </si>
  <si>
    <t>R-412A</t>
  </si>
  <si>
    <t>R-413A</t>
  </si>
  <si>
    <t>R-414A</t>
  </si>
  <si>
    <t>R-414B</t>
  </si>
  <si>
    <t>R-415A</t>
  </si>
  <si>
    <t>R-415B</t>
  </si>
  <si>
    <t>R-416A</t>
  </si>
  <si>
    <t>R-417A</t>
  </si>
  <si>
    <t>R-418A</t>
  </si>
  <si>
    <t>R-419A</t>
  </si>
  <si>
    <t>R-420A</t>
  </si>
  <si>
    <t>R-500</t>
  </si>
  <si>
    <t>R-501</t>
  </si>
  <si>
    <t>R-502</t>
  </si>
  <si>
    <t>R-503</t>
  </si>
  <si>
    <t>R-504</t>
  </si>
  <si>
    <t>R-505</t>
  </si>
  <si>
    <t>R-506</t>
  </si>
  <si>
    <t>R-508A</t>
  </si>
  <si>
    <t>R-508B</t>
  </si>
  <si>
    <t>E = Emissões</t>
  </si>
  <si>
    <t>T = Quantidade</t>
  </si>
  <si>
    <t>MC = Mudança de</t>
  </si>
  <si>
    <t>Transporte rodoviário</t>
  </si>
  <si>
    <t xml:space="preserve">                  - As unidades corretas para a "Quantidade consumida" aparecem automaticamente na coluna "Unidades". Não altere tais unidades. Se necessário, converta o dado de</t>
  </si>
  <si>
    <t xml:space="preserve">                 consumo para coincidir com as unidades apresentadas.</t>
  </si>
  <si>
    <t xml:space="preserve">                  - Observe o exemplo na primeira linha de cada tabela (Itálico e vermelho). Não preencha essa linha.</t>
  </si>
  <si>
    <t>Legenda de cores</t>
  </si>
  <si>
    <t>3.1</t>
  </si>
  <si>
    <t>3.3</t>
  </si>
  <si>
    <t>3.2</t>
  </si>
  <si>
    <t>Tabela 2. Fatores de emissão por utilização de biomassa como combustível</t>
  </si>
  <si>
    <t>Tabela 3. Fatores de emissão por utilização de combustíveis fósseis em fontes móveis</t>
  </si>
  <si>
    <t>Tabela 4. Fatores de emissão por utilização biocombustível em fontes móveis</t>
  </si>
  <si>
    <t>Referência bibliográfica</t>
  </si>
  <si>
    <t>Citação na ferramenta</t>
  </si>
  <si>
    <t xml:space="preserve">        - Direct HFC and PFC Emissions from Use of Refrigeration and Air Conditioning Equipment (maio de 2008), Climate Leaders, EPA.</t>
  </si>
  <si>
    <t xml:space="preserve">        - Calculating HFC and PFC Emissions from the Manufacturing, Installation, Operation and Disposal of Refrigeration &amp; Air-conditioning Equipment (Version 1.0) (Janeiro 2005),GHG Protocol, WRI.</t>
  </si>
  <si>
    <t>Gás de Efeito Estufa</t>
  </si>
  <si>
    <t>Carga das Unidades Novas</t>
  </si>
  <si>
    <t>Fundição de Alumínio</t>
  </si>
  <si>
    <t>Tabela 1.  Relato de Emissões de Processos Industriais</t>
  </si>
  <si>
    <t>Passo 2.    Outros elementos</t>
  </si>
  <si>
    <t>Emissões totais do tratamento de resíduos sólidos</t>
  </si>
  <si>
    <t>Escolha o tipo de tratamento aplicado ao efluente</t>
  </si>
  <si>
    <t>São aplicados, sequencialmente, dois tipos de tratamentos anaeróbicos ao efluente gerado?</t>
  </si>
  <si>
    <t>Tratamento sequencial</t>
  </si>
  <si>
    <t>Sim</t>
  </si>
  <si>
    <t>Não</t>
  </si>
  <si>
    <t>Passo 6.    Dados da geração de efluentes líquidos</t>
  </si>
  <si>
    <t>Passo 7.    Dados da composição orgânica do efluente</t>
  </si>
  <si>
    <t>Passo 3.    Dados da composição orgânica do efluente</t>
  </si>
  <si>
    <t>Passo 4.    Tipo de tratamento aplicado ao efluente</t>
  </si>
  <si>
    <t>Passo 1.    Tratamentos sequenciais aplicados aos efluentes</t>
  </si>
  <si>
    <t>Passo 8.    Segundo tipo de tratamento aplicado ao efluente</t>
  </si>
  <si>
    <t>Quantidade de efluente líquido após a aplicação do primeiro tratamento</t>
  </si>
  <si>
    <t>HFC</t>
  </si>
  <si>
    <t>PFC</t>
  </si>
  <si>
    <t>[listas]</t>
  </si>
  <si>
    <t>: se aterro com profundidade &lt; 5m</t>
  </si>
  <si>
    <t>: se não possui a classificação do aterro</t>
  </si>
  <si>
    <t>Acréscimo para
refletir a rota real</t>
  </si>
  <si>
    <t>1 libra (lb)</t>
  </si>
  <si>
    <t>453,6 gramas (g)</t>
  </si>
  <si>
    <t>100 ft³ de gás natural (scf)</t>
  </si>
  <si>
    <t>Peso molecular de C</t>
  </si>
  <si>
    <t>quilo (k)</t>
  </si>
  <si>
    <t>mega (M)</t>
  </si>
  <si>
    <t>giga (G)</t>
  </si>
  <si>
    <t>tera (T)</t>
  </si>
  <si>
    <t>907,2 quilogramas (kg)</t>
  </si>
  <si>
    <t>0,0238 barril (bbl)</t>
  </si>
  <si>
    <t>0,4536 quilograma (kg)</t>
  </si>
  <si>
    <t>28,32 litros (L)</t>
  </si>
  <si>
    <t>3,785 litros (L)</t>
  </si>
  <si>
    <t>7,4805 galões americanos (gal)</t>
  </si>
  <si>
    <t>1 galão americano (gal)</t>
  </si>
  <si>
    <t>158,9873 litros (L)</t>
  </si>
  <si>
    <t>1 litro (L)</t>
  </si>
  <si>
    <t>1 quilowatt hora (kWh)</t>
  </si>
  <si>
    <t>293 quilowatt horas (kWh)</t>
  </si>
  <si>
    <t>277,8 quilowatt horas (kWh)</t>
  </si>
  <si>
    <t>0,001 gigajoule (GJ)</t>
  </si>
  <si>
    <t>0,9478 milhão de Btu (MMBtu)</t>
  </si>
  <si>
    <t>1,15 milha terrestre</t>
  </si>
  <si>
    <t>Nome do responsável:</t>
  </si>
  <si>
    <t>Data de preenchimento:</t>
  </si>
  <si>
    <t>Tipo de combustível</t>
  </si>
  <si>
    <t>Emissões de processos industriais</t>
  </si>
  <si>
    <t>Emissões fugitivas</t>
  </si>
  <si>
    <t>Fator de emissão por tipo de combustível</t>
  </si>
  <si>
    <t>Fatores de emissão para o setor:</t>
  </si>
  <si>
    <t>1 quilograma (kg)</t>
  </si>
  <si>
    <t xml:space="preserve">                  - Para liberar mais linhas na Ferramenta clique no botão "+" à esquerda da tabela.</t>
  </si>
  <si>
    <t xml:space="preserve">Fatores de Emissão do setor: </t>
  </si>
  <si>
    <t>Composto</t>
  </si>
  <si>
    <t>Família / Tipo</t>
  </si>
  <si>
    <t>- Unidades existentes são todas as outras unidades que não as novas e dispensadas.</t>
  </si>
  <si>
    <t>Exemplo</t>
  </si>
  <si>
    <t>Tabela 3.   Emissões totais de resíduos tratados por incineração</t>
  </si>
  <si>
    <t>Tabela 2.   Emissões totais de resíduos tratados por compostagem no ano inventariado</t>
  </si>
  <si>
    <t>: se aterro com profundidade &gt;= 5m</t>
  </si>
  <si>
    <t>Aterros com classificação desconhecida e que não se encaixe em nenhuma das categorias abaixo.</t>
  </si>
  <si>
    <t>Emissões em toneladas métricas</t>
  </si>
  <si>
    <t>264,2 galões americanos (gal)</t>
  </si>
  <si>
    <t>6,2897 barris (bbl)</t>
  </si>
  <si>
    <t>0,2642 galão americano (gal)</t>
  </si>
  <si>
    <t>0,1730 barril (bbl)</t>
  </si>
  <si>
    <t>Emissões totais por combustão estacionária direta</t>
  </si>
  <si>
    <t>Tabela 3. Emissões totais por combustão estacionária direta</t>
  </si>
  <si>
    <t>Emissões fugitivas totais</t>
  </si>
  <si>
    <t>Resíduos (resíduos sólidos + efluentes)</t>
  </si>
  <si>
    <t>Precipitação</t>
  </si>
  <si>
    <t>Outros materiais inertes</t>
  </si>
  <si>
    <t>HFC (t)</t>
  </si>
  <si>
    <t>PFC (t)</t>
  </si>
  <si>
    <t>Viagens a negócios</t>
  </si>
  <si>
    <t>HFC-41</t>
  </si>
  <si>
    <t>HFC-43-10mee</t>
  </si>
  <si>
    <t>HFC-134</t>
  </si>
  <si>
    <t>HFC-143</t>
  </si>
  <si>
    <t>HFC-152</t>
  </si>
  <si>
    <t>HFC-161</t>
  </si>
  <si>
    <t>HFC-227ea</t>
  </si>
  <si>
    <t>HFC-236cb</t>
  </si>
  <si>
    <t>HFC-236ea</t>
  </si>
  <si>
    <t>HFC-245ca</t>
  </si>
  <si>
    <t>HFC-245fa</t>
  </si>
  <si>
    <t>HFC-365mfc</t>
  </si>
  <si>
    <t>R-509 ou R-509A</t>
  </si>
  <si>
    <t>R-507 ou R-507A</t>
  </si>
  <si>
    <t>Composição do resíduo</t>
  </si>
  <si>
    <t>A / Total       [%]</t>
  </si>
  <si>
    <t>B / Total       [%]</t>
  </si>
  <si>
    <t>C / Total       [%]</t>
  </si>
  <si>
    <t>D / Total       [%]</t>
  </si>
  <si>
    <t>E / Total       [%]</t>
  </si>
  <si>
    <t>F / Total       [%]</t>
  </si>
  <si>
    <t>G / Total      [%]</t>
  </si>
  <si>
    <t>United State Environmental Protection Agency - US EPA</t>
  </si>
  <si>
    <t xml:space="preserve">     Requer dados de quantidade de GEE utilizado para carregar novos equipamentos durante a instalação, para a manutenção do equipamento </t>
  </si>
  <si>
    <t xml:space="preserve">     e a quantidade de GEE recuperada durante o descarte final, além da carga total dos equipamentos novos e descartados.</t>
  </si>
  <si>
    <t>Categoria 1</t>
  </si>
  <si>
    <t>Categoria 2</t>
  </si>
  <si>
    <t>Categoria 3</t>
  </si>
  <si>
    <t>Categoria 4</t>
  </si>
  <si>
    <t>Categoria 5</t>
  </si>
  <si>
    <t>Categoria 6</t>
  </si>
  <si>
    <t>Categoria 7</t>
  </si>
  <si>
    <t>Categoria 8</t>
  </si>
  <si>
    <t>Categoria 9</t>
  </si>
  <si>
    <t>Categoria 10</t>
  </si>
  <si>
    <t>Categoria 11</t>
  </si>
  <si>
    <t>Categoria 12</t>
  </si>
  <si>
    <t>Categoria 13</t>
  </si>
  <si>
    <t>Categoria 14</t>
  </si>
  <si>
    <t>Categoria 15</t>
  </si>
  <si>
    <t>Tabela 1.  Relato de emissões de atividades agrícolas</t>
  </si>
  <si>
    <t>Bens de capital</t>
  </si>
  <si>
    <t>Processamento de produtos vendidos</t>
  </si>
  <si>
    <t>Tratamento de fim de vida dos produtos vendidos</t>
  </si>
  <si>
    <t>Investimentos</t>
  </si>
  <si>
    <t>GEE (t)</t>
  </si>
  <si>
    <t>t GEE</t>
  </si>
  <si>
    <t>Bens e serviços comprados</t>
  </si>
  <si>
    <t>Emissões 
fugitivas</t>
  </si>
  <si>
    <t>Processos 
industriais</t>
  </si>
  <si>
    <t>Eletricidade 
comprada e consumida</t>
  </si>
  <si>
    <t>Caso indicada no Passo 1 a existência de tratamento sequencial, insira os dados para o segundo tipo de tratamento anaeróbico aplicado ao efluente.
Para abrir os campos de inserção de dados para tratamento sequencial, utilize o botão "+" a esquerda.</t>
  </si>
  <si>
    <t>Deslocamento de funcionários 
(casa - trabalho)</t>
  </si>
  <si>
    <t>Selecione</t>
  </si>
  <si>
    <t>Selecione o setor</t>
  </si>
  <si>
    <t>Ano inventariado:</t>
  </si>
  <si>
    <t>(B) Consulte os comentários em cada categoria para uma breve descrição e exemplos.</t>
  </si>
  <si>
    <t>Resíduos gerados nas operações</t>
  </si>
  <si>
    <t>Uso de bens e serviços vendidos</t>
  </si>
  <si>
    <t>Transporte e distribuição 
(downstream)</t>
  </si>
  <si>
    <t>Transporte e distribuição 
(upstream)</t>
  </si>
  <si>
    <t>Nome da organização:</t>
  </si>
  <si>
    <t>Preencha a composição do resíduo gerado pela organização. Preencha apenas para os anos em que houve disposição de resíduos.</t>
  </si>
  <si>
    <t>Resumo das emissões totais de GEE da organização</t>
  </si>
  <si>
    <t>Termo de isenção de responsabilidade</t>
  </si>
  <si>
    <t>https://ben.epe.gov.br/default.aspx</t>
  </si>
  <si>
    <t>Emissões indiretas pela compra de energia elétrica</t>
  </si>
  <si>
    <t>Líquidos de Gás Natural (LGN)</t>
  </si>
  <si>
    <t>Parafina</t>
  </si>
  <si>
    <t>Alcatrão</t>
  </si>
  <si>
    <t>Gás de Coqueria</t>
  </si>
  <si>
    <t>Licor Negro (Lixívia)</t>
  </si>
  <si>
    <t>Petróleo Bruto</t>
  </si>
  <si>
    <t>Querosene de Aviação</t>
  </si>
  <si>
    <t>Querosene Iluminante</t>
  </si>
  <si>
    <t>Óleo Combustível</t>
  </si>
  <si>
    <t>Solventes</t>
  </si>
  <si>
    <t>Coque de Petróleo</t>
  </si>
  <si>
    <t>Xisto Betuminoso e Areias Betuminosas</t>
  </si>
  <si>
    <t>Coque de Carvão Mineral</t>
  </si>
  <si>
    <t>Gás Natural Seco</t>
  </si>
  <si>
    <t>Resíduos Municipais (fração não-biomassa)</t>
  </si>
  <si>
    <t>Resíduos Industriais</t>
  </si>
  <si>
    <t>Óleos Residuais</t>
  </si>
  <si>
    <t>Lenha para Queima Direta</t>
  </si>
  <si>
    <t>Lenha para Carvoejamento</t>
  </si>
  <si>
    <t>Resíduos Vegetais</t>
  </si>
  <si>
    <t>Bagaço de Cana</t>
  </si>
  <si>
    <t>Caldo de Cana</t>
  </si>
  <si>
    <t>Melaço</t>
  </si>
  <si>
    <t>Resíduos Municipais (fração biomassa)</t>
  </si>
  <si>
    <t>Biogás</t>
  </si>
  <si>
    <t>Poder Calorífico
Inferior (PCI)</t>
  </si>
  <si>
    <t>BEN 2012</t>
  </si>
  <si>
    <t>Outros Produtos de Petróleo</t>
  </si>
  <si>
    <t>Carvão Metalúrgico Nacional</t>
  </si>
  <si>
    <t>Carvão Metalúrgico Importado</t>
  </si>
  <si>
    <t>Carvão Vapor 3100 kcal / kg</t>
  </si>
  <si>
    <t>Carvão Vapor 3300 kcal / kg</t>
  </si>
  <si>
    <t>Carvão Vapor 3700 kcal / kg</t>
  </si>
  <si>
    <t>Carvão Vapor 4200 kcal / kg</t>
  </si>
  <si>
    <t>Carvão Vapor 4500 kcal / kg</t>
  </si>
  <si>
    <t>Carvão Vapor 4700 kcal / kg</t>
  </si>
  <si>
    <t>Carvão Vapor 5200 kcal / kg</t>
  </si>
  <si>
    <t>Carvão Vapor 5900 kcal / kg</t>
  </si>
  <si>
    <t>Carvão Vapor 6000 kcal / kg</t>
  </si>
  <si>
    <t>Carvão Vapor sem Especificação</t>
  </si>
  <si>
    <t>Gás Natural Úmido</t>
  </si>
  <si>
    <t>Asfaltos</t>
  </si>
  <si>
    <t>IPCC 2006</t>
  </si>
  <si>
    <t>Coal Tar</t>
  </si>
  <si>
    <t>Bitumen</t>
  </si>
  <si>
    <t>Coking Coal</t>
  </si>
  <si>
    <t>Other Bituminous Coal</t>
  </si>
  <si>
    <t>Coke Oven Coke and Lignite Coke</t>
  </si>
  <si>
    <t>Petroleum Coke</t>
  </si>
  <si>
    <t>Ethane</t>
  </si>
  <si>
    <t>Coke Oven Gas</t>
  </si>
  <si>
    <t>Refinery Gas</t>
  </si>
  <si>
    <t>Liquefied Petroleum Gases</t>
  </si>
  <si>
    <t>Natural Gas</t>
  </si>
  <si>
    <t>Motor Gasoline</t>
  </si>
  <si>
    <t>Aviation Gasoline</t>
  </si>
  <si>
    <t>Natural Gas Liquids</t>
  </si>
  <si>
    <t>Lubricants</t>
  </si>
  <si>
    <t>Naphtha</t>
  </si>
  <si>
    <t>Residual Fuel Oil</t>
  </si>
  <si>
    <t>Shale Oil</t>
  </si>
  <si>
    <t>Waste Oils</t>
  </si>
  <si>
    <t>Paraffin Waxes</t>
  </si>
  <si>
    <t>Crude Oil</t>
  </si>
  <si>
    <t>Jet Kerosene</t>
  </si>
  <si>
    <t>Municipal Wastes (non-biomass fraction)</t>
  </si>
  <si>
    <t>Peat</t>
  </si>
  <si>
    <t>Oil Shale and Tar Sands</t>
  </si>
  <si>
    <t>Other Liquid Biofuels</t>
  </si>
  <si>
    <t>Other Primary Solid Biomass</t>
  </si>
  <si>
    <t>Biodiesels</t>
  </si>
  <si>
    <t>Other Biogas</t>
  </si>
  <si>
    <t>Charcoal</t>
  </si>
  <si>
    <t>Wood / Wood Waste</t>
  </si>
  <si>
    <t>Sulphite lyes (Black Liquor)</t>
  </si>
  <si>
    <t>Municipal Wastes (biomass fraction)</t>
  </si>
  <si>
    <t>Combustível mais próximo utilizado pelo IPCC</t>
  </si>
  <si>
    <t>Biodiesel (B100)</t>
  </si>
  <si>
    <t>Emissões (kg GEE)</t>
  </si>
  <si>
    <t>Combustível utilizado</t>
  </si>
  <si>
    <t>Óleo Diesel (puro)</t>
  </si>
  <si>
    <t>Gasolina Automotiva (pura)</t>
  </si>
  <si>
    <t>Tabela 2.  Combustão de fontes estacionárias e emissões de CO2, CH4 e N2O totais da organização</t>
  </si>
  <si>
    <t>Óleo Diesel (comercial)</t>
  </si>
  <si>
    <t>Gasolina Automotiva (comercial)</t>
  </si>
  <si>
    <t>Etanol Hidratado</t>
  </si>
  <si>
    <t>Manufatura ou Construção</t>
  </si>
  <si>
    <t>Comercial ou Institucional</t>
  </si>
  <si>
    <t>Residencial, Agricultura, Florestal ou Pesca</t>
  </si>
  <si>
    <t>ANP 2012</t>
  </si>
  <si>
    <t>USEPA 2007</t>
  </si>
  <si>
    <t>Efluentes líquidos</t>
  </si>
  <si>
    <t>Combustível correspondente adotado pelo IPCC</t>
  </si>
  <si>
    <t>Definição</t>
  </si>
  <si>
    <t>Alcatrão obtido na transformação do Carvão Metalúrgico em Coque.</t>
  </si>
  <si>
    <t>Material de cor escura e consistência sólida ou semissólida derivado de petróleo, composto de mistura de hidrocarbonetos pesados, onde os constituintes predominantes são os betumes, incluindo os materiais betuminosos.</t>
  </si>
  <si>
    <t>Componente presente no gás de refinaria.</t>
  </si>
  <si>
    <t>Mistura contendo, principalmente, hidrocarbonetos gasosos (além de, em muitos casos, alguns compostos sulfurosos) e produzida nas unidades de processo
de refino do petróleo. Os componentes mais comuns são hidrogênio, metano, etano, propano, butanos, pentanos, etileno, propileno, butenos, pentenos e pequenas quantidades de outros componentes, tais como o butadieno. É utilizado principalmente como fonte de energia na própria refinaria.</t>
  </si>
  <si>
    <t>Mistura de hidrocarbonetos com alta pressão de vapor obtida do gás natural em unidades de processo especiais, que é mantida na fase líquida, em condições especiais de armazenamento na superfície.</t>
  </si>
  <si>
    <t>Extraído diretamente de reservatórios petrolíferos ou gasíferos. Todo hidrocarboneto que permaneça inteiramente na fase gasosa em quaisquer condições de reservatório ou de superfície.</t>
  </si>
  <si>
    <t>Derivada de petróleo e utilizada como combustível em aeronaves com motores de ignição por centelha.</t>
  </si>
  <si>
    <t>Óleos residuais de alta viscosidade, obtidos do refino do petróleo ou através da mistura de destilados pesados com óleos residuais de refinaria. São utilizados como combustível pela indústria, em equipamentos destinados a produzir trabalho a partir de uma fonte térmica.</t>
  </si>
  <si>
    <t>Óleo obtido através do processamento do xisto betuminoso.</t>
  </si>
  <si>
    <t>Frações do petróleo compostas basicamente de hidrocarbonetos sólidos parafínicos obtidos no processo de desparafinação dos óleos lubrificantes. Tem largo emprego na indústria de velas, papéis, lonas, baterias, pilhas, laticínios, frigoríficos e alguns produtos químicos.</t>
  </si>
  <si>
    <t>Derivado de petróleo utilizado como combustível em turbinas de aeronaves.</t>
  </si>
  <si>
    <t xml:space="preserve">Combustível
</t>
  </si>
  <si>
    <t>PFC-14</t>
  </si>
  <si>
    <t>PFC-116</t>
  </si>
  <si>
    <t>PFC-218</t>
  </si>
  <si>
    <t>PFC-318</t>
  </si>
  <si>
    <t>PFC-3-1-10</t>
  </si>
  <si>
    <t>PFC-4-1-12</t>
  </si>
  <si>
    <t>PFC-5-1-14</t>
  </si>
  <si>
    <t>PFC-9-1-18</t>
  </si>
  <si>
    <t>Trifluorometil pentafluoreto de enxofre</t>
  </si>
  <si>
    <t>Perfluorociclopropano</t>
  </si>
  <si>
    <t>IPCC 2007</t>
  </si>
  <si>
    <t>IPCC Fourth Assessment Report: Climate Change 2007 (AR4)</t>
  </si>
  <si>
    <t>http://www.ipcc.ch/pdf/assessment-report/ar4/wg1/ar4-wg1-errata.pdf</t>
  </si>
  <si>
    <t>Tabela 7. Resumo das emissões por gás de efeito estufa</t>
  </si>
  <si>
    <t>Emissões de Equipamentos de Refrigeração e Ar Condicionado (RAC) e Extintores de Incêndio</t>
  </si>
  <si>
    <t>Observação:</t>
  </si>
  <si>
    <t>- Unidades dispensadas são unidades que foram dispensadas/descartadas durante o ano inventariado.</t>
  </si>
  <si>
    <t>- Unidades novas são aquelas instaladas durante o ano inventariado. Para unidades novas, só devem ser contabilizados os dados de carga para unidades compradas vazias. Não inclua dados para unidades novas que foram pré-carregadas pelo fabricante.</t>
  </si>
  <si>
    <t>- Carga / Recarga = gás adicionado a unidades pela organização ou fornecedor (não inclua pré-cargas feitas pelo fabricante).</t>
  </si>
  <si>
    <t>- Capacidade = a soma das capacidades de todas as unidades (não inclua pré-cargas feitas pelo fabricante).</t>
  </si>
  <si>
    <t>- Quantidade Recuperada = total de gás recuperado de todas as unidades dispensadas</t>
  </si>
  <si>
    <t>Nota: valores de GWP para um horizonte de 100 anos.</t>
  </si>
  <si>
    <t>R-400</t>
  </si>
  <si>
    <t>R-407F</t>
  </si>
  <si>
    <t>R-417B</t>
  </si>
  <si>
    <t>R-417C</t>
  </si>
  <si>
    <t>R-419B</t>
  </si>
  <si>
    <t>R-421A</t>
  </si>
  <si>
    <t>R-421B</t>
  </si>
  <si>
    <t>R-422A</t>
  </si>
  <si>
    <t>R-422B</t>
  </si>
  <si>
    <t>R-422C</t>
  </si>
  <si>
    <t>R-422D</t>
  </si>
  <si>
    <t>R-422E</t>
  </si>
  <si>
    <t>R-423A</t>
  </si>
  <si>
    <t>R-424A</t>
  </si>
  <si>
    <t>R-425A</t>
  </si>
  <si>
    <t>R-426A</t>
  </si>
  <si>
    <t>R-427A</t>
  </si>
  <si>
    <t>R-428A</t>
  </si>
  <si>
    <t>R-429A</t>
  </si>
  <si>
    <t>R-430A</t>
  </si>
  <si>
    <t>R-431A</t>
  </si>
  <si>
    <t>R-432A</t>
  </si>
  <si>
    <t>R-433A</t>
  </si>
  <si>
    <t>R-434A</t>
  </si>
  <si>
    <t>R-435A</t>
  </si>
  <si>
    <t>R-436A</t>
  </si>
  <si>
    <t>R-436B</t>
  </si>
  <si>
    <t>R-437A</t>
  </si>
  <si>
    <t>R-438A</t>
  </si>
  <si>
    <t>R-439A</t>
  </si>
  <si>
    <t>R-440A</t>
  </si>
  <si>
    <t>R-441A</t>
  </si>
  <si>
    <t>R-442A</t>
  </si>
  <si>
    <t>R-443A</t>
  </si>
  <si>
    <t>R-444A</t>
  </si>
  <si>
    <t>R-445A</t>
  </si>
  <si>
    <t>R-510A</t>
  </si>
  <si>
    <t>R-511A</t>
  </si>
  <si>
    <t>R-512A</t>
  </si>
  <si>
    <t>ASHRAE 2010</t>
  </si>
  <si>
    <t>Designation and Safety Classification of Refrigerants</t>
  </si>
  <si>
    <t>ANSI / ASHRAE Standard 34 - 2010</t>
  </si>
  <si>
    <t>O gás que não pode ser contabilizado é então assumido como perdido para a atmosfera.</t>
  </si>
  <si>
    <t>Gás vendido / dispensado: devolvido ao fornecedor, vendas ou dispensas (incluindo dentro de equipamentos), e gás enviado para outro local para reciclagem, regeneração ou destruição.</t>
  </si>
  <si>
    <t>Esta quantidade será positiva se há mais compras do que vendas / dispensas ao longo do ano.</t>
  </si>
  <si>
    <t>(pode ser calculado como a capacidade das unidades novas menos a das unidades aposentadas).</t>
  </si>
  <si>
    <t>Esta quantidade será negativa se a capacidade dos equipamentos aumenta ao longo do ano.</t>
  </si>
  <si>
    <t>Tabela 2.  Emissões de GEE por equipamentos de RAC e extintores de incêndio - balanço de massa</t>
  </si>
  <si>
    <t>- Selecione o "Tipo de Equipamento" (mais próximo) e "Gás" na Tabela 3.</t>
  </si>
  <si>
    <t>- Indique a capacidade (por equipamento e tipo de gás) de cada unidade em operação e dispensada durante o ano inventariado.</t>
  </si>
  <si>
    <t>- Se os dados forem para várias unidades, some as capacidades ou quantidade de carga de todas as unidades.</t>
  </si>
  <si>
    <t>- Caso não saiba a capacidade das unidades, use o valor máximo, indicado na Tabela 4.</t>
  </si>
  <si>
    <t>Tabela 3. Emissões de GEE por equipamentos de RAC e extintores de incêndio - método de triagem de fontes</t>
  </si>
  <si>
    <t>Tabela 4. Tipo de equipamento e capacidade padrão (valor mínimo e máximo)</t>
  </si>
  <si>
    <t>Comercial Médio / Grande</t>
  </si>
  <si>
    <t xml:space="preserve">Unidades de refrigeração residencial (capacidade: 0,05 a 0,5 kg) </t>
  </si>
  <si>
    <t>Unidades comerciais individuais (capacidade: 0,2 a 6 kg)</t>
  </si>
  <si>
    <t>Unidades de refrigeração comercial de tamanho médio ou grande (capacidade: 50 a 2.000 kg)</t>
  </si>
  <si>
    <t>Unidades industrais de processamento de alimentos e frigoríficos (capacidade: 10 a 10.000 kg)</t>
  </si>
  <si>
    <t>Frigoríficos comerciais (capacidade: 10 a 2.000 kg)</t>
  </si>
  <si>
    <t>Unidades residenciais e comerciais, incluindo bombas de calor (capacidade: 0,5 a 100 kg)</t>
  </si>
  <si>
    <t>Quantidade de gás comprada no ano</t>
  </si>
  <si>
    <t>Emissões totais do gás</t>
  </si>
  <si>
    <t>Transformador A</t>
  </si>
  <si>
    <t>Gás 1</t>
  </si>
  <si>
    <t>Gás 2</t>
  </si>
  <si>
    <t>Gás 3</t>
  </si>
  <si>
    <t>Gás 4</t>
  </si>
  <si>
    <t>Gás 5</t>
  </si>
  <si>
    <t>Tabelas auxiliares para a realização dos cálculos - devem permanecer sempre ocultas</t>
  </si>
  <si>
    <t>gás (kg)</t>
  </si>
  <si>
    <t>gás 1</t>
  </si>
  <si>
    <t>% gás 1</t>
  </si>
  <si>
    <t>gás 2</t>
  </si>
  <si>
    <t>% gás 2</t>
  </si>
  <si>
    <t>gás 3</t>
  </si>
  <si>
    <t>% gás 3</t>
  </si>
  <si>
    <t>gás 4</t>
  </si>
  <si>
    <t>% gás 4</t>
  </si>
  <si>
    <t>gás 5</t>
  </si>
  <si>
    <t>% gás 5</t>
  </si>
  <si>
    <t>% do Gás 1</t>
  </si>
  <si>
    <t>% do Gás 2</t>
  </si>
  <si>
    <t>% do Gás 3</t>
  </si>
  <si>
    <t>% do Gás 4</t>
  </si>
  <si>
    <t>% do Gás 5</t>
  </si>
  <si>
    <t>qtdd gás 1 (kg)</t>
  </si>
  <si>
    <t>qtdd gás 2 (kg)</t>
  </si>
  <si>
    <t>qtdd gás 3 (kg)</t>
  </si>
  <si>
    <t>qtdd gás 4 (kg)</t>
  </si>
  <si>
    <t>qtdd gás 5 (kg)</t>
  </si>
  <si>
    <t>Ar Condicionado Residencial / Comercial</t>
  </si>
  <si>
    <t>Gás ou composto</t>
  </si>
  <si>
    <t>Emissão do gás referente à parcela dos compostos
(kg)</t>
  </si>
  <si>
    <t>Emissão total do gás
(kg)</t>
  </si>
  <si>
    <t>Óxido nitroso (N2O)</t>
  </si>
  <si>
    <t>Combustão 
estacionária</t>
  </si>
  <si>
    <t>Combustão 
móvel</t>
  </si>
  <si>
    <t>* O etanol anidro é adicionado à gasolina.</t>
  </si>
  <si>
    <t>até 2000</t>
  </si>
  <si>
    <t>Fatores de Emissão (unidades originais) - IPCC (2006)</t>
  </si>
  <si>
    <t>litros</t>
  </si>
  <si>
    <t>Fatores de Emissão (kg GEE/un.)</t>
  </si>
  <si>
    <t>combustível fóssil</t>
  </si>
  <si>
    <t>biocombustível</t>
  </si>
  <si>
    <t>indiferente</t>
  </si>
  <si>
    <t>Fator de Emissão do
combustível fóssil</t>
  </si>
  <si>
    <t>Frota-015</t>
  </si>
  <si>
    <t>Fatores de Emissão do
combustível fóssil</t>
  </si>
  <si>
    <t>combustíveis - combustão móvel</t>
  </si>
  <si>
    <t>Combustão estacionária</t>
  </si>
  <si>
    <t>ano de fabricação do veículo</t>
  </si>
  <si>
    <t>tipo 1</t>
  </si>
  <si>
    <t>tipo 2</t>
  </si>
  <si>
    <t>tipo 3</t>
  </si>
  <si>
    <t>tipo 4</t>
  </si>
  <si>
    <t>tipo 5</t>
  </si>
  <si>
    <t>lista_setor</t>
  </si>
  <si>
    <t>lista_ano</t>
  </si>
  <si>
    <t>lista_comb</t>
  </si>
  <si>
    <t>lista_comb_movel</t>
  </si>
  <si>
    <t>t_1</t>
  </si>
  <si>
    <t>t_2</t>
  </si>
  <si>
    <t>t_3</t>
  </si>
  <si>
    <t>t_4</t>
  </si>
  <si>
    <t>t_5</t>
  </si>
  <si>
    <t>(exemplo)</t>
  </si>
  <si>
    <t>Frota-016</t>
  </si>
  <si>
    <t>tabela_comb_mov</t>
  </si>
  <si>
    <t>Frota-017</t>
  </si>
  <si>
    <t>Frota-018</t>
  </si>
  <si>
    <t>Frota-019</t>
  </si>
  <si>
    <t xml:space="preserve">setor de atividade que mais se adequa às atividades da organização. </t>
  </si>
  <si>
    <t>Precipitação anual [mm/ano]:</t>
  </si>
  <si>
    <t xml:space="preserve"> - Preencha os dados relativos à carga orgânica degradável do efluente.</t>
  </si>
  <si>
    <t>VE = Variação no</t>
  </si>
  <si>
    <t>(Exemplo)</t>
  </si>
  <si>
    <t>DEFRA 2015</t>
  </si>
  <si>
    <t>DEFRA - UK Government conversion factors for Company Reporting. Ano: 2015. Versão: 2,0</t>
  </si>
  <si>
    <t>http://www.ukconversionfactorscarbonsmart.co.uk</t>
  </si>
  <si>
    <t>Curta distância (d &lt; 500 km)</t>
  </si>
  <si>
    <t>BEN 2015</t>
  </si>
  <si>
    <t>Ministério de Minas e Energia. Balanço Energético Nacional 2015 (ano base 2014).</t>
  </si>
  <si>
    <t>AM</t>
  </si>
  <si>
    <t>AP</t>
  </si>
  <si>
    <t>BA</t>
  </si>
  <si>
    <t>CE</t>
  </si>
  <si>
    <t>DF</t>
  </si>
  <si>
    <t>ES</t>
  </si>
  <si>
    <t>GO</t>
  </si>
  <si>
    <t>MA</t>
  </si>
  <si>
    <t>MG</t>
  </si>
  <si>
    <t>MS</t>
  </si>
  <si>
    <t>MT</t>
  </si>
  <si>
    <t>PA</t>
  </si>
  <si>
    <t>PB</t>
  </si>
  <si>
    <t>PE</t>
  </si>
  <si>
    <t>PI</t>
  </si>
  <si>
    <t>PR</t>
  </si>
  <si>
    <t>RJ</t>
  </si>
  <si>
    <t>RN</t>
  </si>
  <si>
    <t>RO</t>
  </si>
  <si>
    <t>RR</t>
  </si>
  <si>
    <t>RS</t>
  </si>
  <si>
    <t>SC</t>
  </si>
  <si>
    <t>SE</t>
  </si>
  <si>
    <t>SP</t>
  </si>
  <si>
    <t>TO</t>
  </si>
  <si>
    <t>Cupixi</t>
  </si>
  <si>
    <t>Alagoinhas</t>
  </si>
  <si>
    <t>Barbalha</t>
  </si>
  <si>
    <t>Brasília</t>
  </si>
  <si>
    <t>Cachoeiro do Itapemirim</t>
  </si>
  <si>
    <t>Aragarças</t>
  </si>
  <si>
    <t>Barra do Corda</t>
  </si>
  <si>
    <t>Araçuaí</t>
  </si>
  <si>
    <t>Campo Grande</t>
  </si>
  <si>
    <t>Cáceres</t>
  </si>
  <si>
    <t>Altamira</t>
  </si>
  <si>
    <t>Campina Grande</t>
  </si>
  <si>
    <t>Arcoverde</t>
  </si>
  <si>
    <t>Bom Jesus do Piauí</t>
  </si>
  <si>
    <t>Campo Mourão</t>
  </si>
  <si>
    <t>Angra dos Reis</t>
  </si>
  <si>
    <t>Apodí</t>
  </si>
  <si>
    <t>Porto Velho</t>
  </si>
  <si>
    <t>Boa Vista</t>
  </si>
  <si>
    <t>Alegrete</t>
  </si>
  <si>
    <t xml:space="preserve">Araranguá </t>
  </si>
  <si>
    <t>Aracaju</t>
  </si>
  <si>
    <t>Araçatuba</t>
  </si>
  <si>
    <t>Palmas</t>
  </si>
  <si>
    <t>Maceió</t>
  </si>
  <si>
    <t>Benjamin Constant</t>
  </si>
  <si>
    <t>Macapá</t>
  </si>
  <si>
    <t>Barreiras</t>
  </si>
  <si>
    <t>Campos Sales</t>
  </si>
  <si>
    <t>Linhares</t>
  </si>
  <si>
    <t>Catalão</t>
  </si>
  <si>
    <t>Carolina</t>
  </si>
  <si>
    <t>Araxá</t>
  </si>
  <si>
    <t>Corumbá</t>
  </si>
  <si>
    <t>Cuiabá</t>
  </si>
  <si>
    <t>Alto Tapajós</t>
  </si>
  <si>
    <t>João Pessoa</t>
  </si>
  <si>
    <t>Cabrobó</t>
  </si>
  <si>
    <t>Floriano</t>
  </si>
  <si>
    <t>Castro</t>
  </si>
  <si>
    <t>Cabo Frio</t>
  </si>
  <si>
    <t>Ceará Mirim</t>
  </si>
  <si>
    <t>Bagé</t>
  </si>
  <si>
    <t>Camboriú</t>
  </si>
  <si>
    <t>Itabaianinha</t>
  </si>
  <si>
    <t>Avaré</t>
  </si>
  <si>
    <t>Paranã</t>
  </si>
  <si>
    <t>Carauari</t>
  </si>
  <si>
    <t>Porto Platon</t>
  </si>
  <si>
    <t>Bom Jesus da Lapa</t>
  </si>
  <si>
    <t>Crateús</t>
  </si>
  <si>
    <t>Vitória</t>
  </si>
  <si>
    <t>Formosa</t>
  </si>
  <si>
    <t>Caxias</t>
  </si>
  <si>
    <t>Bambuí</t>
  </si>
  <si>
    <t>Coxim</t>
  </si>
  <si>
    <t>Diamantino</t>
  </si>
  <si>
    <t>Belém</t>
  </si>
  <si>
    <t>Monteiro</t>
  </si>
  <si>
    <t>Floresta</t>
  </si>
  <si>
    <t>Picos</t>
  </si>
  <si>
    <t>Curitiba</t>
  </si>
  <si>
    <t>Campos dos Goytacazes</t>
  </si>
  <si>
    <t>Cruzeta</t>
  </si>
  <si>
    <t>Bento Gonçalves</t>
  </si>
  <si>
    <t>Campos Novos</t>
  </si>
  <si>
    <t>Propriá</t>
  </si>
  <si>
    <t>Bananal</t>
  </si>
  <si>
    <t>Pedro Afonso</t>
  </si>
  <si>
    <t>Coari</t>
  </si>
  <si>
    <t>Caetité</t>
  </si>
  <si>
    <t>Fortaleza</t>
  </si>
  <si>
    <t>Goiânia</t>
  </si>
  <si>
    <t>Grajaú</t>
  </si>
  <si>
    <t>Barbacena</t>
  </si>
  <si>
    <t>Dourados</t>
  </si>
  <si>
    <t>Gleba Celeste</t>
  </si>
  <si>
    <t>Belterra</t>
  </si>
  <si>
    <t>São Gonçalo</t>
  </si>
  <si>
    <t>Garanhuns</t>
  </si>
  <si>
    <t>Teresina</t>
  </si>
  <si>
    <t>Foz do lguaçu</t>
  </si>
  <si>
    <t>Carmo</t>
  </si>
  <si>
    <t>Florânia</t>
  </si>
  <si>
    <t>Bom Jesus</t>
  </si>
  <si>
    <t>Chapecó</t>
  </si>
  <si>
    <t>Barretos</t>
  </si>
  <si>
    <t>Peixe</t>
  </si>
  <si>
    <t>Fonte Boa</t>
  </si>
  <si>
    <t>Caravelas</t>
  </si>
  <si>
    <t>Guaramiranga</t>
  </si>
  <si>
    <t>Goiás</t>
  </si>
  <si>
    <t>Imperatriz</t>
  </si>
  <si>
    <t>Belo Horizonte</t>
  </si>
  <si>
    <t>Ivinhema</t>
  </si>
  <si>
    <t>Sangradouro</t>
  </si>
  <si>
    <t>Breves</t>
  </si>
  <si>
    <t>Pesqueira</t>
  </si>
  <si>
    <t>Guaíra</t>
  </si>
  <si>
    <t>Cordeiro</t>
  </si>
  <si>
    <t>Macau</t>
  </si>
  <si>
    <t>Cachoeira do Sul</t>
  </si>
  <si>
    <t>Florianópolis</t>
  </si>
  <si>
    <t>Campinas</t>
  </si>
  <si>
    <t>Porto Nacional</t>
  </si>
  <si>
    <t>Iauaretê</t>
  </si>
  <si>
    <t>Cipó</t>
  </si>
  <si>
    <t>Iguatu</t>
  </si>
  <si>
    <t>Jataí</t>
  </si>
  <si>
    <t>São Luís</t>
  </si>
  <si>
    <t>Poços de Caldas</t>
  </si>
  <si>
    <t>Paranaíba</t>
  </si>
  <si>
    <t>Cametá</t>
  </si>
  <si>
    <t>Petrolina</t>
  </si>
  <si>
    <t>Guarapuava</t>
  </si>
  <si>
    <t>Duque de Caxias</t>
  </si>
  <si>
    <t>Natal</t>
  </si>
  <si>
    <t>Caxias do Sul</t>
  </si>
  <si>
    <t xml:space="preserve">Irineópolis </t>
  </si>
  <si>
    <t>Campos do Jordão</t>
  </si>
  <si>
    <t>Taguatinga</t>
  </si>
  <si>
    <t>Itacoatiara</t>
  </si>
  <si>
    <t>Ilhéus</t>
  </si>
  <si>
    <t>Morada Nova</t>
  </si>
  <si>
    <t>Mineiros</t>
  </si>
  <si>
    <t>Zé Doca</t>
  </si>
  <si>
    <t>Cambuquira</t>
  </si>
  <si>
    <t>Ponta Porã</t>
  </si>
  <si>
    <t>Conceição do Araguaia</t>
  </si>
  <si>
    <t>Recife</t>
  </si>
  <si>
    <t>Irati</t>
  </si>
  <si>
    <t>Itaperuna</t>
  </si>
  <si>
    <t>Cruz Alta</t>
  </si>
  <si>
    <t>Lages</t>
  </si>
  <si>
    <t>Catanduva</t>
  </si>
  <si>
    <t>Lábrea</t>
  </si>
  <si>
    <t>Itaberaba</t>
  </si>
  <si>
    <t>Quixeramobim</t>
  </si>
  <si>
    <t>Pirenópolis</t>
  </si>
  <si>
    <t>Capinópolis</t>
  </si>
  <si>
    <t>Itaituba</t>
  </si>
  <si>
    <t>Surubim</t>
  </si>
  <si>
    <t>Ivaí</t>
  </si>
  <si>
    <t>Mangaratiba</t>
  </si>
  <si>
    <t>Encruzilhada do Sul</t>
  </si>
  <si>
    <t>Laguna</t>
  </si>
  <si>
    <t>Cotia</t>
  </si>
  <si>
    <t>Manaus</t>
  </si>
  <si>
    <t>Itiruçu</t>
  </si>
  <si>
    <t>Sobral</t>
  </si>
  <si>
    <t>Rio Verde</t>
  </si>
  <si>
    <t>Caratinga</t>
  </si>
  <si>
    <t>Marabá</t>
  </si>
  <si>
    <t>Triunfo</t>
  </si>
  <si>
    <t>Jacarezinho</t>
  </si>
  <si>
    <t>Nova Friburgo</t>
  </si>
  <si>
    <t>Guaporé</t>
  </si>
  <si>
    <t>Orleans</t>
  </si>
  <si>
    <t>Franca</t>
  </si>
  <si>
    <t>Manicoré</t>
  </si>
  <si>
    <t>Jacobina</t>
  </si>
  <si>
    <t>Tauá</t>
  </si>
  <si>
    <t>Cataguases</t>
  </si>
  <si>
    <t>Monte Alegre</t>
  </si>
  <si>
    <t>Londrina</t>
  </si>
  <si>
    <t>Pinheiral</t>
  </si>
  <si>
    <t>Iraí</t>
  </si>
  <si>
    <t>Porto União</t>
  </si>
  <si>
    <t>Iguape</t>
  </si>
  <si>
    <t>Parintins</t>
  </si>
  <si>
    <t>Lençóis</t>
  </si>
  <si>
    <t>Caxambu</t>
  </si>
  <si>
    <t>Óbidos</t>
  </si>
  <si>
    <t>Maringá</t>
  </si>
  <si>
    <t>Piraí</t>
  </si>
  <si>
    <t>Itaqui</t>
  </si>
  <si>
    <t>São Joaquim</t>
  </si>
  <si>
    <t>Itapeva</t>
  </si>
  <si>
    <t>São Gabriel da Cachoeira</t>
  </si>
  <si>
    <t>Monte Santo</t>
  </si>
  <si>
    <t>Conceição do Mato Dentro</t>
  </si>
  <si>
    <t>Porto de Moz</t>
  </si>
  <si>
    <t>Palmas-PR</t>
  </si>
  <si>
    <t>Resende</t>
  </si>
  <si>
    <t>Lagoa Vermelha</t>
  </si>
  <si>
    <t>Urussanga</t>
  </si>
  <si>
    <t>Jaboticabal</t>
  </si>
  <si>
    <t>Santa Isabel do Rio Negro</t>
  </si>
  <si>
    <t>Morro do Chapéu</t>
  </si>
  <si>
    <t>Coronel Pacheco</t>
  </si>
  <si>
    <t>Santarém</t>
  </si>
  <si>
    <t>Paranaguá</t>
  </si>
  <si>
    <t>Rio de Janeiro</t>
  </si>
  <si>
    <t>Palmeira das Missões</t>
  </si>
  <si>
    <t>Xanxerê</t>
  </si>
  <si>
    <t>Lins</t>
  </si>
  <si>
    <t>Taracuá</t>
  </si>
  <si>
    <t>Paulo Afonso</t>
  </si>
  <si>
    <t>Curvelo</t>
  </si>
  <si>
    <t>São Félix do Xingu</t>
  </si>
  <si>
    <t>Ponta Grossa</t>
  </si>
  <si>
    <t>Santa Maria Madalena</t>
  </si>
  <si>
    <t>Passo Fundo</t>
  </si>
  <si>
    <t>Mogi das Cruzes</t>
  </si>
  <si>
    <t>Tefé</t>
  </si>
  <si>
    <t>Remanso</t>
  </si>
  <si>
    <t>Diamantina</t>
  </si>
  <si>
    <t>Soure</t>
  </si>
  <si>
    <t>Rio Negro</t>
  </si>
  <si>
    <t>Santo Antônio de Pádua</t>
  </si>
  <si>
    <t>Pelotas</t>
  </si>
  <si>
    <t>Paraibuna</t>
  </si>
  <si>
    <t>Salvador</t>
  </si>
  <si>
    <t>Espinosa</t>
  </si>
  <si>
    <t>Tracuateua</t>
  </si>
  <si>
    <t>São Mateus do Sul</t>
  </si>
  <si>
    <t>Teresópolis</t>
  </si>
  <si>
    <t>Porto Alegre</t>
  </si>
  <si>
    <t>Presidente Prudente</t>
  </si>
  <si>
    <t>Santa Rita de Cássia</t>
  </si>
  <si>
    <t>Florestal</t>
  </si>
  <si>
    <t>Tucuruí</t>
  </si>
  <si>
    <t>Tinguá</t>
  </si>
  <si>
    <t>Rio Grande</t>
  </si>
  <si>
    <t>Santa Rita</t>
  </si>
  <si>
    <t>São Francisco do Conde</t>
  </si>
  <si>
    <t>Frutal</t>
  </si>
  <si>
    <t>Vassouras</t>
  </si>
  <si>
    <t>Santa Maria</t>
  </si>
  <si>
    <t>Santos</t>
  </si>
  <si>
    <t>Serrinha</t>
  </si>
  <si>
    <t>Governador Valadares</t>
  </si>
  <si>
    <t>Santa Vitória do Palmar</t>
  </si>
  <si>
    <t>São Carlos</t>
  </si>
  <si>
    <t>Ibirité</t>
  </si>
  <si>
    <t>São Gabriel</t>
  </si>
  <si>
    <t>São José dos Campos</t>
  </si>
  <si>
    <t>Itamarandiba</t>
  </si>
  <si>
    <t>São Luiz Gonzaga</t>
  </si>
  <si>
    <t>São Paulo</t>
  </si>
  <si>
    <t>Itambacuri</t>
  </si>
  <si>
    <t>Tapes</t>
  </si>
  <si>
    <t>São Simão</t>
  </si>
  <si>
    <t>Januária</t>
  </si>
  <si>
    <t>Torres</t>
  </si>
  <si>
    <t>Sertãozinho</t>
  </si>
  <si>
    <t>João Monlevade</t>
  </si>
  <si>
    <t>Uruguaiana</t>
  </si>
  <si>
    <t>Sorocaba</t>
  </si>
  <si>
    <t>João Pinheiro</t>
  </si>
  <si>
    <t>Taubaté</t>
  </si>
  <si>
    <t>Juiz de Fora</t>
  </si>
  <si>
    <t>Tremembé</t>
  </si>
  <si>
    <t>Lavras</t>
  </si>
  <si>
    <t>Ubatuba</t>
  </si>
  <si>
    <t>Machado</t>
  </si>
  <si>
    <t>Votuporanga</t>
  </si>
  <si>
    <t>Minas Novas</t>
  </si>
  <si>
    <t>Montes Claros</t>
  </si>
  <si>
    <t>Oliveira</t>
  </si>
  <si>
    <t>Passa Quatro</t>
  </si>
  <si>
    <t>Patos de Minas</t>
  </si>
  <si>
    <t>Patrocínio</t>
  </si>
  <si>
    <t>Pedra Azul</t>
  </si>
  <si>
    <t>Pirapora</t>
  </si>
  <si>
    <t>Pompeu</t>
  </si>
  <si>
    <t>Salinas</t>
  </si>
  <si>
    <t>São Francisco</t>
  </si>
  <si>
    <t>São João del Rei</t>
  </si>
  <si>
    <t>São Lourenço</t>
  </si>
  <si>
    <t>São Sebas. do Paraíso</t>
  </si>
  <si>
    <t>Sete Lagoas</t>
  </si>
  <si>
    <t>Teófilo Otoni</t>
  </si>
  <si>
    <t>Uberaba</t>
  </si>
  <si>
    <t>Viçosa</t>
  </si>
  <si>
    <t xml:space="preserve"> Araranguá </t>
  </si>
  <si>
    <t>estados_br</t>
  </si>
  <si>
    <t>municípios_br</t>
  </si>
  <si>
    <t>pluviosidade_anual</t>
  </si>
  <si>
    <t>temp_média</t>
  </si>
  <si>
    <t>Palmeira dos Índios</t>
  </si>
  <si>
    <t>Barra</t>
  </si>
  <si>
    <t>Camaçari</t>
  </si>
  <si>
    <t>Canavieiras</t>
  </si>
  <si>
    <t>Carinhanha</t>
  </si>
  <si>
    <t>Correntina</t>
  </si>
  <si>
    <t>Guaratinga</t>
  </si>
  <si>
    <t>Irecê</t>
  </si>
  <si>
    <t>Ituaçu</t>
  </si>
  <si>
    <t>Senhor do Bonfim</t>
  </si>
  <si>
    <t>Vitória da Conquista</t>
  </si>
  <si>
    <t>Jaguaruana</t>
  </si>
  <si>
    <t>Iúna</t>
  </si>
  <si>
    <t>São Mateus</t>
  </si>
  <si>
    <t>Ipameri</t>
  </si>
  <si>
    <t>Posse</t>
  </si>
  <si>
    <t>Turiaçu</t>
  </si>
  <si>
    <t>Aimorés</t>
  </si>
  <si>
    <t>Caparaó</t>
  </si>
  <si>
    <t>Monte Azul</t>
  </si>
  <si>
    <t>Paracatu</t>
  </si>
  <si>
    <t>Três Lagoas</t>
  </si>
  <si>
    <t>Cidade Vera</t>
  </si>
  <si>
    <t>Comodoro</t>
  </si>
  <si>
    <t>Nortelândia</t>
  </si>
  <si>
    <t>Tiriós</t>
  </si>
  <si>
    <t>Aguiar</t>
  </si>
  <si>
    <t>Alagoa Grande</t>
  </si>
  <si>
    <t>Alagoa Nova</t>
  </si>
  <si>
    <t>Algodão</t>
  </si>
  <si>
    <t>Alhandra</t>
  </si>
  <si>
    <t>Antenor Navarro</t>
  </si>
  <si>
    <t>Acaragi</t>
  </si>
  <si>
    <t>Arapuá</t>
  </si>
  <si>
    <t>Araruna</t>
  </si>
  <si>
    <t>Areia</t>
  </si>
  <si>
    <t>Aroeiras</t>
  </si>
  <si>
    <t>Balanças</t>
  </si>
  <si>
    <t>Bananeiras</t>
  </si>
  <si>
    <t>Barra de Santa Rosa</t>
  </si>
  <si>
    <t>Barra de São Miguel</t>
  </si>
  <si>
    <t>Barra do Brejo do Cruz</t>
  </si>
  <si>
    <t>Barra do Juá</t>
  </si>
  <si>
    <t>Boa Vista - PB</t>
  </si>
  <si>
    <t>Bocodongo</t>
  </si>
  <si>
    <t>Bom Jesus-PB</t>
  </si>
  <si>
    <t>Bonito de Santa Fé</t>
  </si>
  <si>
    <t>Boqueirão</t>
  </si>
  <si>
    <t>Brejo do Cruz</t>
  </si>
  <si>
    <t>Cabaceiras</t>
  </si>
  <si>
    <t>Cacimba de Dentro</t>
  </si>
  <si>
    <t>Caiçara</t>
  </si>
  <si>
    <t>Cajazeiras</t>
  </si>
  <si>
    <t>Camalau</t>
  </si>
  <si>
    <t>Caraubas</t>
  </si>
  <si>
    <t>Catingueira</t>
  </si>
  <si>
    <t>Catole do Rocha</t>
  </si>
  <si>
    <t>Condado</t>
  </si>
  <si>
    <t>Congo</t>
  </si>
  <si>
    <t>Coxixola</t>
  </si>
  <si>
    <t>Cuite</t>
  </si>
  <si>
    <t>Curemas</t>
  </si>
  <si>
    <t>Desterro</t>
  </si>
  <si>
    <t>Deterro de Malta</t>
  </si>
  <si>
    <t>Engenheiro de Avidos</t>
  </si>
  <si>
    <t>Fagundes</t>
  </si>
  <si>
    <t>Garrotes</t>
  </si>
  <si>
    <t>Guarariba</t>
  </si>
  <si>
    <t>Gurjão</t>
  </si>
  <si>
    <t>Ibiara</t>
  </si>
  <si>
    <t>Imaculada</t>
  </si>
  <si>
    <t>Inga</t>
  </si>
  <si>
    <t>Itaporanga-PB</t>
  </si>
  <si>
    <t>Jenipapeiro dos Carreios</t>
  </si>
  <si>
    <t>Jericó</t>
  </si>
  <si>
    <t>Juazeirinho</t>
  </si>
  <si>
    <t>Lagoa dos Marcos</t>
  </si>
  <si>
    <t>Malta</t>
  </si>
  <si>
    <t>Mamanguape </t>
  </si>
  <si>
    <t>Mata Virgem</t>
  </si>
  <si>
    <t>Mataraca</t>
  </si>
  <si>
    <t>Mulungu</t>
  </si>
  <si>
    <t>Mãe D´Água de Dentro</t>
  </si>
  <si>
    <t>Nazarezinho</t>
  </si>
  <si>
    <t>Nova Olinda</t>
  </si>
  <si>
    <t>Olho D´Água</t>
  </si>
  <si>
    <t>Olivedos</t>
  </si>
  <si>
    <t>Passagem</t>
  </si>
  <si>
    <t>Patos</t>
  </si>
  <si>
    <t>Pedra Lavada</t>
  </si>
  <si>
    <t>Pianco</t>
  </si>
  <si>
    <t>Picuí</t>
  </si>
  <si>
    <t>Pilões</t>
  </si>
  <si>
    <t>Pocinhos</t>
  </si>
  <si>
    <t>Pombal</t>
  </si>
  <si>
    <t>Porcos</t>
  </si>
  <si>
    <t>Riacho Sto.Antonio</t>
  </si>
  <si>
    <t>Salgadinho</t>
  </si>
  <si>
    <t>Salgado</t>
  </si>
  <si>
    <t>Serra Branca</t>
  </si>
  <si>
    <t>Serra Grande</t>
  </si>
  <si>
    <t>Serraria</t>
  </si>
  <si>
    <t>Soledade</t>
  </si>
  <si>
    <t>Sossego</t>
  </si>
  <si>
    <t>Souza</t>
  </si>
  <si>
    <t>Sta. Maria da Paraíba</t>
  </si>
  <si>
    <t>Sta. Terezinha</t>
  </si>
  <si>
    <t>Sta.Luzia</t>
  </si>
  <si>
    <t>Sta.Rita</t>
  </si>
  <si>
    <t>Sta.Tereza</t>
  </si>
  <si>
    <t>Sto.André</t>
  </si>
  <si>
    <t>Sume</t>
  </si>
  <si>
    <t>São Boaventura</t>
  </si>
  <si>
    <t>São Jose dos Cordeiros</t>
  </si>
  <si>
    <t>São José da Lagoa Tapada</t>
  </si>
  <si>
    <t>São José de Piranhas</t>
  </si>
  <si>
    <t>São José dos Espinhais</t>
  </si>
  <si>
    <t>São João do Cariri</t>
  </si>
  <si>
    <t>São João do Tigre</t>
  </si>
  <si>
    <t>São Mamede</t>
  </si>
  <si>
    <t>São Sebatião do Umbuzeiro</t>
  </si>
  <si>
    <t>Taperoa</t>
  </si>
  <si>
    <t>Teixeira</t>
  </si>
  <si>
    <t>Timbauba</t>
  </si>
  <si>
    <t>Umbuzeiro</t>
  </si>
  <si>
    <t>Vila Maia</t>
  </si>
  <si>
    <t>Ouricuri</t>
  </si>
  <si>
    <t>Fernando de Noronha</t>
  </si>
  <si>
    <t>Parnaíba</t>
  </si>
  <si>
    <t>Paulistana</t>
  </si>
  <si>
    <t>Antonina</t>
  </si>
  <si>
    <t>Apucarana</t>
  </si>
  <si>
    <t>Bandeirantes</t>
  </si>
  <si>
    <t>Bela Vista do Paraíso</t>
  </si>
  <si>
    <t>Cambará</t>
  </si>
  <si>
    <t>Cândido de Abreu</t>
  </si>
  <si>
    <t>Cascavel</t>
  </si>
  <si>
    <t>Cerro Azul</t>
  </si>
  <si>
    <t>Cianorte</t>
  </si>
  <si>
    <t>Clevelândia</t>
  </si>
  <si>
    <t>Francisco Beltrão</t>
  </si>
  <si>
    <t>Guaraqueçaba</t>
  </si>
  <si>
    <t>Ibiporã</t>
  </si>
  <si>
    <t>Joaquim Távora</t>
  </si>
  <si>
    <t>Lapa</t>
  </si>
  <si>
    <t>Laranjeiras do Sul</t>
  </si>
  <si>
    <t>Morretes</t>
  </si>
  <si>
    <t>Nova Cantú</t>
  </si>
  <si>
    <t>Palotina</t>
  </si>
  <si>
    <t>Paranavaí</t>
  </si>
  <si>
    <t>Pato Branco</t>
  </si>
  <si>
    <t>Pinhais</t>
  </si>
  <si>
    <t>Planalto</t>
  </si>
  <si>
    <t>Quedas do Iguaçu</t>
  </si>
  <si>
    <t>São Miguel do Iguaçú</t>
  </si>
  <si>
    <t>Telêmaco Borba</t>
  </si>
  <si>
    <t>Umuarama</t>
  </si>
  <si>
    <t>Macaé</t>
  </si>
  <si>
    <t>Mossoró</t>
  </si>
  <si>
    <t>Idaial</t>
  </si>
  <si>
    <t>Adamantina</t>
  </si>
  <si>
    <t>Aguaí</t>
  </si>
  <si>
    <t>Altair</t>
  </si>
  <si>
    <t>Altinópolis</t>
  </si>
  <si>
    <t>Alto Alegre</t>
  </si>
  <si>
    <t>Americana</t>
  </si>
  <si>
    <t>Amparo</t>
  </si>
  <si>
    <t>Américo Brasiliense</t>
  </si>
  <si>
    <t>Américo de Campos</t>
  </si>
  <si>
    <t>Analândia</t>
  </si>
  <si>
    <t>Andradina</t>
  </si>
  <si>
    <t>Angatuba</t>
  </si>
  <si>
    <t>Anhembi</t>
  </si>
  <si>
    <t>Aparecida</t>
  </si>
  <si>
    <t>Apiaí</t>
  </si>
  <si>
    <t>Araraquara</t>
  </si>
  <si>
    <t>Araras</t>
  </si>
  <si>
    <t>Araçoiaba da Serra</t>
  </si>
  <si>
    <t>Atibaia</t>
  </si>
  <si>
    <t>Avanhangava</t>
  </si>
  <si>
    <t>Bariri</t>
  </si>
  <si>
    <t>Barra do Turvo</t>
  </si>
  <si>
    <t>Barueri</t>
  </si>
  <si>
    <t>Barão de Antonina</t>
  </si>
  <si>
    <t>Bauru</t>
  </si>
  <si>
    <t>Bebedouro</t>
  </si>
  <si>
    <t>Bernardino de Campos</t>
  </si>
  <si>
    <t>Birigui</t>
  </si>
  <si>
    <t>Boituva</t>
  </si>
  <si>
    <t>Borborema</t>
  </si>
  <si>
    <t>Botucatu</t>
  </si>
  <si>
    <t>Braúna</t>
  </si>
  <si>
    <t>Brotas</t>
  </si>
  <si>
    <t>Buritizal</t>
  </si>
  <si>
    <t>Bálsamo</t>
  </si>
  <si>
    <t>Cachoeira</t>
  </si>
  <si>
    <t>Caconde</t>
  </si>
  <si>
    <t>Cajobi</t>
  </si>
  <si>
    <t>Cananéia</t>
  </si>
  <si>
    <t>Capivari</t>
  </si>
  <si>
    <t>Capão Bonito</t>
  </si>
  <si>
    <t>Caraguatatuba</t>
  </si>
  <si>
    <t>Catiguá</t>
  </si>
  <si>
    <t>Caçapava</t>
  </si>
  <si>
    <t>cerqueira César</t>
  </si>
  <si>
    <t>Cerquilho</t>
  </si>
  <si>
    <t>Cesário lange</t>
  </si>
  <si>
    <t>Charqueada</t>
  </si>
  <si>
    <t>Colina</t>
  </si>
  <si>
    <t>Conchas</t>
  </si>
  <si>
    <t>Coroados</t>
  </si>
  <si>
    <t>Corumbataí</t>
  </si>
  <si>
    <t>Cosmópolis</t>
  </si>
  <si>
    <t>Cravinhos</t>
  </si>
  <si>
    <t>Cruzeiro</t>
  </si>
  <si>
    <t>Cubatão</t>
  </si>
  <si>
    <t>Cunha</t>
  </si>
  <si>
    <t>Cândido Mota</t>
  </si>
  <si>
    <t>Descalvado</t>
  </si>
  <si>
    <t>Dois Córregos</t>
  </si>
  <si>
    <t>Dourado</t>
  </si>
  <si>
    <t>Dracena</t>
  </si>
  <si>
    <t>Duartina</t>
  </si>
  <si>
    <t>Eldorado</t>
  </si>
  <si>
    <t>Elias Fausto</t>
  </si>
  <si>
    <t>Fartura</t>
  </si>
  <si>
    <t>Fernandópolis</t>
  </si>
  <si>
    <t>Flórida Paulista</t>
  </si>
  <si>
    <t>Franco da Rocha</t>
  </si>
  <si>
    <t>Garça</t>
  </si>
  <si>
    <t>Getulina</t>
  </si>
  <si>
    <t>Guaimbê</t>
  </si>
  <si>
    <t>Guaiçara</t>
  </si>
  <si>
    <t>Guabiara</t>
  </si>
  <si>
    <t>Guarantã</t>
  </si>
  <si>
    <t>Guararema</t>
  </si>
  <si>
    <t>Guaratinguetá</t>
  </si>
  <si>
    <t>Guariba</t>
  </si>
  <si>
    <t>Guarujá</t>
  </si>
  <si>
    <t>Guarulhos</t>
  </si>
  <si>
    <t>Guará</t>
  </si>
  <si>
    <t>Gália</t>
  </si>
  <si>
    <t>Iacri</t>
  </si>
  <si>
    <t>Ibitinga</t>
  </si>
  <si>
    <t>Ibiúna</t>
  </si>
  <si>
    <t>Icem</t>
  </si>
  <si>
    <t>Iepê</t>
  </si>
  <si>
    <t>Igarapava</t>
  </si>
  <si>
    <t>Ilha Bela</t>
  </si>
  <si>
    <t>Ilha Solteira</t>
  </si>
  <si>
    <t>Indiana</t>
  </si>
  <si>
    <t>Ipauçu</t>
  </si>
  <si>
    <t>Iperó</t>
  </si>
  <si>
    <t>Itapuru</t>
  </si>
  <si>
    <t>Itaberá</t>
  </si>
  <si>
    <t>Itajobi</t>
  </si>
  <si>
    <t>Itanhaém</t>
  </si>
  <si>
    <t>Itapecerica da Serra</t>
  </si>
  <si>
    <t>Itapetininga</t>
  </si>
  <si>
    <t>Itapira</t>
  </si>
  <si>
    <t>Itaporanga</t>
  </si>
  <si>
    <t>Itapuí</t>
  </si>
  <si>
    <t>Itararé</t>
  </si>
  <si>
    <t>Itariri</t>
  </si>
  <si>
    <t>Itatiba</t>
  </si>
  <si>
    <t>Itatinga</t>
  </si>
  <si>
    <t>Itaí</t>
  </si>
  <si>
    <t>Itirapina</t>
  </si>
  <si>
    <t>Itu</t>
  </si>
  <si>
    <t>Jacareí</t>
  </si>
  <si>
    <t>Jacupiranga</t>
  </si>
  <si>
    <t>Jaguariúna</t>
  </si>
  <si>
    <t>Jales</t>
  </si>
  <si>
    <t>Jaú</t>
  </si>
  <si>
    <t>Jeriquara</t>
  </si>
  <si>
    <t>Jundiaí</t>
  </si>
  <si>
    <t>Juquitiba</t>
  </si>
  <si>
    <t>Juquiá</t>
  </si>
  <si>
    <t>Júlio Mesquita</t>
  </si>
  <si>
    <t>Lagoinha</t>
  </si>
  <si>
    <t>laranjal Paulista</t>
  </si>
  <si>
    <t>leme</t>
  </si>
  <si>
    <t>Limeira</t>
  </si>
  <si>
    <t>Lorena</t>
  </si>
  <si>
    <t>Lucélia</t>
  </si>
  <si>
    <t>Macatuba</t>
  </si>
  <si>
    <t>Macedônia</t>
  </si>
  <si>
    <t>Manduri</t>
  </si>
  <si>
    <t>Martinópolis</t>
  </si>
  <si>
    <t>Marília</t>
  </si>
  <si>
    <t>Matão</t>
  </si>
  <si>
    <t>Mauá</t>
  </si>
  <si>
    <t>Mendonça</t>
  </si>
  <si>
    <t>Miracatu</t>
  </si>
  <si>
    <t>Mirandópolis</t>
  </si>
  <si>
    <t>Mirassol</t>
  </si>
  <si>
    <t>Mococa</t>
  </si>
  <si>
    <t>Mogi Mirim</t>
  </si>
  <si>
    <t>Monguaguá</t>
  </si>
  <si>
    <t>Monte Alegre do Sul</t>
  </si>
  <si>
    <t>Monte Alto</t>
  </si>
  <si>
    <t>Monte Azul Paulista</t>
  </si>
  <si>
    <t>Monte Castelo</t>
  </si>
  <si>
    <t>Monte Mor</t>
  </si>
  <si>
    <t>Monteiro Lobato</t>
  </si>
  <si>
    <t>Morungaba</t>
  </si>
  <si>
    <t>Narandiba</t>
  </si>
  <si>
    <t>Natividade da Serra</t>
  </si>
  <si>
    <t>Nazaré Paulista</t>
  </si>
  <si>
    <t>Nipuã</t>
  </si>
  <si>
    <t>Nova Europa</t>
  </si>
  <si>
    <t>Nova Odessa</t>
  </si>
  <si>
    <t>Novo Horizonte</t>
  </si>
  <si>
    <t>Nuporanga </t>
  </si>
  <si>
    <t>Olímpia</t>
  </si>
  <si>
    <t>Onda Verde</t>
  </si>
  <si>
    <t>Oriente</t>
  </si>
  <si>
    <t>Orlândia</t>
  </si>
  <si>
    <t>Oswaldo Cruz</t>
  </si>
  <si>
    <t>Ourinhos</t>
  </si>
  <si>
    <t>Palestina</t>
  </si>
  <si>
    <t>Panorama</t>
  </si>
  <si>
    <t>Paraguassu Paulista</t>
  </si>
  <si>
    <t>Pariquera Açú</t>
  </si>
  <si>
    <t>Pedreira</t>
  </si>
  <si>
    <t>Penápolis</t>
  </si>
  <si>
    <t>Pereira Barreto</t>
  </si>
  <si>
    <t>Pilar do Sul </t>
  </si>
  <si>
    <t>Pindamonhangaba</t>
  </si>
  <si>
    <t>Pindorama</t>
  </si>
  <si>
    <t>Pinhal</t>
  </si>
  <si>
    <t>Pinhalzinho</t>
  </si>
  <si>
    <t>Piracaia</t>
  </si>
  <si>
    <t>Piracicaba</t>
  </si>
  <si>
    <t>Piraju</t>
  </si>
  <si>
    <t>Pirajuí</t>
  </si>
  <si>
    <t>Pirassununga</t>
  </si>
  <si>
    <t>Pontal</t>
  </si>
  <si>
    <t>Potirendaba</t>
  </si>
  <si>
    <t>Presidente Venceslau</t>
  </si>
  <si>
    <t>Queirós</t>
  </si>
  <si>
    <t>Queluz</t>
  </si>
  <si>
    <t>Quintana</t>
  </si>
  <si>
    <t>Rancharia</t>
  </si>
  <si>
    <t>Redenção da Serra</t>
  </si>
  <si>
    <t>Reginópolis</t>
  </si>
  <si>
    <t>Ribeira</t>
  </si>
  <si>
    <t>Ribeirão Bonito</t>
  </si>
  <si>
    <t>Ribeirão Vermelho do Sul</t>
  </si>
  <si>
    <t>Rio Claro</t>
  </si>
  <si>
    <t>Rio Preto</t>
  </si>
  <si>
    <t>Salesópolis</t>
  </si>
  <si>
    <t>Salto de Pirapora</t>
  </si>
  <si>
    <t>Salto Grande</t>
  </si>
  <si>
    <t>Santa Adélia</t>
  </si>
  <si>
    <t>Santa Barbara do Rio Pardo</t>
  </si>
  <si>
    <t>Santa Barbara d'Oeste</t>
  </si>
  <si>
    <t>Santa Branca</t>
  </si>
  <si>
    <t>Santa Cruz das Palmeiras</t>
  </si>
  <si>
    <t>Santa Cruz do Rio Pardo</t>
  </si>
  <si>
    <t>Santa Isabel</t>
  </si>
  <si>
    <t>Santa Rita do Passa Quatro</t>
  </si>
  <si>
    <t>Santa Rosa do Viterbo</t>
  </si>
  <si>
    <t>Santo Anastácio</t>
  </si>
  <si>
    <t>São Bento do Sapucaí</t>
  </si>
  <si>
    <t>São Bernardo do Campo</t>
  </si>
  <si>
    <t>São Caetano do Sul</t>
  </si>
  <si>
    <t>São João da Boa Vista</t>
  </si>
  <si>
    <t>São José do Barreiro</t>
  </si>
  <si>
    <t>São José do Rio Pardo</t>
  </si>
  <si>
    <t>São José do Rio Preto</t>
  </si>
  <si>
    <t>São Luis do Paraitinga</t>
  </si>
  <si>
    <t>São Manuel</t>
  </si>
  <si>
    <t>São Miguel Arcanjo</t>
  </si>
  <si>
    <t>São Roque</t>
  </si>
  <si>
    <t>São Sebastião</t>
  </si>
  <si>
    <t>São Vicente</t>
  </si>
  <si>
    <t>Sarapui</t>
  </si>
  <si>
    <t>Sarutaia</t>
  </si>
  <si>
    <t>Serra Negra</t>
  </si>
  <si>
    <t>Sete Barras</t>
  </si>
  <si>
    <t>Severina</t>
  </si>
  <si>
    <t>Suzano</t>
  </si>
  <si>
    <t>Taguaí </t>
  </si>
  <si>
    <t>Taguaritinga</t>
  </si>
  <si>
    <t>Tanabi</t>
  </si>
  <si>
    <t>Tapiraí</t>
  </si>
  <si>
    <t>Taquarituba</t>
  </si>
  <si>
    <t>Tatuí</t>
  </si>
  <si>
    <t>Tejupã</t>
  </si>
  <si>
    <t>Teodoro Sampaio</t>
  </si>
  <si>
    <t>Tietê</t>
  </si>
  <si>
    <t>Torrinha</t>
  </si>
  <si>
    <t>Tupã</t>
  </si>
  <si>
    <t>Urânia</t>
  </si>
  <si>
    <t>Urupês</t>
  </si>
  <si>
    <t>Valentim Gentil</t>
  </si>
  <si>
    <t>Vargem</t>
  </si>
  <si>
    <t>Vera Cruz</t>
  </si>
  <si>
    <t>Vinhedo</t>
  </si>
  <si>
    <t>Viradouro</t>
  </si>
  <si>
    <t>Votorantim</t>
  </si>
  <si>
    <t>Xavantes</t>
  </si>
  <si>
    <t>Indaial</t>
  </si>
  <si>
    <t>1.223 </t>
  </si>
  <si>
    <t>sp</t>
  </si>
  <si>
    <t>Relate aqui a compra anual de eletricidade (kWh)</t>
  </si>
  <si>
    <t>Longa distância (d ≥ 3.700 km)</t>
  </si>
  <si>
    <t>Média distância (500 ≤ d &lt; 3.700 km)</t>
  </si>
  <si>
    <t>distância_VN</t>
  </si>
  <si>
    <t>O consumo total de combustível da organização é apresentado na Tabela 2 e o total de emissões apresentado na Tabela 3.</t>
  </si>
  <si>
    <t>(D) Utilize os botões "+" à esquerda para liberar mais linhas nas tabelas de entrada de dados.</t>
  </si>
  <si>
    <t>(C) Utilize os botões "+" à esquerda para liberar mais linhas nas tabelas de entrada de dados.</t>
  </si>
  <si>
    <t>Opção 2. Abordagem por Balanço de Massa (Compra).</t>
  </si>
  <si>
    <t>Opção 3. Triagem.</t>
  </si>
  <si>
    <t>(C) No caso dos compostos, esta ferramenta considera apenas a parcela referente aos GEE contemplados pelo Protocolo de Quioto.</t>
  </si>
  <si>
    <t>Emissões do tratamento de resíduos sólidos</t>
  </si>
  <si>
    <t>Passo 3.    Dados da composição do resíduo.</t>
  </si>
  <si>
    <t>Passo 2.    Dados de atividade da organização inventariante.</t>
  </si>
  <si>
    <t>Passo 1.    Dados do local de disposição final dos resíduos.</t>
  </si>
  <si>
    <t>(B) A ferramenta calcula emissões de efluentes líquidos tratados por processos anaeróbicos. Preencha somente os dados do(s) tratamento(s) aplicado(s) ao efluente gerado pela organização deixando as opções que não se aplicam em branco.</t>
  </si>
  <si>
    <t>(D) Caso dois tipos de tratamento anaeróbico sejam aplicados sequencialmente ao efluente, atualize no Passo 7 os dados de composição do efluente após a aplicação do primeiro tratamento.</t>
  </si>
  <si>
    <t>(E) Utilize os botões "+" à esquerda para escolher as subseções da ferramenta que deseja inserir informações.</t>
  </si>
  <si>
    <t>(C) Utilize os botões "+" à esquerda para escolher as subseções da ferramenta que deseja inserir informações.</t>
  </si>
  <si>
    <t>lista_comb_ferrovia</t>
  </si>
  <si>
    <t>tabela_comb_ferrovia</t>
  </si>
  <si>
    <t>CO2 - biogênico</t>
  </si>
  <si>
    <t>combustível fóssil - ferroviário</t>
  </si>
  <si>
    <t>biocombustível - ferroviário</t>
  </si>
  <si>
    <t>combustíveis - hidroviário</t>
  </si>
  <si>
    <t>combustíveis - ferroviário</t>
  </si>
  <si>
    <t>combustíveis - aéreo</t>
  </si>
  <si>
    <t>combustível fóssil - hidroviário</t>
  </si>
  <si>
    <t>combustível fóssil - aéreo</t>
  </si>
  <si>
    <t>lista_comb_hidroviario</t>
  </si>
  <si>
    <t>lista_comb_aereo</t>
  </si>
  <si>
    <t>tabela_comb_hidroviario</t>
  </si>
  <si>
    <t>biocombustível - hidroviário</t>
  </si>
  <si>
    <t>biocombustível - aéreo</t>
  </si>
  <si>
    <t>tabela_comb_aereo</t>
  </si>
  <si>
    <t>1.  Métodos adaptados de:</t>
  </si>
  <si>
    <r>
      <t>CO</t>
    </r>
    <r>
      <rPr>
        <vertAlign val="subscript"/>
        <sz val="12"/>
        <rFont val="Calibri Light"/>
        <family val="2"/>
      </rPr>
      <t>2</t>
    </r>
  </si>
  <si>
    <r>
      <t>CH</t>
    </r>
    <r>
      <rPr>
        <vertAlign val="subscript"/>
        <sz val="12"/>
        <rFont val="Calibri Light"/>
        <family val="2"/>
      </rPr>
      <t xml:space="preserve">4 </t>
    </r>
    <r>
      <rPr>
        <sz val="12"/>
        <rFont val="Calibri Light"/>
        <family val="2"/>
      </rPr>
      <t xml:space="preserve"> </t>
    </r>
  </si>
  <si>
    <r>
      <t>N</t>
    </r>
    <r>
      <rPr>
        <vertAlign val="subscript"/>
        <sz val="12"/>
        <rFont val="Calibri Light"/>
        <family val="2"/>
      </rPr>
      <t>2</t>
    </r>
    <r>
      <rPr>
        <sz val="12"/>
        <rFont val="Calibri Light"/>
        <family val="2"/>
      </rPr>
      <t>O</t>
    </r>
  </si>
  <si>
    <r>
      <t>SF</t>
    </r>
    <r>
      <rPr>
        <vertAlign val="subscript"/>
        <sz val="12"/>
        <rFont val="Calibri Light"/>
        <family val="2"/>
      </rPr>
      <t>6</t>
    </r>
  </si>
  <si>
    <r>
      <t>NF</t>
    </r>
    <r>
      <rPr>
        <vertAlign val="subscript"/>
        <sz val="12"/>
        <rFont val="Calibri Light"/>
        <family val="2"/>
      </rPr>
      <t>3</t>
    </r>
  </si>
  <si>
    <r>
      <t>CO</t>
    </r>
    <r>
      <rPr>
        <vertAlign val="subscript"/>
        <sz val="12"/>
        <rFont val="Calibri Light"/>
        <family val="2"/>
      </rPr>
      <t>2</t>
    </r>
    <r>
      <rPr>
        <sz val="12"/>
        <rFont val="Calibri Light"/>
        <family val="2"/>
      </rPr>
      <t xml:space="preserve"> (t)</t>
    </r>
  </si>
  <si>
    <r>
      <t>CH</t>
    </r>
    <r>
      <rPr>
        <vertAlign val="subscript"/>
        <sz val="12"/>
        <rFont val="Calibri Light"/>
        <family val="2"/>
      </rPr>
      <t>4</t>
    </r>
    <r>
      <rPr>
        <sz val="12"/>
        <rFont val="Calibri Light"/>
        <family val="2"/>
      </rPr>
      <t xml:space="preserve"> (t)</t>
    </r>
  </si>
  <si>
    <r>
      <t>N</t>
    </r>
    <r>
      <rPr>
        <vertAlign val="subscript"/>
        <sz val="12"/>
        <rFont val="Calibri Light"/>
        <family val="2"/>
      </rPr>
      <t>2</t>
    </r>
    <r>
      <rPr>
        <sz val="12"/>
        <rFont val="Calibri Light"/>
        <family val="2"/>
      </rPr>
      <t>O (t)</t>
    </r>
  </si>
  <si>
    <r>
      <t>SF</t>
    </r>
    <r>
      <rPr>
        <vertAlign val="subscript"/>
        <sz val="12"/>
        <rFont val="Calibri Light"/>
        <family val="2"/>
      </rPr>
      <t xml:space="preserve">6 </t>
    </r>
    <r>
      <rPr>
        <sz val="12"/>
        <rFont val="Calibri Light"/>
        <family val="2"/>
      </rPr>
      <t>(t)</t>
    </r>
  </si>
  <si>
    <r>
      <t>NF</t>
    </r>
    <r>
      <rPr>
        <vertAlign val="subscript"/>
        <sz val="12"/>
        <rFont val="Calibri Light"/>
        <family val="2"/>
      </rPr>
      <t>3</t>
    </r>
    <r>
      <rPr>
        <sz val="12"/>
        <rFont val="Calibri Light"/>
        <family val="2"/>
      </rPr>
      <t xml:space="preserve"> (t)</t>
    </r>
  </si>
  <si>
    <r>
      <t>CO</t>
    </r>
    <r>
      <rPr>
        <vertAlign val="subscript"/>
        <sz val="12"/>
        <rFont val="Calibri Light"/>
        <family val="2"/>
      </rPr>
      <t>2</t>
    </r>
    <r>
      <rPr>
        <sz val="12"/>
        <rFont val="Calibri Light"/>
        <family val="2"/>
      </rPr>
      <t>e (t)</t>
    </r>
  </si>
  <si>
    <r>
      <t>Emissões em toneladas métricas de CO</t>
    </r>
    <r>
      <rPr>
        <vertAlign val="subscript"/>
        <sz val="12"/>
        <rFont val="Calibri Light"/>
        <family val="2"/>
      </rPr>
      <t>2</t>
    </r>
    <r>
      <rPr>
        <sz val="12"/>
        <rFont val="Calibri Light"/>
        <family val="2"/>
      </rPr>
      <t xml:space="preserve"> equivalente (tCO</t>
    </r>
    <r>
      <rPr>
        <vertAlign val="subscript"/>
        <sz val="12"/>
        <rFont val="Calibri Light"/>
        <family val="2"/>
      </rPr>
      <t>2</t>
    </r>
    <r>
      <rPr>
        <sz val="12"/>
        <rFont val="Calibri Light"/>
        <family val="2"/>
      </rPr>
      <t>e)</t>
    </r>
  </si>
  <si>
    <r>
      <t xml:space="preserve">Dados de GWP encontrados em US-EPA. </t>
    </r>
    <r>
      <rPr>
        <i/>
        <sz val="11"/>
        <color indexed="8"/>
        <rFont val="Calibri Light"/>
        <family val="2"/>
      </rPr>
      <t>Inventory of U.S. Greenhouse Gas Emissions and Sinks:  1990 - 2005. Estados Unidos: Abril, 2007.</t>
    </r>
  </si>
  <si>
    <r>
      <t>CO</t>
    </r>
    <r>
      <rPr>
        <b/>
        <vertAlign val="subscript"/>
        <sz val="11"/>
        <rFont val="Calibri Light"/>
        <family val="2"/>
      </rPr>
      <t>2</t>
    </r>
    <r>
      <rPr>
        <b/>
        <sz val="11"/>
        <rFont val="Calibri Light"/>
        <family val="2"/>
      </rPr>
      <t xml:space="preserve"> (kg/TJ)</t>
    </r>
  </si>
  <si>
    <r>
      <t>Dióxido de carbono (CO</t>
    </r>
    <r>
      <rPr>
        <vertAlign val="subscript"/>
        <sz val="11"/>
        <rFont val="Calibri Light"/>
        <family val="2"/>
      </rPr>
      <t>2</t>
    </r>
    <r>
      <rPr>
        <sz val="11"/>
        <rFont val="Calibri Light"/>
        <family val="2"/>
      </rPr>
      <t>)</t>
    </r>
  </si>
  <si>
    <r>
      <t>Metano (CH</t>
    </r>
    <r>
      <rPr>
        <vertAlign val="subscript"/>
        <sz val="11"/>
        <rFont val="Calibri Light"/>
        <family val="2"/>
      </rPr>
      <t>4</t>
    </r>
    <r>
      <rPr>
        <sz val="11"/>
        <rFont val="Calibri Light"/>
        <family val="2"/>
      </rPr>
      <t>)</t>
    </r>
  </si>
  <si>
    <r>
      <t>Óxido nitroso (N</t>
    </r>
    <r>
      <rPr>
        <vertAlign val="subscript"/>
        <sz val="11"/>
        <rFont val="Calibri Light"/>
        <family val="2"/>
      </rPr>
      <t>2</t>
    </r>
    <r>
      <rPr>
        <sz val="11"/>
        <rFont val="Calibri Light"/>
        <family val="2"/>
      </rPr>
      <t>O)</t>
    </r>
  </si>
  <si>
    <r>
      <t>Hexafluoreto de enxofre (SF</t>
    </r>
    <r>
      <rPr>
        <vertAlign val="subscript"/>
        <sz val="11"/>
        <rFont val="Calibri Light"/>
        <family val="2"/>
      </rPr>
      <t>6</t>
    </r>
    <r>
      <rPr>
        <sz val="11"/>
        <rFont val="Calibri Light"/>
        <family val="2"/>
      </rPr>
      <t>)</t>
    </r>
  </si>
  <si>
    <t>IPCC 2007
e
ASHRAE 2010</t>
  </si>
  <si>
    <r>
      <t>FE de CO</t>
    </r>
    <r>
      <rPr>
        <b/>
        <vertAlign val="subscript"/>
        <sz val="11"/>
        <rFont val="Calibri Light"/>
        <family val="2"/>
      </rPr>
      <t>2</t>
    </r>
  </si>
  <si>
    <r>
      <t>FE de CH</t>
    </r>
    <r>
      <rPr>
        <b/>
        <vertAlign val="subscript"/>
        <sz val="11"/>
        <rFont val="Calibri Light"/>
        <family val="2"/>
      </rPr>
      <t>4</t>
    </r>
  </si>
  <si>
    <r>
      <t>FE de N</t>
    </r>
    <r>
      <rPr>
        <b/>
        <vertAlign val="subscript"/>
        <sz val="11"/>
        <rFont val="Calibri Light"/>
        <family val="2"/>
      </rPr>
      <t>2</t>
    </r>
    <r>
      <rPr>
        <b/>
        <sz val="11"/>
        <rFont val="Calibri Light"/>
        <family val="2"/>
      </rPr>
      <t>O</t>
    </r>
  </si>
  <si>
    <r>
      <t>(kgCO</t>
    </r>
    <r>
      <rPr>
        <b/>
        <vertAlign val="subscript"/>
        <sz val="10"/>
        <rFont val="Calibri Light"/>
        <family val="2"/>
      </rPr>
      <t>2</t>
    </r>
    <r>
      <rPr>
        <b/>
        <sz val="10"/>
        <rFont val="Calibri Light"/>
        <family val="2"/>
      </rPr>
      <t xml:space="preserve"> / passageiro*km)</t>
    </r>
  </si>
  <si>
    <r>
      <t>(kgCH</t>
    </r>
    <r>
      <rPr>
        <b/>
        <vertAlign val="subscript"/>
        <sz val="10"/>
        <rFont val="Calibri Light"/>
        <family val="2"/>
      </rPr>
      <t>4</t>
    </r>
    <r>
      <rPr>
        <b/>
        <sz val="10"/>
        <rFont val="Calibri Light"/>
        <family val="2"/>
      </rPr>
      <t xml:space="preserve"> / passageiro*km)</t>
    </r>
  </si>
  <si>
    <r>
      <t>(kgN</t>
    </r>
    <r>
      <rPr>
        <b/>
        <vertAlign val="subscript"/>
        <sz val="10"/>
        <rFont val="Calibri Light"/>
        <family val="2"/>
      </rPr>
      <t>2</t>
    </r>
    <r>
      <rPr>
        <b/>
        <sz val="10"/>
        <rFont val="Calibri Light"/>
        <family val="2"/>
      </rPr>
      <t>O / passageiro*km)</t>
    </r>
  </si>
  <si>
    <r>
      <t>CO</t>
    </r>
    <r>
      <rPr>
        <b/>
        <vertAlign val="subscript"/>
        <sz val="11"/>
        <rFont val="Calibri Light"/>
        <family val="2"/>
      </rPr>
      <t>2</t>
    </r>
    <r>
      <rPr>
        <b/>
        <sz val="11"/>
        <rFont val="Calibri Light"/>
        <family val="2"/>
      </rPr>
      <t xml:space="preserve"> </t>
    </r>
  </si>
  <si>
    <r>
      <t>CH</t>
    </r>
    <r>
      <rPr>
        <b/>
        <vertAlign val="subscript"/>
        <sz val="11"/>
        <rFont val="Calibri Light"/>
        <family val="2"/>
      </rPr>
      <t>4</t>
    </r>
  </si>
  <si>
    <r>
      <t>N</t>
    </r>
    <r>
      <rPr>
        <b/>
        <vertAlign val="subscript"/>
        <sz val="11"/>
        <rFont val="Calibri Light"/>
        <family val="2"/>
      </rPr>
      <t>2</t>
    </r>
    <r>
      <rPr>
        <b/>
        <sz val="11"/>
        <rFont val="Calibri Light"/>
        <family val="2"/>
      </rPr>
      <t>O</t>
    </r>
  </si>
  <si>
    <r>
      <t>CO</t>
    </r>
    <r>
      <rPr>
        <b/>
        <vertAlign val="subscript"/>
        <sz val="11"/>
        <rFont val="Calibri Light"/>
        <family val="2"/>
      </rPr>
      <t>2</t>
    </r>
  </si>
  <si>
    <r>
      <t xml:space="preserve">(B) É imprescindível a </t>
    </r>
    <r>
      <rPr>
        <b/>
        <sz val="11"/>
        <rFont val="Calibri Light"/>
        <family val="2"/>
      </rPr>
      <t>escolha do setor da economia</t>
    </r>
    <r>
      <rPr>
        <sz val="11"/>
        <rFont val="Calibri Light"/>
        <family val="2"/>
      </rPr>
      <t xml:space="preserve"> para que os fatores de emissão corretos sejam considerados.</t>
    </r>
  </si>
  <si>
    <r>
      <t xml:space="preserve">(C) Preencha somente as  células </t>
    </r>
    <r>
      <rPr>
        <b/>
        <sz val="11"/>
        <color rgb="FFFF6600"/>
        <rFont val="Calibri Light"/>
        <family val="2"/>
      </rPr>
      <t>LARANJA CLARO</t>
    </r>
    <r>
      <rPr>
        <sz val="11"/>
        <rFont val="Calibri Light"/>
        <family val="2"/>
      </rPr>
      <t xml:space="preserve"> da Ferramenta. </t>
    </r>
  </si>
  <si>
    <r>
      <t>Emissões de CO</t>
    </r>
    <r>
      <rPr>
        <b/>
        <vertAlign val="subscript"/>
        <sz val="11"/>
        <rFont val="Calibri Light"/>
        <family val="2"/>
      </rPr>
      <t>2</t>
    </r>
    <r>
      <rPr>
        <b/>
        <sz val="11"/>
        <rFont val="Calibri Light"/>
        <family val="2"/>
      </rPr>
      <t xml:space="preserve"> </t>
    </r>
  </si>
  <si>
    <r>
      <t>Emissões de CH</t>
    </r>
    <r>
      <rPr>
        <b/>
        <vertAlign val="subscript"/>
        <sz val="11"/>
        <rFont val="Calibri Light"/>
        <family val="2"/>
      </rPr>
      <t>4</t>
    </r>
    <r>
      <rPr>
        <b/>
        <sz val="11"/>
        <rFont val="Calibri Light"/>
        <family val="2"/>
      </rPr>
      <t xml:space="preserve"> </t>
    </r>
  </si>
  <si>
    <r>
      <t>Emissões de N</t>
    </r>
    <r>
      <rPr>
        <b/>
        <vertAlign val="subscript"/>
        <sz val="11"/>
        <rFont val="Calibri Light"/>
        <family val="2"/>
      </rPr>
      <t>2</t>
    </r>
    <r>
      <rPr>
        <b/>
        <sz val="11"/>
        <rFont val="Calibri Light"/>
        <family val="2"/>
      </rPr>
      <t>O</t>
    </r>
  </si>
  <si>
    <r>
      <t>Emissões em CO</t>
    </r>
    <r>
      <rPr>
        <b/>
        <vertAlign val="subscript"/>
        <sz val="11"/>
        <rFont val="Calibri Light"/>
        <family val="2"/>
      </rPr>
      <t>2</t>
    </r>
    <r>
      <rPr>
        <b/>
        <sz val="11"/>
        <rFont val="Calibri Light"/>
        <family val="2"/>
      </rPr>
      <t>e</t>
    </r>
  </si>
  <si>
    <r>
      <t>CO</t>
    </r>
    <r>
      <rPr>
        <b/>
        <vertAlign val="subscript"/>
        <sz val="11"/>
        <rFont val="Calibri Light"/>
        <family val="2"/>
      </rPr>
      <t>2</t>
    </r>
    <r>
      <rPr>
        <b/>
        <sz val="11"/>
        <rFont val="Calibri Light"/>
        <family val="2"/>
      </rPr>
      <t xml:space="preserve">  (kg/un)</t>
    </r>
  </si>
  <si>
    <r>
      <t>CH</t>
    </r>
    <r>
      <rPr>
        <b/>
        <vertAlign val="subscript"/>
        <sz val="11"/>
        <rFont val="Calibri Light"/>
        <family val="2"/>
      </rPr>
      <t>4</t>
    </r>
    <r>
      <rPr>
        <b/>
        <sz val="11"/>
        <rFont val="Calibri Light"/>
        <family val="2"/>
      </rPr>
      <t xml:space="preserve"> (kg/un)</t>
    </r>
  </si>
  <si>
    <r>
      <t>N</t>
    </r>
    <r>
      <rPr>
        <b/>
        <vertAlign val="subscript"/>
        <sz val="11"/>
        <rFont val="Calibri Light"/>
        <family val="2"/>
      </rPr>
      <t>2</t>
    </r>
    <r>
      <rPr>
        <b/>
        <sz val="11"/>
        <rFont val="Calibri Light"/>
        <family val="2"/>
      </rPr>
      <t>O (kg/un)</t>
    </r>
  </si>
  <si>
    <r>
      <t>Emissões totais em CO</t>
    </r>
    <r>
      <rPr>
        <b/>
        <vertAlign val="subscript"/>
        <sz val="12"/>
        <rFont val="Calibri Light"/>
        <family val="2"/>
      </rPr>
      <t>2</t>
    </r>
    <r>
      <rPr>
        <b/>
        <sz val="12"/>
        <rFont val="Calibri Light"/>
        <family val="2"/>
      </rPr>
      <t xml:space="preserve"> equivalente (toneladas métricas)</t>
    </r>
  </si>
  <si>
    <r>
      <t>Emissões de CO</t>
    </r>
    <r>
      <rPr>
        <b/>
        <vertAlign val="subscript"/>
        <sz val="11"/>
        <rFont val="Calibri Light"/>
        <family val="2"/>
      </rPr>
      <t>2</t>
    </r>
    <r>
      <rPr>
        <b/>
        <sz val="11"/>
        <rFont val="Calibri Light"/>
        <family val="2"/>
      </rPr>
      <t xml:space="preserve"> (t) fóssil</t>
    </r>
  </si>
  <si>
    <r>
      <t>Emissões de CH</t>
    </r>
    <r>
      <rPr>
        <b/>
        <vertAlign val="subscript"/>
        <sz val="11"/>
        <rFont val="Calibri Light"/>
        <family val="2"/>
      </rPr>
      <t>4</t>
    </r>
    <r>
      <rPr>
        <b/>
        <sz val="11"/>
        <rFont val="Calibri Light"/>
        <family val="2"/>
      </rPr>
      <t xml:space="preserve"> (t)</t>
    </r>
  </si>
  <si>
    <r>
      <t>Emissões de N</t>
    </r>
    <r>
      <rPr>
        <b/>
        <vertAlign val="subscript"/>
        <sz val="11"/>
        <rFont val="Calibri Light"/>
        <family val="2"/>
      </rPr>
      <t>2</t>
    </r>
    <r>
      <rPr>
        <b/>
        <sz val="11"/>
        <rFont val="Calibri Light"/>
        <family val="2"/>
      </rPr>
      <t>O (t)</t>
    </r>
  </si>
  <si>
    <r>
      <t>Emissões totais
(t CO</t>
    </r>
    <r>
      <rPr>
        <b/>
        <vertAlign val="subscript"/>
        <sz val="11"/>
        <rFont val="Calibri Light"/>
        <family val="2"/>
      </rPr>
      <t>2</t>
    </r>
    <r>
      <rPr>
        <b/>
        <sz val="11"/>
        <rFont val="Calibri Light"/>
        <family val="2"/>
      </rPr>
      <t>e)</t>
    </r>
  </si>
  <si>
    <r>
      <t>Emissões de CO</t>
    </r>
    <r>
      <rPr>
        <b/>
        <vertAlign val="subscript"/>
        <sz val="11"/>
        <rFont val="Calibri Light"/>
        <family val="2"/>
      </rPr>
      <t>2</t>
    </r>
    <r>
      <rPr>
        <b/>
        <sz val="11"/>
        <rFont val="Calibri Light"/>
        <family val="2"/>
      </rPr>
      <t xml:space="preserve"> biogênico
(t CO</t>
    </r>
    <r>
      <rPr>
        <b/>
        <vertAlign val="subscript"/>
        <sz val="11"/>
        <rFont val="Calibri Light"/>
        <family val="2"/>
      </rPr>
      <t>2</t>
    </r>
    <r>
      <rPr>
        <b/>
        <sz val="11"/>
        <rFont val="Calibri Light"/>
        <family val="2"/>
      </rPr>
      <t>)</t>
    </r>
  </si>
  <si>
    <r>
      <t xml:space="preserve">(D) Esta ferramenta </t>
    </r>
    <r>
      <rPr>
        <b/>
        <u/>
        <sz val="11"/>
        <rFont val="Calibri Light"/>
        <family val="2"/>
      </rPr>
      <t>não</t>
    </r>
    <r>
      <rPr>
        <sz val="11"/>
        <rFont val="Calibri Light"/>
        <family val="2"/>
      </rPr>
      <t xml:space="preserve"> permite o cálculo de outros gases de efeito estufa não contemplados pelo Protocolo de Quioto.</t>
    </r>
  </si>
  <si>
    <r>
      <t xml:space="preserve">     (C) Existe uma terceira opção de "Triagem" que serve </t>
    </r>
    <r>
      <rPr>
        <u/>
        <sz val="11"/>
        <rFont val="Calibri Light"/>
        <family val="2"/>
      </rPr>
      <t>exclusivamente</t>
    </r>
    <r>
      <rPr>
        <sz val="11"/>
        <rFont val="Calibri Light"/>
        <family val="2"/>
      </rPr>
      <t xml:space="preserve"> para se estabelecer a relevância das emissões de RAC nas emissões totais da organização (&gt;5% do total).</t>
    </r>
  </si>
  <si>
    <r>
      <t xml:space="preserve">E = </t>
    </r>
    <r>
      <rPr>
        <sz val="11"/>
        <rFont val="Calibri Light"/>
        <family val="2"/>
      </rPr>
      <t>emissões em CO</t>
    </r>
    <r>
      <rPr>
        <vertAlign val="subscript"/>
        <sz val="11"/>
        <rFont val="Calibri Light"/>
        <family val="2"/>
      </rPr>
      <t>2</t>
    </r>
    <r>
      <rPr>
        <sz val="11"/>
        <rFont val="Calibri Light"/>
        <family val="2"/>
      </rPr>
      <t>e (kg);</t>
    </r>
  </si>
  <si>
    <r>
      <rPr>
        <b/>
        <sz val="11"/>
        <rFont val="Calibri Light"/>
        <family val="2"/>
      </rPr>
      <t>EUE</t>
    </r>
    <r>
      <rPr>
        <sz val="11"/>
        <rFont val="Calibri Light"/>
        <family val="2"/>
      </rPr>
      <t xml:space="preserve"> = gás adicionado a unidades existentes como manutenção pela organização ou fornecedor (não inclui pré-cargas feitas pelo fabricante);</t>
    </r>
  </si>
  <si>
    <r>
      <rPr>
        <b/>
        <sz val="11"/>
        <rFont val="Calibri Light"/>
        <family val="2"/>
      </rPr>
      <t>EUD</t>
    </r>
    <r>
      <rPr>
        <sz val="11"/>
        <rFont val="Calibri Light"/>
        <family val="2"/>
      </rPr>
      <t xml:space="preserve"> = emissões do descarte de unidades antigas: capacidade da unidade dispensada menos a quantidade de gás recuperada (a diferença corresponde às perdas para a atmosfera).</t>
    </r>
  </si>
  <si>
    <r>
      <t>de CO</t>
    </r>
    <r>
      <rPr>
        <b/>
        <vertAlign val="subscript"/>
        <sz val="11"/>
        <rFont val="Calibri Light"/>
        <family val="2"/>
      </rPr>
      <t>2</t>
    </r>
    <r>
      <rPr>
        <b/>
        <sz val="11"/>
        <rFont val="Calibri Light"/>
        <family val="2"/>
      </rPr>
      <t>e</t>
    </r>
  </si>
  <si>
    <r>
      <t>E</t>
    </r>
    <r>
      <rPr>
        <sz val="11"/>
        <rFont val="Calibri Light"/>
        <family val="2"/>
      </rPr>
      <t xml:space="preserve"> = emissões em CO</t>
    </r>
    <r>
      <rPr>
        <vertAlign val="subscript"/>
        <sz val="11"/>
        <rFont val="Calibri Light"/>
        <family val="2"/>
      </rPr>
      <t>2</t>
    </r>
    <r>
      <rPr>
        <sz val="11"/>
        <rFont val="Calibri Light"/>
        <family val="2"/>
      </rPr>
      <t>e (kg)</t>
    </r>
  </si>
  <si>
    <r>
      <rPr>
        <b/>
        <sz val="11"/>
        <rFont val="Calibri Light"/>
        <family val="2"/>
      </rPr>
      <t>T</t>
    </r>
    <r>
      <rPr>
        <sz val="11"/>
        <rFont val="Calibri Light"/>
        <family val="2"/>
      </rPr>
      <t xml:space="preserve"> = Quantidade Transferida (kg do gás): gás comprado menos gás vendido / dispensado durante o período.</t>
    </r>
  </si>
  <si>
    <r>
      <rPr>
        <b/>
        <sz val="11"/>
        <rFont val="Calibri Light"/>
        <family val="2"/>
      </rPr>
      <t>MC</t>
    </r>
    <r>
      <rPr>
        <sz val="11"/>
        <rFont val="Calibri Light"/>
        <family val="2"/>
      </rPr>
      <t xml:space="preserve"> = Mudança de Capacidade (kg do gás): capacidade de todas as unidades no começo do período menos a capacidade no final do período</t>
    </r>
  </si>
  <si>
    <r>
      <t>Emissões de CO</t>
    </r>
    <r>
      <rPr>
        <b/>
        <vertAlign val="subscript"/>
        <sz val="11"/>
        <rFont val="Calibri Light"/>
        <family val="2"/>
      </rPr>
      <t>2</t>
    </r>
    <r>
      <rPr>
        <b/>
        <sz val="11"/>
        <rFont val="Calibri Light"/>
        <family val="2"/>
      </rPr>
      <t>e</t>
    </r>
  </si>
  <si>
    <r>
      <t>Emissão do gás referente à parcela dos compostos
(kg CO</t>
    </r>
    <r>
      <rPr>
        <b/>
        <vertAlign val="subscript"/>
        <sz val="11"/>
        <rFont val="Calibri Light"/>
        <family val="2"/>
      </rPr>
      <t>2</t>
    </r>
    <r>
      <rPr>
        <b/>
        <sz val="11"/>
        <rFont val="Calibri Light"/>
        <family val="2"/>
      </rPr>
      <t>e)</t>
    </r>
  </si>
  <si>
    <r>
      <t>Emissão total do gás
(kg CO</t>
    </r>
    <r>
      <rPr>
        <b/>
        <vertAlign val="subscript"/>
        <sz val="11"/>
        <rFont val="Calibri Light"/>
        <family val="2"/>
      </rPr>
      <t>2</t>
    </r>
    <r>
      <rPr>
        <b/>
        <sz val="11"/>
        <rFont val="Calibri Light"/>
        <family val="2"/>
      </rPr>
      <t>e)</t>
    </r>
  </si>
  <si>
    <r>
      <t>CO</t>
    </r>
    <r>
      <rPr>
        <b/>
        <vertAlign val="subscript"/>
        <sz val="11"/>
        <rFont val="Calibri Light"/>
        <family val="2"/>
      </rPr>
      <t>2</t>
    </r>
    <r>
      <rPr>
        <b/>
        <sz val="11"/>
        <rFont val="Calibri Light"/>
        <family val="2"/>
      </rPr>
      <t>e (kg)</t>
    </r>
  </si>
  <si>
    <t>≥ 1.000</t>
  </si>
  <si>
    <r>
      <t xml:space="preserve">Queima em </t>
    </r>
    <r>
      <rPr>
        <i/>
        <sz val="11"/>
        <rFont val="Calibri Light"/>
        <family val="2"/>
      </rPr>
      <t>flare</t>
    </r>
  </si>
  <si>
    <r>
      <t xml:space="preserve">Temperatura anual média [ </t>
    </r>
    <r>
      <rPr>
        <vertAlign val="superscript"/>
        <sz val="11"/>
        <rFont val="Calibri Light"/>
        <family val="2"/>
      </rPr>
      <t>o</t>
    </r>
    <r>
      <rPr>
        <sz val="11"/>
        <rFont val="Calibri Light"/>
        <family val="2"/>
      </rPr>
      <t>C]</t>
    </r>
  </si>
  <si>
    <r>
      <t>É facultativo o preenchimento dos campos para todos os anos, porém, o IPCC recomenda que a estimativa das emissões de CH</t>
    </r>
    <r>
      <rPr>
        <vertAlign val="subscript"/>
        <sz val="11"/>
        <rFont val="Calibri Light"/>
        <family val="2"/>
      </rPr>
      <t>4</t>
    </r>
    <r>
      <rPr>
        <sz val="11"/>
        <rFont val="Calibri Light"/>
        <family val="2"/>
      </rPr>
      <t xml:space="preserve">   </t>
    </r>
  </si>
  <si>
    <r>
      <t>DOC</t>
    </r>
    <r>
      <rPr>
        <vertAlign val="subscript"/>
        <sz val="11"/>
        <rFont val="Calibri Light"/>
        <family val="2"/>
      </rPr>
      <t xml:space="preserve">f  </t>
    </r>
    <r>
      <rPr>
        <sz val="11"/>
        <rFont val="Calibri Light"/>
        <family val="2"/>
      </rPr>
      <t>[adimensional]=</t>
    </r>
  </si>
  <si>
    <r>
      <t xml:space="preserve">Caso a soma da composição não atinja 100%, a diferença será automaticamente atribuída à categoria </t>
    </r>
    <r>
      <rPr>
        <i/>
        <sz val="11"/>
        <rFont val="Calibri Light"/>
        <family val="2"/>
      </rPr>
      <t>Outros</t>
    </r>
    <r>
      <rPr>
        <sz val="11"/>
        <rFont val="Calibri Light"/>
        <family val="2"/>
      </rPr>
      <t>.</t>
    </r>
  </si>
  <si>
    <r>
      <t>Q = A . k . MSW</t>
    </r>
    <r>
      <rPr>
        <b/>
        <vertAlign val="subscript"/>
        <sz val="11"/>
        <rFont val="Calibri Light"/>
        <family val="2"/>
      </rPr>
      <t>t</t>
    </r>
    <r>
      <rPr>
        <b/>
        <sz val="11"/>
        <rFont val="Calibri Light"/>
        <family val="2"/>
      </rPr>
      <t xml:space="preserve"> . MWS</t>
    </r>
    <r>
      <rPr>
        <b/>
        <vertAlign val="subscript"/>
        <sz val="11"/>
        <rFont val="Calibri Light"/>
        <family val="2"/>
      </rPr>
      <t>f</t>
    </r>
    <r>
      <rPr>
        <b/>
        <sz val="11"/>
        <rFont val="Calibri Light"/>
        <family val="2"/>
      </rPr>
      <t xml:space="preserve"> . MCF . DOC . DOC</t>
    </r>
    <r>
      <rPr>
        <b/>
        <vertAlign val="subscript"/>
        <sz val="11"/>
        <rFont val="Calibri Light"/>
        <family val="2"/>
      </rPr>
      <t>f</t>
    </r>
    <r>
      <rPr>
        <b/>
        <sz val="11"/>
        <rFont val="Calibri Light"/>
        <family val="2"/>
      </rPr>
      <t xml:space="preserve"> . F . 16/12  =</t>
    </r>
  </si>
  <si>
    <r>
      <t>Q</t>
    </r>
    <r>
      <rPr>
        <b/>
        <vertAlign val="subscript"/>
        <sz val="11"/>
        <rFont val="Calibri Light"/>
        <family val="2"/>
      </rPr>
      <t xml:space="preserve">A </t>
    </r>
    <r>
      <rPr>
        <b/>
        <sz val="11"/>
        <rFont val="Calibri Light"/>
        <family val="2"/>
      </rPr>
      <t>= A . k . MSW</t>
    </r>
    <r>
      <rPr>
        <b/>
        <vertAlign val="subscript"/>
        <sz val="11"/>
        <rFont val="Calibri Light"/>
        <family val="2"/>
      </rPr>
      <t>t</t>
    </r>
    <r>
      <rPr>
        <b/>
        <sz val="11"/>
        <rFont val="Calibri Light"/>
        <family val="2"/>
      </rPr>
      <t xml:space="preserve"> . MWSW</t>
    </r>
    <r>
      <rPr>
        <b/>
        <vertAlign val="subscript"/>
        <sz val="11"/>
        <rFont val="Calibri Light"/>
        <family val="2"/>
      </rPr>
      <t>f</t>
    </r>
    <r>
      <rPr>
        <b/>
        <sz val="11"/>
        <rFont val="Calibri Light"/>
        <family val="2"/>
      </rPr>
      <t xml:space="preserve"> . MCF . DOC . DOCf . F . 16/12 . e</t>
    </r>
    <r>
      <rPr>
        <b/>
        <vertAlign val="superscript"/>
        <sz val="11"/>
        <rFont val="Calibri Light"/>
        <family val="2"/>
      </rPr>
      <t>-k(t-x)</t>
    </r>
  </si>
  <si>
    <r>
      <t>Fração de CH</t>
    </r>
    <r>
      <rPr>
        <vertAlign val="subscript"/>
        <sz val="11"/>
        <rFont val="Calibri Light"/>
        <family val="2"/>
      </rPr>
      <t>4</t>
    </r>
    <r>
      <rPr>
        <sz val="11"/>
        <rFont val="Calibri Light"/>
        <family val="2"/>
      </rPr>
      <t xml:space="preserve"> no biogás</t>
    </r>
  </si>
  <si>
    <r>
      <t>Q</t>
    </r>
    <r>
      <rPr>
        <b/>
        <vertAlign val="subscript"/>
        <sz val="11"/>
        <rFont val="Calibri Light"/>
        <family val="2"/>
      </rPr>
      <t>A</t>
    </r>
    <r>
      <rPr>
        <b/>
        <sz val="11"/>
        <rFont val="Calibri Light"/>
        <family val="2"/>
      </rPr>
      <t xml:space="preserve"> = A . k . MSWt . MSWf . MCF . DOC . DOC</t>
    </r>
    <r>
      <rPr>
        <b/>
        <vertAlign val="subscript"/>
        <sz val="11"/>
        <rFont val="Calibri Light"/>
        <family val="2"/>
      </rPr>
      <t>f</t>
    </r>
    <r>
      <rPr>
        <b/>
        <sz val="11"/>
        <rFont val="Calibri Light"/>
        <family val="2"/>
      </rPr>
      <t xml:space="preserve"> . F . 16/12 [tCH</t>
    </r>
    <r>
      <rPr>
        <b/>
        <vertAlign val="subscript"/>
        <sz val="11"/>
        <rFont val="Calibri Light"/>
        <family val="2"/>
      </rPr>
      <t>4</t>
    </r>
    <r>
      <rPr>
        <b/>
        <sz val="11"/>
        <rFont val="Calibri Light"/>
        <family val="2"/>
      </rPr>
      <t>/ano]=</t>
    </r>
  </si>
  <si>
    <r>
      <t>Passo 5.    Recuperação de CH</t>
    </r>
    <r>
      <rPr>
        <vertAlign val="subscript"/>
        <sz val="11"/>
        <rFont val="Calibri Light"/>
        <family val="2"/>
      </rPr>
      <t>4.</t>
    </r>
  </si>
  <si>
    <r>
      <t>[tCH</t>
    </r>
    <r>
      <rPr>
        <vertAlign val="subscript"/>
        <sz val="11"/>
        <rFont val="Calibri Light"/>
        <family val="2"/>
      </rPr>
      <t>4</t>
    </r>
    <r>
      <rPr>
        <sz val="11"/>
        <rFont val="Calibri Light"/>
        <family val="2"/>
      </rPr>
      <t>/ano]</t>
    </r>
  </si>
  <si>
    <r>
      <t>Emissões de CH</t>
    </r>
    <r>
      <rPr>
        <b/>
        <vertAlign val="subscript"/>
        <sz val="11"/>
        <rFont val="Calibri Light"/>
        <family val="2"/>
      </rPr>
      <t xml:space="preserve">4 </t>
    </r>
  </si>
  <si>
    <r>
      <t>[tCH</t>
    </r>
    <r>
      <rPr>
        <b/>
        <vertAlign val="subscript"/>
        <sz val="11"/>
        <rFont val="Calibri Light"/>
        <family val="2"/>
      </rPr>
      <t>4</t>
    </r>
    <r>
      <rPr>
        <b/>
        <sz val="11"/>
        <rFont val="Calibri Light"/>
        <family val="2"/>
      </rPr>
      <t>/ano]</t>
    </r>
  </si>
  <si>
    <r>
      <t>[tCO</t>
    </r>
    <r>
      <rPr>
        <b/>
        <vertAlign val="subscript"/>
        <sz val="11"/>
        <rFont val="Calibri Light"/>
        <family val="2"/>
      </rPr>
      <t>2</t>
    </r>
    <r>
      <rPr>
        <b/>
        <sz val="11"/>
        <rFont val="Calibri Light"/>
        <family val="2"/>
      </rPr>
      <t>e/ano]</t>
    </r>
  </si>
  <si>
    <r>
      <t>[tCO</t>
    </r>
    <r>
      <rPr>
        <b/>
        <vertAlign val="subscript"/>
        <sz val="11"/>
        <rFont val="Calibri Light"/>
        <family val="2"/>
      </rPr>
      <t>2</t>
    </r>
    <r>
      <rPr>
        <b/>
        <sz val="11"/>
        <rFont val="Calibri Light"/>
        <family val="2"/>
      </rPr>
      <t>/ano]</t>
    </r>
  </si>
  <si>
    <r>
      <t>Emissões em CO</t>
    </r>
    <r>
      <rPr>
        <b/>
        <vertAlign val="subscript"/>
        <sz val="11"/>
        <rFont val="Calibri Light"/>
        <family val="2"/>
      </rPr>
      <t>2</t>
    </r>
    <r>
      <rPr>
        <b/>
        <sz val="11"/>
        <rFont val="Calibri Light"/>
        <family val="2"/>
      </rPr>
      <t>e no ano inventariado</t>
    </r>
  </si>
  <si>
    <r>
      <t>*CH</t>
    </r>
    <r>
      <rPr>
        <vertAlign val="subscript"/>
        <sz val="10"/>
        <rFont val="Calibri Light"/>
        <family val="2"/>
      </rPr>
      <t>4</t>
    </r>
    <r>
      <rPr>
        <sz val="10"/>
        <rFont val="Calibri Light"/>
        <family val="2"/>
      </rPr>
      <t xml:space="preserve"> Recuperado - Metano gerado que é recuperado, ou seja não é emitido, e queimado em um queimador ("flare") ou utilizado para geração de energia (eletricidade, calor, etc).</t>
    </r>
  </si>
  <si>
    <r>
      <t xml:space="preserve">     as emissões de CH</t>
    </r>
    <r>
      <rPr>
        <vertAlign val="subscript"/>
        <sz val="11"/>
        <rFont val="Calibri Light"/>
        <family val="2"/>
      </rPr>
      <t>4</t>
    </r>
    <r>
      <rPr>
        <sz val="11"/>
        <rFont val="Calibri Light"/>
        <family val="2"/>
      </rPr>
      <t xml:space="preserve"> e N</t>
    </r>
    <r>
      <rPr>
        <vertAlign val="subscript"/>
        <sz val="11"/>
        <rFont val="Calibri Light"/>
        <family val="2"/>
      </rPr>
      <t>2</t>
    </r>
    <r>
      <rPr>
        <sz val="11"/>
        <rFont val="Calibri Light"/>
        <family val="2"/>
      </rPr>
      <t xml:space="preserve">O da compostagem de resíduos. </t>
    </r>
  </si>
  <si>
    <r>
      <t>Caso não os possua, deixe os campos em branco, serão utilizados os valores padrão (</t>
    </r>
    <r>
      <rPr>
        <i/>
        <sz val="11"/>
        <rFont val="Calibri Light"/>
        <family val="2"/>
      </rPr>
      <t>defaults</t>
    </r>
    <r>
      <rPr>
        <sz val="11"/>
        <rFont val="Calibri Light"/>
        <family val="2"/>
      </rPr>
      <t>) sugeridos pelo IPCC (2006).</t>
    </r>
  </si>
  <si>
    <r>
      <t>Fator de emissão de CH</t>
    </r>
    <r>
      <rPr>
        <vertAlign val="subscript"/>
        <sz val="11"/>
        <rFont val="Calibri Light"/>
        <family val="2"/>
      </rPr>
      <t>4</t>
    </r>
  </si>
  <si>
    <r>
      <t xml:space="preserve"> [gCH</t>
    </r>
    <r>
      <rPr>
        <vertAlign val="subscript"/>
        <sz val="11"/>
        <rFont val="Calibri Light"/>
        <family val="2"/>
      </rPr>
      <t>4</t>
    </r>
    <r>
      <rPr>
        <sz val="11"/>
        <rFont val="Calibri Light"/>
        <family val="2"/>
      </rPr>
      <t>/kg</t>
    </r>
    <r>
      <rPr>
        <vertAlign val="subscript"/>
        <sz val="11"/>
        <rFont val="Calibri Light"/>
        <family val="2"/>
      </rPr>
      <t>resíduo</t>
    </r>
    <r>
      <rPr>
        <sz val="11"/>
        <rFont val="Calibri Light"/>
        <family val="2"/>
      </rPr>
      <t>]</t>
    </r>
  </si>
  <si>
    <r>
      <t>Fator de emissão de N</t>
    </r>
    <r>
      <rPr>
        <vertAlign val="subscript"/>
        <sz val="11"/>
        <rFont val="Calibri Light"/>
        <family val="2"/>
      </rPr>
      <t>2</t>
    </r>
    <r>
      <rPr>
        <sz val="11"/>
        <rFont val="Calibri Light"/>
        <family val="2"/>
      </rPr>
      <t>O</t>
    </r>
  </si>
  <si>
    <r>
      <t>[gN</t>
    </r>
    <r>
      <rPr>
        <vertAlign val="subscript"/>
        <sz val="11"/>
        <rFont val="Calibri Light"/>
        <family val="2"/>
      </rPr>
      <t>2</t>
    </r>
    <r>
      <rPr>
        <sz val="11"/>
        <rFont val="Calibri Light"/>
        <family val="2"/>
      </rPr>
      <t>O/kg</t>
    </r>
    <r>
      <rPr>
        <vertAlign val="subscript"/>
        <sz val="11"/>
        <rFont val="Calibri Light"/>
        <family val="2"/>
      </rPr>
      <t>resíduo</t>
    </r>
    <r>
      <rPr>
        <sz val="11"/>
        <rFont val="Calibri Light"/>
        <family val="2"/>
      </rPr>
      <t>]</t>
    </r>
  </si>
  <si>
    <r>
      <t>Passo 3.    Recuperação de CH</t>
    </r>
    <r>
      <rPr>
        <b/>
        <vertAlign val="subscript"/>
        <sz val="11"/>
        <rFont val="Calibri Light"/>
        <family val="2"/>
      </rPr>
      <t>4</t>
    </r>
  </si>
  <si>
    <r>
      <t>Se houver, preencha a quantidade de CH</t>
    </r>
    <r>
      <rPr>
        <vertAlign val="subscript"/>
        <sz val="11"/>
        <rFont val="Calibri Light"/>
        <family val="2"/>
      </rPr>
      <t>4</t>
    </r>
    <r>
      <rPr>
        <sz val="11"/>
        <rFont val="Calibri Light"/>
        <family val="2"/>
      </rPr>
      <t xml:space="preserve"> recuperada do tratamento por compostagem, para o ano base do inventário.</t>
    </r>
  </si>
  <si>
    <r>
      <t>Quantidade de CH</t>
    </r>
    <r>
      <rPr>
        <vertAlign val="subscript"/>
        <sz val="11"/>
        <rFont val="Calibri Light"/>
        <family val="2"/>
      </rPr>
      <t>4</t>
    </r>
    <r>
      <rPr>
        <sz val="11"/>
        <rFont val="Calibri Light"/>
        <family val="2"/>
      </rPr>
      <t xml:space="preserve"> recuperada do tratamento por compostagem</t>
    </r>
  </si>
  <si>
    <r>
      <t>Emissões de CH</t>
    </r>
    <r>
      <rPr>
        <b/>
        <vertAlign val="subscript"/>
        <sz val="11"/>
        <rFont val="Calibri Light"/>
        <family val="2"/>
      </rPr>
      <t>4</t>
    </r>
    <r>
      <rPr>
        <b/>
        <sz val="11"/>
        <rFont val="Calibri Light"/>
        <family val="2"/>
      </rPr>
      <t xml:space="preserve">  por compostagem</t>
    </r>
  </si>
  <si>
    <r>
      <t>Emissões de N</t>
    </r>
    <r>
      <rPr>
        <b/>
        <vertAlign val="subscript"/>
        <sz val="11"/>
        <rFont val="Calibri Light"/>
        <family val="2"/>
      </rPr>
      <t>2</t>
    </r>
    <r>
      <rPr>
        <b/>
        <sz val="11"/>
        <rFont val="Calibri Light"/>
        <family val="2"/>
      </rPr>
      <t>O por compostagem</t>
    </r>
  </si>
  <si>
    <r>
      <t>[tN</t>
    </r>
    <r>
      <rPr>
        <b/>
        <vertAlign val="subscript"/>
        <sz val="11"/>
        <rFont val="Calibri Light"/>
        <family val="2"/>
      </rPr>
      <t>2</t>
    </r>
    <r>
      <rPr>
        <b/>
        <sz val="11"/>
        <rFont val="Calibri Light"/>
        <family val="2"/>
      </rPr>
      <t>O/ano]</t>
    </r>
  </si>
  <si>
    <r>
      <t>Emissões em tCO</t>
    </r>
    <r>
      <rPr>
        <b/>
        <vertAlign val="subscript"/>
        <sz val="11"/>
        <rFont val="Calibri Light"/>
        <family val="2"/>
      </rPr>
      <t>2</t>
    </r>
    <r>
      <rPr>
        <b/>
        <sz val="11"/>
        <rFont val="Calibri Light"/>
        <family val="2"/>
      </rPr>
      <t>e por compostagem</t>
    </r>
  </si>
  <si>
    <r>
      <t>CO</t>
    </r>
    <r>
      <rPr>
        <b/>
        <vertAlign val="subscript"/>
        <sz val="11"/>
        <rFont val="Calibri Light"/>
        <family val="2"/>
      </rPr>
      <t>2</t>
    </r>
    <r>
      <rPr>
        <b/>
        <sz val="11"/>
        <rFont val="Calibri Light"/>
        <family val="2"/>
      </rPr>
      <t xml:space="preserve"> (t)</t>
    </r>
  </si>
  <si>
    <r>
      <t>CH</t>
    </r>
    <r>
      <rPr>
        <b/>
        <vertAlign val="subscript"/>
        <sz val="11"/>
        <rFont val="Calibri Light"/>
        <family val="2"/>
      </rPr>
      <t>4</t>
    </r>
    <r>
      <rPr>
        <b/>
        <sz val="11"/>
        <rFont val="Calibri Light"/>
        <family val="2"/>
      </rPr>
      <t xml:space="preserve"> (t)</t>
    </r>
  </si>
  <si>
    <r>
      <t>N</t>
    </r>
    <r>
      <rPr>
        <b/>
        <vertAlign val="subscript"/>
        <sz val="11"/>
        <rFont val="Calibri Light"/>
        <family val="2"/>
      </rPr>
      <t>2</t>
    </r>
    <r>
      <rPr>
        <b/>
        <sz val="11"/>
        <rFont val="Calibri Light"/>
        <family val="2"/>
      </rPr>
      <t>O (t)</t>
    </r>
  </si>
  <si>
    <r>
      <t>CO</t>
    </r>
    <r>
      <rPr>
        <b/>
        <vertAlign val="subscript"/>
        <sz val="11"/>
        <rFont val="Calibri Light"/>
        <family val="2"/>
      </rPr>
      <t>2</t>
    </r>
    <r>
      <rPr>
        <b/>
        <sz val="11"/>
        <rFont val="Calibri Light"/>
        <family val="2"/>
      </rPr>
      <t>e (t)</t>
    </r>
  </si>
  <si>
    <r>
      <rPr>
        <b/>
        <vertAlign val="superscript"/>
        <sz val="10"/>
        <rFont val="Calibri Light"/>
        <family val="2"/>
      </rPr>
      <t xml:space="preserve">1 </t>
    </r>
    <r>
      <rPr>
        <sz val="10"/>
        <rFont val="Calibri Light"/>
        <family val="2"/>
      </rPr>
      <t>- Methane Correction Factor - Fator de correção do metano. (IPCC, 2006)</t>
    </r>
  </si>
  <si>
    <r>
      <rPr>
        <b/>
        <vertAlign val="superscript"/>
        <sz val="10"/>
        <rFont val="Calibri Light"/>
        <family val="2"/>
      </rPr>
      <t xml:space="preserve">2 </t>
    </r>
    <r>
      <rPr>
        <sz val="10"/>
        <rFont val="Calibri Light"/>
        <family val="2"/>
      </rPr>
      <t>- Nas emissões de CO</t>
    </r>
    <r>
      <rPr>
        <vertAlign val="subscript"/>
        <sz val="10"/>
        <rFont val="Calibri Light"/>
        <family val="2"/>
      </rPr>
      <t>2</t>
    </r>
    <r>
      <rPr>
        <sz val="10"/>
        <rFont val="Calibri Light"/>
        <family val="2"/>
      </rPr>
      <t xml:space="preserve"> biogênico, são consideradas as emissões de CO</t>
    </r>
    <r>
      <rPr>
        <vertAlign val="subscript"/>
        <sz val="10"/>
        <rFont val="Calibri Light"/>
        <family val="2"/>
      </rPr>
      <t>2</t>
    </r>
    <r>
      <rPr>
        <sz val="10"/>
        <rFont val="Calibri Light"/>
        <family val="2"/>
      </rPr>
      <t xml:space="preserve"> provenientes da queima de CH</t>
    </r>
    <r>
      <rPr>
        <vertAlign val="subscript"/>
        <sz val="10"/>
        <rFont val="Calibri Light"/>
        <family val="2"/>
      </rPr>
      <t>4</t>
    </r>
    <r>
      <rPr>
        <sz val="10"/>
        <rFont val="Calibri Light"/>
        <family val="2"/>
      </rPr>
      <t xml:space="preserve"> em flares em aterros. Além disso, também são contabilizadas </t>
    </r>
  </si>
  <si>
    <r>
      <t xml:space="preserve">   as emissões de CO</t>
    </r>
    <r>
      <rPr>
        <vertAlign val="subscript"/>
        <sz val="10"/>
        <rFont val="Calibri Light"/>
        <family val="2"/>
      </rPr>
      <t>2</t>
    </r>
    <r>
      <rPr>
        <sz val="10"/>
        <rFont val="Calibri Light"/>
        <family val="2"/>
      </rPr>
      <t xml:space="preserve"> por compostagem anaeróbica.</t>
    </r>
  </si>
  <si>
    <r>
      <t xml:space="preserve"> - Preencha o fator de emissão de N</t>
    </r>
    <r>
      <rPr>
        <vertAlign val="subscript"/>
        <sz val="11"/>
        <rFont val="Calibri Light"/>
        <family val="2"/>
      </rPr>
      <t>2</t>
    </r>
    <r>
      <rPr>
        <sz val="11"/>
        <rFont val="Calibri Light"/>
        <family val="2"/>
      </rPr>
      <t>O do efluente.</t>
    </r>
  </si>
  <si>
    <r>
      <t>[kgN/m</t>
    </r>
    <r>
      <rPr>
        <vertAlign val="superscript"/>
        <sz val="11"/>
        <rFont val="Calibri Light"/>
        <family val="2"/>
      </rPr>
      <t>3</t>
    </r>
    <r>
      <rPr>
        <sz val="11"/>
        <rFont val="Calibri Light"/>
        <family val="2"/>
      </rPr>
      <t>]</t>
    </r>
  </si>
  <si>
    <r>
      <t>[kgN</t>
    </r>
    <r>
      <rPr>
        <vertAlign val="subscript"/>
        <sz val="11"/>
        <rFont val="Calibri Light"/>
        <family val="2"/>
      </rPr>
      <t>2</t>
    </r>
    <r>
      <rPr>
        <sz val="11"/>
        <rFont val="Calibri Light"/>
        <family val="2"/>
      </rPr>
      <t>O-N/kgN]</t>
    </r>
  </si>
  <si>
    <r>
      <t>Fator de conversão de metano (MCF</t>
    </r>
    <r>
      <rPr>
        <vertAlign val="superscript"/>
        <sz val="11"/>
        <rFont val="Calibri Light"/>
        <family val="2"/>
      </rPr>
      <t>1</t>
    </r>
    <r>
      <rPr>
        <sz val="11"/>
        <rFont val="Calibri Light"/>
        <family val="2"/>
      </rPr>
      <t>)</t>
    </r>
  </si>
  <si>
    <r>
      <t>Passo 5.    Recuperação de CH</t>
    </r>
    <r>
      <rPr>
        <b/>
        <vertAlign val="subscript"/>
        <sz val="11"/>
        <rFont val="Calibri Light"/>
        <family val="2"/>
      </rPr>
      <t>4</t>
    </r>
  </si>
  <si>
    <r>
      <t>- Se houver, preencha a quantidade de metano (CH</t>
    </r>
    <r>
      <rPr>
        <vertAlign val="subscript"/>
        <sz val="11"/>
        <rFont val="Calibri Light"/>
        <family val="2"/>
      </rPr>
      <t>4</t>
    </r>
    <r>
      <rPr>
        <sz val="11"/>
        <rFont val="Calibri Light"/>
        <family val="2"/>
      </rPr>
      <t>) recuperado* no tratamento de efluentes, no ano inventariado.</t>
    </r>
  </si>
  <si>
    <r>
      <t>Quantidade de CH</t>
    </r>
    <r>
      <rPr>
        <vertAlign val="subscript"/>
        <sz val="11"/>
        <rFont val="Calibri Light"/>
        <family val="2"/>
      </rPr>
      <t>4</t>
    </r>
    <r>
      <rPr>
        <sz val="11"/>
        <rFont val="Calibri Light"/>
        <family val="2"/>
      </rPr>
      <t xml:space="preserve"> recuperada do tratamento</t>
    </r>
  </si>
  <si>
    <r>
      <t>Fator de emissão de N</t>
    </r>
    <r>
      <rPr>
        <vertAlign val="subscript"/>
        <sz val="11"/>
        <rFont val="Calibri Light"/>
        <family val="2"/>
      </rPr>
      <t>2</t>
    </r>
    <r>
      <rPr>
        <sz val="11"/>
        <rFont val="Calibri Light"/>
        <family val="2"/>
      </rPr>
      <t>O pela descarga de efluente</t>
    </r>
  </si>
  <si>
    <r>
      <t>Passo 9.    Recuperação de metano (CH</t>
    </r>
    <r>
      <rPr>
        <b/>
        <vertAlign val="subscript"/>
        <sz val="11"/>
        <rFont val="Calibri Light"/>
        <family val="2"/>
      </rPr>
      <t>4</t>
    </r>
    <r>
      <rPr>
        <b/>
        <sz val="11"/>
        <rFont val="Calibri Light"/>
        <family val="2"/>
      </rPr>
      <t>)</t>
    </r>
  </si>
  <si>
    <r>
      <rPr>
        <b/>
        <sz val="11"/>
        <color indexed="8"/>
        <rFont val="Calibri Light"/>
        <family val="2"/>
      </rPr>
      <t>Tabela 1. Em</t>
    </r>
    <r>
      <rPr>
        <b/>
        <sz val="11"/>
        <rFont val="Calibri Light"/>
        <family val="2"/>
      </rPr>
      <t>issões Totais de Efluentes Líquidos</t>
    </r>
  </si>
  <si>
    <r>
      <t>Emissões de CH</t>
    </r>
    <r>
      <rPr>
        <b/>
        <vertAlign val="subscript"/>
        <sz val="11"/>
        <rFont val="Calibri Light"/>
        <family val="2"/>
      </rPr>
      <t>4</t>
    </r>
    <r>
      <rPr>
        <b/>
        <sz val="11"/>
        <rFont val="Calibri Light"/>
        <family val="2"/>
      </rPr>
      <t xml:space="preserve">  por tratamento de efluentes</t>
    </r>
  </si>
  <si>
    <r>
      <t>Emissões de N</t>
    </r>
    <r>
      <rPr>
        <b/>
        <vertAlign val="subscript"/>
        <sz val="11"/>
        <rFont val="Calibri Light"/>
        <family val="2"/>
      </rPr>
      <t>2</t>
    </r>
    <r>
      <rPr>
        <b/>
        <sz val="11"/>
        <rFont val="Calibri Light"/>
        <family val="2"/>
      </rPr>
      <t>O por tratamento de efluentes</t>
    </r>
  </si>
  <si>
    <r>
      <t>Emissões em CO</t>
    </r>
    <r>
      <rPr>
        <b/>
        <vertAlign val="subscript"/>
        <sz val="11"/>
        <rFont val="Calibri Light"/>
        <family val="2"/>
      </rPr>
      <t>2</t>
    </r>
    <r>
      <rPr>
        <b/>
        <sz val="11"/>
        <rFont val="Calibri Light"/>
        <family val="2"/>
      </rPr>
      <t>e por tratamento de efluentes</t>
    </r>
  </si>
  <si>
    <r>
      <t>1 pés cúbicos (ft</t>
    </r>
    <r>
      <rPr>
        <vertAlign val="superscript"/>
        <sz val="12"/>
        <rFont val="Calibri Light"/>
        <family val="2"/>
      </rPr>
      <t>3</t>
    </r>
    <r>
      <rPr>
        <sz val="12"/>
        <rFont val="Calibri Light"/>
        <family val="2"/>
      </rPr>
      <t>)</t>
    </r>
  </si>
  <si>
    <r>
      <t>0,02832 metro cúbico (m</t>
    </r>
    <r>
      <rPr>
        <vertAlign val="superscript"/>
        <sz val="12"/>
        <rFont val="Calibri Light"/>
        <family val="2"/>
      </rPr>
      <t>3</t>
    </r>
    <r>
      <rPr>
        <sz val="12"/>
        <rFont val="Calibri Light"/>
        <family val="2"/>
      </rPr>
      <t>)</t>
    </r>
  </si>
  <si>
    <r>
      <t>0,003785 metro cúbico (m</t>
    </r>
    <r>
      <rPr>
        <vertAlign val="superscript"/>
        <sz val="12"/>
        <rFont val="Calibri Light"/>
        <family val="2"/>
      </rPr>
      <t>3</t>
    </r>
    <r>
      <rPr>
        <sz val="12"/>
        <rFont val="Calibri Light"/>
        <family val="2"/>
      </rPr>
      <t>)</t>
    </r>
  </si>
  <si>
    <r>
      <t>0,1589873 metro cúbico (m</t>
    </r>
    <r>
      <rPr>
        <vertAlign val="superscript"/>
        <sz val="12"/>
        <rFont val="Calibri Light"/>
        <family val="2"/>
      </rPr>
      <t>3</t>
    </r>
    <r>
      <rPr>
        <sz val="12"/>
        <rFont val="Calibri Light"/>
        <family val="2"/>
      </rPr>
      <t>)</t>
    </r>
  </si>
  <si>
    <r>
      <t>0,001 metro cúbico (m</t>
    </r>
    <r>
      <rPr>
        <vertAlign val="superscript"/>
        <sz val="12"/>
        <rFont val="Calibri Light"/>
        <family val="2"/>
      </rPr>
      <t>3</t>
    </r>
    <r>
      <rPr>
        <sz val="12"/>
        <rFont val="Calibri Light"/>
        <family val="2"/>
      </rPr>
      <t>)</t>
    </r>
  </si>
  <si>
    <r>
      <t>1 metro cúbico (m</t>
    </r>
    <r>
      <rPr>
        <vertAlign val="superscript"/>
        <sz val="12"/>
        <rFont val="Calibri Light"/>
        <family val="2"/>
      </rPr>
      <t>3</t>
    </r>
    <r>
      <rPr>
        <sz val="12"/>
        <rFont val="Calibri Light"/>
        <family val="2"/>
      </rPr>
      <t>)</t>
    </r>
  </si>
  <si>
    <r>
      <t>Peso molecular de CO</t>
    </r>
    <r>
      <rPr>
        <vertAlign val="subscript"/>
        <sz val="12"/>
        <rFont val="Calibri Light"/>
        <family val="2"/>
      </rPr>
      <t>2</t>
    </r>
  </si>
  <si>
    <r>
      <t>Emissões de CO</t>
    </r>
    <r>
      <rPr>
        <b/>
        <vertAlign val="subscript"/>
        <sz val="11"/>
        <rFont val="Calibri Light"/>
        <family val="2"/>
      </rPr>
      <t>2</t>
    </r>
    <r>
      <rPr>
        <b/>
        <sz val="11"/>
        <rFont val="Calibri Light"/>
        <family val="2"/>
      </rPr>
      <t xml:space="preserve"> (t)</t>
    </r>
  </si>
  <si>
    <r>
      <t>Emissões de CH</t>
    </r>
    <r>
      <rPr>
        <b/>
        <vertAlign val="subscript"/>
        <sz val="11"/>
        <rFont val="Calibri Light"/>
        <family val="2"/>
      </rPr>
      <t xml:space="preserve">4 </t>
    </r>
    <r>
      <rPr>
        <b/>
        <sz val="11"/>
        <rFont val="Calibri Light"/>
        <family val="2"/>
      </rPr>
      <t>(t)</t>
    </r>
  </si>
  <si>
    <r>
      <t>Emissões de N</t>
    </r>
    <r>
      <rPr>
        <b/>
        <vertAlign val="subscript"/>
        <sz val="11"/>
        <rFont val="Calibri Light"/>
        <family val="2"/>
      </rPr>
      <t>2</t>
    </r>
    <r>
      <rPr>
        <b/>
        <sz val="11"/>
        <rFont val="Calibri Light"/>
        <family val="2"/>
      </rPr>
      <t>O(t)</t>
    </r>
  </si>
  <si>
    <r>
      <t>t CO</t>
    </r>
    <r>
      <rPr>
        <vertAlign val="subscript"/>
        <sz val="11"/>
        <rFont val="Calibri Light"/>
        <family val="2"/>
      </rPr>
      <t>2</t>
    </r>
    <r>
      <rPr>
        <sz val="11"/>
        <rFont val="Calibri Light"/>
        <family val="2"/>
      </rPr>
      <t>e</t>
    </r>
  </si>
  <si>
    <r>
      <t>CO</t>
    </r>
    <r>
      <rPr>
        <vertAlign val="subscript"/>
        <sz val="11"/>
        <rFont val="Calibri Light"/>
        <family val="2"/>
      </rPr>
      <t>2</t>
    </r>
  </si>
  <si>
    <r>
      <t>CH</t>
    </r>
    <r>
      <rPr>
        <vertAlign val="subscript"/>
        <sz val="11"/>
        <rFont val="Calibri Light"/>
        <family val="2"/>
      </rPr>
      <t>4</t>
    </r>
  </si>
  <si>
    <r>
      <t>N</t>
    </r>
    <r>
      <rPr>
        <vertAlign val="subscript"/>
        <sz val="11"/>
        <rFont val="Calibri Light"/>
        <family val="2"/>
      </rPr>
      <t>2</t>
    </r>
    <r>
      <rPr>
        <sz val="11"/>
        <rFont val="Calibri Light"/>
        <family val="2"/>
      </rPr>
      <t>O</t>
    </r>
  </si>
  <si>
    <r>
      <t>SF</t>
    </r>
    <r>
      <rPr>
        <vertAlign val="subscript"/>
        <sz val="11"/>
        <rFont val="Calibri Light"/>
        <family val="2"/>
      </rPr>
      <t>6</t>
    </r>
  </si>
  <si>
    <r>
      <t>NF</t>
    </r>
    <r>
      <rPr>
        <vertAlign val="subscript"/>
        <sz val="11"/>
        <rFont val="Calibri Light"/>
        <family val="2"/>
      </rPr>
      <t>3</t>
    </r>
  </si>
  <si>
    <r>
      <t>CO</t>
    </r>
    <r>
      <rPr>
        <vertAlign val="subscript"/>
        <sz val="11"/>
        <rFont val="Calibri Light"/>
        <family val="2"/>
      </rPr>
      <t>2</t>
    </r>
    <r>
      <rPr>
        <sz val="11"/>
        <rFont val="Calibri Light"/>
        <family val="2"/>
      </rPr>
      <t>e (t)</t>
    </r>
  </si>
  <si>
    <r>
      <t>Transporte e distribuição 
(</t>
    </r>
    <r>
      <rPr>
        <i/>
        <sz val="11"/>
        <rFont val="Calibri Light"/>
        <family val="2"/>
      </rPr>
      <t>upstream</t>
    </r>
    <r>
      <rPr>
        <sz val="11"/>
        <rFont val="Calibri Light"/>
        <family val="2"/>
      </rPr>
      <t>)</t>
    </r>
  </si>
  <si>
    <r>
      <t>CO</t>
    </r>
    <r>
      <rPr>
        <vertAlign val="subscript"/>
        <sz val="12"/>
        <rFont val="Calibri Light"/>
        <family val="2"/>
      </rPr>
      <t>2</t>
    </r>
    <r>
      <rPr>
        <sz val="12"/>
        <rFont val="Calibri Light"/>
        <family val="2"/>
      </rPr>
      <t xml:space="preserve"> biogênico (t)</t>
    </r>
  </si>
  <si>
    <t>Emissões de GEE 
(t)</t>
  </si>
  <si>
    <r>
      <t>Emissões em CO</t>
    </r>
    <r>
      <rPr>
        <b/>
        <vertAlign val="subscript"/>
        <sz val="11"/>
        <rFont val="Calibri Light"/>
        <family val="2"/>
      </rPr>
      <t>2</t>
    </r>
    <r>
      <rPr>
        <b/>
        <sz val="11"/>
        <rFont val="Calibri Light"/>
        <family val="2"/>
      </rPr>
      <t>e 
(t)</t>
    </r>
  </si>
  <si>
    <r>
      <t xml:space="preserve"> - Se não possuir um fator de emissão de N</t>
    </r>
    <r>
      <rPr>
        <vertAlign val="subscript"/>
        <sz val="11"/>
        <rFont val="Calibri Light"/>
        <family val="2"/>
      </rPr>
      <t>2</t>
    </r>
    <r>
      <rPr>
        <sz val="11"/>
        <rFont val="Calibri Light"/>
        <family val="2"/>
      </rPr>
      <t xml:space="preserve">O específico, deixe em branco. Será utilizado o </t>
    </r>
    <r>
      <rPr>
        <i/>
        <sz val="11"/>
        <rFont val="Calibri Light"/>
        <family val="2"/>
      </rPr>
      <t>default</t>
    </r>
    <r>
      <rPr>
        <sz val="11"/>
        <rFont val="Calibri Light"/>
        <family val="2"/>
      </rPr>
      <t xml:space="preserve"> sugerido por IPCC (2006).</t>
    </r>
  </si>
  <si>
    <t>lista_equip_refrigeraçao</t>
  </si>
  <si>
    <t>Quantidade Emitida (t)</t>
  </si>
  <si>
    <t>Descrição da atividade</t>
  </si>
  <si>
    <r>
      <t>CO</t>
    </r>
    <r>
      <rPr>
        <vertAlign val="subscript"/>
        <sz val="11"/>
        <rFont val="Calibri Light"/>
        <family val="2"/>
      </rPr>
      <t>2</t>
    </r>
    <r>
      <rPr>
        <sz val="11"/>
        <rFont val="Calibri Light"/>
        <family val="2"/>
      </rPr>
      <t xml:space="preserve"> - biogénico</t>
    </r>
  </si>
  <si>
    <t>Emissões de Âmbito 3 por categorias</t>
  </si>
  <si>
    <r>
      <t>Emissões totais em CO</t>
    </r>
    <r>
      <rPr>
        <b/>
        <vertAlign val="subscript"/>
        <sz val="12"/>
        <rFont val="Calibri Light"/>
        <family val="2"/>
      </rPr>
      <t>2</t>
    </r>
    <r>
      <rPr>
        <b/>
        <sz val="12"/>
        <rFont val="Calibri Light"/>
        <family val="2"/>
      </rPr>
      <t xml:space="preserve"> - biogénico (toneladas métricas)</t>
    </r>
  </si>
  <si>
    <r>
      <t>Trifluoreto de azoto (NF</t>
    </r>
    <r>
      <rPr>
        <vertAlign val="subscript"/>
        <sz val="11"/>
        <rFont val="Calibri Light"/>
        <family val="2"/>
      </rPr>
      <t>3</t>
    </r>
    <r>
      <rPr>
        <sz val="11"/>
        <rFont val="Calibri Light"/>
        <family val="2"/>
      </rPr>
      <t>)</t>
    </r>
  </si>
  <si>
    <t>Atividades relacionadas com combustíveis e energia não incluídas nos Âmbitos 1 e 2</t>
  </si>
  <si>
    <t>0,0004536 tonelada métrica (t)</t>
  </si>
  <si>
    <t>2205 libras (lb)</t>
  </si>
  <si>
    <t>2000 libras (lb)</t>
  </si>
  <si>
    <t>1 tonelada métrica (t)</t>
  </si>
  <si>
    <t>1 tonelada curta (T / ton)</t>
  </si>
  <si>
    <t>1000 quilogramas (kg)</t>
  </si>
  <si>
    <t>1,102 tonelada curta (T / ton)</t>
  </si>
  <si>
    <t>1000 litros (L)</t>
  </si>
  <si>
    <t>1 milhão de Btu (MBtu)</t>
  </si>
  <si>
    <t>1055 gigajoules (GJ)</t>
  </si>
  <si>
    <t>1,609 quilómetro terrestre</t>
  </si>
  <si>
    <r>
      <t>10</t>
    </r>
    <r>
      <rPr>
        <vertAlign val="superscript"/>
        <sz val="12"/>
        <rFont val="Calibri Light"/>
        <family val="2"/>
      </rPr>
      <t>3</t>
    </r>
    <r>
      <rPr>
        <sz val="12"/>
        <rFont val="Calibri Light"/>
        <family val="2"/>
      </rPr>
      <t xml:space="preserve"> = 1000</t>
    </r>
  </si>
  <si>
    <r>
      <t>10</t>
    </r>
    <r>
      <rPr>
        <vertAlign val="superscript"/>
        <sz val="12"/>
        <rFont val="Calibri Light"/>
        <family val="2"/>
      </rPr>
      <t>6</t>
    </r>
    <r>
      <rPr>
        <sz val="12"/>
        <rFont val="Calibri Light"/>
        <family val="2"/>
      </rPr>
      <t xml:space="preserve"> = 1 000 000</t>
    </r>
  </si>
  <si>
    <r>
      <t>10</t>
    </r>
    <r>
      <rPr>
        <vertAlign val="superscript"/>
        <sz val="12"/>
        <rFont val="Calibri Light"/>
        <family val="2"/>
      </rPr>
      <t>9</t>
    </r>
    <r>
      <rPr>
        <sz val="12"/>
        <rFont val="Calibri Light"/>
        <family val="2"/>
      </rPr>
      <t xml:space="preserve"> = 1 000 000 000</t>
    </r>
  </si>
  <si>
    <r>
      <t>10</t>
    </r>
    <r>
      <rPr>
        <vertAlign val="superscript"/>
        <sz val="12"/>
        <rFont val="Calibri Light"/>
        <family val="2"/>
      </rPr>
      <t>12</t>
    </r>
    <r>
      <rPr>
        <sz val="12"/>
        <rFont val="Calibri Light"/>
        <family val="2"/>
      </rPr>
      <t xml:space="preserve"> = 1 000 000 000 000</t>
    </r>
  </si>
  <si>
    <t>Conversão de unidades</t>
  </si>
  <si>
    <t>Nota: esta folha possui caráter exclusivamente informativo. Nenhuma informação desta folha é utilizada nos cálculos da ferramenta.</t>
  </si>
  <si>
    <t>1055 joules (J)</t>
  </si>
  <si>
    <t>3412 Btu (Btu)</t>
  </si>
  <si>
    <t>3600 quilojoules (kJ)</t>
  </si>
  <si>
    <t>100 000 Btu (Btu)</t>
  </si>
  <si>
    <r>
      <t>1. Nas "</t>
    </r>
    <r>
      <rPr>
        <b/>
        <sz val="11"/>
        <rFont val="Calibri Light"/>
        <family val="2"/>
      </rPr>
      <t>Emissões totais em CO</t>
    </r>
    <r>
      <rPr>
        <b/>
        <vertAlign val="subscript"/>
        <sz val="11"/>
        <rFont val="Calibri Light"/>
        <family val="2"/>
      </rPr>
      <t>2</t>
    </r>
    <r>
      <rPr>
        <b/>
        <sz val="11"/>
        <rFont val="Calibri Light"/>
        <family val="2"/>
      </rPr>
      <t xml:space="preserve"> equivalente</t>
    </r>
    <r>
      <rPr>
        <sz val="11"/>
        <rFont val="Calibri Light"/>
        <family val="2"/>
      </rPr>
      <t>" não são contabilizadas as emissões de CO</t>
    </r>
    <r>
      <rPr>
        <vertAlign val="subscript"/>
        <sz val="11"/>
        <rFont val="Calibri Light"/>
        <family val="2"/>
      </rPr>
      <t>2</t>
    </r>
    <r>
      <rPr>
        <sz val="11"/>
        <rFont val="Calibri Light"/>
        <family val="2"/>
      </rPr>
      <t xml:space="preserve"> por combustão de biomassa, que são contabilizadas em "Emissões totais em CO</t>
    </r>
    <r>
      <rPr>
        <vertAlign val="subscript"/>
        <sz val="11"/>
        <rFont val="Calibri Light"/>
        <family val="2"/>
      </rPr>
      <t>2</t>
    </r>
    <r>
      <rPr>
        <sz val="11"/>
        <rFont val="Calibri Light"/>
        <family val="2"/>
      </rPr>
      <t xml:space="preserve"> - biogénico".</t>
    </r>
  </si>
  <si>
    <t>Despacho 17313/2008</t>
  </si>
  <si>
    <r>
      <t>Emissões de CO</t>
    </r>
    <r>
      <rPr>
        <b/>
        <vertAlign val="subscript"/>
        <sz val="11"/>
        <rFont val="Calibri Light"/>
        <family val="2"/>
      </rPr>
      <t>2</t>
    </r>
    <r>
      <rPr>
        <b/>
        <sz val="11"/>
        <rFont val="Calibri Light"/>
        <family val="2"/>
      </rPr>
      <t xml:space="preserve"> biogénico
(t CO</t>
    </r>
    <r>
      <rPr>
        <b/>
        <vertAlign val="subscript"/>
        <sz val="11"/>
        <rFont val="Calibri Light"/>
        <family val="2"/>
      </rPr>
      <t>2</t>
    </r>
    <r>
      <rPr>
        <b/>
        <sz val="11"/>
        <rFont val="Calibri Light"/>
        <family val="2"/>
      </rPr>
      <t>)</t>
    </r>
  </si>
  <si>
    <t>Registo da frota</t>
  </si>
  <si>
    <t>Transporte marítimo e fluvial</t>
  </si>
  <si>
    <t xml:space="preserve">        noutras secções desta folha.</t>
  </si>
  <si>
    <t>GHG Protocol</t>
  </si>
  <si>
    <t>Táxi</t>
  </si>
  <si>
    <t>CO2</t>
  </si>
  <si>
    <t>valor</t>
  </si>
  <si>
    <t>unidades</t>
  </si>
  <si>
    <t>kg/p.km</t>
  </si>
  <si>
    <t>CH4</t>
  </si>
  <si>
    <t>N2O</t>
  </si>
  <si>
    <t>Autocarro (gasolina/gasoleo)</t>
  </si>
  <si>
    <t>Camioneta (gasolina/gasoleo)</t>
  </si>
  <si>
    <t>kg/km</t>
  </si>
  <si>
    <t>Fator de emissão por tipo de transporte em ESTRADA</t>
  </si>
  <si>
    <t>Mota - Tamanho de motor &gt;125 e ≤500 cc</t>
  </si>
  <si>
    <t>Mota - Tamanho de motor ≤125 cc</t>
  </si>
  <si>
    <t>Mota - tamanho de motor &gt;500 cc</t>
  </si>
  <si>
    <t>Mota - tamanho de motor desconhecido</t>
  </si>
  <si>
    <t>Veículo pesado - Capacidade 3,5t - 7,5t - 50% capacidade</t>
  </si>
  <si>
    <t>Veículo pesado - Capacidade 3,5t - 7,5t - 100% capacidade</t>
  </si>
  <si>
    <t>Veículo pesado - Capacidade  7,5t - 17t - 50% capacidade</t>
  </si>
  <si>
    <t>Veículo pesado - Tamanho 7,5t - 17t - 100% da capacidade</t>
  </si>
  <si>
    <t>Veículo pesado - Tamanho &gt;17t - a 50% da capacidade</t>
  </si>
  <si>
    <t>Veículo pesado - Tamanho &gt;17t - a 100% da capacidade</t>
  </si>
  <si>
    <t>Veículo pesado - Tamanho desconhecido</t>
  </si>
  <si>
    <t>Veículo pesado articulado - Tamanho 3,5t - 33t - a 0% da capacidade (vazio)</t>
  </si>
  <si>
    <t>Veículo pesado articulado - Tamanho 3,5t - 33t - a 50% da capacidade</t>
  </si>
  <si>
    <t>Veículo pesado articulado - Tamanho 3,5t - 33t - a 100% da capacidade</t>
  </si>
  <si>
    <t>Veículo pesado articulado - Tamanho &gt;33t - a 0% da capacidade</t>
  </si>
  <si>
    <t>Veículo pesado articulado - Tamanho &gt;33t - a 50% da capacidade</t>
  </si>
  <si>
    <t>Veículo pesado articulado - Tamanho &gt;33t - a 100% da capacidade</t>
  </si>
  <si>
    <t>Veículo pesado articulado - Tamanho desconhecido</t>
  </si>
  <si>
    <t>Veículo pesado - Tamanho 3,5t - 7,5t</t>
  </si>
  <si>
    <t>Veículo pesado - Tamanho 7,5t - 17t</t>
  </si>
  <si>
    <t>kg/t.km</t>
  </si>
  <si>
    <t>Veículo pesado articulado - Tamanho 3,5t - 33t</t>
  </si>
  <si>
    <t>Veículo pesado articulado - Tamanho &gt;33t</t>
  </si>
  <si>
    <t>Veículo ligeiro de mercadorias - Gasolina - Capacidade &lt; 1,305t</t>
  </si>
  <si>
    <t>Veículo ligeiro de mercadorias - Gasolina - Capacidade 1,305t - 1,74t</t>
  </si>
  <si>
    <t>Veículo ligeiro de mercadorias - Gasolina - Tamanho 1,74t - 3,5t</t>
  </si>
  <si>
    <t>Veículo ligeiro de mercadorias - Gasóleo - Capacidade &lt; 1,305t</t>
  </si>
  <si>
    <t>Veículo ligeiro de mercadorias - Gasóleo - Capacidade 1,305t - 1,74t</t>
  </si>
  <si>
    <t>Veículo ligeiro de mercadorias - Gasóleo - Capacidade 1,74t - 3,5t</t>
  </si>
  <si>
    <t>Veículo ligeiro de mercadorias - GPL ou VGN - capacidade ≤3,5t</t>
  </si>
  <si>
    <t>Veículo ligeiro de mercadorias - Combustível e capacidade desconhecidas</t>
  </si>
  <si>
    <t>Modo de transporte</t>
  </si>
  <si>
    <t>Tipo</t>
  </si>
  <si>
    <t>Descrição</t>
  </si>
  <si>
    <t>Fator emissão</t>
  </si>
  <si>
    <t>Camioneta passageiros</t>
  </si>
  <si>
    <t>Autocarro passageiros</t>
  </si>
  <si>
    <t>Veículo ligeiro de passageiros</t>
  </si>
  <si>
    <t>Gasolina - motor &lt;1,4 L</t>
  </si>
  <si>
    <t>Gasolina - motor 1,4-2,0 L</t>
  </si>
  <si>
    <t>Gasolina - motor &gt;2,0 L</t>
  </si>
  <si>
    <t>Gasolina - motor desconhecido</t>
  </si>
  <si>
    <t>Gasóleo - motor &lt;1,7 L</t>
  </si>
  <si>
    <t>Gasóleo - motor 1,7-2,0 L</t>
  </si>
  <si>
    <t>Gasóleo - motor &gt;2,0 L</t>
  </si>
  <si>
    <t>Gasóleo - motor desconhecido</t>
  </si>
  <si>
    <t>Híbrido - motor 1,4-2,0 L</t>
  </si>
  <si>
    <t>Híbrido - motor &gt;2,0 L</t>
  </si>
  <si>
    <t>Híbrido - motor desconhecido</t>
  </si>
  <si>
    <t>GPL - motor de tamanho médio</t>
  </si>
  <si>
    <t>GPL - motor de tamanho grande</t>
  </si>
  <si>
    <t>VGN - motor 1,4-2,0 L</t>
  </si>
  <si>
    <t>VGN - motor &gt;2,0 L</t>
  </si>
  <si>
    <t>VGN - motor desconhecido</t>
  </si>
  <si>
    <t>gasolina/gasóleo</t>
  </si>
  <si>
    <t>Veículo ligeiro de passageiros - Gasolina - motor &lt;1,4 L</t>
  </si>
  <si>
    <t>Veículo ligeiro de passageiros - Gasolina - motor 1,4-2,0 L</t>
  </si>
  <si>
    <t>Veículo ligeiro de passageiros - Gasolina - motor &gt;2,0 L</t>
  </si>
  <si>
    <t>Veículo ligeiro de passageiros - Gasolina - motor desconhecido</t>
  </si>
  <si>
    <t>Veículo ligeiro de passageiros - gasóleo - motor &lt;1,7 L</t>
  </si>
  <si>
    <t>Veículo ligeiro de passageiros - gasóleo - motor 1,7-2,0 L</t>
  </si>
  <si>
    <t>Veículo ligeiro de passageiros - gasóleo - motor &gt;2,0 L</t>
  </si>
  <si>
    <t>Veículo ligeiro de passageiros - gasóleo - motor desconhecido</t>
  </si>
  <si>
    <t>Veículo ligeiro de passageiros - Híbrido - motor 1,4-2,0 L</t>
  </si>
  <si>
    <t>Veículo ligeiro de passageiros - Híbrido - motor &gt;2,0 L</t>
  </si>
  <si>
    <t>Veículo ligeiro de passageiros - Híbrido - motor desconhecido</t>
  </si>
  <si>
    <t>Veículo ligeiro de passageiros - GPL - motor de tamanho médio</t>
  </si>
  <si>
    <t>Veículo ligeiro de passageiros - GPL - motor de tamanho grande</t>
  </si>
  <si>
    <t>Veículo ligeiro de passageiros - VGN - motor 1,4-2,0 L</t>
  </si>
  <si>
    <t>Veículo ligeiro de passageiros - VGN - motor &gt;2,0 L</t>
  </si>
  <si>
    <t>Veículo ligeiro de passageiros - VGN - motor desconhecido</t>
  </si>
  <si>
    <t>Veículo ligeiro de mercadorias</t>
  </si>
  <si>
    <t>Gasolina - Capacidade &lt; 1,305t</t>
  </si>
  <si>
    <t>Gasolina - Capacidade 1,305t - 1,74t</t>
  </si>
  <si>
    <t>Gasolina - Tamanho 1,74t - 3,5t</t>
  </si>
  <si>
    <t>Gasóleo - Capacidade &lt; 1,305t</t>
  </si>
  <si>
    <t>Gasóleo - Capacidade 1,305t - 1,74t</t>
  </si>
  <si>
    <t>Gasóleo - Capacidade 1,74t - 3,5t</t>
  </si>
  <si>
    <t>GPL ou VGN - capacidade ≤3,5t</t>
  </si>
  <si>
    <t>Combustível e capacidade desconhecidas</t>
  </si>
  <si>
    <t>Veículo ligeiro de mercadorias - gasóleo (capacidade desconhecida)</t>
  </si>
  <si>
    <t>Gasolina (capacidade desconhecida)</t>
  </si>
  <si>
    <t>Veículo ligeiro de mercadorias - gasolina (capacidade desconhecida)</t>
  </si>
  <si>
    <t>Gasóleo (capacidade desconhecida)</t>
  </si>
  <si>
    <t>GPL (capacidade desconhecida)</t>
  </si>
  <si>
    <t>VGN (capacidade desconhecida)</t>
  </si>
  <si>
    <t>Veículo ligeiro de mercadorias - GPL (capacidade desconhecida)</t>
  </si>
  <si>
    <t>Veículo ligeiro de mercadorias - VGN (capacidade desconhecida)</t>
  </si>
  <si>
    <t>Veículo ligeiro de mercadorias - peso da carga desconhecido</t>
  </si>
  <si>
    <t>Desconhecido (peso da carga desconhecido)</t>
  </si>
  <si>
    <t>Mota</t>
  </si>
  <si>
    <t>Tamanho de motor ≤125 cc</t>
  </si>
  <si>
    <t>Tamanho de motor &gt;125 e ≤500 cc</t>
  </si>
  <si>
    <t>Tamanho de motor &gt;500 cc</t>
  </si>
  <si>
    <t>Tamanho de motor desconhecido</t>
  </si>
  <si>
    <t>Veículo pesado não articulado</t>
  </si>
  <si>
    <t>Capacidade 7,5t - 17t</t>
  </si>
  <si>
    <t>Capacidade 3,5t - 7,5t</t>
  </si>
  <si>
    <t>Capacidade &gt;17t</t>
  </si>
  <si>
    <t>Veículo pesado - Tamanho &gt;17t</t>
  </si>
  <si>
    <t>Capacidade desconhecida</t>
  </si>
  <si>
    <t>Capacidade 3,5t - 7,5t - 50% capacidade</t>
  </si>
  <si>
    <t>Capacidade 3,5t - 7,5t - 100% capacidade</t>
  </si>
  <si>
    <t>Capacidade  7,5t - 17t - 0% capacidade</t>
  </si>
  <si>
    <t>Capacidade  7,5t - 17t - 50% capacidade</t>
  </si>
  <si>
    <t>Capacidade 7,5t - 17t - 100% da capacidade</t>
  </si>
  <si>
    <t>Capacidade &gt;17t - a 0% da capacidade</t>
  </si>
  <si>
    <t>Capacidade &gt;17t - a 50% da capacidade</t>
  </si>
  <si>
    <t>Capacidade &gt;17t - a 100% da capacidade</t>
  </si>
  <si>
    <t>Capacidade 3,5t - 7,5t - 0% capacidade (vazio)</t>
  </si>
  <si>
    <t>Veículo pesado - Capacidade 3,5t - 7,5t - 0% capacidade (vazio)</t>
  </si>
  <si>
    <t>Veículo pesado - Capacidade  7,5t - 17t - 0% capacidade (vazio)</t>
  </si>
  <si>
    <t>Veículo pesado - Capacidade &gt;17t - a 0% da capacidade (vazio)</t>
  </si>
  <si>
    <t>Veículo pesado articulado</t>
  </si>
  <si>
    <t>Capacidade 3,5t - 33t</t>
  </si>
  <si>
    <t>Capacidade &gt;33t</t>
  </si>
  <si>
    <t>Capacidade 3,5t - 33t - a 0% da capacidade (vazio)</t>
  </si>
  <si>
    <t>Capacidade 3,5t - 33t - a 50% da capacidade</t>
  </si>
  <si>
    <t>Capacidade 3,5t - 33t - a 100% da capacidade</t>
  </si>
  <si>
    <t>Capacidade &gt;33t - a 0% da capacidade</t>
  </si>
  <si>
    <t>Capacidade &gt;33t - a 50% da capacidade</t>
  </si>
  <si>
    <t>Capacidade &gt;33t - a 100% da capacidade</t>
  </si>
  <si>
    <t>Capacidade e peso da carga desconhecidos</t>
  </si>
  <si>
    <t>Veículo pesado articulado - Capacidade e peso da carga desconhecidos</t>
  </si>
  <si>
    <t>Fator de emissão por tipo de transporte em CAMINHO DE FERRO</t>
  </si>
  <si>
    <t>Tabela 8. Fatores de emissão por frota e tipo de combustível</t>
  </si>
  <si>
    <t>Transporte de passageiros</t>
  </si>
  <si>
    <t>Elétrico</t>
  </si>
  <si>
    <t>Comboio</t>
  </si>
  <si>
    <t>Metro</t>
  </si>
  <si>
    <t>Fator emissão - Diretas</t>
  </si>
  <si>
    <t>Fator emissão - Indiretas</t>
  </si>
  <si>
    <t>Transporte de carga</t>
  </si>
  <si>
    <t>3.4</t>
  </si>
  <si>
    <t>Fator de emissão por tipo de transporte MARÍTIMO ou FLUVIAL</t>
  </si>
  <si>
    <t xml:space="preserve">Ferry </t>
  </si>
  <si>
    <t>Navio de carga pequeno (844t de tara)</t>
  </si>
  <si>
    <t>Navio de carga grande (18371t de tara)</t>
  </si>
  <si>
    <t>Navio de carga muito grande (100000t de tara)</t>
  </si>
  <si>
    <t>Navio de carga - Graneleiros de pequeno porte (1720t de tara)</t>
  </si>
  <si>
    <t>Navio de carga</t>
  </si>
  <si>
    <t>Pequeno (844t de tara)</t>
  </si>
  <si>
    <t>Grande (18371t de tara)</t>
  </si>
  <si>
    <t>Muito grande (100000t de tara)</t>
  </si>
  <si>
    <t>Graneleiros de pequeno porte (1720t de tara)</t>
  </si>
  <si>
    <t>Graneleiro de grande porte (14201t de tara)</t>
  </si>
  <si>
    <t>Graneleiro de muito grande porte (70000t de tara)</t>
  </si>
  <si>
    <t>Navio de carga - Porta contentores pequeno (2500t de tara)</t>
  </si>
  <si>
    <t>Navio de carga - Graneleiro de grande porte (14 201t de tara)</t>
  </si>
  <si>
    <t>Navio de carga - Graneleiro d emuito grande porte (70 000t de tara)</t>
  </si>
  <si>
    <t>Navio de carga - Porta contentores de grande porte (20 000t de tara)</t>
  </si>
  <si>
    <t>Porta contentores pequeno (2500t de tara)</t>
  </si>
  <si>
    <t>Porta contentores de grande porte (20 000t de tara)</t>
  </si>
  <si>
    <t>3.5</t>
  </si>
  <si>
    <t>Fator de emissão por tipo de transporte AÉREO</t>
  </si>
  <si>
    <t>Aéreo - Voo doméstico</t>
  </si>
  <si>
    <t>Aéreo - Voo curto - Classe desconhecida</t>
  </si>
  <si>
    <t>Aéreo - Voo curto - Classe económica</t>
  </si>
  <si>
    <t>Aéreo - Voo curto - Primeira classe/ Classe executiva</t>
  </si>
  <si>
    <t>Aéreo - Voo longo - Classe desconhecida</t>
  </si>
  <si>
    <t>Aéreo - Voo longo - Classe económica</t>
  </si>
  <si>
    <t>Aéreo - Voo longo - Classe executiva</t>
  </si>
  <si>
    <t>Aéreo - Voo longo - Primeira classe</t>
  </si>
  <si>
    <t>Voo doméstico</t>
  </si>
  <si>
    <t>Voo curto - Classe desconhecida</t>
  </si>
  <si>
    <t>Voo curto - Classe económica</t>
  </si>
  <si>
    <t>Voo curto - Primeira classe/ Classe executiva</t>
  </si>
  <si>
    <t>Voo longo - Classe desconhecida</t>
  </si>
  <si>
    <t>Voo longo - Classe económica</t>
  </si>
  <si>
    <t>Voo longo - Classe executiva</t>
  </si>
  <si>
    <t>Voo longo - Primeira classe</t>
  </si>
  <si>
    <t>Aéreo - Voo curto</t>
  </si>
  <si>
    <t>Aéreo - Voo longo</t>
  </si>
  <si>
    <t>Transporte de mercadorias</t>
  </si>
  <si>
    <t>(B) Para calcular as emissões decorrentes de viagens a negócios em aviões comerciais e de terceiros, utilize a folha "Viagens a Negócios" (Âmbito 3).</t>
  </si>
  <si>
    <r>
      <t xml:space="preserve">(A) </t>
    </r>
    <r>
      <rPr>
        <b/>
        <sz val="11"/>
        <rFont val="Calibri Light"/>
        <family val="2"/>
      </rPr>
      <t>Escolha</t>
    </r>
    <r>
      <rPr>
        <sz val="11"/>
        <rFont val="Calibri Light"/>
        <family val="2"/>
      </rPr>
      <t xml:space="preserve"> entre a Opção 1 (cálculo por tipo de combustível) </t>
    </r>
    <r>
      <rPr>
        <b/>
        <u/>
        <sz val="11"/>
        <rFont val="Calibri Light"/>
        <family val="2"/>
      </rPr>
      <t>OU</t>
    </r>
    <r>
      <rPr>
        <sz val="11"/>
        <rFont val="Calibri Light"/>
        <family val="2"/>
      </rPr>
      <t xml:space="preserve"> a Opção 2 (cálculo por distância percorrida) para realizar o cálculo das emissões desta fonte.</t>
    </r>
  </si>
  <si>
    <t xml:space="preserve">      A opção 1 é mais precisa que a opção 2. Não preencha a mesma fonte emissora em mais de uma opção.</t>
  </si>
  <si>
    <t>(B) Utilize os botões "+" à esquerda para liberar mais linhas nas tabelas de entrada de dados.</t>
  </si>
  <si>
    <t>Opção 1. Utilize esta opção caso possua o tipo e a quantidade de combustível consumido.</t>
  </si>
  <si>
    <t>Tabela 1.  Cálculo de emissões por tipo de combustível</t>
  </si>
  <si>
    <t>Gás Natural para Veículos (VGN)</t>
  </si>
  <si>
    <t>Gasóleo - Agrícola</t>
  </si>
  <si>
    <t>Gasolina</t>
  </si>
  <si>
    <t>Gasolina - Agrícola</t>
  </si>
  <si>
    <t>Gasolina - Equipamentos de construção</t>
  </si>
  <si>
    <t>Gasolina - Barcos</t>
  </si>
  <si>
    <t>Gasolina - Comboios</t>
  </si>
  <si>
    <t>Gasóleo - Equipamentos de construção</t>
  </si>
  <si>
    <t>Gasóleo - Barcos</t>
  </si>
  <si>
    <t>Fuel Óleo - Barcos</t>
  </si>
  <si>
    <t>Fuel Óleo</t>
  </si>
  <si>
    <t>Tabela 5. Fatores de emissão por frota e tipo de combustível</t>
  </si>
  <si>
    <t>Tabela 7. Fatores de emissão por frota e tipo de combustível</t>
  </si>
  <si>
    <t>Gás de Petróleo Liquefeito (GPL)</t>
  </si>
  <si>
    <t>Opção 2.    Caso não possua a quantidade de combustível consumida, estime as emissões com base na distância percorrida pela frota.</t>
  </si>
  <si>
    <t>Tabela 2.  Cálculo de emissões pela distância percorrida.</t>
  </si>
  <si>
    <t>Número de pessoas no veículo (#)</t>
  </si>
  <si>
    <t>Distância (km)</t>
  </si>
  <si>
    <t>Despacho n.º 17313/2008</t>
  </si>
  <si>
    <r>
      <t>CO</t>
    </r>
    <r>
      <rPr>
        <b/>
        <vertAlign val="subscript"/>
        <sz val="11"/>
        <rFont val="Calibri Light"/>
        <family val="2"/>
      </rPr>
      <t>2</t>
    </r>
    <r>
      <rPr>
        <b/>
        <sz val="11"/>
        <rFont val="Calibri Light"/>
        <family val="2"/>
      </rPr>
      <t xml:space="preserve"> (t/un.)</t>
    </r>
  </si>
  <si>
    <r>
      <t>CH</t>
    </r>
    <r>
      <rPr>
        <b/>
        <vertAlign val="subscript"/>
        <sz val="11"/>
        <rFont val="Calibri Light"/>
        <family val="2"/>
      </rPr>
      <t>4</t>
    </r>
    <r>
      <rPr>
        <b/>
        <sz val="11"/>
        <rFont val="Calibri Light"/>
        <family val="2"/>
      </rPr>
      <t xml:space="preserve"> (t/un.) por setor de atividade</t>
    </r>
  </si>
  <si>
    <r>
      <t>N</t>
    </r>
    <r>
      <rPr>
        <b/>
        <vertAlign val="subscript"/>
        <sz val="11"/>
        <rFont val="Calibri Light"/>
        <family val="2"/>
      </rPr>
      <t>2</t>
    </r>
    <r>
      <rPr>
        <b/>
        <sz val="11"/>
        <rFont val="Calibri Light"/>
        <family val="2"/>
      </rPr>
      <t>O (t/un.) por setor de atividade</t>
    </r>
  </si>
  <si>
    <t>Brown coal briquettes</t>
  </si>
  <si>
    <t xml:space="preserve">   Lignite castanha</t>
  </si>
  <si>
    <t>Betume</t>
  </si>
  <si>
    <t>Coque de Forno ou Lignite</t>
  </si>
  <si>
    <t>Coque de Forno ou de Lignite</t>
  </si>
  <si>
    <t>Coque de Carvão</t>
  </si>
  <si>
    <t>Briquetes de Lignite Castanha</t>
  </si>
  <si>
    <t xml:space="preserve">   Coque de Carvão</t>
  </si>
  <si>
    <t>Incluem resíduos gerados por domicílios, indústrias, hospitais e setor terciário classificados como resíduos urbanos pela legislação nacional em vigor. Apenas a fração não-biodegradável do combustível deve ser incluída.</t>
  </si>
  <si>
    <t>Resíduos Urbanos (fração não biodegradável)</t>
  </si>
  <si>
    <t>Outros Carvões Betuminosos</t>
  </si>
  <si>
    <t>Despacho n.º 17313/2008 / IPCC 2006</t>
  </si>
  <si>
    <t>Produto sólido, negro e brilhante, resultante do processo de craqueamento de resíduos pesados (coqueamento), essencialmente constituído de carbono (90 a 95%) e que queima sem deixar cinzas. Utilizado no fabrico de coque calcinado, pela indústria do alumínio e no fabrico de elétrodos, na produção de coque siderúrgico, em mistura com carvão mineral, no fabrico de carboneto de cálcio e carboneto de silício, em metalurgia, como redutor.</t>
  </si>
  <si>
    <t>Carvão Sub-betuminoso</t>
  </si>
  <si>
    <t>Sub bituminous coal</t>
  </si>
  <si>
    <t>Todo e qualquer hidrocarboneto líquido no seu estado natural.</t>
  </si>
  <si>
    <t>Gas/ Diesel Oil</t>
  </si>
  <si>
    <t>Gasóleo/ Diesel</t>
  </si>
  <si>
    <t>Gasolina para Motores de Reação (Jet B)</t>
  </si>
  <si>
    <t>Jet Gasoline</t>
  </si>
  <si>
    <t>Querosene para Motores de Reação (Jet A)</t>
  </si>
  <si>
    <t>Líquido obtido por destilação do petróleo bruto. Os óleos lubrificantes são utilizados para reduzir o atrito e o desgaste de peças e equipamentos, desde o delicado mecanismo de relógio até aos pesados mancais de navios e máquinas industriais.</t>
  </si>
  <si>
    <t>Nafta Química / Condensados de Gasolina</t>
  </si>
  <si>
    <t xml:space="preserve">Derivado de petróleo utilizado principalmente como matéria-prima da indústria petroquímica (“nafta petroquímica” ou “nafta não energética”) na produção de eteno e propeno, além de outras frações líquidas, tais como benzeno, tolueno e xilenos. A nafta energética é utilizada para a geração de gás de síntese através de um processo industrial (reformação com vapor d’água). </t>
  </si>
  <si>
    <t>Gás Natural Liquefeito</t>
  </si>
  <si>
    <t>Parte do gás natural que se encontra na fase líquida em determinada condição de pressão e temperatura na superfície, obtida nos processos de separação de campo, em centrais de produção de gás natural ou em operações de transferência em gasodutos.</t>
  </si>
  <si>
    <t>Xisto betuminoso é uma rocha sedimentar, normalmente argilosa, muito rica em matéria orgânica (querogénio). Quando submetido a temperaturas elevadas, o xisto betuminoso liberta óleo, água e gás, e deixa um resíduo sólido contendo carbono.</t>
  </si>
  <si>
    <t>Orimulsão</t>
  </si>
  <si>
    <t>Orimulsion</t>
  </si>
  <si>
    <t>Matérias -primas para Refinaria</t>
  </si>
  <si>
    <t>Refinery Feedstoks</t>
  </si>
  <si>
    <t>Fuelóleo Pesado</t>
  </si>
  <si>
    <t>Óleos Usados</t>
  </si>
  <si>
    <t>Óleos usados são óleos já utilizados (por exemplo, óleo lubrificante utilizado) que são queimados para gerar calor.</t>
  </si>
  <si>
    <t>Gás de Alto Forno</t>
  </si>
  <si>
    <t>Blast furnace gas</t>
  </si>
  <si>
    <t xml:space="preserve">Gás de Coqueria </t>
  </si>
  <si>
    <t>Gás de Fábricas de Gás</t>
  </si>
  <si>
    <t>Gas Works Gas</t>
  </si>
  <si>
    <t>Gás Natural</t>
  </si>
  <si>
    <t>Gás Natural (superior a 93% de metano)</t>
  </si>
  <si>
    <t>Gás de forno de acearia a oxigénio</t>
  </si>
  <si>
    <t>Oxygen steel furnace gas</t>
  </si>
  <si>
    <t>Lignite Castanha</t>
  </si>
  <si>
    <t>Lignite Negra</t>
  </si>
  <si>
    <t>Antracite</t>
  </si>
  <si>
    <r>
      <t>m</t>
    </r>
    <r>
      <rPr>
        <vertAlign val="superscript"/>
        <sz val="11"/>
        <rFont val="Calibri Light"/>
        <family val="2"/>
      </rPr>
      <t>3</t>
    </r>
  </si>
  <si>
    <t>Anthracite</t>
  </si>
  <si>
    <t>Tabela 1. Fatores de emissão da utilização de combustíveis fósseis</t>
  </si>
  <si>
    <t>Biodiesel</t>
  </si>
  <si>
    <t>Combustível composto de alquilésteres de ácidos carboxílicos de cadeia longa, produzido a partir da transesterificação e/ou esterificação de matérias graxas,
de gorduras de origem vegetal ou animal.</t>
  </si>
  <si>
    <t>Biogasolina</t>
  </si>
  <si>
    <t>Biogasoline</t>
  </si>
  <si>
    <t>Gases de Aterro</t>
  </si>
  <si>
    <t>Landfill Gas</t>
  </si>
  <si>
    <t>Gases produzidos em aterros sanitários</t>
  </si>
  <si>
    <t>Resíduos Municipais (fração biodegradável)</t>
  </si>
  <si>
    <t>Inclui os resíduos produzidos nos setores doméstico, industrial, hospitais e setor terciário que são incinerados em centrais de valorização energética e utilizado para fins energéticos. Apenas a fração do combustível que é biodegradável deve ser incluída aqui.</t>
  </si>
  <si>
    <t>Outros Biogases</t>
  </si>
  <si>
    <t>O biogás é proveniente da fermentação anaeróbica de biomassa e resíduos sólidos, entre outros.</t>
  </si>
  <si>
    <t>Outros Biocombustíveis Líquidos</t>
  </si>
  <si>
    <t>Outra Biomassa Primária Sólida</t>
  </si>
  <si>
    <t>Gases de Lamas de Depuração</t>
  </si>
  <si>
    <t>Sludge Gas</t>
  </si>
  <si>
    <t>Gases resultantes da depuração de lamas de aterros</t>
  </si>
  <si>
    <t>Licor Negro</t>
  </si>
  <si>
    <t>Substância resultante da produção de pasta de papel.</t>
  </si>
  <si>
    <t>Madeira / resíduos de Madeira</t>
  </si>
  <si>
    <t>Lignite</t>
  </si>
  <si>
    <t>Lignite Coke</t>
  </si>
  <si>
    <r>
      <t xml:space="preserve">   m</t>
    </r>
    <r>
      <rPr>
        <vertAlign val="superscript"/>
        <sz val="11"/>
        <rFont val="Calibri Light"/>
        <family val="2"/>
      </rPr>
      <t>3</t>
    </r>
  </si>
  <si>
    <t>(GJ/Unidade)</t>
  </si>
  <si>
    <t>(GJ/unidade)</t>
  </si>
  <si>
    <t xml:space="preserve">Variedade compacta e dura do mineral carvão que possui elevado lustre. </t>
  </si>
  <si>
    <t>Principal tipo de carvão usado em centrais termoelétricas.</t>
  </si>
  <si>
    <t>Carvão lenho-celulósico castanho a negro, também classificado como carvão de grau inferior (low rank coal).</t>
  </si>
  <si>
    <t xml:space="preserve">Tipo de combustível derivado da hulha (carvão betuminoso). O coque obtém-se do aquecimento da hulha (ou carvão betuminoso), sem combustão, num recipiente fechado. </t>
  </si>
  <si>
    <t>Gás resultante da produção de Aço.</t>
  </si>
  <si>
    <t>Gás resultante da produção de coque.</t>
  </si>
  <si>
    <t>Gás resultante da produção de gases.</t>
  </si>
  <si>
    <t>Gás resultante da produção de aço em processo com oxigénio.</t>
  </si>
  <si>
    <t xml:space="preserve"> Rocha sedimentar macia, castanha e combustível formado pela compressão de turfa ou madeira.</t>
  </si>
  <si>
    <t>Um derivado do betume.</t>
  </si>
  <si>
    <t xml:space="preserve">Material de origem vegetal, parcialmente decomposto, encontrado em camadas, geralmente em regiões pantanosas e também sob montanhas (turfa de altitude). </t>
  </si>
  <si>
    <t>O termo Combustível para Motor (Gasolina) refere-se à gasolina vendida nos postos de combustível.</t>
  </si>
  <si>
    <t>Combustível para Motor (Gasolina)</t>
  </si>
  <si>
    <t>Ceras Parafínicas e Outros Produtos Petrolíferos</t>
  </si>
  <si>
    <t xml:space="preserve">Gasolina. Combustível vendido nos postos de abastecimento para veículos. Combustível constituído basicamente por Hidrocarbonetos e, em menor quantidade, por produtos oxigenados. </t>
  </si>
  <si>
    <t>Gasóleo vendido nos postos de abastecimento para veículos. Combustível produzido por processos de refinação de petróleo ou centrais de matérias-primas petroquímicas, destinado a veículos dotados de motores do ciclo diesel, de uso rodoviário, sem adição de biodiesel.</t>
  </si>
  <si>
    <r>
      <t>Passo 1.    Indique o setor de atividade para o qual está a realizar o inventário</t>
    </r>
    <r>
      <rPr>
        <b/>
        <vertAlign val="superscript"/>
        <sz val="11"/>
        <rFont val="Calibri Light"/>
        <family val="2"/>
      </rPr>
      <t>1</t>
    </r>
  </si>
  <si>
    <r>
      <rPr>
        <i/>
        <vertAlign val="superscript"/>
        <sz val="10"/>
        <rFont val="Calibri Light"/>
        <family val="2"/>
      </rPr>
      <t>1</t>
    </r>
    <r>
      <rPr>
        <i/>
        <sz val="10"/>
        <rFont val="Calibri Light"/>
        <family val="2"/>
      </rPr>
      <t>Para os cálculos de emissões de combustão estacionária, a escolha dos Fatores de Emissão depende do setor de atividade, por isso, o cálculo só é efetuado quando selecionado o</t>
    </r>
    <r>
      <rPr>
        <i/>
        <u/>
        <sz val="10"/>
        <rFont val="Arial"/>
        <family val="2"/>
      </rPr>
      <t/>
    </r>
  </si>
  <si>
    <t>Caso a organização atue em mais do que um setor, selecione aquele que melhor representa a atividade exercida pelas fontes de emissão estacionárias.</t>
  </si>
  <si>
    <t>Caso existam diversas unidades de operação em setores muito distintos, utilize uma folha para cada unidade.</t>
  </si>
  <si>
    <t xml:space="preserve">                  - Selecione "Combustível usado" na caixa em baixo.  Indique a "Quantidade consumida" nas unidades corretas.</t>
  </si>
  <si>
    <t>Registo da fonte</t>
  </si>
  <si>
    <t>Emissões totais pela utilização de combustíveis fósseis</t>
  </si>
  <si>
    <t>Emissões totais pela utilização de combustíveis de biomassa</t>
  </si>
  <si>
    <r>
      <t>CH</t>
    </r>
    <r>
      <rPr>
        <b/>
        <vertAlign val="subscript"/>
        <sz val="11"/>
        <rFont val="Calibri Light"/>
        <family val="2"/>
      </rPr>
      <t xml:space="preserve">4 </t>
    </r>
    <r>
      <rPr>
        <b/>
        <sz val="11"/>
        <rFont val="Calibri Light"/>
        <family val="2"/>
      </rPr>
      <t>(t/un.) por setor de atividade</t>
    </r>
  </si>
  <si>
    <t>N.º ref.</t>
  </si>
  <si>
    <t>Dados de emissões consolidados para todos os GEE e âmbitos</t>
  </si>
  <si>
    <t>Âmbito 1</t>
  </si>
  <si>
    <t>Resumo das emissões de GEE da organização, por âmbito e categoria</t>
  </si>
  <si>
    <t>Emissões de Âmbito 1</t>
  </si>
  <si>
    <r>
      <t>CO</t>
    </r>
    <r>
      <rPr>
        <vertAlign val="subscript"/>
        <sz val="12"/>
        <rFont val="Calibri Light"/>
        <family val="2"/>
      </rPr>
      <t>2</t>
    </r>
    <r>
      <rPr>
        <sz val="12"/>
        <rFont val="Calibri Light"/>
        <family val="2"/>
      </rPr>
      <t xml:space="preserve"> biogénico</t>
    </r>
  </si>
  <si>
    <r>
      <t>CO</t>
    </r>
    <r>
      <rPr>
        <b/>
        <vertAlign val="subscript"/>
        <sz val="12"/>
        <rFont val="Calibri Light"/>
        <family val="2"/>
      </rPr>
      <t>2</t>
    </r>
    <r>
      <rPr>
        <b/>
        <sz val="12"/>
        <rFont val="Calibri Light"/>
        <family val="2"/>
      </rPr>
      <t>e (t)</t>
    </r>
  </si>
  <si>
    <r>
      <t>Emissões de CO</t>
    </r>
    <r>
      <rPr>
        <b/>
        <i/>
        <vertAlign val="subscript"/>
        <sz val="12"/>
        <rFont val="Calibri Light"/>
        <family val="2"/>
      </rPr>
      <t>2</t>
    </r>
    <r>
      <rPr>
        <b/>
        <i/>
        <sz val="12"/>
        <rFont val="Calibri Light"/>
        <family val="2"/>
      </rPr>
      <t xml:space="preserve"> biogénico</t>
    </r>
  </si>
  <si>
    <r>
      <t>Total de emissões de CO</t>
    </r>
    <r>
      <rPr>
        <b/>
        <vertAlign val="subscript"/>
        <sz val="12"/>
        <rFont val="Calibri Light"/>
        <family val="2"/>
      </rPr>
      <t>2</t>
    </r>
    <r>
      <rPr>
        <b/>
        <sz val="12"/>
        <rFont val="Calibri Light"/>
        <family val="2"/>
      </rPr>
      <t xml:space="preserve"> biogénico</t>
    </r>
  </si>
  <si>
    <t>(kcal/kg| GJ/Unidade)</t>
  </si>
  <si>
    <t xml:space="preserve">Etanol </t>
  </si>
  <si>
    <r>
      <t>kg CO</t>
    </r>
    <r>
      <rPr>
        <b/>
        <vertAlign val="subscript"/>
        <sz val="11"/>
        <rFont val="Calibri Light"/>
        <family val="2"/>
      </rPr>
      <t>2</t>
    </r>
    <r>
      <rPr>
        <b/>
        <sz val="11"/>
        <rFont val="Calibri Light"/>
        <family val="2"/>
      </rPr>
      <t xml:space="preserve"> / unidade</t>
    </r>
  </si>
  <si>
    <r>
      <t>kg CH</t>
    </r>
    <r>
      <rPr>
        <b/>
        <vertAlign val="subscript"/>
        <sz val="11"/>
        <rFont val="Calibri Light"/>
        <family val="2"/>
      </rPr>
      <t>4</t>
    </r>
    <r>
      <rPr>
        <b/>
        <sz val="11"/>
        <rFont val="Calibri Light"/>
        <family val="2"/>
      </rPr>
      <t xml:space="preserve"> / unidade</t>
    </r>
  </si>
  <si>
    <r>
      <t>kg N</t>
    </r>
    <r>
      <rPr>
        <b/>
        <vertAlign val="subscript"/>
        <sz val="11"/>
        <rFont val="Calibri Light"/>
        <family val="2"/>
      </rPr>
      <t>2</t>
    </r>
    <r>
      <rPr>
        <b/>
        <sz val="11"/>
        <rFont val="Calibri Light"/>
        <family val="2"/>
      </rPr>
      <t>O / unidade</t>
    </r>
  </si>
  <si>
    <t>Registo da deslocação</t>
  </si>
  <si>
    <t>Peso da carga transportada (t)</t>
  </si>
  <si>
    <t>Unidades do fator de emissão</t>
  </si>
  <si>
    <r>
      <t>CH</t>
    </r>
    <r>
      <rPr>
        <b/>
        <vertAlign val="subscript"/>
        <sz val="11"/>
        <rFont val="Calibri Light"/>
        <family val="2"/>
      </rPr>
      <t>4</t>
    </r>
    <r>
      <rPr>
        <b/>
        <sz val="11"/>
        <rFont val="Calibri Light"/>
        <family val="2"/>
      </rPr>
      <t xml:space="preserve"> </t>
    </r>
  </si>
  <si>
    <r>
      <t>N</t>
    </r>
    <r>
      <rPr>
        <b/>
        <vertAlign val="subscript"/>
        <sz val="11"/>
        <rFont val="Calibri Light"/>
        <family val="2"/>
      </rPr>
      <t>2</t>
    </r>
    <r>
      <rPr>
        <b/>
        <sz val="11"/>
        <rFont val="Calibri Light"/>
        <family val="2"/>
      </rPr>
      <t xml:space="preserve">O </t>
    </r>
  </si>
  <si>
    <t xml:space="preserve">                 - Use uma linha para cada deslocação. </t>
  </si>
  <si>
    <t xml:space="preserve">                 - Escolha primeiro o Tipo da frota de veículos. </t>
  </si>
  <si>
    <r>
      <t xml:space="preserve">                 - Para os campos "</t>
    </r>
    <r>
      <rPr>
        <b/>
        <sz val="11"/>
        <rFont val="Calibri Light"/>
        <family val="2"/>
      </rPr>
      <t>Número de pessoas no veículo</t>
    </r>
    <r>
      <rPr>
        <sz val="11"/>
        <rFont val="Calibri Light"/>
        <family val="2"/>
      </rPr>
      <t>" e "</t>
    </r>
    <r>
      <rPr>
        <b/>
        <sz val="11"/>
        <rFont val="Calibri Light"/>
        <family val="2"/>
      </rPr>
      <t>Peso da carga transportada</t>
    </r>
    <r>
      <rPr>
        <sz val="11"/>
        <rFont val="Calibri Light"/>
        <family val="2"/>
      </rPr>
      <t xml:space="preserve">" preencha apenas se estes não estiverem sombreados. </t>
    </r>
  </si>
  <si>
    <t>Descrição da deslocação</t>
  </si>
  <si>
    <t>Deslocação a conferência</t>
  </si>
  <si>
    <t>Tipo de veículo</t>
  </si>
  <si>
    <t>Comboio - passageiros</t>
  </si>
  <si>
    <t>Comboio - carga</t>
  </si>
  <si>
    <r>
      <t xml:space="preserve">(A)  Utilize esta secção da folha apenas para relatar as emissões </t>
    </r>
    <r>
      <rPr>
        <b/>
        <sz val="11"/>
        <rFont val="Calibri Light"/>
        <family val="2"/>
      </rPr>
      <t>diretas</t>
    </r>
    <r>
      <rPr>
        <sz val="11"/>
        <rFont val="Calibri Light"/>
        <family val="2"/>
      </rPr>
      <t xml:space="preserve"> da frota ferroviária da organização. Emissões de frotas de outros modos de transporte devem</t>
    </r>
  </si>
  <si>
    <t>(B)  Emissões por consumo de eletricidade no transporte ferroviário devem ser contabilizadas no Âmbito 2. Para isso, utilize a folha "Compra de Energia Elétrica".</t>
  </si>
  <si>
    <r>
      <t>(E) Para os campos "</t>
    </r>
    <r>
      <rPr>
        <b/>
        <sz val="11"/>
        <rFont val="Calibri Light"/>
        <family val="2"/>
      </rPr>
      <t>Número de pessoas no veículo</t>
    </r>
    <r>
      <rPr>
        <sz val="11"/>
        <rFont val="Calibri Light"/>
        <family val="2"/>
      </rPr>
      <t>" e "</t>
    </r>
    <r>
      <rPr>
        <b/>
        <sz val="11"/>
        <rFont val="Calibri Light"/>
        <family val="2"/>
      </rPr>
      <t>Peso da carga transportada</t>
    </r>
    <r>
      <rPr>
        <sz val="11"/>
        <rFont val="Calibri Light"/>
        <family val="2"/>
      </rPr>
      <t xml:space="preserve">" preencha apenas se estes não estiverem sombreados. </t>
    </r>
  </si>
  <si>
    <t>Tabela 3.  Cálculo de emissões de gases de efeito estufa emitidos pelo transporte ferroviário</t>
  </si>
  <si>
    <t>Ferry - passageiros</t>
  </si>
  <si>
    <t>Ferry - carga</t>
  </si>
  <si>
    <r>
      <t xml:space="preserve">(A)  Utilize essa secção da folha apenas para relatar as emissões </t>
    </r>
    <r>
      <rPr>
        <b/>
        <sz val="11"/>
        <rFont val="Calibri Light"/>
        <family val="2"/>
      </rPr>
      <t>diretas</t>
    </r>
    <r>
      <rPr>
        <sz val="11"/>
        <rFont val="Calibri Light"/>
        <family val="2"/>
      </rPr>
      <t xml:space="preserve"> da frota marítima e fluvial da organização. Emissões de frotas de outros modos devem</t>
    </r>
  </si>
  <si>
    <t xml:space="preserve">        ser estimadas e/ou relatadas nas outras secções desta folha.</t>
  </si>
  <si>
    <t xml:space="preserve">       emissões de gases de efeito estufa (GEE), incluindo todos os modos de transporte, são apresentados na Tabela 6.</t>
  </si>
  <si>
    <r>
      <t>(D) Para os campos "</t>
    </r>
    <r>
      <rPr>
        <b/>
        <sz val="11"/>
        <rFont val="Calibri Light"/>
        <family val="2"/>
      </rPr>
      <t>Número de pessoas no veículo</t>
    </r>
    <r>
      <rPr>
        <sz val="11"/>
        <rFont val="Calibri Light"/>
        <family val="2"/>
      </rPr>
      <t>" e "</t>
    </r>
    <r>
      <rPr>
        <b/>
        <sz val="11"/>
        <rFont val="Calibri Light"/>
        <family val="2"/>
      </rPr>
      <t>Peso da carga transportada</t>
    </r>
    <r>
      <rPr>
        <sz val="11"/>
        <rFont val="Calibri Light"/>
        <family val="2"/>
      </rPr>
      <t xml:space="preserve">" preencha apenas se estes não estiverem sombreados. </t>
    </r>
  </si>
  <si>
    <t>Tabela 4.  Cálculo de emissões de gases de efeito estufa emitidos pelo transporte marítimo e fluvial.</t>
  </si>
  <si>
    <t>Voo curto (carga)</t>
  </si>
  <si>
    <t>Voo longo (carga)</t>
  </si>
  <si>
    <t>Tabela 5.  Cálculo de emissões de gases de efeito estufa devido ao transporte aéreo.</t>
  </si>
  <si>
    <r>
      <t xml:space="preserve">(A)  Utilize esta secção da folha apenas para relatar as emissões </t>
    </r>
    <r>
      <rPr>
        <b/>
        <sz val="11"/>
        <rFont val="Calibri Light"/>
        <family val="2"/>
      </rPr>
      <t>diretas</t>
    </r>
    <r>
      <rPr>
        <sz val="11"/>
        <rFont val="Calibri Light"/>
        <family val="2"/>
      </rPr>
      <t xml:space="preserve"> da frota aérea da organização. Emissões de frotas de outros modos de transporte devem</t>
    </r>
  </si>
  <si>
    <t>Transporte aéreo (apenas para veículos pertencentes à organização)</t>
  </si>
  <si>
    <t>Transporte marítimo e fluvial (apenas para veículos pertencentes à organização)</t>
  </si>
  <si>
    <t>Transporte ferroviário (apenas para veículos pertencentes à organização)</t>
  </si>
  <si>
    <t>Transporte rodoviário (apenas para veículos pertencentes à organização)</t>
  </si>
  <si>
    <t>Total de emissões
 Âmbito 1</t>
  </si>
  <si>
    <t>Emissões totais da combustão móvel</t>
  </si>
  <si>
    <t>Tabela 6.  Emissões totais da combustão móvel</t>
  </si>
  <si>
    <r>
      <t xml:space="preserve">(A) Esta secção da ferramenta calcula as emissões de </t>
    </r>
    <r>
      <rPr>
        <b/>
        <sz val="11"/>
        <rFont val="Calibri Light"/>
        <family val="2"/>
      </rPr>
      <t>Âmbito 1</t>
    </r>
    <r>
      <rPr>
        <sz val="11"/>
        <rFont val="Calibri Light"/>
        <family val="2"/>
      </rPr>
      <t xml:space="preserve"> devido à combustão móvel, referente aos modos de transporte rodoviário, ferroviário, marítimo e fluvial e aéreo.</t>
    </r>
  </si>
  <si>
    <r>
      <t>(E) No final desta secção são apresentadas as emissões totais devido à combustão móvel (Âmbito 1), em t CO</t>
    </r>
    <r>
      <rPr>
        <vertAlign val="subscript"/>
        <sz val="11"/>
        <rFont val="Calibri Light"/>
        <family val="2"/>
      </rPr>
      <t>2e</t>
    </r>
    <r>
      <rPr>
        <sz val="11"/>
        <rFont val="Calibri Light"/>
        <family val="2"/>
      </rPr>
      <t>, na Tabela 6.</t>
    </r>
  </si>
  <si>
    <t>Emissões por combustão móvel</t>
  </si>
  <si>
    <t>Tabela 6.  Emissões fugitivas totais de Âmbito 1</t>
  </si>
  <si>
    <t>Emissão do gás, excluindo a parcela dos compostos
(kg)</t>
  </si>
  <si>
    <r>
      <t>Emissão do gás, excluindo a parcela dos compostos
(kg CO</t>
    </r>
    <r>
      <rPr>
        <b/>
        <vertAlign val="subscript"/>
        <sz val="11"/>
        <rFont val="Calibri Light"/>
        <family val="2"/>
      </rPr>
      <t>2</t>
    </r>
    <r>
      <rPr>
        <b/>
        <sz val="11"/>
        <rFont val="Calibri Light"/>
        <family val="2"/>
      </rPr>
      <t>e)</t>
    </r>
  </si>
  <si>
    <r>
      <t>Tabela 5. Emissões fugitivas de hexafluoreto de enxofre (SF</t>
    </r>
    <r>
      <rPr>
        <b/>
        <vertAlign val="subscript"/>
        <sz val="11"/>
        <rFont val="Calibri Light"/>
        <family val="2"/>
      </rPr>
      <t>6</t>
    </r>
    <r>
      <rPr>
        <b/>
        <sz val="11"/>
        <rFont val="Calibri Light"/>
        <family val="2"/>
      </rPr>
      <t>) e trifluoreto de azoto (NF</t>
    </r>
    <r>
      <rPr>
        <b/>
        <vertAlign val="subscript"/>
        <sz val="11"/>
        <rFont val="Calibri Light"/>
        <family val="2"/>
      </rPr>
      <t>3</t>
    </r>
    <r>
      <rPr>
        <b/>
        <sz val="11"/>
        <rFont val="Calibri Light"/>
        <family val="2"/>
      </rPr>
      <t>)</t>
    </r>
  </si>
  <si>
    <t>Stock de gás no início do ano</t>
  </si>
  <si>
    <t>Stock de gás no final do ano</t>
  </si>
  <si>
    <t>(B) Considere no stock de gás no final do ano a quantidade de gás comprada no ano inventariado.</t>
  </si>
  <si>
    <r>
      <t xml:space="preserve">     (A) Esta ferramenta é indicada para </t>
    </r>
    <r>
      <rPr>
        <u/>
        <sz val="11"/>
        <rFont val="Calibri Light"/>
        <family val="2"/>
      </rPr>
      <t>utilizadores</t>
    </r>
    <r>
      <rPr>
        <sz val="11"/>
        <rFont val="Calibri Light"/>
        <family val="2"/>
      </rPr>
      <t xml:space="preserve"> de equipamentos de refrigeração e ar condicionado (RAC) e de extintores de incêndio que utilizem GEE no seu funcionamento.</t>
    </r>
  </si>
  <si>
    <r>
      <t xml:space="preserve">     Recomenda-se que </t>
    </r>
    <r>
      <rPr>
        <u/>
        <sz val="11"/>
        <rFont val="Calibri Light"/>
        <family val="2"/>
      </rPr>
      <t>fabricantes</t>
    </r>
    <r>
      <rPr>
        <sz val="11"/>
        <rFont val="Calibri Light"/>
        <family val="2"/>
      </rPr>
      <t xml:space="preserve"> utilizem a ferramenta específica disponível em </t>
    </r>
    <r>
      <rPr>
        <u/>
        <sz val="11"/>
        <color rgb="FF0070C0"/>
        <rFont val="Calibri Light"/>
        <family val="2"/>
      </rPr>
      <t>http://www.ghgprotocol.org/calculation-tools/all-tools</t>
    </r>
    <r>
      <rPr>
        <sz val="11"/>
        <rFont val="Calibri Light"/>
        <family val="2"/>
      </rPr>
      <t>.</t>
    </r>
  </si>
  <si>
    <r>
      <rPr>
        <b/>
        <sz val="11"/>
        <rFont val="Calibri Light"/>
        <family val="2"/>
      </rPr>
      <t xml:space="preserve">Opção 2 - Abordagem por Balanço de Massa (Compra): </t>
    </r>
    <r>
      <rPr>
        <sz val="11"/>
        <rFont val="Calibri Light"/>
        <family val="2"/>
      </rPr>
      <t>para utilizadores que mantém o seu próprio equipamento. É baseado na quantidade de gás comprada e utilizada.</t>
    </r>
  </si>
  <si>
    <t xml:space="preserve">     Requer dados a partir de registos de compra e serviços.</t>
  </si>
  <si>
    <r>
      <rPr>
        <b/>
        <sz val="11"/>
        <rFont val="Calibri Light"/>
        <family val="2"/>
      </rPr>
      <t>Opção 3 - Triagem:</t>
    </r>
    <r>
      <rPr>
        <sz val="11"/>
        <rFont val="Calibri Light"/>
        <family val="2"/>
      </rPr>
      <t xml:space="preserve"> estimativa baseada em fatores de emissão e taxas de descarregamento/fugas padrão dos equipamentos.</t>
    </r>
  </si>
  <si>
    <r>
      <t xml:space="preserve">     Os fatores têm um grau de incerteza elevado e são extremamente conservadores. Por isso, este método não deve ser usado como </t>
    </r>
    <r>
      <rPr>
        <u/>
        <sz val="11"/>
        <rFont val="Calibri Light"/>
        <family val="2"/>
      </rPr>
      <t>substituto</t>
    </r>
    <r>
      <rPr>
        <sz val="11"/>
        <rFont val="Calibri Light"/>
        <family val="2"/>
      </rPr>
      <t xml:space="preserve"> das opções 1 e 2. </t>
    </r>
  </si>
  <si>
    <t xml:space="preserve">     Na ausência de dados para as opções 1 e 2, a opção 3 pode ser aceite.</t>
  </si>
  <si>
    <t xml:space="preserve">     (D) A ferramenta permite o uso simultâneo das três opções e soma as emissões das três na contabilização final, portanto certifique-se de que não há dupla contagem.</t>
  </si>
  <si>
    <r>
      <rPr>
        <b/>
        <sz val="11"/>
        <rFont val="Calibri Light"/>
        <family val="2"/>
      </rPr>
      <t xml:space="preserve">Opção 1 - Abordagem por "Fase do Ciclo de Vida": </t>
    </r>
    <r>
      <rPr>
        <sz val="11"/>
        <rFont val="Calibri Light"/>
        <family val="2"/>
      </rPr>
      <t>para usuários que contratam os serviços de manutenção dos sistemas de RAC ou de extintores de incêndio.</t>
    </r>
  </si>
  <si>
    <t>Opção 1.   Abordagem por fase do ciclo de vida.</t>
  </si>
  <si>
    <r>
      <rPr>
        <b/>
        <sz val="11"/>
        <rFont val="Calibri Light"/>
        <family val="2"/>
      </rPr>
      <t>EUN</t>
    </r>
    <r>
      <rPr>
        <sz val="11"/>
        <rFont val="Calibri Light"/>
        <family val="2"/>
      </rPr>
      <t xml:space="preserve"> = emissões da instalação de unidades novas: gás usado para carregar o equipamento novo menos a capacidade do equipamento (a diferença corresponde às perdas para a atmosfera);</t>
    </r>
  </si>
  <si>
    <t>Tabela 1.  Emissões de GEE por equipamentos de RAC e extintores - balanço de materiais por fase do ciclo de vida</t>
  </si>
  <si>
    <t>O método monitora e contabiliza toda a quantidade utilizada de cada GEE e não contabilizada como emissão.</t>
  </si>
  <si>
    <r>
      <rPr>
        <b/>
        <sz val="11"/>
        <rFont val="Calibri Light"/>
        <family val="2"/>
      </rPr>
      <t>VE</t>
    </r>
    <r>
      <rPr>
        <sz val="11"/>
        <rFont val="Calibri Light"/>
        <family val="2"/>
      </rPr>
      <t xml:space="preserve"> = Variação no stock (kg do gás): diferença entre a quantidade do gás no stock no início e no final do período (inclui somente o gás armazenado no local, ex.: cilindros, e não gases dentro de equipamentos).</t>
    </r>
  </si>
  <si>
    <t>Esta quantidade será negativa se o stock aumenta ao longo do ano.</t>
  </si>
  <si>
    <t>Gás comprado inclui: gás comprado para armazenagem, como parte de manutenção de equipamento (não proveniente do armazém - stock),</t>
  </si>
  <si>
    <t>como parte de equipamento comprado (que vem dentro do equipamento novo) e gás recebido de volta após reciclagem noutro local.</t>
  </si>
  <si>
    <t>stock</t>
  </si>
  <si>
    <t>Este método é bastante simplificado. A sua finalidade é fazer uma estimativa, mesmo que muito grosseira, de quanto as emissões de RAC podem representar no total do inventário da organização.</t>
  </si>
  <si>
    <t>Uma vez identificada a relevância, deve optar-se por uma das duas primeiras opções de cálculo acima.</t>
  </si>
  <si>
    <r>
      <t xml:space="preserve">Os cálculos desta opção são baseados em valores </t>
    </r>
    <r>
      <rPr>
        <i/>
        <sz val="11"/>
        <rFont val="Calibri Light"/>
        <family val="2"/>
      </rPr>
      <t>default</t>
    </r>
    <r>
      <rPr>
        <sz val="11"/>
        <rFont val="Calibri Light"/>
        <family val="2"/>
      </rPr>
      <t xml:space="preserve"> de perdas do IPCC que não representam necessariamente a realidade da organização.</t>
    </r>
  </si>
  <si>
    <t>- Indique a quantidade de gás refrigerante adicionado às novas unidades (sem incluir a pré-carga feita pelo fabricante).</t>
  </si>
  <si>
    <t>Registo</t>
  </si>
  <si>
    <t>Equipamentos do Prédio-012</t>
  </si>
  <si>
    <t>Refrigeração no Transporte</t>
  </si>
  <si>
    <t>Ar Condicionado de Camiões de Pequeno Porte</t>
  </si>
  <si>
    <t>Unidades de ar condicionado de carros de lazer (capacidade: 0,5 kg)</t>
  </si>
  <si>
    <t>Unidades de ar condicionado de camiões de pequeno porte (capacidade 1,5 kg)</t>
  </si>
  <si>
    <r>
      <t>(A) Esta secção da ferramenta permite o cálculo de emissões fugitivas pela utilização de equipamentos de refrigeração e ar condicionado (RAC), extintores de incêndio, utilização de hexafluoreto de enxofre (SF</t>
    </r>
    <r>
      <rPr>
        <vertAlign val="subscript"/>
        <sz val="11"/>
        <rFont val="Calibri Light"/>
        <family val="2"/>
      </rPr>
      <t>6</t>
    </r>
    <r>
      <rPr>
        <sz val="11"/>
        <rFont val="Calibri Light"/>
        <family val="2"/>
      </rPr>
      <t>) e trifluoreto de azoto (NF</t>
    </r>
    <r>
      <rPr>
        <vertAlign val="subscript"/>
        <sz val="11"/>
        <rFont val="Calibri Light"/>
        <family val="2"/>
      </rPr>
      <t>3</t>
    </r>
    <r>
      <rPr>
        <sz val="11"/>
        <rFont val="Calibri Light"/>
        <family val="2"/>
      </rPr>
      <t>).</t>
    </r>
  </si>
  <si>
    <r>
      <t>(G) No final desta secção são apresentadas as emissões fugitivas totais, em tCO</t>
    </r>
    <r>
      <rPr>
        <vertAlign val="subscript"/>
        <sz val="11"/>
        <rFont val="Calibri Light"/>
        <family val="2"/>
      </rPr>
      <t>2</t>
    </r>
    <r>
      <rPr>
        <sz val="11"/>
        <rFont val="Calibri Light"/>
        <family val="2"/>
      </rPr>
      <t>e, na Tabela 6.</t>
    </r>
  </si>
  <si>
    <t>1.  Para mais informações sobre emissões de Processos Industriais, consulte as ferramentas setoriais do GHG Protocol (http://www.ghgprotocol.org/calculation-tools)  e os Inventários Nacionais de Emissões (https://www.apambiente.pt/index.php?ref=17&amp;subref=150).</t>
  </si>
  <si>
    <t>Tabela 2.  Emissões totais de processos industriais de Âmbito 1</t>
  </si>
  <si>
    <t>PT-001</t>
  </si>
  <si>
    <t>Instalação de produção de alumínio</t>
  </si>
  <si>
    <r>
      <t>Emissões de CO</t>
    </r>
    <r>
      <rPr>
        <b/>
        <vertAlign val="subscript"/>
        <sz val="11"/>
        <rFont val="Calibri Light"/>
        <family val="2"/>
      </rPr>
      <t>2</t>
    </r>
    <r>
      <rPr>
        <b/>
        <sz val="11"/>
        <rFont val="Calibri Light"/>
        <family val="2"/>
      </rPr>
      <t xml:space="preserve"> biogénico (kg)</t>
    </r>
  </si>
  <si>
    <r>
      <t xml:space="preserve">(A) Utilize esta secção da ferramenta para </t>
    </r>
    <r>
      <rPr>
        <u/>
        <sz val="11"/>
        <rFont val="Calibri Light"/>
        <family val="2"/>
      </rPr>
      <t>reportar</t>
    </r>
    <r>
      <rPr>
        <sz val="11"/>
        <rFont val="Calibri Light"/>
        <family val="2"/>
      </rPr>
      <t xml:space="preserve"> as emissões de GEE de processos industriais no ano inventariado.</t>
    </r>
  </si>
  <si>
    <r>
      <t>(B) A categoria Emissões de Processos Industriais, no âmbito da Convenção Quadro das Nações Unidas sobre Alterações Climáticas (UNFCCC), agrupa todas as emissões de GEE que não sejam de combustão, resultantes de processos físicos ou químicos, tais como as emissões de CO</t>
    </r>
    <r>
      <rPr>
        <vertAlign val="subscript"/>
        <sz val="11"/>
        <rFont val="Calibri Light"/>
        <family val="2"/>
      </rPr>
      <t>2</t>
    </r>
    <r>
      <rPr>
        <sz val="11"/>
        <rFont val="Calibri Light"/>
        <family val="2"/>
      </rPr>
      <t xml:space="preserve"> da calcinação no fabrico de cimento, as emissões de CO</t>
    </r>
    <r>
      <rPr>
        <vertAlign val="subscript"/>
        <sz val="11"/>
        <rFont val="Calibri Light"/>
        <family val="2"/>
      </rPr>
      <t>2</t>
    </r>
    <r>
      <rPr>
        <sz val="11"/>
        <rFont val="Calibri Light"/>
        <family val="2"/>
      </rPr>
      <t xml:space="preserve"> da quebra catalítica no processamento petroquímico, as emissões de PFCs na fundição do alumínio, etc.</t>
    </r>
  </si>
  <si>
    <t xml:space="preserve">(C) Os principais processos industriais que geram emissões de GEE, segundo o Inventário Nacional de Emissões de GEE (APA, 2017) são: a indústria mineral, e a utilização/produção de substitutos de substâncias destruidoras de ozono (HFCs e SF6). </t>
  </si>
  <si>
    <t>(D) É importante a correta diferenciação entre as emissões de GEE de Processos Industriais e as emissões de GEE da combustão estacionária (resultantes do consumo de combustível) ocorridas durante os processos industriais. Estas últimas devem ser reportadas na folha "Combustão estacionária".</t>
  </si>
  <si>
    <t>(E) As famílias de gases HFC e PFC possuem diversos GEE que podem ser subprodutos de processos industriais e cada um desses gases possui um potencial de aquecimento global (GWP) distinto - ver a Tabela 11 da folha "Fatores de Emissão".</t>
  </si>
  <si>
    <r>
      <t>(G) No final desta secção são apresentadas as emissões totais dos processos industriais, em tCO</t>
    </r>
    <r>
      <rPr>
        <vertAlign val="subscript"/>
        <sz val="11"/>
        <rFont val="Calibri Light"/>
        <family val="2"/>
      </rPr>
      <t>2</t>
    </r>
    <r>
      <rPr>
        <sz val="11"/>
        <rFont val="Calibri Light"/>
        <family val="2"/>
      </rPr>
      <t>e, na Tabela 2.</t>
    </r>
  </si>
  <si>
    <r>
      <t xml:space="preserve">O cálculo utiliza a equação: </t>
    </r>
    <r>
      <rPr>
        <b/>
        <sz val="11"/>
        <rFont val="Calibri Light"/>
        <family val="2"/>
      </rPr>
      <t>E = (EUN + EUE + EUD) * GWP</t>
    </r>
    <r>
      <rPr>
        <sz val="11"/>
        <rFont val="Calibri Light"/>
        <family val="2"/>
      </rPr>
      <t>,  onde:</t>
    </r>
  </si>
  <si>
    <r>
      <rPr>
        <sz val="11"/>
        <rFont val="Calibri Light"/>
        <family val="2"/>
      </rPr>
      <t xml:space="preserve">O cálculo utiliza a equação: </t>
    </r>
    <r>
      <rPr>
        <b/>
        <sz val="11"/>
        <rFont val="Calibri Light"/>
        <family val="2"/>
      </rPr>
      <t>E = (VE + T - MC) * GWP</t>
    </r>
    <r>
      <rPr>
        <sz val="11"/>
        <rFont val="Calibri Light"/>
        <family val="2"/>
      </rPr>
      <t>, onde:</t>
    </r>
  </si>
  <si>
    <t>Optou-se por se ser conservador e usar os valores máximos de perdas, assim como uma taxa nula de reciclagem e recuperação por falta de dados nacionais mais precisos.</t>
  </si>
  <si>
    <t>(A) Utilize esta secção da ferramenta para reportar a quantidade de hexafluoreto de enxofre e trifluoreto de azoto emitida no ano inventariado.</t>
  </si>
  <si>
    <t>Tabela 2.  Emissões totais de atividades agrícolas de Âmbito 1</t>
  </si>
  <si>
    <t>Unidade de produção de grão</t>
  </si>
  <si>
    <t>Lavoura e fertilização de terrenos de feijão</t>
  </si>
  <si>
    <r>
      <t>Emissões de CO</t>
    </r>
    <r>
      <rPr>
        <b/>
        <vertAlign val="subscript"/>
        <sz val="11"/>
        <rFont val="Calibri Light"/>
        <family val="2"/>
      </rPr>
      <t>2</t>
    </r>
    <r>
      <rPr>
        <b/>
        <sz val="11"/>
        <rFont val="Calibri Light"/>
        <family val="2"/>
      </rPr>
      <t xml:space="preserve"> biogénico (t)</t>
    </r>
  </si>
  <si>
    <r>
      <t xml:space="preserve">(A) Utilize esta secção da ferramenta para </t>
    </r>
    <r>
      <rPr>
        <u/>
        <sz val="11"/>
        <rFont val="Calibri Light"/>
        <family val="2"/>
      </rPr>
      <t>reportar</t>
    </r>
    <r>
      <rPr>
        <sz val="11"/>
        <rFont val="Calibri Light"/>
        <family val="2"/>
      </rPr>
      <t xml:space="preserve"> as emissões de GEE decorrentes de atividades agrícolas e alterações de usos de solo no ano inventariado.</t>
    </r>
  </si>
  <si>
    <r>
      <t>(B) A categoria Emissões Agrícolas e Alterações de Usos do Solo agrupa, por exemplo, as emissões de: drenagem e preparo do solo (CO</t>
    </r>
    <r>
      <rPr>
        <vertAlign val="subscript"/>
        <sz val="11"/>
        <rFont val="Calibri Light"/>
        <family val="2"/>
      </rPr>
      <t>2</t>
    </r>
    <r>
      <rPr>
        <sz val="11"/>
        <rFont val="Calibri Light"/>
        <family val="2"/>
      </rPr>
      <t>, CH</t>
    </r>
    <r>
      <rPr>
        <vertAlign val="subscript"/>
        <sz val="11"/>
        <rFont val="Calibri Light"/>
        <family val="2"/>
      </rPr>
      <t>4</t>
    </r>
    <r>
      <rPr>
        <sz val="11"/>
        <rFont val="Calibri Light"/>
        <family val="2"/>
      </rPr>
      <t>, N</t>
    </r>
    <r>
      <rPr>
        <vertAlign val="subscript"/>
        <sz val="11"/>
        <rFont val="Calibri Light"/>
        <family val="2"/>
      </rPr>
      <t>2</t>
    </r>
    <r>
      <rPr>
        <sz val="11"/>
        <rFont val="Calibri Light"/>
        <family val="2"/>
      </rPr>
      <t>O); uso de fertilizantes sintéticos, resíduos animais e resíduos de culturas aos solos (CO</t>
    </r>
    <r>
      <rPr>
        <vertAlign val="subscript"/>
        <sz val="11"/>
        <rFont val="Calibri Light"/>
        <family val="2"/>
      </rPr>
      <t>2</t>
    </r>
    <r>
      <rPr>
        <sz val="11"/>
        <rFont val="Calibri Light"/>
        <family val="2"/>
      </rPr>
      <t>, CH</t>
    </r>
    <r>
      <rPr>
        <vertAlign val="subscript"/>
        <sz val="11"/>
        <rFont val="Calibri Light"/>
        <family val="2"/>
      </rPr>
      <t>4</t>
    </r>
    <r>
      <rPr>
        <sz val="11"/>
        <rFont val="Calibri Light"/>
        <family val="2"/>
      </rPr>
      <t>, N</t>
    </r>
    <r>
      <rPr>
        <vertAlign val="subscript"/>
        <sz val="11"/>
        <rFont val="Calibri Light"/>
        <family val="2"/>
      </rPr>
      <t>2</t>
    </r>
    <r>
      <rPr>
        <sz val="11"/>
        <rFont val="Calibri Light"/>
        <family val="2"/>
      </rPr>
      <t>O); adição de ureia e calcário aos solos (CO</t>
    </r>
    <r>
      <rPr>
        <vertAlign val="subscript"/>
        <sz val="11"/>
        <rFont val="Calibri Light"/>
        <family val="2"/>
      </rPr>
      <t>2</t>
    </r>
    <r>
      <rPr>
        <sz val="11"/>
        <rFont val="Calibri Light"/>
        <family val="2"/>
      </rPr>
      <t>); fermentação entérica (CH</t>
    </r>
    <r>
      <rPr>
        <vertAlign val="subscript"/>
        <sz val="11"/>
        <rFont val="Calibri Light"/>
        <family val="2"/>
      </rPr>
      <t>4</t>
    </r>
    <r>
      <rPr>
        <sz val="11"/>
        <rFont val="Calibri Light"/>
        <family val="2"/>
      </rPr>
      <t>); cultivo do arroz (CH</t>
    </r>
    <r>
      <rPr>
        <vertAlign val="subscript"/>
        <sz val="11"/>
        <rFont val="Calibri Light"/>
        <family val="2"/>
      </rPr>
      <t>4</t>
    </r>
    <r>
      <rPr>
        <sz val="11"/>
        <rFont val="Calibri Light"/>
        <family val="2"/>
      </rPr>
      <t>); mudanças do uso do solo (CO</t>
    </r>
    <r>
      <rPr>
        <vertAlign val="subscript"/>
        <sz val="11"/>
        <rFont val="Calibri Light"/>
        <family val="2"/>
      </rPr>
      <t>2</t>
    </r>
    <r>
      <rPr>
        <sz val="11"/>
        <rFont val="Calibri Light"/>
        <family val="2"/>
      </rPr>
      <t>, CH</t>
    </r>
    <r>
      <rPr>
        <vertAlign val="subscript"/>
        <sz val="11"/>
        <rFont val="Calibri Light"/>
        <family val="2"/>
      </rPr>
      <t>4</t>
    </r>
    <r>
      <rPr>
        <sz val="11"/>
        <rFont val="Calibri Light"/>
        <family val="2"/>
      </rPr>
      <t>, N</t>
    </r>
    <r>
      <rPr>
        <vertAlign val="subscript"/>
        <sz val="11"/>
        <rFont val="Calibri Light"/>
        <family val="2"/>
      </rPr>
      <t>2</t>
    </r>
    <r>
      <rPr>
        <sz val="11"/>
        <rFont val="Calibri Light"/>
        <family val="2"/>
      </rPr>
      <t>O); queimadas de resíduos de culturas deixadas no terreno (CO</t>
    </r>
    <r>
      <rPr>
        <vertAlign val="subscript"/>
        <sz val="11"/>
        <rFont val="Calibri Light"/>
        <family val="2"/>
      </rPr>
      <t>2</t>
    </r>
    <r>
      <rPr>
        <sz val="11"/>
        <rFont val="Calibri Light"/>
        <family val="2"/>
      </rPr>
      <t>, CH</t>
    </r>
    <r>
      <rPr>
        <vertAlign val="subscript"/>
        <sz val="11"/>
        <rFont val="Calibri Light"/>
        <family val="2"/>
      </rPr>
      <t>4</t>
    </r>
    <r>
      <rPr>
        <sz val="11"/>
        <rFont val="Calibri Light"/>
        <family val="2"/>
      </rPr>
      <t>, N</t>
    </r>
    <r>
      <rPr>
        <vertAlign val="subscript"/>
        <sz val="11"/>
        <rFont val="Calibri Light"/>
        <family val="2"/>
      </rPr>
      <t>2</t>
    </r>
    <r>
      <rPr>
        <sz val="11"/>
        <rFont val="Calibri Light"/>
        <family val="2"/>
      </rPr>
      <t>O); gestão florestal (CO</t>
    </r>
    <r>
      <rPr>
        <vertAlign val="subscript"/>
        <sz val="11"/>
        <rFont val="Calibri Light"/>
        <family val="2"/>
      </rPr>
      <t>2</t>
    </r>
    <r>
      <rPr>
        <sz val="11"/>
        <rFont val="Calibri Light"/>
        <family val="2"/>
      </rPr>
      <t>, CH</t>
    </r>
    <r>
      <rPr>
        <vertAlign val="subscript"/>
        <sz val="11"/>
        <rFont val="Calibri Light"/>
        <family val="2"/>
      </rPr>
      <t>4</t>
    </r>
    <r>
      <rPr>
        <sz val="11"/>
        <rFont val="Calibri Light"/>
        <family val="2"/>
      </rPr>
      <t>, N</t>
    </r>
    <r>
      <rPr>
        <vertAlign val="subscript"/>
        <sz val="11"/>
        <rFont val="Calibri Light"/>
        <family val="2"/>
      </rPr>
      <t>2</t>
    </r>
    <r>
      <rPr>
        <sz val="11"/>
        <rFont val="Calibri Light"/>
        <family val="2"/>
      </rPr>
      <t>O) e oxidação de substratos suportes de culturas hortícolas (CO</t>
    </r>
    <r>
      <rPr>
        <vertAlign val="subscript"/>
        <sz val="11"/>
        <rFont val="Calibri Light"/>
        <family val="2"/>
      </rPr>
      <t>2</t>
    </r>
    <r>
      <rPr>
        <sz val="11"/>
        <rFont val="Calibri Light"/>
        <family val="2"/>
      </rPr>
      <t>).</t>
    </r>
  </si>
  <si>
    <t>(C) As categorias acima citadas são as principais categorias de emissões agrícolas e de alterações de usos do solo, porém não a totalidade. Caso a organização desenvolva atividades que se enquadrem noutras categorias de emissões agrícolas e de alterações de uso do solo, estas devem ser reportadas nesta seção.</t>
  </si>
  <si>
    <r>
      <t>(D) Emissões de CO</t>
    </r>
    <r>
      <rPr>
        <vertAlign val="subscript"/>
        <sz val="11"/>
        <rFont val="Calibri Light"/>
        <family val="2"/>
      </rPr>
      <t>2</t>
    </r>
    <r>
      <rPr>
        <sz val="11"/>
        <rFont val="Calibri Light"/>
        <family val="2"/>
      </rPr>
      <t xml:space="preserve"> devido à queima de biomassa (por exemplo, pela queima de resíduos agrícolas) podem eventualmente ser consideradas "Emissões de CO</t>
    </r>
    <r>
      <rPr>
        <vertAlign val="subscript"/>
        <sz val="11"/>
        <rFont val="Calibri Light"/>
        <family val="2"/>
      </rPr>
      <t>2</t>
    </r>
    <r>
      <rPr>
        <sz val="11"/>
        <rFont val="Calibri Light"/>
        <family val="2"/>
      </rPr>
      <t xml:space="preserve"> biogénico", desde que estas </t>
    </r>
    <r>
      <rPr>
        <b/>
        <sz val="11"/>
        <rFont val="Calibri Light"/>
        <family val="2"/>
      </rPr>
      <t xml:space="preserve">não </t>
    </r>
    <r>
      <rPr>
        <sz val="11"/>
        <rFont val="Calibri Light"/>
        <family val="2"/>
      </rPr>
      <t>tenham sido consideradas noutras categorias como, por exemplo, "Resíduos sólidos".</t>
    </r>
  </si>
  <si>
    <r>
      <t>(F) No final desta secção são apresentadas as emissões totais de atividades agrícolas, em tCO</t>
    </r>
    <r>
      <rPr>
        <vertAlign val="subscript"/>
        <sz val="11"/>
        <rFont val="Calibri Light"/>
        <family val="2"/>
      </rPr>
      <t>2</t>
    </r>
    <r>
      <rPr>
        <sz val="11"/>
        <rFont val="Calibri Light"/>
        <family val="2"/>
      </rPr>
      <t>e, na Tabela 2.</t>
    </r>
  </si>
  <si>
    <t>Emissões agrícolas e de alterações do uso do solo</t>
  </si>
  <si>
    <t>Tabela 4.  Emissões totais de resíduos sólidos de Âmbito 1</t>
  </si>
  <si>
    <r>
      <t>Emissões totais de CO</t>
    </r>
    <r>
      <rPr>
        <b/>
        <vertAlign val="subscript"/>
        <sz val="12"/>
        <rFont val="Calibri Light"/>
        <family val="2"/>
      </rPr>
      <t>2</t>
    </r>
    <r>
      <rPr>
        <b/>
        <sz val="12"/>
        <rFont val="Calibri Light"/>
        <family val="2"/>
      </rPr>
      <t xml:space="preserve"> - biogénico (toneladas métricas)</t>
    </r>
  </si>
  <si>
    <t>(B) Recomenda-se que os dados de emissões da incineração de resíduos sejam obtidos diretamente com o operador da incineradora ou que sejam calculados com o uso de métodos reconhecidos como os do IPCC (2006).</t>
  </si>
  <si>
    <r>
      <t xml:space="preserve">(A) Esta secção da ferramenta permite o </t>
    </r>
    <r>
      <rPr>
        <u/>
        <sz val="11"/>
        <rFont val="Calibri Light"/>
        <family val="2"/>
      </rPr>
      <t>reporte</t>
    </r>
    <r>
      <rPr>
        <sz val="11"/>
        <rFont val="Calibri Light"/>
        <family val="2"/>
      </rPr>
      <t xml:space="preserve"> das emissões de GEE calculadas a partir de outras ferramentas/métodos, para que essas sejam consideradas no resultado final do inventário de GEE.</t>
    </r>
  </si>
  <si>
    <r>
      <t xml:space="preserve">(A) Esta subsecção da ferramenta deve ser aplicada apenas ao tratamento de resíduos sólidos por compostagem </t>
    </r>
    <r>
      <rPr>
        <b/>
        <u/>
        <sz val="11"/>
        <rFont val="Calibri Light"/>
        <family val="2"/>
      </rPr>
      <t>anaeróbica</t>
    </r>
    <r>
      <rPr>
        <sz val="11"/>
        <rFont val="Calibri Light"/>
        <family val="2"/>
      </rPr>
      <t>. São calculadas nesta secção apenas as</t>
    </r>
  </si>
  <si>
    <t>Passo 1.   Quantidade de resíduo destinado a compostagem (caso não haja compostagem, deixe esta secção em branco)</t>
  </si>
  <si>
    <t>* O cálculo das emissões por compostagem usa por base a massa húmida de resíduo.</t>
  </si>
  <si>
    <r>
      <t>Se possuir um fator de emissão de CH</t>
    </r>
    <r>
      <rPr>
        <vertAlign val="subscript"/>
        <sz val="11"/>
        <rFont val="Calibri Light"/>
        <family val="2"/>
      </rPr>
      <t>4</t>
    </r>
    <r>
      <rPr>
        <sz val="11"/>
        <rFont val="Calibri Light"/>
        <family val="2"/>
      </rPr>
      <t xml:space="preserve"> e N</t>
    </r>
    <r>
      <rPr>
        <vertAlign val="subscript"/>
        <sz val="11"/>
        <rFont val="Calibri Light"/>
        <family val="2"/>
      </rPr>
      <t>2</t>
    </r>
    <r>
      <rPr>
        <sz val="11"/>
        <rFont val="Calibri Light"/>
        <family val="2"/>
      </rPr>
      <t>O específico para o resíduo e/ou a região onde se localiza o centro de compostagem, preencha os campos dos fatores de emissão abaixo.</t>
    </r>
  </si>
  <si>
    <r>
      <t>*CH</t>
    </r>
    <r>
      <rPr>
        <vertAlign val="subscript"/>
        <sz val="11"/>
        <rFont val="Calibri Light"/>
        <family val="2"/>
      </rPr>
      <t>4</t>
    </r>
    <r>
      <rPr>
        <sz val="11"/>
        <rFont val="Calibri Light"/>
        <family val="2"/>
      </rPr>
      <t xml:space="preserve"> Recuperado - Metano gerado que é recuperado, ou seja não é emitido, e queimado num queimador ("flare") ou utilizado para geração de energia (eletricidade, calor, etc).</t>
    </r>
  </si>
  <si>
    <r>
      <t>Emissões em CO</t>
    </r>
    <r>
      <rPr>
        <b/>
        <vertAlign val="subscript"/>
        <sz val="11"/>
        <rFont val="Calibri Light"/>
        <family val="2"/>
      </rPr>
      <t xml:space="preserve">2 </t>
    </r>
    <r>
      <rPr>
        <b/>
        <sz val="11"/>
        <rFont val="Calibri Light"/>
        <family val="2"/>
      </rPr>
      <t>- biogénico</t>
    </r>
  </si>
  <si>
    <t>Resíduos depositados em aterro</t>
  </si>
  <si>
    <t>(A) Esta subseção da ferramenta contempla o cálculo de emissões de GEE para a deposição de resíduos num único local. Sendo assim, cada local diferente de deposição de  resíduos deve ter o seu cálculo de emissões de maneira separada. Caso os resíduos sejam depositados em locais diferentes, mas os locais e os resíduos tenham exatamente as mesmas características (entre elas, mas não limitadas a: caracterísiticas do local de disposição, condições climáticas da região, etc.), pode-se agregar os dados.</t>
  </si>
  <si>
    <t xml:space="preserve">(B) Por conta do perfil de degradação da matéria orgânica em aterros, as emissões de GEE pela deposição de resíduos em aterros ocorrem por um período superior a 30 anos após a sua disposição. Sendo assim, o inventário de um ano deve considerar a parcela das emissões de GEE de resíduos aterrados no ano inventariado e também as parcelas de emissões de resíduos depositados em aterros nos anos anteriores. </t>
  </si>
  <si>
    <t>(C) O ideal é que essas emissões sejam estimadas com base em dados históricos de produção e deposição de resíduos dos últimos 30 anos, ou do período mais remoto que houver dados disponíveis.</t>
  </si>
  <si>
    <t>Viana do Castelo</t>
  </si>
  <si>
    <t>Bragança</t>
  </si>
  <si>
    <t>Porto</t>
  </si>
  <si>
    <t>Castelo Branco</t>
  </si>
  <si>
    <t>Lisboa</t>
  </si>
  <si>
    <t>Beja</t>
  </si>
  <si>
    <t>Faro</t>
  </si>
  <si>
    <t>Funchal</t>
  </si>
  <si>
    <t>Anga do Heroismo</t>
  </si>
  <si>
    <t>Norte</t>
  </si>
  <si>
    <t>Centro</t>
  </si>
  <si>
    <t>AML</t>
  </si>
  <si>
    <t>Alentejo</t>
  </si>
  <si>
    <t>Algarve</t>
  </si>
  <si>
    <t>RAM</t>
  </si>
  <si>
    <t>RAA</t>
  </si>
  <si>
    <t>Castelo branco</t>
  </si>
  <si>
    <t>Angra do Heroísmo</t>
  </si>
  <si>
    <t>Referências: IPMA.</t>
  </si>
  <si>
    <t>Características climáticas do local de deposição do resíduo</t>
  </si>
  <si>
    <t>Preencha com a quantidade de resíduos depositada em aterro, para todos os anos em que houver dados disponíveis.</t>
  </si>
  <si>
    <t>da deposição de resíduos leve em conta os últimos 30 (trinta) anos, em relação ao ano base do inventário.</t>
  </si>
  <si>
    <t>Quantidade de resíduos enviados ao aterro no ano</t>
  </si>
  <si>
    <t>Preencha com a percentagem, de 0 a 100, correspondente a cada tipo de resíduo, em relação ao resíduo total.</t>
  </si>
  <si>
    <r>
      <t xml:space="preserve">A categoria </t>
    </r>
    <r>
      <rPr>
        <i/>
        <sz val="11"/>
        <rFont val="Calibri Light"/>
        <family val="2"/>
      </rPr>
      <t>Outros</t>
    </r>
    <r>
      <rPr>
        <sz val="11"/>
        <rFont val="Calibri Light"/>
        <family val="2"/>
      </rPr>
      <t xml:space="preserve"> representa os resíduos inertes que, em condições anaeróbicas, não geram metano (CH</t>
    </r>
    <r>
      <rPr>
        <vertAlign val="subscript"/>
        <sz val="11"/>
        <rFont val="Calibri Light"/>
        <family val="2"/>
      </rPr>
      <t>4</t>
    </r>
    <r>
      <rPr>
        <sz val="11"/>
        <rFont val="Calibri Light"/>
        <family val="2"/>
      </rPr>
      <t>) como produto da sua decomposição.</t>
    </r>
  </si>
  <si>
    <t>A - Papel/cartão</t>
  </si>
  <si>
    <t>E - Verdes/ resíduos de jardim</t>
  </si>
  <si>
    <t>Passo 4.    Qualidade da deposição de resíduos [MCF¹].</t>
  </si>
  <si>
    <t>Introduza a classificação, em relação à qualidade do aterro para onde foram destinados os resíduos em cada ano.</t>
  </si>
  <si>
    <t>Qualidade do local de deposição dos resíduos</t>
  </si>
  <si>
    <t>Devem ter controle da deposição do resíduo (ex. resíduo destinado especificamente para uma área do aterro, controle da escavação e de chamas), incluindo ao menos um dos seguintes métodos: (i) material de cobertura; (ii) compactação mecânica; ou (iii) nivelamento do resíduo.</t>
  </si>
  <si>
    <t>Devem ter controle da deposição do resíduo e incluir todas as seguintes estruturas para introduzir ar nas camadas de resíduos: (i) material de cobertura permeável; (ii) sistema de drenagem de chorume; (iii) tanque de regulação; e (iv) sistema de ventilação de gases.</t>
  </si>
  <si>
    <r>
      <t>Introduza o valor entre 0 e 1. Sendo que 1 corresponde a um biogás com 100% de metano (CH</t>
    </r>
    <r>
      <rPr>
        <vertAlign val="subscript"/>
        <sz val="11"/>
        <rFont val="Calibri Light"/>
        <family val="2"/>
      </rPr>
      <t>4</t>
    </r>
    <r>
      <rPr>
        <sz val="11"/>
        <rFont val="Calibri Light"/>
        <family val="2"/>
      </rPr>
      <t>). Caso não possua este dado, deixe em branco. Será adotado o padrão (</t>
    </r>
    <r>
      <rPr>
        <i/>
        <sz val="11"/>
        <rFont val="Calibri Light"/>
        <family val="2"/>
      </rPr>
      <t>default</t>
    </r>
    <r>
      <rPr>
        <sz val="11"/>
        <rFont val="Calibri Light"/>
        <family val="2"/>
      </rPr>
      <t>) do IPCC (2006), que é igual a 0,5.</t>
    </r>
  </si>
  <si>
    <r>
      <t>Há a recuperação de metano (CH</t>
    </r>
    <r>
      <rPr>
        <vertAlign val="subscript"/>
        <sz val="11"/>
        <rFont val="Calibri Light"/>
        <family val="2"/>
      </rPr>
      <t>4</t>
    </r>
    <r>
      <rPr>
        <sz val="11"/>
        <rFont val="Calibri Light"/>
        <family val="2"/>
      </rPr>
      <t>) no aterro onde é depositado o resíduo? Em caso negativo, passe em frente (salte este passo).</t>
    </r>
  </si>
  <si>
    <r>
      <t>Em caso positivo, introduza a quantidade de CH</t>
    </r>
    <r>
      <rPr>
        <vertAlign val="subscript"/>
        <sz val="11"/>
        <rFont val="Calibri Light"/>
        <family val="2"/>
      </rPr>
      <t>4</t>
    </r>
    <r>
      <rPr>
        <sz val="11"/>
        <rFont val="Calibri Light"/>
        <family val="2"/>
      </rPr>
      <t xml:space="preserve"> recuperada do aterro, ano a ano.</t>
    </r>
  </si>
  <si>
    <t>Tabela 1.   Emissões totais de resíduos sólidos depositados em aterro (emissões históricas anuais, considerando deposições de resíduos sólidos no passado)</t>
  </si>
  <si>
    <t>Zona:</t>
  </si>
  <si>
    <t>(B) Esta secção da ferramenta calcula as emissões do tratamento de resíduos enviados para aterros e do tratamento de resíduos por compostagem. Preencha somente os dados do(s) tratamento(s) aplicado(s) ao resíduo gerado pela organização, deixando as opções que não se aplicam em branco.</t>
  </si>
  <si>
    <t>(E) Utilize os botões "+" à esquerda para escolher as subsecções da ferramenta que deseja inserir informações e para libertar mais linhas nas tabelas de entrada de dados.</t>
  </si>
  <si>
    <r>
      <t>(G) No fim de cada subsecção são apresentadas as emissões do tipo de tratamento. No final desta secção são apresentadas as emissões totais do tratamento de resíduos sólidos, em tCO</t>
    </r>
    <r>
      <rPr>
        <vertAlign val="subscript"/>
        <sz val="11"/>
        <rFont val="Calibri Light"/>
        <family val="2"/>
      </rPr>
      <t>2</t>
    </r>
    <r>
      <rPr>
        <sz val="11"/>
        <rFont val="Calibri Light"/>
        <family val="2"/>
      </rPr>
      <t>e, na Tabela 4.</t>
    </r>
  </si>
  <si>
    <t>Agrícolas e alterações do uso do solo</t>
  </si>
  <si>
    <t>(C) A ferramenta não oferece uma opção de cálculo de emissões por incineração de resíduos sólidos. No entanto, há um campo para reporte dessas emissões por incineração. Recomenda-se que essas emissões sejam calculadas separadamente, utilizando métodos adequados como, por exemplo, os do IPCC.</t>
  </si>
  <si>
    <t>(D) De acordo com a abordagem de ciclo de vida, as emissões ocorridas durante a utilização de um resíduo como uma matéria-prima num novo processo (ex.: reciclagem) devem ser contabilizadas pela organização que o utiliza como matéria-prima, utilizando ferramentas apropriadas para calcular emissões desse uso. Cabe à organização que gerou e transferiu a propriedade do resíduo, contabilizar apenas as emissões de seu tratamento antes da troca de propriedade (repasse/comercialização à organização que o utilizará como matéria-prima).</t>
  </si>
  <si>
    <t>Emissões totais do tratamento de efluentes líquidos</t>
  </si>
  <si>
    <t>Tabela 2.  Emissões totais de efluentes líquidos de Âmbito 1</t>
  </si>
  <si>
    <r>
      <rPr>
        <b/>
        <vertAlign val="superscript"/>
        <sz val="10"/>
        <rFont val="Calibri Light"/>
        <family val="2"/>
      </rPr>
      <t>1</t>
    </r>
    <r>
      <rPr>
        <i/>
        <sz val="10"/>
        <rFont val="Calibri Light"/>
        <family val="2"/>
      </rPr>
      <t xml:space="preserve">- Methane Conversion Factor - </t>
    </r>
    <r>
      <rPr>
        <sz val="10"/>
        <rFont val="Calibri Light"/>
        <family val="2"/>
      </rPr>
      <t xml:space="preserve">Fator de Conversão do Metano. Apesar de se usar a mesma sigla, este fator é diferente do MCF (Fator de Correção de Metano) utilizado no cálculo das emissões do tratamento de resíduos sólidos. </t>
    </r>
  </si>
  <si>
    <t>(A) Esta subsecção aplica-se somente ao tratamento de efluentes líquidos em centrais de tratamento anaeróbico que sejam de controle operacional ou de propriedade da organização inventariante.</t>
  </si>
  <si>
    <t>(B) No caso do tratamento de efluentes líquidos ser realizado por terceiros, utilize a folha correspondente para emissões de Âmbito 3.</t>
  </si>
  <si>
    <t>(C) Indique no Passo 1 a existência de tratamentos anaeróbicos aplicados sequencialmente ao efluente. Em caso positivo, preencha nos passos de 6 a 9 os dados do segundo tipo de tratamento aplicado. Recomenda-se obter separadamente os dados de atividade de cada tratamento, para melhor precisão do inventário.</t>
  </si>
  <si>
    <t>- Caso exista tratamento anaeróbico sequencial, preencha os dados indicados nos Passos de 6 a 9.</t>
  </si>
  <si>
    <t>Passo 2.    Dados da produção de efluentes líquidos</t>
  </si>
  <si>
    <t xml:space="preserve"> - Escolha se a unidade do dado é CBO (Carência Bioquímica de Oxigénio) ou CQO (Carência Química de Oxigénio).</t>
  </si>
  <si>
    <t>Componente orgânica degradável do efluente</t>
  </si>
  <si>
    <r>
      <t>[kgCQO/m</t>
    </r>
    <r>
      <rPr>
        <vertAlign val="superscript"/>
        <sz val="11"/>
        <rFont val="Calibri Light"/>
        <family val="2"/>
      </rPr>
      <t>3</t>
    </r>
    <r>
      <rPr>
        <sz val="11"/>
        <rFont val="Calibri Light"/>
        <family val="2"/>
      </rPr>
      <t>]</t>
    </r>
  </si>
  <si>
    <r>
      <t>[kgCBO/m</t>
    </r>
    <r>
      <rPr>
        <vertAlign val="superscript"/>
        <sz val="11"/>
        <rFont val="Calibri Light"/>
        <family val="2"/>
      </rPr>
      <t>3</t>
    </r>
    <r>
      <rPr>
        <sz val="11"/>
        <rFont val="Calibri Light"/>
        <family val="2"/>
      </rPr>
      <t>]</t>
    </r>
  </si>
  <si>
    <t xml:space="preserve"> - Preencha os dados sobre a quantidade de azoto presente no efluente.</t>
  </si>
  <si>
    <t>Quantidade de azoto no efluente gerado</t>
  </si>
  <si>
    <t>Azoto removido com as lamas no ano do inventário</t>
  </si>
  <si>
    <t>Lamas ativadas/Digestor anaeróbico</t>
  </si>
  <si>
    <t>Reator anaeróbico</t>
  </si>
  <si>
    <t>: se aterro semi-aeróbico gerido</t>
  </si>
  <si>
    <t>Todos os aterros que não atendem aos critérios dos aterros sanitários e semi-aeróbicos, e que possuem profundidade menor que 5 metros.</t>
  </si>
  <si>
    <t>Todos os aterros que não atendem aos critérios dos aterros sanitário e semi-aeróbico, e que possuem profundidade igual ou maior a 5 m e/ou com um nível freático elevado (próximo à superfície). Este último critério corresponde à deposição em antigos corpos d'água por resíduos (ex. lagos ou rios vazios).</t>
  </si>
  <si>
    <t>: se aterro sanitário/ aeróbico</t>
  </si>
  <si>
    <t>Sem tratamento</t>
  </si>
  <si>
    <t>ETAR, aeróbica, bem gerida</t>
  </si>
  <si>
    <t>ETAR, aeróbica, mal gerida</t>
  </si>
  <si>
    <t>Lagoa anaeróbica (profunda)</t>
  </si>
  <si>
    <t>Lagoa anaeróbica superficial</t>
  </si>
  <si>
    <t>*Metano Recuperado - Metano gerado que é recuperado, ou seja, não é emitido, sendo queimado num queimador ("flare") ou utilizado para geração de energia (eletricidade, calor, etc.)</t>
  </si>
  <si>
    <t xml:space="preserve"> - Preencha os dados relativos à componente orgânica degradável do efluente, após a aplicação do primeiro tipo de tratamento.</t>
  </si>
  <si>
    <t xml:space="preserve"> - Escolha se a unidade do dado é CBO (Carência Bioquímica de Oxigénio) ou CQO (Carência Bioquímica de Oxigénio).</t>
  </si>
  <si>
    <t xml:space="preserve"> - Preencha os dados sobre a quantidade de azoto presente no efluente, após a aplicação do primeiro tipo de tratamento.</t>
  </si>
  <si>
    <t>Azoto removido com o lodo no ano do inventário</t>
  </si>
  <si>
    <r>
      <t>Emissões em CO</t>
    </r>
    <r>
      <rPr>
        <b/>
        <vertAlign val="subscript"/>
        <sz val="11"/>
        <rFont val="Calibri Light"/>
        <family val="2"/>
      </rPr>
      <t>2</t>
    </r>
    <r>
      <rPr>
        <b/>
        <sz val="11"/>
        <rFont val="Calibri Light"/>
        <family val="2"/>
      </rPr>
      <t xml:space="preserve"> biogénico do tratamento de efluentes</t>
    </r>
  </si>
  <si>
    <t>Emissões do tratamento de efluentes líquidos</t>
  </si>
  <si>
    <r>
      <t>(A) Esta secção da ferramenta calcula as emissões de Âmbito</t>
    </r>
    <r>
      <rPr>
        <b/>
        <sz val="11"/>
        <rFont val="Calibri Light"/>
        <family val="2"/>
      </rPr>
      <t xml:space="preserve"> 1</t>
    </r>
    <r>
      <rPr>
        <sz val="11"/>
        <rFont val="Calibri Light"/>
        <family val="2"/>
      </rPr>
      <t xml:space="preserve"> do tratamento de efluentes líquidos operados ou de propriedade da organização inventariante. Para os casos em que as emissões do tratamento de efluentes forem classificadas como de Âmbito 3, utilize a folha correspondente. </t>
    </r>
  </si>
  <si>
    <t>(C) Utilize os botões "+" à esquerda para escolher as subsecções da ferramenta que deseja inserir informações e para libertar mais linhas nas tabelas de entrada de dados.</t>
  </si>
  <si>
    <r>
      <t xml:space="preserve">(D) Preencha somente os campos a </t>
    </r>
    <r>
      <rPr>
        <b/>
        <sz val="11"/>
        <color indexed="53"/>
        <rFont val="Calibri Light"/>
        <family val="2"/>
      </rPr>
      <t>LARANJA CLARO</t>
    </r>
    <r>
      <rPr>
        <sz val="11"/>
        <rFont val="Calibri Light"/>
        <family val="2"/>
      </rPr>
      <t xml:space="preserve"> nas secções da ferramenta.</t>
    </r>
  </si>
  <si>
    <r>
      <t>(E) No final da ferramenta são apresentadas as emissões totais de GEE por tratamento de efluentes líquidos, em tCO</t>
    </r>
    <r>
      <rPr>
        <vertAlign val="subscript"/>
        <sz val="11"/>
        <rFont val="Calibri Light"/>
        <family val="2"/>
      </rPr>
      <t>2</t>
    </r>
    <r>
      <rPr>
        <sz val="11"/>
        <rFont val="Calibri Light"/>
        <family val="2"/>
      </rPr>
      <t>e, na Tabela 2.</t>
    </r>
  </si>
  <si>
    <r>
      <t>(A) Esta secção apresenta as 15 categorias para o relato das emissões de Âmbito 3 propostas pelo GHG Protocol. Estas categorias têm por base o "</t>
    </r>
    <r>
      <rPr>
        <i/>
        <sz val="11"/>
        <rFont val="Calibri Light"/>
        <family val="2"/>
      </rPr>
      <t>Greenhouse Gas Protocol Corporate Value Chain (Scope 3) Accounting and Reporting Standard</t>
    </r>
    <r>
      <rPr>
        <sz val="11"/>
        <rFont val="Calibri Light"/>
        <family val="2"/>
      </rPr>
      <t xml:space="preserve">", disponível no site do </t>
    </r>
    <r>
      <rPr>
        <i/>
        <u/>
        <sz val="11"/>
        <color rgb="FF0000FF"/>
        <rFont val="Calibri Light"/>
        <family val="2"/>
      </rPr>
      <t>Greenhouse Gas Protocol</t>
    </r>
    <r>
      <rPr>
        <sz val="11"/>
        <rFont val="Calibri Light"/>
        <family val="2"/>
      </rPr>
      <t>.</t>
    </r>
  </si>
  <si>
    <t>(A)  Utilize esta subsecção apenas para reportar as emissões associadas ao transporte de bens por meios aéreos. As emissões referentes a outros modos de transporte devem</t>
  </si>
  <si>
    <t xml:space="preserve">        ser reportadas noutras subsecções desta folha.</t>
  </si>
  <si>
    <t>Descrição do transporte</t>
  </si>
  <si>
    <t>Utilize esta seccção da folha apenas para reportar os consumos de combustível referentes ao transporte de bens por via marítima ou fluvial contratada. Emissões de frotas de outros modos de transporte devem</t>
  </si>
  <si>
    <t>ser reportadas noutras seções desta folha.</t>
  </si>
  <si>
    <t xml:space="preserve">(A)  Utilize esta secção da folha apenas para reportar as emissões do transporte de bens via ferrovia contratada. Emissões de frotas de outros modos de transporte devem ser reportadas </t>
  </si>
  <si>
    <t xml:space="preserve">      A opção 1 é mais precisa do que a opção 2. Não preencha a mesma fonte emissora em mais do que uma opção.</t>
  </si>
  <si>
    <r>
      <t>(B)  As emissões de CO</t>
    </r>
    <r>
      <rPr>
        <vertAlign val="subscript"/>
        <sz val="11"/>
        <rFont val="Calibri Light"/>
        <family val="2"/>
      </rPr>
      <t>2</t>
    </r>
    <r>
      <rPr>
        <sz val="11"/>
        <rFont val="Calibri Light"/>
        <family val="2"/>
      </rPr>
      <t xml:space="preserve"> provenientes da queima de biomassa não são incluídas nas emissões totais, mas são indicadas separadamente na Tabela 3.</t>
    </r>
  </si>
  <si>
    <t>Opção 1. Cálculo por distância percorrida.</t>
  </si>
  <si>
    <r>
      <t xml:space="preserve">                 - Para cada tipo de combustível, reporte apenas as quantidades de cada viagem</t>
    </r>
    <r>
      <rPr>
        <sz val="11"/>
        <rFont val="Calibri Light"/>
        <family val="2"/>
      </rPr>
      <t>.</t>
    </r>
  </si>
  <si>
    <t>Caminhões-Unidade Lx</t>
  </si>
  <si>
    <t>Camiões-Unidade Lx</t>
  </si>
  <si>
    <t>Tabela 2.  Cálculo de emissões por distância percorrida.</t>
  </si>
  <si>
    <t>Compra de químicos</t>
  </si>
  <si>
    <t>Unidade do fator de emissão</t>
  </si>
  <si>
    <t>Tabela 3.  Cálculo de emissões de gases de efeito estufa do transporte ferroviário</t>
  </si>
  <si>
    <t>Tabela 4.  Cálculo de emissões de gases de efeito estufa para o transporte marítimo e fluvial.</t>
  </si>
  <si>
    <t>Tabela 5.  Cálculo de emissões de gases de efeito estufa para o transporte aéreo.</t>
  </si>
  <si>
    <r>
      <t xml:space="preserve">Esta categoria de Âmbito 3 contempla as emissões de transporte e distribuição de produtos (excluindo combustíveis e produtos energéticos - ver categoria 3) em veículos e instalações que </t>
    </r>
    <r>
      <rPr>
        <u/>
        <sz val="11"/>
        <rFont val="Calibri Light"/>
        <family val="2"/>
      </rPr>
      <t>não são da propriedade</t>
    </r>
    <r>
      <rPr>
        <sz val="11"/>
        <rFont val="Calibri Light"/>
        <family val="2"/>
      </rPr>
      <t xml:space="preserve"> nem operados pela organização, quando esses serviços são </t>
    </r>
    <r>
      <rPr>
        <u/>
        <sz val="11"/>
        <rFont val="Calibri Light"/>
        <family val="2"/>
      </rPr>
      <t>comprados ou adquiridos pela organização inventariante no ano inventariado</t>
    </r>
    <r>
      <rPr>
        <sz val="11"/>
        <rFont val="Calibri Light"/>
        <family val="2"/>
      </rPr>
      <t>, bem como de outros serviços terceirizados de transporte e distribuição (incluindo tanto logística de entrada quanto de saída).</t>
    </r>
  </si>
  <si>
    <t>(A) Esta secção da ferramenta permite calcular as emissões da combustão móvel (Âmbito 3) referente aos modos de transporte rodoviário, ferroviário, marítimo e fluvial e aéreo.</t>
  </si>
  <si>
    <t>(B) Utilize os botões "+" à esquerda para escolher as subsecções da ferramenta que deseja inserir informações e para libertar mais linhas nas tabelas de entrada de dados.</t>
  </si>
  <si>
    <r>
      <t xml:space="preserve">(C)  Preencha os dados somente nos campos a </t>
    </r>
    <r>
      <rPr>
        <b/>
        <sz val="11"/>
        <color indexed="53"/>
        <rFont val="Calibri Light"/>
        <family val="2"/>
      </rPr>
      <t>LARANJA CLARO</t>
    </r>
    <r>
      <rPr>
        <sz val="11"/>
        <rFont val="Calibri Light"/>
        <family val="2"/>
      </rPr>
      <t>, utilizando as unidades corretas.</t>
    </r>
  </si>
  <si>
    <r>
      <t>(D) No final desta secção são apresentadas as emissões totais da combustão móvel indireta (</t>
    </r>
    <r>
      <rPr>
        <i/>
        <sz val="11"/>
        <rFont val="Calibri Light"/>
        <family val="2"/>
      </rPr>
      <t>upstream</t>
    </r>
    <r>
      <rPr>
        <sz val="11"/>
        <rFont val="Calibri Light"/>
        <family val="2"/>
      </rPr>
      <t>), em tCO</t>
    </r>
    <r>
      <rPr>
        <vertAlign val="subscript"/>
        <sz val="11"/>
        <rFont val="Calibri Light"/>
        <family val="2"/>
      </rPr>
      <t>2</t>
    </r>
    <r>
      <rPr>
        <sz val="11"/>
        <rFont val="Calibri Light"/>
        <family val="2"/>
      </rPr>
      <t>e, na Tabela 6.</t>
    </r>
  </si>
  <si>
    <t>(E) Para calcular as emissões decorrentes de viagens a negócios utilize a folha "Viagens de Negócios".</t>
  </si>
  <si>
    <t>Emissões de Âmbito 3</t>
  </si>
  <si>
    <t>Âmbito 3</t>
  </si>
  <si>
    <t>Tabela 1.  Quantidade de eletricidade comprada</t>
  </si>
  <si>
    <t>Empresa x</t>
  </si>
  <si>
    <t>Contrato com empresa x, meses Jan-Julho</t>
  </si>
  <si>
    <t>Fator de emissão da eletricidade consumida (g/kWh)</t>
  </si>
  <si>
    <t>Tabela 2.  Emissões totais por compra de energia elétrica</t>
  </si>
  <si>
    <t xml:space="preserve">(B) Para cada linha, relate a quantidade de eletricidade comprada e o respetivo fator de emissão. Sempre que o fator de emissão for diferente para uma quantidade de eletricidade, </t>
  </si>
  <si>
    <t xml:space="preserve">     mude de linha. Isto acontece quando ou se comprou eletricidade em empresas diferentes, ou houve uma grande variação dentro da empresa na forma de produção de eletricidade.</t>
  </si>
  <si>
    <t xml:space="preserve">(C) Os fatores de emissão encontram-se nas faturas enviadas pela empresa de comercialização de eletricidade. </t>
  </si>
  <si>
    <t>(A) Esta secção da ferramenta permite calcular as emissões relacionadas ao consumo de energia elétrica.</t>
  </si>
  <si>
    <r>
      <t xml:space="preserve">(D) Preencha somente os campos a </t>
    </r>
    <r>
      <rPr>
        <b/>
        <sz val="11"/>
        <color rgb="FFFF6600"/>
        <rFont val="Calibri Light"/>
        <family val="2"/>
      </rPr>
      <t xml:space="preserve">LARANJA CLARO </t>
    </r>
    <r>
      <rPr>
        <sz val="11"/>
        <rFont val="Calibri Light"/>
        <family val="2"/>
      </rPr>
      <t>da ferramenta.</t>
    </r>
  </si>
  <si>
    <t>(E) Utilize os botões "+" à esquerda para escolher as subsecções da ferramenta onde deseja inserir informações e para libertar mais linhas nas tabelas de entrada de dados.</t>
  </si>
  <si>
    <t>Tabela 2.  Emissões totais por compra de energia térmica</t>
  </si>
  <si>
    <t>Tabela 1.  Quantidade de energia térmica (queste e frio) comprada</t>
  </si>
  <si>
    <t>Compra de vapor à empresa x, meses Jan-Julho</t>
  </si>
  <si>
    <t>Relate aqui a compra anual de eletricidade (MWh)</t>
  </si>
  <si>
    <t>Emissões indiretas pela compra de energia térmica (quente e frio)</t>
  </si>
  <si>
    <t>(A) Esta secção da ferramenta permite calcular as emissões relacionadas ao consumo de energia térmica comprada a outros.</t>
  </si>
  <si>
    <t xml:space="preserve">(B) Para cada linha, relate a quantidade de energia comprada e o respetivo fator de emissão. Sempre que o tipo de energia ou fator de emissão forem diferentes, </t>
  </si>
  <si>
    <t xml:space="preserve">     mude de linha. </t>
  </si>
  <si>
    <t xml:space="preserve">(C) Os fatores de emissão deverão ser fornecidos pela empresa fornecedora de energia térmica. </t>
  </si>
  <si>
    <t>Âmbito 2</t>
  </si>
  <si>
    <t>Emissões de Âmbito 2</t>
  </si>
  <si>
    <t>Quente/ Frio 
comprado e consumido</t>
  </si>
  <si>
    <t>Total de emissões
 Âmbito 2</t>
  </si>
  <si>
    <t>Tabela 4.  Emissões totais indiretas do tratamento de resíduos sólidos (Âmbito 3)</t>
  </si>
  <si>
    <t>Emissões totais inidretas do tratamento de resíduos sólidos</t>
  </si>
  <si>
    <t>Quantidade de resíduos enviados para aterro no ano</t>
  </si>
  <si>
    <r>
      <t xml:space="preserve">(A) Esta secção da ferramenta calcula as emissões de </t>
    </r>
    <r>
      <rPr>
        <b/>
        <sz val="11"/>
        <rFont val="Calibri Light"/>
        <family val="2"/>
      </rPr>
      <t>Âmbito 3</t>
    </r>
    <r>
      <rPr>
        <b/>
        <sz val="11"/>
        <rFont val="Calibri Light"/>
        <family val="2"/>
      </rPr>
      <t xml:space="preserve"> </t>
    </r>
    <r>
      <rPr>
        <sz val="11"/>
        <rFont val="Calibri Light"/>
        <family val="2"/>
      </rPr>
      <t xml:space="preserve">do tratamento de resíduos sólidos (ou seja aquelas de propriedade ou controladas por outros).  </t>
    </r>
  </si>
  <si>
    <r>
      <t xml:space="preserve">(F) Preencha somente os campos a </t>
    </r>
    <r>
      <rPr>
        <b/>
        <sz val="11"/>
        <color indexed="53"/>
        <rFont val="Calibri Light"/>
        <family val="2"/>
      </rPr>
      <t>LARANJA CLARO</t>
    </r>
    <r>
      <rPr>
        <sz val="11"/>
        <rFont val="Calibri Light"/>
        <family val="2"/>
      </rPr>
      <t xml:space="preserve"> nas folhas da ferramenta.</t>
    </r>
  </si>
  <si>
    <t>Tabela 2.  Emissões totais indiretas do tratamento de efluentes líquidos (Âmbito 3)</t>
  </si>
  <si>
    <t>Emissões totais indiretas do tratamento de efluentes líquidos</t>
  </si>
  <si>
    <t>(A) Esta subsecção aplica-se somente ao tratamento de efluentes líquidos em centrais de tratamento anaeróbico que sejam de controle operacional ou de propriedade de terceiros.</t>
  </si>
  <si>
    <r>
      <t xml:space="preserve">(A) Esta secção da ferramenta calcula as emissões de </t>
    </r>
    <r>
      <rPr>
        <b/>
        <sz val="11"/>
        <rFont val="Calibri Light"/>
        <family val="2"/>
      </rPr>
      <t>Âmbito 3</t>
    </r>
    <r>
      <rPr>
        <b/>
        <sz val="11"/>
        <rFont val="Calibri Light"/>
        <family val="2"/>
      </rPr>
      <t xml:space="preserve"> </t>
    </r>
    <r>
      <rPr>
        <sz val="11"/>
        <rFont val="Calibri Light"/>
        <family val="2"/>
      </rPr>
      <t xml:space="preserve">(indiretas) </t>
    </r>
    <r>
      <rPr>
        <sz val="11"/>
        <rFont val="Calibri Light"/>
        <family val="2"/>
      </rPr>
      <t xml:space="preserve">do tratamento de efluentes líquidos quando este tratamento é eito por terceiros. </t>
    </r>
  </si>
  <si>
    <t>Esta categoria de Âmbito 3 inclui as emissões do tratamento e/ou deposição final de efluentes líquidos decorrentes das operações da organização inventariante no ano inventariado, realizados em instalações de propriedade ou controladas por terceiros.</t>
  </si>
  <si>
    <t>Tabela 6.  Emissões totais das viagens de negócios</t>
  </si>
  <si>
    <t>Emissões totais das viagens de negócios</t>
  </si>
  <si>
    <r>
      <t xml:space="preserve">Transporte aéreo (apenas para veículos </t>
    </r>
    <r>
      <rPr>
        <i/>
        <sz val="14"/>
        <rFont val="Calibri Light"/>
        <family val="2"/>
      </rPr>
      <t xml:space="preserve">Não </t>
    </r>
    <r>
      <rPr>
        <b/>
        <i/>
        <sz val="14"/>
        <rFont val="Calibri Light"/>
        <family val="2"/>
      </rPr>
      <t>pertencentes à organização)</t>
    </r>
  </si>
  <si>
    <r>
      <t>(A)  Utilize esta secção da folha apenas para relatar as emissões referentes a viagens de negócios feitas por avião</t>
    </r>
    <r>
      <rPr>
        <sz val="11"/>
        <rFont val="Calibri Light"/>
        <family val="2"/>
      </rPr>
      <t>. Emissões de frotas de outros modos de transporte devem</t>
    </r>
  </si>
  <si>
    <r>
      <t xml:space="preserve">(B)  Preencha os dados nos campos a </t>
    </r>
    <r>
      <rPr>
        <b/>
        <sz val="11"/>
        <color indexed="53"/>
        <rFont val="Calibri Light"/>
        <family val="2"/>
      </rPr>
      <t>LARANJA CLARO</t>
    </r>
    <r>
      <rPr>
        <sz val="11"/>
        <rFont val="Calibri Light"/>
        <family val="2"/>
      </rPr>
      <t xml:space="preserve"> na Tabela 5 utilizando as unidades corretas para o cálculo das emissões. Os dados consolidados de </t>
    </r>
  </si>
  <si>
    <t>Registo da viagem</t>
  </si>
  <si>
    <t>V352</t>
  </si>
  <si>
    <t>Conferência em Londres</t>
  </si>
  <si>
    <t>Número de pessoas na viagem (#)</t>
  </si>
  <si>
    <r>
      <t>(D) O campo "</t>
    </r>
    <r>
      <rPr>
        <b/>
        <sz val="11"/>
        <rFont val="Calibri Light"/>
        <family val="2"/>
      </rPr>
      <t>Número de pessoas na viagem</t>
    </r>
    <r>
      <rPr>
        <sz val="11"/>
        <rFont val="Calibri Light"/>
        <family val="2"/>
      </rPr>
      <t xml:space="preserve">"  diz respeito ao número de pessoas da organização. Preencha apenas se o campo não estiver sombreado. </t>
    </r>
  </si>
  <si>
    <r>
      <t xml:space="preserve">Transporte marítimo e fluvial (apenas para veículos </t>
    </r>
    <r>
      <rPr>
        <i/>
        <sz val="14"/>
        <rFont val="Calibri Light"/>
        <family val="2"/>
      </rPr>
      <t xml:space="preserve">Não </t>
    </r>
    <r>
      <rPr>
        <b/>
        <i/>
        <sz val="14"/>
        <rFont val="Calibri Light"/>
        <family val="2"/>
      </rPr>
      <t>pertencentes à organização)</t>
    </r>
  </si>
  <si>
    <r>
      <t>(A)  Utilize essa secção da folha apenas para relatar as emissões referentes a viagens de barco</t>
    </r>
    <r>
      <rPr>
        <b/>
        <sz val="11"/>
        <rFont val="Calibri Light"/>
        <family val="2"/>
      </rPr>
      <t xml:space="preserve"> feitas em frotas não pertencentes à organização</t>
    </r>
    <r>
      <rPr>
        <sz val="11"/>
        <rFont val="Calibri Light"/>
        <family val="2"/>
      </rPr>
      <t>. Emissões de frotas de outros modos devem</t>
    </r>
  </si>
  <si>
    <r>
      <t xml:space="preserve">(B)  Preencha os dados nos campos a </t>
    </r>
    <r>
      <rPr>
        <b/>
        <sz val="11"/>
        <color indexed="53"/>
        <rFont val="Calibri Light"/>
        <family val="2"/>
      </rPr>
      <t>LARANJA CLARO</t>
    </r>
    <r>
      <rPr>
        <sz val="11"/>
        <rFont val="Calibri Light"/>
        <family val="2"/>
      </rPr>
      <t xml:space="preserve"> na Tabela 4 utilizando as unidades corretas para o cálculo das emissões. Os dados consolidados de  </t>
    </r>
  </si>
  <si>
    <t>(C) Utilize os botões "+" à esquerda para libertar mais linhas nas tabelas de entrada de dados.</t>
  </si>
  <si>
    <r>
      <t>(D) No campo "</t>
    </r>
    <r>
      <rPr>
        <b/>
        <sz val="11"/>
        <rFont val="Calibri Light"/>
        <family val="2"/>
      </rPr>
      <t>Número de pessoas</t>
    </r>
    <r>
      <rPr>
        <sz val="11"/>
        <rFont val="Calibri Light"/>
        <family val="2"/>
      </rPr>
      <t xml:space="preserve">" indique o número de pessoas da organização que fizeram a viagem. Preencha apenas se este campo não estiver sombreado. </t>
    </r>
  </si>
  <si>
    <t>V254</t>
  </si>
  <si>
    <t>Reunião no Barreiro</t>
  </si>
  <si>
    <r>
      <t xml:space="preserve">Transporte ferroviário (apenas para veículos </t>
    </r>
    <r>
      <rPr>
        <i/>
        <sz val="14"/>
        <rFont val="Calibri Light"/>
        <family val="2"/>
      </rPr>
      <t xml:space="preserve">Não </t>
    </r>
    <r>
      <rPr>
        <b/>
        <i/>
        <sz val="14"/>
        <rFont val="Calibri Light"/>
        <family val="2"/>
      </rPr>
      <t>pertencentes à organização)</t>
    </r>
  </si>
  <si>
    <r>
      <t xml:space="preserve">(B)  Preencha apenas os campos a </t>
    </r>
    <r>
      <rPr>
        <b/>
        <sz val="11"/>
        <color indexed="53"/>
        <rFont val="Calibri Light"/>
        <family val="2"/>
      </rPr>
      <t>LARANJA CLARO</t>
    </r>
    <r>
      <rPr>
        <sz val="11"/>
        <rFont val="Calibri Light"/>
        <family val="2"/>
      </rPr>
      <t xml:space="preserve"> na Tabela 3 utilizando as unidades corretas para o cálculo das emissões. </t>
    </r>
  </si>
  <si>
    <t>Viagem 354</t>
  </si>
  <si>
    <t>Reunião no Porto</t>
  </si>
  <si>
    <r>
      <t xml:space="preserve">Transporte rodoviário (apenas para veículos </t>
    </r>
    <r>
      <rPr>
        <i/>
        <sz val="14"/>
        <rFont val="Calibri Light"/>
        <family val="2"/>
      </rPr>
      <t xml:space="preserve">Não </t>
    </r>
    <r>
      <rPr>
        <b/>
        <i/>
        <sz val="14"/>
        <rFont val="Calibri Light"/>
        <family val="2"/>
      </rPr>
      <t>pertencentes à organização)</t>
    </r>
  </si>
  <si>
    <r>
      <t xml:space="preserve">                 - No campo "</t>
    </r>
    <r>
      <rPr>
        <b/>
        <sz val="11"/>
        <rFont val="Calibri Light"/>
        <family val="2"/>
      </rPr>
      <t>Número de pessoas no veículo</t>
    </r>
    <r>
      <rPr>
        <sz val="11"/>
        <rFont val="Calibri Light"/>
        <family val="2"/>
      </rPr>
      <t xml:space="preserve">" indique o número de pessoas da organização que fizeram a viagem. Preencha apenas se este campo não estiver sombreado. </t>
    </r>
  </si>
  <si>
    <t>Deslocação a conferência. Veículo alugado</t>
  </si>
  <si>
    <r>
      <t xml:space="preserve">(A) Esta secção da ferramenta calcula as emissões de </t>
    </r>
    <r>
      <rPr>
        <b/>
        <sz val="11"/>
        <rFont val="Calibri Light"/>
        <family val="2"/>
      </rPr>
      <t>Âmbito 3</t>
    </r>
    <r>
      <rPr>
        <sz val="11"/>
        <rFont val="Calibri Light"/>
        <family val="2"/>
      </rPr>
      <t xml:space="preserve"> devido a viagens de negócios, referente aos modos de transporte rodoviário, ferroviário, marítimo e fluvial e aéreo.</t>
    </r>
  </si>
  <si>
    <t>(B) Utilize os botões "+" à esquerda para escolher as subseções da ferramenta que deseja inserir informações.</t>
  </si>
  <si>
    <r>
      <t>(D) No final desta secção são apresentadas as emissões totais devido a viagens de negócios (Âmbito 3), em t CO</t>
    </r>
    <r>
      <rPr>
        <vertAlign val="subscript"/>
        <sz val="11"/>
        <rFont val="Calibri Light"/>
        <family val="2"/>
      </rPr>
      <t>2e</t>
    </r>
    <r>
      <rPr>
        <sz val="11"/>
        <rFont val="Calibri Light"/>
        <family val="2"/>
      </rPr>
      <t>, na Tabela 6.</t>
    </r>
  </si>
  <si>
    <t>Viagens de negócios</t>
  </si>
  <si>
    <t>Tabela 5.  Emissões totais das viagens entre casa e trabalho dos funcionários</t>
  </si>
  <si>
    <t>Emissões totais das viagens casa-trabalho</t>
  </si>
  <si>
    <r>
      <t xml:space="preserve">Transporte fluvial (apenas para veículos </t>
    </r>
    <r>
      <rPr>
        <i/>
        <sz val="14"/>
        <rFont val="Calibri Light"/>
        <family val="2"/>
      </rPr>
      <t xml:space="preserve">Não </t>
    </r>
    <r>
      <rPr>
        <b/>
        <i/>
        <sz val="14"/>
        <rFont val="Calibri Light"/>
        <family val="2"/>
      </rPr>
      <t>pertencentes à organização)</t>
    </r>
  </si>
  <si>
    <t xml:space="preserve">       emissões de gases de efeito estufa (GEE), incluindo todos os modos de transporte, são apresentados na Tabela 5.</t>
  </si>
  <si>
    <t>(A)  Utilize esta secção da folha apenas para relatar as emissões de comboio, metro ou elétrico efetuadas em veículos não pertencentes à organização. Emissões de frotas de outros modos de transporte devem</t>
  </si>
  <si>
    <r>
      <t>(D) No campo "</t>
    </r>
    <r>
      <rPr>
        <b/>
        <sz val="11"/>
        <rFont val="Calibri Light"/>
        <family val="2"/>
      </rPr>
      <t>Número de pessoas no veículo</t>
    </r>
    <r>
      <rPr>
        <sz val="11"/>
        <rFont val="Calibri Light"/>
        <family val="2"/>
      </rPr>
      <t xml:space="preserve">" indique o número de pessoas da organização na viagem. Preencha apenas se este campo não estiver sombreado. </t>
    </r>
  </si>
  <si>
    <r>
      <t xml:space="preserve">                 - No campo "</t>
    </r>
    <r>
      <rPr>
        <b/>
        <sz val="11"/>
        <rFont val="Calibri Light"/>
        <family val="2"/>
      </rPr>
      <t>Número de pessoas no veículo</t>
    </r>
    <r>
      <rPr>
        <sz val="11"/>
        <rFont val="Calibri Light"/>
        <family val="2"/>
      </rPr>
      <t xml:space="preserve">" indique o número de pessoas totais que fizeram a viagem. Preencha apenas se este campo não estiver sombreado. </t>
    </r>
  </si>
  <si>
    <t>Esta categoria inclui as emissões do transporte de funcionários entre as suas casas e o trabalho (e o regresso) quando realizado em modos de transportes não pertencentes à empresa, tais como comboios, autocarros, automóveis de passageiros alugados, táxis e embarcações.</t>
  </si>
  <si>
    <t>Esta categoria inclui as emissões do transporte de funcionários para atividades relacionadas aos negócios da organização inventariante, realizado em veículos operados por ou de propriedade de terceiros, tais como aviões, comboios, autocarros, automóveis de passageiros alugados, táxis e embarcações.
São considerados nesta categoria todos os funcionários de entidades e unidades operadas, alugadas ou de propriedade da organização inventariante. Podem ser incluídos nesta categoria funcionários de outras entidades relevantes (por exemplo, prestadores de serviços contratados), assim como consultores e outros indivíduos que não são funcionários da organização inventariante, mas que se deslocam às suas unidades.</t>
  </si>
  <si>
    <r>
      <t xml:space="preserve">(A) Esta secção da ferramenta calcula as emissões de </t>
    </r>
    <r>
      <rPr>
        <b/>
        <sz val="11"/>
        <rFont val="Calibri Light"/>
        <family val="2"/>
      </rPr>
      <t>Âmbito 3</t>
    </r>
    <r>
      <rPr>
        <sz val="11"/>
        <rFont val="Calibri Light"/>
        <family val="2"/>
      </rPr>
      <t xml:space="preserve"> devido a viagens entre as casas dos funcionários e os trabalhos, durante o ano de reporte, referente aos modos de transporte rodoviário, ferroviário, metro e fluvial.</t>
    </r>
  </si>
  <si>
    <r>
      <t>(D) No final desta secção são apresentadas as emissões totais devido a viagens de negócios (Âmbito 3), em t CO</t>
    </r>
    <r>
      <rPr>
        <vertAlign val="subscript"/>
        <sz val="11"/>
        <rFont val="Calibri Light"/>
        <family val="2"/>
      </rPr>
      <t>2e</t>
    </r>
    <r>
      <rPr>
        <sz val="11"/>
        <rFont val="Calibri Light"/>
        <family val="2"/>
      </rPr>
      <t>, na Tabela 5.</t>
    </r>
  </si>
  <si>
    <t>Bens arrendados 
(a organização como arrendatária/ inquilina)</t>
  </si>
  <si>
    <t>Bens arrendados 
(a organização como propriatária/ senhoria)</t>
  </si>
  <si>
    <t>Tabela 6.  Emissões totais do Transporte e Distribuição (Downstream)</t>
  </si>
  <si>
    <t>Emissões totais do Transporte e Distribuição Downstream</t>
  </si>
  <si>
    <t>Esta categoria de Âmbito 3 contempla as emissões de transporte e distribuição de produtos (excluindo combustíveis e produtos energéticos - ver categoria 3) em veículos e instalações que não são de propriedade nem operados pela organização quando não há relação de compra ou aquisição desses serviços pela organização inventariante no ano inventariado, bem como de outros serviços contratados de transporte e distribuição (incluindo tanto logística de entrada quanto de saída).</t>
  </si>
  <si>
    <t>Ferramenta de Reporte de GEE</t>
  </si>
  <si>
    <r>
      <t xml:space="preserve">(A) </t>
    </r>
    <r>
      <rPr>
        <b/>
        <sz val="11"/>
        <rFont val="Calibri Light"/>
        <family val="2"/>
      </rPr>
      <t>O primeiro passo para a utilização da ferramenta é a escolha do ano de reporte</t>
    </r>
    <r>
      <rPr>
        <sz val="11"/>
        <rFont val="Calibri Light"/>
        <family val="2"/>
      </rPr>
      <t>. Esta escolha é essencial, pois alguns fatores de emissão variam com base no ano escolhido.</t>
    </r>
  </si>
  <si>
    <t>(D) A Ferramenta usa a notação do sistema português para números, utilizando " " para designar milhares (acima do milhar) "," para designar decimais.</t>
  </si>
  <si>
    <t>(C) Assegure da utilização das unidades corretas nos dados inseridos. Se necessário, converta as unidades utilizando a Página 'Conversão de Unidades' antes de preencher a secção.</t>
  </si>
  <si>
    <t>(E) O Menu de Navegação, presente na parte superior de todas as páginas da Ferramenta, pode ser utilizado para facilitar a navegação do usuário. Cada botão possui um link para a referida página.</t>
  </si>
  <si>
    <t>(F) Orientações para cada método de cálculo estão incluídas no cabeçalho da cada página.</t>
  </si>
  <si>
    <t>Localização da organização:</t>
  </si>
  <si>
    <t>Contacto do responsável:</t>
  </si>
  <si>
    <t>Campos a serem preenchidos pelo usuário com os dados da organização</t>
  </si>
  <si>
    <t>Emissões Âmbito 1</t>
  </si>
  <si>
    <t>Emissões Âmbito 2</t>
  </si>
  <si>
    <t>Emissões Âmbito 3</t>
  </si>
  <si>
    <r>
      <t>Emissões de CO</t>
    </r>
    <r>
      <rPr>
        <vertAlign val="subscript"/>
        <sz val="11"/>
        <rFont val="Calibri Light"/>
        <family val="2"/>
      </rPr>
      <t>2</t>
    </r>
    <r>
      <rPr>
        <sz val="11"/>
        <rFont val="Calibri Light"/>
        <family val="2"/>
      </rPr>
      <t xml:space="preserve"> biogénico</t>
    </r>
  </si>
  <si>
    <t xml:space="preserve">(G) Se esta ferramenta for usada para uma fonte ou local único (como por exemplo uma das unidades da organização), os arquivos podem ser salvos com o nome da fonte ou do local. Neste caso, </t>
  </si>
  <si>
    <t xml:space="preserve">      as emissões calculadas para cada âmbito (1, 2 e 3) devem, então, ser somadas para obter o valor total de emissões de âmbitos 1, 2 e 3 da organização, resultando no inventário de GEE </t>
  </si>
  <si>
    <t xml:space="preserve">      consolidado da organização.</t>
  </si>
  <si>
    <t xml:space="preserve">      zero ou outro) no campo.</t>
  </si>
  <si>
    <t>(A) Esta Página da Ferramenta calcula as emissões devido à combustão estacionária.</t>
  </si>
  <si>
    <r>
      <t>(D) No final desta Página são apresentadas as emissões totais da combustão estacionária, em tCO</t>
    </r>
    <r>
      <rPr>
        <vertAlign val="subscript"/>
        <sz val="11"/>
        <rFont val="Calibri Light"/>
        <family val="2"/>
      </rPr>
      <t>2</t>
    </r>
    <r>
      <rPr>
        <sz val="11"/>
        <rFont val="Calibri Light"/>
        <family val="2"/>
      </rPr>
      <t>e, na Tabela 3.</t>
    </r>
  </si>
  <si>
    <r>
      <t xml:space="preserve">(A)  Preencha os dados relativos ao uso de combustível para cada fonte de emissão, unidade ou local nos campos a </t>
    </r>
    <r>
      <rPr>
        <b/>
        <sz val="11"/>
        <color indexed="53"/>
        <rFont val="Calibri Light"/>
        <family val="2"/>
      </rPr>
      <t>LARANJA CLARO</t>
    </r>
    <r>
      <rPr>
        <sz val="11"/>
        <rFont val="Calibri Light"/>
        <family val="2"/>
      </rPr>
      <t xml:space="preserve"> da Tabela 1.</t>
    </r>
  </si>
  <si>
    <t>(B) Para libertar mais linhas, clique no botão "+" à esquerda da tabela.</t>
  </si>
  <si>
    <t>PTS-012</t>
  </si>
  <si>
    <t>Instalação 3</t>
  </si>
  <si>
    <t>m3</t>
  </si>
  <si>
    <t>Emissões da combustão estacionária (emissões diretas)</t>
  </si>
  <si>
    <t>Fator emissão - Indireto</t>
  </si>
  <si>
    <t>Unid</t>
  </si>
  <si>
    <t>Ref</t>
  </si>
  <si>
    <t>t CO2/ litro combustível</t>
  </si>
  <si>
    <t>Estimado com base nos relatórios anuais da GALP</t>
  </si>
  <si>
    <t>Valor igual ao da gasolina</t>
  </si>
  <si>
    <t>t CO2eq/ m3</t>
  </si>
  <si>
    <t>Rel Contas REN; DGEG; Simapro (extração de gás da Rússia)</t>
  </si>
  <si>
    <t>Fatores de emissão indiretos</t>
  </si>
  <si>
    <t>Emissão indireta</t>
  </si>
  <si>
    <r>
      <t>CO</t>
    </r>
    <r>
      <rPr>
        <b/>
        <vertAlign val="subscript"/>
        <sz val="11"/>
        <rFont val="Calibri Light"/>
        <family val="2"/>
      </rPr>
      <t>2</t>
    </r>
  </si>
  <si>
    <r>
      <t xml:space="preserve">(D)  Preencha os dados somente nos campos a </t>
    </r>
    <r>
      <rPr>
        <b/>
        <sz val="11"/>
        <color indexed="53"/>
        <rFont val="Calibri Light"/>
        <family val="2"/>
      </rPr>
      <t>LARANJA CLARO</t>
    </r>
    <r>
      <rPr>
        <sz val="11"/>
        <rFont val="Calibri Light"/>
        <family val="2"/>
      </rPr>
      <t>, utilizando as unidades corretas.</t>
    </r>
  </si>
  <si>
    <r>
      <t xml:space="preserve">(A) </t>
    </r>
    <r>
      <rPr>
        <b/>
        <sz val="11"/>
        <rFont val="Calibri Light"/>
        <family val="2"/>
      </rPr>
      <t>Escolha entre a Opção 1</t>
    </r>
    <r>
      <rPr>
        <sz val="11"/>
        <rFont val="Calibri Light"/>
        <family val="2"/>
      </rPr>
      <t xml:space="preserve"> (cálculo por tipo de combustível) </t>
    </r>
    <r>
      <rPr>
        <b/>
        <u/>
        <sz val="11"/>
        <rFont val="Calibri Light"/>
        <family val="2"/>
      </rPr>
      <t>OU</t>
    </r>
    <r>
      <rPr>
        <sz val="11"/>
        <rFont val="Calibri Light"/>
        <family val="2"/>
      </rPr>
      <t xml:space="preserve"> </t>
    </r>
    <r>
      <rPr>
        <b/>
        <sz val="11"/>
        <rFont val="Calibri Light"/>
        <family val="2"/>
      </rPr>
      <t>a Opção 2</t>
    </r>
    <r>
      <rPr>
        <sz val="11"/>
        <rFont val="Calibri Light"/>
        <family val="2"/>
      </rPr>
      <t xml:space="preserve"> (cálculo por distância percorrida) para realizar o cálculo das emissões desta fonte.</t>
    </r>
  </si>
  <si>
    <r>
      <t xml:space="preserve">(C)  Preencha os dados nos campos a </t>
    </r>
    <r>
      <rPr>
        <b/>
        <sz val="11"/>
        <color indexed="53"/>
        <rFont val="Calibri Light"/>
        <family val="2"/>
      </rPr>
      <t>LARANJA CLARO</t>
    </r>
    <r>
      <rPr>
        <sz val="11"/>
        <rFont val="Calibri Light"/>
        <family val="2"/>
      </rPr>
      <t xml:space="preserve"> na Tabela 3 utilizando as unidades corretas para o cálculo das emissões. </t>
    </r>
  </si>
  <si>
    <t>(B) Alguns gases utilizados como refrigerantes são, na verdade, uma mistura de gases. Nesta ferramenta, eles estão designados como compostos.</t>
  </si>
  <si>
    <r>
      <t xml:space="preserve">(F) Preencha somente os campos a </t>
    </r>
    <r>
      <rPr>
        <b/>
        <sz val="11"/>
        <color rgb="FFFF6600"/>
        <rFont val="Calibri Light"/>
        <family val="2"/>
      </rPr>
      <t>LARANJA CLARO</t>
    </r>
    <r>
      <rPr>
        <sz val="11"/>
        <rFont val="Calibri Light"/>
        <family val="2"/>
      </rPr>
      <t>, utilizando as unidades indicadas.</t>
    </r>
  </si>
  <si>
    <r>
      <t>Emissões da utilização de hexafluoreto de enxofre (SF</t>
    </r>
    <r>
      <rPr>
        <b/>
        <i/>
        <vertAlign val="subscript"/>
        <sz val="14"/>
        <rFont val="Calibri Light"/>
        <family val="2"/>
      </rPr>
      <t>6</t>
    </r>
    <r>
      <rPr>
        <b/>
        <i/>
        <sz val="14"/>
        <rFont val="Calibri Light"/>
        <family val="2"/>
      </rPr>
      <t>) e trifluoreto de azoto (NF</t>
    </r>
    <r>
      <rPr>
        <b/>
        <i/>
        <vertAlign val="subscript"/>
        <sz val="14"/>
        <rFont val="Calibri Light"/>
        <family val="2"/>
      </rPr>
      <t>3</t>
    </r>
    <r>
      <rPr>
        <b/>
        <i/>
        <sz val="14"/>
        <rFont val="Calibri Light"/>
        <family val="2"/>
      </rPr>
      <t>)</t>
    </r>
  </si>
  <si>
    <r>
      <t xml:space="preserve">(F) Preencha somente os campos a </t>
    </r>
    <r>
      <rPr>
        <b/>
        <sz val="11"/>
        <color rgb="FFFF6600"/>
        <rFont val="Calibri Light"/>
        <family val="2"/>
      </rPr>
      <t>LARANJA CLARO</t>
    </r>
    <r>
      <rPr>
        <sz val="11"/>
        <rFont val="Calibri Light"/>
        <family val="2"/>
      </rPr>
      <t xml:space="preserve"> da Ferramenta.</t>
    </r>
  </si>
  <si>
    <r>
      <t xml:space="preserve">(E) Preencha apenas os campos a </t>
    </r>
    <r>
      <rPr>
        <b/>
        <sz val="11"/>
        <color rgb="FFFF6600"/>
        <rFont val="Calibri Light"/>
        <family val="2"/>
      </rPr>
      <t xml:space="preserve">LARANJA CLARO </t>
    </r>
    <r>
      <rPr>
        <sz val="11"/>
        <rFont val="Calibri Light"/>
        <family val="2"/>
      </rPr>
      <t>da Ferramenta.</t>
    </r>
  </si>
  <si>
    <r>
      <t xml:space="preserve">(A) Esta secção da ferramenta calcula as emissões de </t>
    </r>
    <r>
      <rPr>
        <b/>
        <sz val="11"/>
        <rFont val="Calibri Light"/>
        <family val="2"/>
      </rPr>
      <t xml:space="preserve">Âmbito </t>
    </r>
    <r>
      <rPr>
        <b/>
        <sz val="11"/>
        <rFont val="Calibri Light"/>
        <family val="2"/>
      </rPr>
      <t xml:space="preserve">1 </t>
    </r>
    <r>
      <rPr>
        <sz val="11"/>
        <rFont val="Calibri Light"/>
        <family val="2"/>
      </rPr>
      <t xml:space="preserve">do tratamento de resíduos sólidos (ou seja, aquelas de propriedade ou controladas pela organização). Para os casos em que as emissões do tratamento de resíduos sejam classificadas como de Âmbito 3, utilize a folha "Resíduos sólidos gerados na operação" para emissões de Âmbito 3. </t>
    </r>
  </si>
  <si>
    <r>
      <t xml:space="preserve">(F) Preencha apenas os campos a </t>
    </r>
    <r>
      <rPr>
        <b/>
        <sz val="11"/>
        <color indexed="53"/>
        <rFont val="Calibri Light"/>
        <family val="2"/>
      </rPr>
      <t>LARANJA CLARO</t>
    </r>
    <r>
      <rPr>
        <sz val="11"/>
        <rFont val="Calibri Light"/>
        <family val="2"/>
      </rPr>
      <t xml:space="preserve"> nas folhas da ferramenta.</t>
    </r>
  </si>
  <si>
    <r>
      <t xml:space="preserve">(D) Preencha apenas os campos a </t>
    </r>
    <r>
      <rPr>
        <b/>
        <sz val="11"/>
        <color indexed="53"/>
        <rFont val="Calibri Light"/>
        <family val="2"/>
      </rPr>
      <t>LARANJA CLARO</t>
    </r>
    <r>
      <rPr>
        <sz val="11"/>
        <rFont val="Calibri Light"/>
        <family val="2"/>
      </rPr>
      <t xml:space="preserve"> nas secções da ferramenta.</t>
    </r>
  </si>
  <si>
    <r>
      <t>(C) A ferramenta oferece métodos de cálculo para as seguintes categorias de Âmbito 3: Transporte &amp; Distribuição (</t>
    </r>
    <r>
      <rPr>
        <i/>
        <sz val="11"/>
        <rFont val="Calibri Light"/>
        <family val="2"/>
      </rPr>
      <t>Upstream</t>
    </r>
    <r>
      <rPr>
        <sz val="11"/>
        <rFont val="Calibri Light"/>
        <family val="2"/>
      </rPr>
      <t>), Resíduos sólidos da operação, Efluentes gerados na operação, Viagens a negócios e Transporte &amp; Distribuição (</t>
    </r>
    <r>
      <rPr>
        <i/>
        <sz val="11"/>
        <rFont val="Calibri Light"/>
        <family val="2"/>
      </rPr>
      <t>Downstream</t>
    </r>
    <r>
      <rPr>
        <sz val="11"/>
        <rFont val="Calibri Light"/>
        <family val="2"/>
      </rPr>
      <t>).  Para estas categorias, calcule as emissões nas respetivas Secções da ferramenta.</t>
    </r>
  </si>
  <si>
    <t>(D) Preencha as tabelas desta folha SOMENTE se os cálculos tiverem sido realizados noutra ferramenta.</t>
  </si>
  <si>
    <r>
      <t xml:space="preserve">(E) Preencha apenas os campos a </t>
    </r>
    <r>
      <rPr>
        <b/>
        <sz val="11"/>
        <color theme="9" tint="-0.249977111117893"/>
        <rFont val="Calibri Light"/>
        <family val="2"/>
      </rPr>
      <t>LARANJA CLARO</t>
    </r>
    <r>
      <rPr>
        <sz val="11"/>
        <rFont val="Calibri Light"/>
        <family val="2"/>
      </rPr>
      <t xml:space="preserve"> inserindo os dados das emissões de GEE para as categorias de Âmbito 3. Utilize no máximo 6 casas decimais.</t>
    </r>
  </si>
  <si>
    <t>(t)</t>
  </si>
  <si>
    <t>Emissões de Transporte e Distribuição (upstream) - Categoria 4 do Âmbito 3</t>
  </si>
  <si>
    <t>(B) Indique no Passo 1 a existência de tratamentos anaeróbicos aplicados sequencialmente ao efluente. Em caso positivo, preencha nos passos de 6 a 9 os dados do segundo tipo de tratamento aplicado. Recomenda-se obter separadamente os dados de atividade de cada tratamento, para melhor precisão do inventário.</t>
  </si>
  <si>
    <t>(C) Caso dois tipos de tratamento anaeróbico sejam aplicados sequencialmente ao efluente, atualize no Passo 7 os dados de composição do efluente após a aplicação do primeiro tratamento.</t>
  </si>
  <si>
    <t>Emissões do tratamento de resíduos sólidos - Categoria 5 do Âmbito 3</t>
  </si>
  <si>
    <t>Emissões do tratamento de efluentes líquidos - Categoria 5 do Âmbito 3</t>
  </si>
  <si>
    <t>Emissões de viagens de negócios - Categoria 6 do Âmbito 3</t>
  </si>
  <si>
    <t>Emissões da permuta casa-trabalho - Categoria 7 do Âmbito 3</t>
  </si>
  <si>
    <t>Emissões do Transporte e Distribuição (Downstream) - Categoria 9 do Âmbito 3</t>
  </si>
  <si>
    <r>
      <t>Transporte e distribuição 
(</t>
    </r>
    <r>
      <rPr>
        <i/>
        <sz val="11"/>
        <rFont val="Calibri Light"/>
        <family val="2"/>
      </rPr>
      <t>downstream</t>
    </r>
    <r>
      <rPr>
        <sz val="11"/>
        <rFont val="Calibri Light"/>
        <family val="2"/>
      </rPr>
      <t>)</t>
    </r>
  </si>
  <si>
    <t>Franquias/ Franchisings</t>
  </si>
  <si>
    <t>Total de emissões
 Âmbito 3</t>
  </si>
  <si>
    <t>Códigos GRI (Global Reporting Innitiative)</t>
  </si>
  <si>
    <t>Indicador</t>
  </si>
  <si>
    <t>Localização</t>
  </si>
  <si>
    <t>Linha</t>
  </si>
  <si>
    <t>Coluna</t>
  </si>
  <si>
    <t>Resumo</t>
  </si>
  <si>
    <t>F</t>
  </si>
  <si>
    <t>Introdução</t>
  </si>
  <si>
    <t>Fatores de emissão</t>
  </si>
  <si>
    <t>GHG Protocol Standards</t>
  </si>
  <si>
    <t>G</t>
  </si>
  <si>
    <t>Tabela: Emissões de Âmbito 2</t>
  </si>
  <si>
    <t>H</t>
  </si>
  <si>
    <t>Tabela: Emissões de Âmbito 3</t>
  </si>
  <si>
    <t>Valor</t>
  </si>
  <si>
    <t>Notas</t>
  </si>
  <si>
    <t>Âmbitos 1+2</t>
  </si>
  <si>
    <t>Âmbitos 1+2+3</t>
  </si>
  <si>
    <t>t/ unidade específica</t>
  </si>
  <si>
    <t xml:space="preserve">Preencher pela organização </t>
  </si>
  <si>
    <t>Folha: GRI</t>
  </si>
  <si>
    <t>Colunas: B/C</t>
  </si>
  <si>
    <t>Linhas: 69, 70, 71</t>
  </si>
  <si>
    <t>Colunas: C+ D+ E</t>
  </si>
  <si>
    <t>Linhas: 24, 40, 54</t>
  </si>
  <si>
    <t>Tabela 7</t>
  </si>
  <si>
    <t>204-234</t>
  </si>
  <si>
    <t>195-197</t>
  </si>
  <si>
    <t>Não reportadas pela Ferramenta.</t>
  </si>
  <si>
    <t>Tabela 6. Fatores de emissão por frota e tipo de combustível</t>
  </si>
  <si>
    <t>Tabela 9. Fatores de emissão para aviação civil</t>
  </si>
  <si>
    <t>Tabela 10. Potencial de aquecimento global (GWP) dos gases de efeito estufa</t>
  </si>
  <si>
    <t>Tabela 11. Citações e referências bibliográficas</t>
  </si>
  <si>
    <t>NIR</t>
  </si>
  <si>
    <t xml:space="preserve">REN </t>
  </si>
  <si>
    <t>Relatório e Contas da Rede Elétrica Nacional</t>
  </si>
  <si>
    <t>https://www.ren.pt/</t>
  </si>
  <si>
    <t>DESPACHO 17313/2008</t>
  </si>
  <si>
    <t>de 26 de junho de 2008</t>
  </si>
  <si>
    <t>Relatórios Anuais da GALP</t>
  </si>
  <si>
    <t>http://www.galpenergia.com/PT/Paginas/Home.aspx</t>
  </si>
  <si>
    <t xml:space="preserve">   GALP</t>
  </si>
  <si>
    <t>National Inventory Report</t>
  </si>
  <si>
    <t>http://unfccc.int/national_reports/annex_i_ghg_inventories/national_inventories_submissions/items/10116.php</t>
  </si>
  <si>
    <t>Simapro</t>
  </si>
  <si>
    <t>Software de análise de ciclo de vida. Base de dados: ECOINVENT</t>
  </si>
  <si>
    <t>Secção 1 - Fatores de emissão para a combustão estacionária</t>
  </si>
  <si>
    <t>Secção 2 - Fatores de emissão para combustão móvel (transporte)</t>
  </si>
  <si>
    <t>Secção 3 - Fatores de emissão de viagens a negócios</t>
  </si>
  <si>
    <t>Secção 4 - Potencial de Aquecimento Global (GWP) dos Gases de Efeito Estufa</t>
  </si>
  <si>
    <t>Secção 5 - Referências</t>
  </si>
  <si>
    <t>Evento meet2030</t>
  </si>
  <si>
    <r>
      <t xml:space="preserve">(B) Preencha somente os campos a </t>
    </r>
    <r>
      <rPr>
        <b/>
        <sz val="11"/>
        <color indexed="53"/>
        <rFont val="Calibri Light"/>
        <family val="2"/>
      </rPr>
      <t>LARANJA CLARO</t>
    </r>
    <r>
      <rPr>
        <vertAlign val="superscript"/>
        <sz val="11"/>
        <rFont val="Calibri Light"/>
        <family val="2"/>
      </rPr>
      <t>(1)</t>
    </r>
    <r>
      <rPr>
        <sz val="11"/>
        <rFont val="Calibri Light"/>
        <family val="2"/>
      </rPr>
      <t xml:space="preserve"> das secções da Ferramenta. Se os dados não estiverem disponíveis ou não forem relevantes, deixe o valor padrão (branco, </t>
    </r>
  </si>
  <si>
    <t>Justificação do ano escolhido:</t>
  </si>
  <si>
    <t>GRI 305: Emissões</t>
  </si>
  <si>
    <t>Disclosure 305-1: Emissões diretas de gases com efeito de estufa (Âmbito 1)</t>
  </si>
  <si>
    <r>
      <t>a. Indicar o total bruto de emissões de GEE diretas, em toneladas métricas de CO</t>
    </r>
    <r>
      <rPr>
        <vertAlign val="subscript"/>
        <sz val="12"/>
        <rFont val="Arial"/>
        <family val="2"/>
      </rPr>
      <t>2</t>
    </r>
    <r>
      <rPr>
        <sz val="12"/>
        <rFont val="Arial"/>
        <family val="2"/>
      </rPr>
      <t xml:space="preserve"> equivalente</t>
    </r>
  </si>
  <si>
    <r>
      <t>b. Especificar os gases incluídos no cálculo: CO</t>
    </r>
    <r>
      <rPr>
        <vertAlign val="subscript"/>
        <sz val="12"/>
        <rFont val="Arial"/>
        <family val="2"/>
      </rPr>
      <t>2</t>
    </r>
    <r>
      <rPr>
        <sz val="12"/>
        <rFont val="Arial"/>
        <family val="2"/>
      </rPr>
      <t>, CH</t>
    </r>
    <r>
      <rPr>
        <vertAlign val="subscript"/>
        <sz val="12"/>
        <rFont val="Arial"/>
        <family val="2"/>
      </rPr>
      <t>4</t>
    </r>
    <r>
      <rPr>
        <sz val="12"/>
        <rFont val="Arial"/>
        <family val="2"/>
      </rPr>
      <t>, N</t>
    </r>
    <r>
      <rPr>
        <vertAlign val="subscript"/>
        <sz val="12"/>
        <rFont val="Arial"/>
        <family val="2"/>
      </rPr>
      <t>2</t>
    </r>
    <r>
      <rPr>
        <sz val="12"/>
        <rFont val="Arial"/>
        <family val="2"/>
      </rPr>
      <t>O, PFC, SF</t>
    </r>
    <r>
      <rPr>
        <vertAlign val="subscript"/>
        <sz val="12"/>
        <rFont val="Arial"/>
        <family val="2"/>
      </rPr>
      <t>6</t>
    </r>
    <r>
      <rPr>
        <sz val="12"/>
        <rFont val="Arial"/>
        <family val="2"/>
      </rPr>
      <t>, NF</t>
    </r>
    <r>
      <rPr>
        <vertAlign val="subscript"/>
        <sz val="12"/>
        <rFont val="Arial"/>
        <family val="2"/>
      </rPr>
      <t>3</t>
    </r>
    <r>
      <rPr>
        <sz val="12"/>
        <rFont val="Arial"/>
        <family val="2"/>
      </rPr>
      <t xml:space="preserve"> ou todos</t>
    </r>
  </si>
  <si>
    <r>
      <t>c. Indicar as emissões de CO</t>
    </r>
    <r>
      <rPr>
        <vertAlign val="subscript"/>
        <sz val="12"/>
        <rFont val="Arial"/>
        <family val="2"/>
      </rPr>
      <t>2</t>
    </r>
    <r>
      <rPr>
        <sz val="12"/>
        <rFont val="Arial"/>
        <family val="2"/>
      </rPr>
      <t xml:space="preserve"> biogénico em toneladas métricas de CO</t>
    </r>
    <r>
      <rPr>
        <vertAlign val="subscript"/>
        <sz val="12"/>
        <rFont val="Arial"/>
        <family val="2"/>
      </rPr>
      <t>2</t>
    </r>
    <r>
      <rPr>
        <sz val="12"/>
        <rFont val="Arial"/>
        <family val="2"/>
      </rPr>
      <t xml:space="preserve"> equivalente</t>
    </r>
  </si>
  <si>
    <t>d.  Indicar o ano base usado para o cálculo, quando aplicável, incluindo:</t>
  </si>
  <si>
    <t xml:space="preserve">     i. A razão dessa escolha</t>
  </si>
  <si>
    <t xml:space="preserve">     ii. As emissões no ano base</t>
  </si>
  <si>
    <t xml:space="preserve">     iii. O contexto de quaisquer alterações significativas em emissões que tenha desencadeado um novo cálculo das emissões no ano base</t>
  </si>
  <si>
    <t>e. Indicar a fonte dos fatores de emissão e as taxas de potencial de aquecimento global (PAG) usadas ou uma referência à fonte de PAG</t>
  </si>
  <si>
    <t>f. Explicar a abordagem de consolidação das emissões: participação acionista, controlo financeiro ou controlo operacional</t>
  </si>
  <si>
    <t>g. Indicar as normas, metodologias, assunções e/ou métodos de cálculo usados</t>
  </si>
  <si>
    <t>Esta ferramenta não dá resposta a este item</t>
  </si>
  <si>
    <t>Página</t>
  </si>
  <si>
    <t>Secção 4, Tabela 10 e Secção 5, Tabela 11</t>
  </si>
  <si>
    <t>Disclosure 305-2: Emissões de GEE Indiretas resultantes da Produção de Eletricidade (Âmbito 2)</t>
  </si>
  <si>
    <r>
      <t>a. Reporte as emissões indiretas de gases de efeito estufa provenientes da aquisição de energia (Âmbito 2), em toneladas métricas de CO</t>
    </r>
    <r>
      <rPr>
        <vertAlign val="subscript"/>
        <sz val="12"/>
        <rFont val="Arial"/>
        <family val="2"/>
      </rPr>
      <t>2</t>
    </r>
    <r>
      <rPr>
        <sz val="12"/>
        <rFont val="Arial"/>
        <family val="2"/>
      </rPr>
      <t xml:space="preserve"> equivalente</t>
    </r>
  </si>
  <si>
    <r>
      <t>b. Se aplicável, indique as emissões indiretas de GEE (Âmbito 2) provenientes da venda de energia, em toneladas métricas de CO</t>
    </r>
    <r>
      <rPr>
        <vertAlign val="subscript"/>
        <sz val="12"/>
        <rFont val="Arial"/>
        <family val="2"/>
      </rPr>
      <t>2</t>
    </r>
    <r>
      <rPr>
        <sz val="12"/>
        <rFont val="Arial"/>
        <family val="2"/>
      </rPr>
      <t xml:space="preserve"> equivalente</t>
    </r>
  </si>
  <si>
    <r>
      <t>c. Identifique os gases incluídos no cálculo, se essa informação estiver disponível: CO</t>
    </r>
    <r>
      <rPr>
        <vertAlign val="subscript"/>
        <sz val="12"/>
        <rFont val="Arial"/>
        <family val="2"/>
      </rPr>
      <t>2</t>
    </r>
    <r>
      <rPr>
        <sz val="12"/>
        <rFont val="Arial"/>
        <family val="2"/>
      </rPr>
      <t>, CH</t>
    </r>
    <r>
      <rPr>
        <vertAlign val="subscript"/>
        <sz val="12"/>
        <rFont val="Arial"/>
        <family val="2"/>
      </rPr>
      <t>4</t>
    </r>
    <r>
      <rPr>
        <sz val="12"/>
        <rFont val="Arial"/>
        <family val="2"/>
      </rPr>
      <t>, N</t>
    </r>
    <r>
      <rPr>
        <vertAlign val="subscript"/>
        <sz val="12"/>
        <rFont val="Arial"/>
        <family val="2"/>
      </rPr>
      <t>2</t>
    </r>
    <r>
      <rPr>
        <sz val="12"/>
        <rFont val="Arial"/>
        <family val="2"/>
      </rPr>
      <t>O, HFC, PFC, SF</t>
    </r>
    <r>
      <rPr>
        <vertAlign val="subscript"/>
        <sz val="12"/>
        <rFont val="Arial"/>
        <family val="2"/>
      </rPr>
      <t>6</t>
    </r>
    <r>
      <rPr>
        <sz val="12"/>
        <rFont val="Arial"/>
        <family val="2"/>
      </rPr>
      <t>, NF</t>
    </r>
    <r>
      <rPr>
        <vertAlign val="subscript"/>
        <sz val="12"/>
        <rFont val="Arial"/>
        <family val="2"/>
      </rPr>
      <t>3</t>
    </r>
    <r>
      <rPr>
        <sz val="12"/>
        <rFont val="Arial"/>
        <family val="2"/>
      </rPr>
      <t xml:space="preserve"> ou todas</t>
    </r>
  </si>
  <si>
    <t>Disclosure 305-3: Outras emissões de GEE indiretas (Âmbito 3)</t>
  </si>
  <si>
    <t>a. Reporte as emissões indiretas de gases de efeito estufa indiretas (excluindo a aquisição de energia), em toneladas métricas de CO2 equivalente</t>
  </si>
  <si>
    <r>
      <t>b.  Identifique os gases incluídos no cálculo, se essa informação estiver disponível: CO</t>
    </r>
    <r>
      <rPr>
        <vertAlign val="subscript"/>
        <sz val="12"/>
        <rFont val="Arial"/>
        <family val="2"/>
      </rPr>
      <t>2</t>
    </r>
    <r>
      <rPr>
        <sz val="12"/>
        <rFont val="Arial"/>
        <family val="2"/>
      </rPr>
      <t>, CH</t>
    </r>
    <r>
      <rPr>
        <vertAlign val="subscript"/>
        <sz val="12"/>
        <rFont val="Arial"/>
        <family val="2"/>
      </rPr>
      <t>4</t>
    </r>
    <r>
      <rPr>
        <sz val="12"/>
        <rFont val="Arial"/>
        <family val="2"/>
      </rPr>
      <t>, N</t>
    </r>
    <r>
      <rPr>
        <vertAlign val="subscript"/>
        <sz val="12"/>
        <rFont val="Arial"/>
        <family val="2"/>
      </rPr>
      <t>2</t>
    </r>
    <r>
      <rPr>
        <sz val="12"/>
        <rFont val="Arial"/>
        <family val="2"/>
      </rPr>
      <t>O, HFC, PFC, SF</t>
    </r>
    <r>
      <rPr>
        <vertAlign val="subscript"/>
        <sz val="12"/>
        <rFont val="Arial"/>
        <family val="2"/>
      </rPr>
      <t>6</t>
    </r>
    <r>
      <rPr>
        <sz val="12"/>
        <rFont val="Arial"/>
        <family val="2"/>
      </rPr>
      <t>, NF</t>
    </r>
    <r>
      <rPr>
        <vertAlign val="subscript"/>
        <sz val="12"/>
        <rFont val="Arial"/>
        <family val="2"/>
      </rPr>
      <t>3</t>
    </r>
    <r>
      <rPr>
        <sz val="12"/>
        <rFont val="Arial"/>
        <family val="2"/>
      </rPr>
      <t xml:space="preserve"> ou todas</t>
    </r>
  </si>
  <si>
    <t>d. Indicar as emissões de GEE indiretas (Âmbito 3) de OUTRAS categorias e atividades incluídas no cálculo</t>
  </si>
  <si>
    <t>e.  Indicar o ano base usado para o cálculo, quando aplicável, incluindo:</t>
  </si>
  <si>
    <t>f. Indicar a fonte dos fatores de emissão e as taxas de potencial de aquecimento global (PAG) usadas ou uma referência à fonte de PAG</t>
  </si>
  <si>
    <t>A ferramenta não inclui outras categorias que não sejam as do GHG Protocol</t>
  </si>
  <si>
    <t>Intrdução</t>
  </si>
  <si>
    <t>Disclosure 305-4: Intensidade das emissões de GEE</t>
  </si>
  <si>
    <t>a. Indicar a intensidade de emissões de GEE</t>
  </si>
  <si>
    <t>b. Indicar as métricas da organização (o denominador) escolhidas para calcular a proporção</t>
  </si>
  <si>
    <r>
      <t>d. Indicar os gases incluídos no cálculo: CO</t>
    </r>
    <r>
      <rPr>
        <vertAlign val="subscript"/>
        <sz val="12"/>
        <rFont val="Arial"/>
        <family val="2"/>
      </rPr>
      <t>2</t>
    </r>
    <r>
      <rPr>
        <sz val="12"/>
        <rFont val="Arial"/>
        <family val="2"/>
      </rPr>
      <t>, CH</t>
    </r>
    <r>
      <rPr>
        <vertAlign val="subscript"/>
        <sz val="12"/>
        <rFont val="Arial"/>
        <family val="2"/>
      </rPr>
      <t>4</t>
    </r>
    <r>
      <rPr>
        <sz val="12"/>
        <rFont val="Arial"/>
        <family val="2"/>
      </rPr>
      <t>, N</t>
    </r>
    <r>
      <rPr>
        <vertAlign val="subscript"/>
        <sz val="12"/>
        <rFont val="Arial"/>
        <family val="2"/>
      </rPr>
      <t>2</t>
    </r>
    <r>
      <rPr>
        <sz val="12"/>
        <rFont val="Arial"/>
        <family val="2"/>
      </rPr>
      <t>O, PFC, SF</t>
    </r>
    <r>
      <rPr>
        <vertAlign val="subscript"/>
        <sz val="12"/>
        <rFont val="Arial"/>
        <family val="2"/>
      </rPr>
      <t>6</t>
    </r>
    <r>
      <rPr>
        <sz val="12"/>
        <rFont val="Arial"/>
        <family val="2"/>
      </rPr>
      <t>, NF</t>
    </r>
    <r>
      <rPr>
        <vertAlign val="subscript"/>
        <sz val="12"/>
        <rFont val="Arial"/>
        <family val="2"/>
      </rPr>
      <t>3</t>
    </r>
    <r>
      <rPr>
        <sz val="12"/>
        <rFont val="Arial"/>
        <family val="2"/>
      </rPr>
      <t xml:space="preserve"> ou todos.</t>
    </r>
  </si>
  <si>
    <t>Nota importante: No que respeita ao Disclosure 305-4: Intensidade das emissões de GEE, é pedido à organização que introduza a métrica usada pela organização para quantificar os seus produtos (massa, energia, valor económico, etc.) - assinalado a Laranja Claro - assim como o valor desta métrica para o ano de reporte por forma a ser possível à ferramenta estimar a intensidade de emissões de GEE (em t CO2eq/ unidade de produto).</t>
  </si>
  <si>
    <t>c. Identificar os gases incorporados no cálculo: rácio, se são diretos (âmbito 1) ou indiretos (âmbito 2) e/ou outras emissões indiretas (âmbito 3)</t>
  </si>
  <si>
    <t xml:space="preserve">Reduções de emissões não são estimadas pela Ferramenta. </t>
  </si>
  <si>
    <t>Disclosure 305-5: Redução de emissões de GEE</t>
  </si>
  <si>
    <t>Disclosure 305-6: Emissões de substâncias destruidoras da camada de ozono</t>
  </si>
  <si>
    <t>a. Reportar a produção, as importações e as exportações de substâncias que empobrecem a camada de ozono, em toneladas métricas de CFC-11 (triclorofluormetano) equivalente</t>
  </si>
  <si>
    <t>b. Indicar as substâncias incluídas no cálculo</t>
  </si>
  <si>
    <t>c. Indicar a fonte dos fatores de emissão usados</t>
  </si>
  <si>
    <t>d. Indicar as normas, as metodologias, as assunções e/ou os métodos de cálculo usados</t>
  </si>
  <si>
    <t>Disclosure 305-7: Emissões de óxidos de azoto (NOx), óxidos de enxofre (SOx) e outras emissões atmosféricas significativas</t>
  </si>
  <si>
    <t>Emissão de Âmbito 2 totais em Resumo, G52, não discriminadas por região. Para reportar por região, recomenda-se a criação de um ficheiro por cada região/país e nesta ferramenta reportar o total de emissões de âmbito 2.</t>
  </si>
  <si>
    <t xml:space="preserve">(F) Emissões aqui apresentadas dizem respeito às emissões totais, não discriminadas por região. Para reportar por região, recomenda-se a criação de um ficheiro por cada região/país </t>
  </si>
  <si>
    <t xml:space="preserve">            e nesta ferramenta reportar o total de emissões de âmbito 2.</t>
  </si>
  <si>
    <t>Emissões aqui apresentadas dizem respeito às emissões totais, não discriminadas por região. Para reportar por região, recomenda-se a criação de um ficheiro por cada região/país e nesta ferramenta reportar o total de emissões de âmbito 2.</t>
  </si>
  <si>
    <t>(1) o Laranja Claro pode assemelhar-se a Slamão, Rosa ou mesmo Roxo em certos ecrãs, como em ecrãs de portáteis.</t>
  </si>
  <si>
    <t>Projeto Cofinanciado por:</t>
  </si>
</sst>
</file>

<file path=xl/styles.xml><?xml version="1.0" encoding="utf-8"?>
<styleSheet xmlns="http://schemas.openxmlformats.org/spreadsheetml/2006/main" xmlns:mc="http://schemas.openxmlformats.org/markup-compatibility/2006" xmlns:x14ac="http://schemas.microsoft.com/office/spreadsheetml/2009/9/ac" mc:Ignorable="x14ac">
  <numFmts count="41">
    <numFmt numFmtId="43" formatCode="_-* #,##0.00\ _€_-;\-* #,##0.00\ _€_-;_-* &quot;-&quot;??\ _€_-;_-@_-"/>
    <numFmt numFmtId="164" formatCode="_-* #,##0_-;\-* #,##0_-;_-* &quot;-&quot;_-;_-@_-"/>
    <numFmt numFmtId="165" formatCode="_(* #,##0_);_(* \(#,##0\);_(* &quot;-&quot;_);_(@_)"/>
    <numFmt numFmtId="166" formatCode="_(* #,##0.00_);_(* \(#,##0.00\);_(* &quot;-&quot;??_);_(@_)"/>
    <numFmt numFmtId="167" formatCode="0.0"/>
    <numFmt numFmtId="168" formatCode="0.0000"/>
    <numFmt numFmtId="169" formatCode="#,##0.0"/>
    <numFmt numFmtId="170" formatCode="#,##0.000"/>
    <numFmt numFmtId="171" formatCode="#,##0.0000"/>
    <numFmt numFmtId="172" formatCode="0.0%"/>
    <numFmt numFmtId="173" formatCode="#,##0.000000"/>
    <numFmt numFmtId="174" formatCode="0.000"/>
    <numFmt numFmtId="175" formatCode="_(* #,##0_);_(* \(#,##0\);_(* &quot;-&quot;??_);_(@_)"/>
    <numFmt numFmtId="176" formatCode="_(* #,##0.000_);_(* \(#,##0.000\);_(* &quot;-&quot;??_);_(@_)"/>
    <numFmt numFmtId="177" formatCode="0.00000"/>
    <numFmt numFmtId="178" formatCode="_(* #,##0.00000000_);_(* \(#,##0.00000000\);_(* &quot;-&quot;??_);_(@_)"/>
    <numFmt numFmtId="179" formatCode="0.000000"/>
    <numFmt numFmtId="180" formatCode="#,##0_)"/>
    <numFmt numFmtId="181" formatCode="_(* #,##0.0_);_(* \(#,##0.0\);_(* &quot;-&quot;??_);_(@_)"/>
    <numFmt numFmtId="182" formatCode="_(* #,##0.00_);_(* \(#,##0.00\);_(&quot;-&quot;??_);_(@_)"/>
    <numFmt numFmtId="183" formatCode="_(* #,##0.0_);_(* \(#,##0.0\);_(&quot;-&quot;??_);_(@_)"/>
    <numFmt numFmtId="184" formatCode="d/mmm/yyyy"/>
    <numFmt numFmtId="185" formatCode="_(* #,##0.000_);_(* \(#,##0.000\);_(&quot;-&quot;??_);_(@_)"/>
    <numFmt numFmtId="186" formatCode="_(* #,##0_);_(* \(#,##0\);_(&quot;-&quot;??_);_(@_)"/>
    <numFmt numFmtId="187" formatCode="_(* #,##0_);_(* \(#,##0\);_(&quot;-&quot;_);_(@_)"/>
    <numFmt numFmtId="188" formatCode="_(* #,##0.0_);_(* \(#,##0.0\);_(&quot;-&quot;_);_(@_)"/>
    <numFmt numFmtId="189" formatCode="###0.00_)"/>
    <numFmt numFmtId="190" formatCode="0.0_W"/>
    <numFmt numFmtId="191" formatCode="_([$€-2]* #,##0.00_);_([$€-2]* \(#,##0.00\);_([$€-2]* &quot;-&quot;??_)"/>
    <numFmt numFmtId="192" formatCode="_(&quot;$&quot;* #,##0.00_);_(&quot;$&quot;* \(#,##0.00\);_(&quot;$&quot;* &quot;-&quot;??_);_(@_)"/>
    <numFmt numFmtId="193" formatCode="_(* #,##0.000_);_(* \(#,##0.000\);_(&quot;-&quot;_);_(@_)"/>
    <numFmt numFmtId="194" formatCode="_(* #,##0.00000_);_(* \(#,##0.00000\);_(* &quot;-&quot;??_);_(@_)"/>
    <numFmt numFmtId="195" formatCode="_(* #,##0.000_);_(* \(#,##0.000\);_(* &quot;-&quot;???_);_(@_)"/>
    <numFmt numFmtId="196" formatCode="_(* #,##0.000000_);_(* \(#,##0.000000\);_(* &quot;-&quot;??_);_(@_)"/>
    <numFmt numFmtId="197" formatCode="#,##0.0;\(#,##0.0\);&quot;-&quot;;@"/>
    <numFmt numFmtId="198" formatCode="#,##0.0000000"/>
    <numFmt numFmtId="199" formatCode="#,##0_ ;\-#,##0\ "/>
    <numFmt numFmtId="200" formatCode="#,##0.0_ ;\-#,##0.0\ "/>
    <numFmt numFmtId="201" formatCode="_(* #,##0.00_);_(* \(#,##0.00\);_(&quot;-&quot;_);_(@_)"/>
    <numFmt numFmtId="202" formatCode="_-* #,##0.000\ _€_-;\-* #,##0.000\ _€_-;_-* &quot;-&quot;???\ _€_-;_-@_-"/>
    <numFmt numFmtId="203" formatCode="_-* #,##0.0\ _€_-;\-* #,##0.0\ _€_-;_-* &quot;-&quot;?\ _€_-;_-@_-"/>
  </numFmts>
  <fonts count="13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i/>
      <sz val="10"/>
      <color indexed="10"/>
      <name val="Arial"/>
      <family val="2"/>
    </font>
    <font>
      <sz val="8"/>
      <name val="Arial"/>
      <family val="2"/>
    </font>
    <font>
      <b/>
      <i/>
      <sz val="12"/>
      <name val="Arial"/>
      <family val="2"/>
    </font>
    <font>
      <sz val="10"/>
      <name val="Arial"/>
      <family val="2"/>
    </font>
    <font>
      <sz val="12"/>
      <name val="Arial"/>
      <family val="2"/>
    </font>
    <font>
      <b/>
      <sz val="12"/>
      <color indexed="50"/>
      <name val="Arial"/>
      <family val="2"/>
    </font>
    <font>
      <b/>
      <sz val="12"/>
      <name val="Arial"/>
      <family val="2"/>
    </font>
    <font>
      <b/>
      <sz val="10"/>
      <color indexed="50"/>
      <name val="Arial"/>
      <family val="2"/>
    </font>
    <font>
      <b/>
      <sz val="11"/>
      <name val="Arial"/>
      <family val="2"/>
    </font>
    <font>
      <sz val="11"/>
      <name val="Arial"/>
      <family val="2"/>
    </font>
    <font>
      <sz val="8"/>
      <name val="Arial"/>
      <family val="2"/>
    </font>
    <font>
      <sz val="9"/>
      <name val="Arial"/>
      <family val="2"/>
    </font>
    <font>
      <b/>
      <sz val="12"/>
      <color indexed="10"/>
      <name val="Arial"/>
      <family val="2"/>
    </font>
    <font>
      <sz val="9"/>
      <color indexed="81"/>
      <name val="Tahoma"/>
      <family val="2"/>
    </font>
    <font>
      <u/>
      <sz val="11"/>
      <color indexed="12"/>
      <name val="Calibri"/>
      <family val="2"/>
    </font>
    <font>
      <i/>
      <u/>
      <sz val="10"/>
      <name val="Arial"/>
      <family val="2"/>
    </font>
    <font>
      <b/>
      <sz val="18"/>
      <color indexed="50"/>
      <name val="Arial"/>
      <family val="2"/>
    </font>
    <font>
      <b/>
      <sz val="14"/>
      <name val="Arial"/>
      <family val="2"/>
    </font>
    <font>
      <sz val="8"/>
      <color indexed="9"/>
      <name val="Arial"/>
      <family val="2"/>
    </font>
    <font>
      <sz val="8"/>
      <color indexed="8"/>
      <name val="Arial"/>
      <family val="2"/>
    </font>
    <font>
      <b/>
      <sz val="20"/>
      <name val="Arial"/>
      <family val="2"/>
    </font>
    <font>
      <b/>
      <i/>
      <sz val="14"/>
      <name val="Arial"/>
      <family val="2"/>
    </font>
    <font>
      <sz val="10"/>
      <color indexed="50"/>
      <name val="Arial"/>
      <family val="2"/>
    </font>
    <font>
      <sz val="32"/>
      <color indexed="50"/>
      <name val="Arial"/>
      <family val="2"/>
    </font>
    <font>
      <b/>
      <sz val="18"/>
      <name val="Arial"/>
      <family val="2"/>
    </font>
    <font>
      <sz val="11"/>
      <color theme="0"/>
      <name val="Calibri"/>
      <family val="2"/>
      <scheme val="minor"/>
    </font>
    <font>
      <sz val="10"/>
      <color rgb="FFFF0000"/>
      <name val="Arial"/>
      <family val="2"/>
    </font>
    <font>
      <sz val="10"/>
      <color theme="0"/>
      <name val="Arial"/>
      <family val="2"/>
    </font>
    <font>
      <sz val="9"/>
      <name val="Times New Roman"/>
      <family val="1"/>
    </font>
    <font>
      <b/>
      <sz val="9"/>
      <name val="Times New Roman"/>
      <family val="1"/>
    </font>
    <font>
      <sz val="12"/>
      <name val="Helv"/>
    </font>
    <font>
      <b/>
      <sz val="12"/>
      <name val="Helv"/>
    </font>
    <font>
      <sz val="9"/>
      <name val="Helv"/>
    </font>
    <font>
      <vertAlign val="superscript"/>
      <sz val="12"/>
      <name val="Helv"/>
    </font>
    <font>
      <sz val="10"/>
      <name val="Helv"/>
    </font>
    <font>
      <b/>
      <sz val="12"/>
      <name val="Times New Roman"/>
      <family val="1"/>
    </font>
    <font>
      <b/>
      <sz val="9"/>
      <name val="Helv"/>
    </font>
    <font>
      <sz val="8.5"/>
      <name val="Helv"/>
    </font>
    <font>
      <b/>
      <sz val="10"/>
      <name val="Helv"/>
    </font>
    <font>
      <sz val="1"/>
      <name val="Arial"/>
      <family val="2"/>
    </font>
    <font>
      <sz val="8"/>
      <name val="Helv"/>
    </font>
    <font>
      <b/>
      <sz val="14"/>
      <name val="Helv"/>
    </font>
    <font>
      <b/>
      <sz val="9"/>
      <color indexed="81"/>
      <name val="Tahoma"/>
      <family val="2"/>
    </font>
    <font>
      <sz val="11"/>
      <name val="Calibri Light"/>
      <family val="2"/>
    </font>
    <font>
      <vertAlign val="subscript"/>
      <sz val="11"/>
      <name val="Calibri Light"/>
      <family val="2"/>
    </font>
    <font>
      <sz val="10"/>
      <name val="Calibri Light"/>
      <family val="2"/>
    </font>
    <font>
      <b/>
      <sz val="11"/>
      <name val="Calibri Light"/>
      <family val="2"/>
    </font>
    <font>
      <sz val="12"/>
      <name val="Calibri Light"/>
      <family val="2"/>
    </font>
    <font>
      <vertAlign val="subscript"/>
      <sz val="12"/>
      <name val="Calibri Light"/>
      <family val="2"/>
    </font>
    <font>
      <b/>
      <sz val="12"/>
      <name val="Calibri Light"/>
      <family val="2"/>
    </font>
    <font>
      <b/>
      <sz val="10"/>
      <name val="Calibri Light"/>
      <family val="2"/>
    </font>
    <font>
      <b/>
      <i/>
      <sz val="12"/>
      <name val="Calibri Light"/>
      <family val="2"/>
    </font>
    <font>
      <b/>
      <i/>
      <sz val="10"/>
      <name val="Calibri Light"/>
      <family val="2"/>
    </font>
    <font>
      <sz val="10"/>
      <color rgb="FFFF0000"/>
      <name val="Calibri Light"/>
      <family val="2"/>
    </font>
    <font>
      <b/>
      <vertAlign val="subscript"/>
      <sz val="10"/>
      <name val="Calibri Light"/>
      <family val="2"/>
    </font>
    <font>
      <sz val="9"/>
      <name val="Calibri Light"/>
      <family val="2"/>
    </font>
    <font>
      <b/>
      <i/>
      <vertAlign val="subscript"/>
      <sz val="12"/>
      <name val="Calibri Light"/>
      <family val="2"/>
    </font>
    <font>
      <b/>
      <i/>
      <sz val="14"/>
      <name val="Calibri Light"/>
      <family val="2"/>
    </font>
    <font>
      <b/>
      <sz val="11"/>
      <color indexed="53"/>
      <name val="Calibri Light"/>
      <family val="2"/>
    </font>
    <font>
      <i/>
      <sz val="11"/>
      <name val="Calibri Light"/>
      <family val="2"/>
    </font>
    <font>
      <u/>
      <sz val="11"/>
      <name val="Calibri Light"/>
      <family val="2"/>
    </font>
    <font>
      <b/>
      <sz val="14"/>
      <name val="Calibri Light"/>
      <family val="2"/>
    </font>
    <font>
      <i/>
      <sz val="12"/>
      <name val="Calibri Light"/>
      <family val="2"/>
    </font>
    <font>
      <u/>
      <sz val="11"/>
      <color indexed="12"/>
      <name val="Calibri Light"/>
      <family val="2"/>
    </font>
    <font>
      <sz val="11"/>
      <color indexed="8"/>
      <name val="Calibri Light"/>
      <family val="2"/>
    </font>
    <font>
      <i/>
      <sz val="11"/>
      <color indexed="8"/>
      <name val="Calibri Light"/>
      <family val="2"/>
    </font>
    <font>
      <b/>
      <vertAlign val="subscript"/>
      <sz val="11"/>
      <name val="Calibri Light"/>
      <family val="2"/>
    </font>
    <font>
      <b/>
      <sz val="11"/>
      <color indexed="50"/>
      <name val="Calibri Light"/>
      <family val="2"/>
    </font>
    <font>
      <sz val="11"/>
      <color theme="0"/>
      <name val="Calibri Light"/>
      <family val="2"/>
    </font>
    <font>
      <sz val="11"/>
      <color indexed="10"/>
      <name val="Calibri Light"/>
      <family val="2"/>
    </font>
    <font>
      <b/>
      <sz val="12"/>
      <color indexed="10"/>
      <name val="Calibri Light"/>
      <family val="2"/>
    </font>
    <font>
      <b/>
      <i/>
      <sz val="11"/>
      <name val="Calibri Light"/>
      <family val="2"/>
    </font>
    <font>
      <i/>
      <sz val="10"/>
      <name val="Calibri Light"/>
      <family val="2"/>
    </font>
    <font>
      <vertAlign val="subscript"/>
      <sz val="10"/>
      <name val="Calibri Light"/>
      <family val="2"/>
    </font>
    <font>
      <sz val="10"/>
      <color indexed="9"/>
      <name val="Calibri Light"/>
      <family val="2"/>
    </font>
    <font>
      <i/>
      <vertAlign val="superscript"/>
      <sz val="10"/>
      <name val="Calibri Light"/>
      <family val="2"/>
    </font>
    <font>
      <b/>
      <sz val="9"/>
      <name val="Calibri Light"/>
      <family val="2"/>
    </font>
    <font>
      <sz val="8"/>
      <name val="Calibri Light"/>
      <family val="2"/>
    </font>
    <font>
      <sz val="11"/>
      <color indexed="9"/>
      <name val="Calibri Light"/>
      <family val="2"/>
    </font>
    <font>
      <b/>
      <vertAlign val="superscript"/>
      <sz val="9"/>
      <name val="Calibri Light"/>
      <family val="2"/>
    </font>
    <font>
      <b/>
      <sz val="14"/>
      <color indexed="10"/>
      <name val="Calibri Light"/>
      <family val="2"/>
    </font>
    <font>
      <sz val="14"/>
      <name val="Calibri Light"/>
      <family val="2"/>
    </font>
    <font>
      <b/>
      <sz val="11"/>
      <color rgb="FFFF6600"/>
      <name val="Calibri Light"/>
      <family val="2"/>
    </font>
    <font>
      <b/>
      <vertAlign val="superscript"/>
      <sz val="11"/>
      <name val="Calibri Light"/>
      <family val="2"/>
    </font>
    <font>
      <b/>
      <sz val="16"/>
      <name val="Calibri Light"/>
      <family val="2"/>
    </font>
    <font>
      <i/>
      <sz val="11"/>
      <color indexed="10"/>
      <name val="Calibri Light"/>
      <family val="2"/>
    </font>
    <font>
      <b/>
      <vertAlign val="subscript"/>
      <sz val="12"/>
      <name val="Calibri Light"/>
      <family val="2"/>
    </font>
    <font>
      <b/>
      <vertAlign val="superscript"/>
      <sz val="10"/>
      <name val="Calibri Light"/>
      <family val="2"/>
    </font>
    <font>
      <b/>
      <u/>
      <sz val="11"/>
      <name val="Calibri Light"/>
      <family val="2"/>
    </font>
    <font>
      <i/>
      <sz val="11"/>
      <color rgb="FFFF0000"/>
      <name val="Calibri Light"/>
      <family val="2"/>
    </font>
    <font>
      <u/>
      <sz val="10"/>
      <name val="Calibri Light"/>
      <family val="2"/>
    </font>
    <font>
      <b/>
      <sz val="11"/>
      <color theme="1"/>
      <name val="Calibri Light"/>
      <family val="2"/>
    </font>
    <font>
      <b/>
      <i/>
      <vertAlign val="subscript"/>
      <sz val="14"/>
      <name val="Calibri Light"/>
      <family val="2"/>
    </font>
    <font>
      <u/>
      <sz val="11"/>
      <color rgb="FF0070C0"/>
      <name val="Calibri Light"/>
      <family val="2"/>
    </font>
    <font>
      <b/>
      <i/>
      <sz val="16"/>
      <name val="Calibri Light"/>
      <family val="2"/>
    </font>
    <font>
      <sz val="12"/>
      <color rgb="FFFF0000"/>
      <name val="Calibri Light"/>
      <family val="2"/>
    </font>
    <font>
      <b/>
      <i/>
      <sz val="12"/>
      <color rgb="FFFF0000"/>
      <name val="Calibri Light"/>
      <family val="2"/>
    </font>
    <font>
      <sz val="11"/>
      <color rgb="FFFF0000"/>
      <name val="Calibri Light"/>
      <family val="2"/>
    </font>
    <font>
      <vertAlign val="superscript"/>
      <sz val="11"/>
      <name val="Calibri Light"/>
      <family val="2"/>
    </font>
    <font>
      <b/>
      <sz val="11"/>
      <color indexed="8"/>
      <name val="Calibri Light"/>
      <family val="2"/>
    </font>
    <font>
      <sz val="14"/>
      <color rgb="FFFF0000"/>
      <name val="Calibri Light"/>
      <family val="2"/>
    </font>
    <font>
      <b/>
      <sz val="11"/>
      <color rgb="FFFF0000"/>
      <name val="Calibri Light"/>
      <family val="2"/>
    </font>
    <font>
      <b/>
      <i/>
      <sz val="14"/>
      <color rgb="FFFF0000"/>
      <name val="Calibri Light"/>
      <family val="2"/>
    </font>
    <font>
      <b/>
      <sz val="10"/>
      <color indexed="81"/>
      <name val="Calibri Light"/>
      <family val="2"/>
    </font>
    <font>
      <sz val="10"/>
      <color indexed="81"/>
      <name val="Calibri Light"/>
      <family val="2"/>
    </font>
    <font>
      <vertAlign val="subscript"/>
      <sz val="10"/>
      <color indexed="81"/>
      <name val="Calibri Light"/>
      <family val="2"/>
    </font>
    <font>
      <vertAlign val="superscript"/>
      <sz val="12"/>
      <name val="Calibri Light"/>
      <family val="2"/>
    </font>
    <font>
      <i/>
      <sz val="8"/>
      <name val="Calibri Light"/>
      <family val="2"/>
    </font>
    <font>
      <b/>
      <sz val="11"/>
      <color theme="9" tint="-0.249977111117893"/>
      <name val="Calibri Light"/>
      <family val="2"/>
    </font>
    <font>
      <i/>
      <u/>
      <sz val="11"/>
      <color rgb="FF0000FF"/>
      <name val="Calibri Light"/>
      <family val="2"/>
    </font>
    <font>
      <sz val="8"/>
      <color indexed="81"/>
      <name val="Tahoma"/>
      <family val="2"/>
    </font>
    <font>
      <sz val="11"/>
      <name val="Calibri Light"/>
      <family val="2"/>
    </font>
    <font>
      <sz val="10"/>
      <color rgb="FFC00000"/>
      <name val="Arial"/>
      <family val="2"/>
    </font>
    <font>
      <sz val="10"/>
      <color theme="1" tint="0.499984740745262"/>
      <name val="Arial"/>
      <family val="2"/>
    </font>
    <font>
      <sz val="11"/>
      <color theme="1" tint="0.499984740745262"/>
      <name val="Arial"/>
      <family val="2"/>
    </font>
    <font>
      <b/>
      <sz val="12"/>
      <name val="Calibri Light"/>
      <family val="2"/>
    </font>
    <font>
      <b/>
      <sz val="11"/>
      <name val="Calibri Light"/>
      <family val="2"/>
    </font>
    <font>
      <b/>
      <sz val="10"/>
      <color rgb="FFFF0000"/>
      <name val="Arial"/>
      <family val="2"/>
    </font>
    <font>
      <sz val="9"/>
      <color rgb="FFFF0000"/>
      <name val="Arial"/>
      <family val="2"/>
    </font>
    <font>
      <i/>
      <sz val="14"/>
      <name val="Calibri Light"/>
      <family val="2"/>
    </font>
    <font>
      <b/>
      <sz val="8"/>
      <color indexed="81"/>
      <name val="Tahoma"/>
      <family val="2"/>
    </font>
    <font>
      <i/>
      <sz val="12"/>
      <name val="Arial"/>
      <family val="2"/>
    </font>
    <font>
      <vertAlign val="subscript"/>
      <sz val="12"/>
      <name val="Arial"/>
      <family val="2"/>
    </font>
    <font>
      <sz val="12"/>
      <color rgb="FFC00000"/>
      <name val="Arial"/>
      <family val="2"/>
    </font>
    <font>
      <i/>
      <sz val="12"/>
      <color rgb="FFC00000"/>
      <name val="Arial"/>
      <family val="2"/>
    </font>
  </fonts>
  <fills count="3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4"/>
        <bgColor indexed="64"/>
      </patternFill>
    </fill>
    <fill>
      <patternFill patternType="solid">
        <fgColor indexed="50"/>
        <bgColor indexed="64"/>
      </patternFill>
    </fill>
    <fill>
      <patternFill patternType="lightDown">
        <bgColor indexed="22"/>
      </patternFill>
    </fill>
    <fill>
      <patternFill patternType="solid">
        <fgColor indexed="30"/>
        <bgColor indexed="64"/>
      </patternFill>
    </fill>
    <fill>
      <patternFill patternType="solid">
        <fgColor indexed="43"/>
        <bgColor indexed="64"/>
      </patternFill>
    </fill>
    <fill>
      <patternFill patternType="lightDown"/>
    </fill>
    <fill>
      <patternFill patternType="solid">
        <fgColor theme="6" tint="0.59999389629810485"/>
        <bgColor indexed="65"/>
      </patternFill>
    </fill>
    <fill>
      <patternFill patternType="solid">
        <fgColor theme="5" tint="0.39997558519241921"/>
        <bgColor indexed="65"/>
      </patternFill>
    </fill>
    <fill>
      <patternFill patternType="solid">
        <fgColor theme="0"/>
        <bgColor indexed="64"/>
      </patternFill>
    </fill>
    <fill>
      <patternFill patternType="solid">
        <fgColor rgb="FFF7710D"/>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BDBD"/>
        <bgColor indexed="64"/>
      </patternFill>
    </fill>
    <fill>
      <patternFill patternType="solid">
        <fgColor rgb="FFFFFF00"/>
        <bgColor indexed="64"/>
      </patternFill>
    </fill>
    <fill>
      <patternFill patternType="solid">
        <fgColor rgb="FFFFFF99"/>
        <bgColor indexed="64"/>
      </patternFill>
    </fill>
    <fill>
      <patternFill patternType="lightDown">
        <bgColor theme="0" tint="-0.14999847407452621"/>
      </patternFill>
    </fill>
    <fill>
      <patternFill patternType="solid">
        <fgColor indexed="22"/>
        <bgColor indexed="9"/>
      </patternFill>
    </fill>
    <fill>
      <patternFill patternType="darkTrellis"/>
    </fill>
    <fill>
      <patternFill patternType="solid">
        <fgColor indexed="22"/>
        <bgColor indexed="55"/>
      </patternFill>
    </fill>
    <fill>
      <patternFill patternType="solid">
        <fgColor theme="9" tint="0.59996337778862885"/>
        <bgColor indexed="64"/>
      </patternFill>
    </fill>
    <fill>
      <patternFill patternType="solid">
        <fgColor rgb="FFFFFF66"/>
        <bgColor indexed="64"/>
      </patternFill>
    </fill>
    <fill>
      <patternFill patternType="solid">
        <fgColor rgb="FF92D050"/>
        <bgColor indexed="64"/>
      </patternFill>
    </fill>
    <fill>
      <patternFill patternType="solid">
        <fgColor theme="9" tint="0.39997558519241921"/>
        <bgColor indexed="64"/>
      </patternFill>
    </fill>
    <fill>
      <patternFill patternType="solid">
        <fgColor theme="9"/>
        <bgColor indexed="64"/>
      </patternFill>
    </fill>
    <fill>
      <patternFill patternType="solid">
        <fgColor rgb="FFFFFFFF"/>
        <bgColor rgb="FF000000"/>
      </patternFill>
    </fill>
    <fill>
      <patternFill patternType="solid">
        <fgColor rgb="FF99CCFF"/>
        <bgColor indexed="64"/>
      </patternFill>
    </fill>
    <fill>
      <patternFill patternType="solid">
        <fgColor rgb="FFFCD5B4"/>
        <bgColor indexed="64"/>
      </patternFill>
    </fill>
    <fill>
      <patternFill patternType="lightDown">
        <bgColor rgb="FF92D050"/>
      </patternFill>
    </fill>
    <fill>
      <patternFill patternType="mediumGray">
        <bgColor theme="0" tint="-0.14996795556505021"/>
      </patternFill>
    </fill>
    <fill>
      <patternFill patternType="lightGray">
        <bgColor theme="0" tint="-0.14993743705557422"/>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lightDown">
        <bgColor theme="0" tint="-0.249977111117893"/>
      </patternFill>
    </fill>
    <fill>
      <patternFill patternType="solid">
        <fgColor theme="6"/>
        <bgColor indexed="64"/>
      </patternFill>
    </fill>
  </fills>
  <borders count="9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top style="medium">
        <color indexed="64"/>
      </top>
      <bottom style="medium">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9"/>
      </right>
      <top style="thin">
        <color indexed="9"/>
      </top>
      <bottom/>
      <diagonal/>
    </border>
    <border>
      <left style="thin">
        <color indexed="9"/>
      </left>
      <right style="thin">
        <color indexed="9"/>
      </right>
      <top style="thin">
        <color indexed="9"/>
      </top>
      <bottom/>
      <diagonal/>
    </border>
    <border>
      <left/>
      <right/>
      <top style="thin">
        <color indexed="64"/>
      </top>
      <bottom/>
      <diagonal/>
    </border>
    <border>
      <left/>
      <right style="thin">
        <color indexed="9"/>
      </right>
      <top style="thin">
        <color indexed="9"/>
      </top>
      <bottom style="thin">
        <color indexed="9"/>
      </bottom>
      <diagonal/>
    </border>
    <border>
      <left style="thin">
        <color indexed="9"/>
      </left>
      <right style="thin">
        <color indexed="9"/>
      </right>
      <top/>
      <bottom/>
      <diagonal/>
    </border>
    <border>
      <left style="thin">
        <color indexed="0"/>
      </left>
      <right style="thin">
        <color indexed="0"/>
      </right>
      <top style="thin">
        <color indexed="0"/>
      </top>
      <bottom style="thin">
        <color indexed="0"/>
      </bottom>
      <diagonal/>
    </border>
    <border>
      <left style="thin">
        <color indexed="0"/>
      </left>
      <right/>
      <top style="thin">
        <color indexed="0"/>
      </top>
      <bottom style="thin">
        <color indexed="0"/>
      </bottom>
      <diagonal/>
    </border>
    <border>
      <left/>
      <right style="thin">
        <color indexed="0"/>
      </right>
      <top style="thin">
        <color indexed="0"/>
      </top>
      <bottom style="thin">
        <color indexed="0"/>
      </bottom>
      <diagonal/>
    </border>
    <border>
      <left style="thin">
        <color indexed="0"/>
      </left>
      <right/>
      <top/>
      <bottom style="thin">
        <color indexed="0"/>
      </bottom>
      <diagonal/>
    </border>
    <border>
      <left/>
      <right style="thin">
        <color indexed="0"/>
      </right>
      <top/>
      <bottom style="thin">
        <color indexed="0"/>
      </bottom>
      <diagonal/>
    </border>
    <border>
      <left style="medium">
        <color indexed="0"/>
      </left>
      <right/>
      <top/>
      <bottom style="medium">
        <color indexed="0"/>
      </bottom>
      <diagonal/>
    </border>
    <border>
      <left/>
      <right/>
      <top/>
      <bottom style="medium">
        <color indexed="0"/>
      </bottom>
      <diagonal/>
    </border>
    <border>
      <left/>
      <right style="medium">
        <color indexed="0"/>
      </right>
      <top/>
      <bottom style="medium">
        <color indexed="0"/>
      </bottom>
      <diagonal/>
    </border>
    <border>
      <left/>
      <right style="thin">
        <color indexed="0"/>
      </right>
      <top/>
      <bottom/>
      <diagonal/>
    </border>
    <border>
      <left style="thin">
        <color indexed="64"/>
      </left>
      <right style="thin">
        <color indexed="0"/>
      </right>
      <top style="thin">
        <color indexed="64"/>
      </top>
      <bottom style="thin">
        <color indexed="0"/>
      </bottom>
      <diagonal/>
    </border>
    <border>
      <left/>
      <right/>
      <top style="thin">
        <color indexed="0"/>
      </top>
      <bottom style="thin">
        <color indexed="0"/>
      </bottom>
      <diagonal/>
    </border>
    <border>
      <left style="thin">
        <color indexed="8"/>
      </left>
      <right/>
      <top/>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0"/>
      </left>
      <right style="thin">
        <color indexed="0"/>
      </right>
      <top style="thin">
        <color indexed="0"/>
      </top>
      <bottom/>
      <diagonal/>
    </border>
    <border>
      <left style="thin">
        <color indexed="8"/>
      </left>
      <right/>
      <top style="thin">
        <color indexed="8"/>
      </top>
      <bottom/>
      <diagonal/>
    </border>
    <border>
      <left style="thin">
        <color indexed="8"/>
      </left>
      <right/>
      <top/>
      <bottom style="thin">
        <color indexed="8"/>
      </bottom>
      <diagonal/>
    </border>
    <border>
      <left style="thin">
        <color indexed="0"/>
      </left>
      <right/>
      <top style="thin">
        <color indexed="0"/>
      </top>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right style="thin">
        <color indexed="9"/>
      </right>
      <top/>
      <bottom/>
      <diagonal/>
    </border>
    <border>
      <left/>
      <right/>
      <top style="thin">
        <color indexed="9"/>
      </top>
      <bottom/>
      <diagonal/>
    </border>
    <border>
      <left style="thin">
        <color indexed="9"/>
      </left>
      <right/>
      <top style="thin">
        <color indexed="9"/>
      </top>
      <bottom/>
      <diagonal/>
    </border>
    <border>
      <left style="thin">
        <color indexed="64"/>
      </left>
      <right/>
      <top/>
      <bottom style="thin">
        <color indexed="64"/>
      </bottom>
      <diagonal/>
    </border>
    <border>
      <left/>
      <right style="thin">
        <color indexed="8"/>
      </right>
      <top style="thin">
        <color indexed="8"/>
      </top>
      <bottom style="thin">
        <color indexed="8"/>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top/>
      <bottom/>
      <diagonal/>
    </border>
    <border>
      <left style="thin">
        <color indexed="9"/>
      </left>
      <right style="thin">
        <color indexed="64"/>
      </right>
      <top style="thin">
        <color indexed="9"/>
      </top>
      <bottom/>
      <diagonal/>
    </border>
    <border>
      <left style="thin">
        <color indexed="0"/>
      </left>
      <right/>
      <top/>
      <bottom/>
      <diagonal/>
    </border>
    <border>
      <left/>
      <right style="thin">
        <color indexed="0"/>
      </right>
      <top style="thin">
        <color indexed="0"/>
      </top>
      <bottom/>
      <diagonal/>
    </border>
    <border>
      <left/>
      <right style="thin">
        <color indexed="64"/>
      </right>
      <top style="thin">
        <color indexed="8"/>
      </top>
      <bottom style="thin">
        <color indexed="8"/>
      </bottom>
      <diagonal/>
    </border>
    <border>
      <left/>
      <right/>
      <top style="thin">
        <color indexed="9"/>
      </top>
      <bottom style="thin">
        <color indexed="9"/>
      </bottom>
      <diagonal/>
    </border>
    <border>
      <left style="thin">
        <color indexed="64"/>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thin">
        <color indexed="64"/>
      </left>
      <right/>
      <top style="thin">
        <color indexed="9"/>
      </top>
      <bottom style="thin">
        <color indexed="64"/>
      </bottom>
      <diagonal/>
    </border>
    <border>
      <left/>
      <right/>
      <top style="thin">
        <color indexed="9"/>
      </top>
      <bottom style="thin">
        <color indexed="64"/>
      </bottom>
      <diagonal/>
    </border>
    <border>
      <left/>
      <right style="thin">
        <color indexed="64"/>
      </right>
      <top style="thin">
        <color indexed="9"/>
      </top>
      <bottom style="thin">
        <color indexed="64"/>
      </bottom>
      <diagonal/>
    </border>
    <border>
      <left style="thin">
        <color indexed="64"/>
      </left>
      <right/>
      <top style="thin">
        <color indexed="9"/>
      </top>
      <bottom style="thin">
        <color indexed="9"/>
      </bottom>
      <diagonal/>
    </border>
    <border>
      <left/>
      <right style="thin">
        <color indexed="64"/>
      </right>
      <top style="thin">
        <color indexed="9"/>
      </top>
      <bottom style="thin">
        <color indexed="9"/>
      </bottom>
      <diagonal/>
    </border>
    <border>
      <left/>
      <right style="thin">
        <color indexed="64"/>
      </right>
      <top style="thin">
        <color indexed="0"/>
      </top>
      <bottom style="thin">
        <color indexed="0"/>
      </bottom>
      <diagonal/>
    </border>
    <border>
      <left style="thin">
        <color indexed="9"/>
      </left>
      <right style="thin">
        <color indexed="64"/>
      </right>
      <top/>
      <bottom/>
      <diagonal/>
    </border>
    <border>
      <left style="thick">
        <color theme="0"/>
      </left>
      <right style="thick">
        <color theme="0"/>
      </right>
      <top style="thick">
        <color theme="0"/>
      </top>
      <bottom style="thick">
        <color theme="0"/>
      </bottom>
      <diagonal/>
    </border>
    <border>
      <left style="thick">
        <color theme="0"/>
      </left>
      <right style="thick">
        <color theme="0"/>
      </right>
      <top/>
      <bottom style="thick">
        <color theme="0"/>
      </bottom>
      <diagonal/>
    </border>
    <border>
      <left/>
      <right style="thick">
        <color theme="0"/>
      </right>
      <top/>
      <bottom/>
      <diagonal/>
    </border>
    <border>
      <left/>
      <right/>
      <top/>
      <bottom style="thin">
        <color indexed="22"/>
      </bottom>
      <diagonal/>
    </border>
    <border>
      <left/>
      <right/>
      <top/>
      <bottom style="hair">
        <color indexed="64"/>
      </bottom>
      <diagonal/>
    </border>
    <border>
      <left/>
      <right/>
      <top/>
      <bottom style="hair">
        <color indexed="8"/>
      </bottom>
      <diagonal/>
    </border>
    <border>
      <left/>
      <right style="medium">
        <color indexed="64"/>
      </right>
      <top/>
      <bottom/>
      <diagonal/>
    </border>
    <border>
      <left style="thin">
        <color theme="0"/>
      </left>
      <right/>
      <top/>
      <bottom/>
      <diagonal/>
    </border>
    <border>
      <left style="thin">
        <color indexed="9"/>
      </left>
      <right style="thin">
        <color indexed="64"/>
      </right>
      <top/>
      <bottom style="thin">
        <color indexed="9"/>
      </bottom>
      <diagonal/>
    </border>
    <border>
      <left/>
      <right/>
      <top style="thin">
        <color indexed="0"/>
      </top>
      <bottom/>
      <diagonal/>
    </border>
    <border>
      <left style="thin">
        <color indexed="64"/>
      </left>
      <right style="thin">
        <color indexed="0"/>
      </right>
      <top style="thin">
        <color indexed="64"/>
      </top>
      <bottom/>
      <diagonal/>
    </border>
    <border>
      <left style="thin">
        <color indexed="64"/>
      </left>
      <right style="thin">
        <color indexed="0"/>
      </right>
      <top/>
      <bottom/>
      <diagonal/>
    </border>
    <border>
      <left style="thin">
        <color indexed="64"/>
      </left>
      <right style="thin">
        <color indexed="0"/>
      </right>
      <top/>
      <bottom style="thin">
        <color indexed="64"/>
      </bottom>
      <diagonal/>
    </border>
  </borders>
  <cellStyleXfs count="80">
    <xf numFmtId="0" fontId="0" fillId="0" borderId="0"/>
    <xf numFmtId="0" fontId="32" fillId="11" borderId="0" applyNumberFormat="0" applyBorder="0" applyAlignment="0" applyProtection="0"/>
    <xf numFmtId="0" fontId="21" fillId="0" borderId="0" applyNumberFormat="0" applyFill="0" applyBorder="0" applyAlignment="0" applyProtection="0">
      <alignment vertical="top"/>
      <protection locked="0"/>
    </xf>
    <xf numFmtId="9" fontId="10" fillId="0" borderId="0" applyFont="0" applyFill="0" applyBorder="0" applyAlignment="0" applyProtection="0"/>
    <xf numFmtId="166" fontId="10" fillId="0" borderId="0" applyFont="0" applyFill="0" applyBorder="0" applyAlignment="0" applyProtection="0"/>
    <xf numFmtId="0" fontId="4" fillId="23" borderId="0" applyNumberFormat="0" applyFont="0" applyBorder="0" applyAlignment="0">
      <protection locked="0"/>
    </xf>
    <xf numFmtId="0" fontId="4" fillId="4" borderId="0" applyNumberFormat="0" applyFont="0" applyBorder="0" applyAlignment="0" applyProtection="0"/>
    <xf numFmtId="0" fontId="4" fillId="5" borderId="0" applyNumberFormat="0" applyFont="0" applyBorder="0" applyAlignment="0" applyProtection="0"/>
    <xf numFmtId="0" fontId="4" fillId="13" borderId="0" applyNumberFormat="0" applyFont="0" applyBorder="0" applyAlignment="0" applyProtection="0"/>
    <xf numFmtId="0" fontId="4" fillId="17" borderId="0" applyNumberFormat="0" applyFont="0" applyBorder="0" applyAlignment="0" applyProtection="0"/>
    <xf numFmtId="3" fontId="5" fillId="7" borderId="0" applyNumberFormat="0" applyFont="0" applyBorder="0" applyAlignment="0" applyProtection="0"/>
    <xf numFmtId="188" fontId="7" fillId="12" borderId="0" applyNumberFormat="0" applyBorder="0" applyAlignment="0">
      <alignment horizontal="left" vertical="center"/>
    </xf>
    <xf numFmtId="0" fontId="4" fillId="0" borderId="0"/>
    <xf numFmtId="49" fontId="35" fillId="0" borderId="1" applyNumberFormat="0" applyFont="0" applyFill="0" applyBorder="0" applyProtection="0">
      <alignment horizontal="left" vertical="center" indent="2"/>
    </xf>
    <xf numFmtId="49" fontId="35" fillId="0" borderId="2" applyNumberFormat="0" applyFont="0" applyFill="0" applyBorder="0" applyProtection="0">
      <alignment horizontal="left" vertical="center" indent="5"/>
    </xf>
    <xf numFmtId="4" fontId="36" fillId="0" borderId="3" applyFill="0" applyBorder="0" applyProtection="0">
      <alignment horizontal="right" vertical="center"/>
    </xf>
    <xf numFmtId="3" fontId="4" fillId="0" borderId="0" applyFont="0" applyFill="0" applyBorder="0" applyAlignment="0" applyProtection="0"/>
    <xf numFmtId="0" fontId="38" fillId="0" borderId="0">
      <alignment horizontal="left" vertical="center" wrapText="1"/>
    </xf>
    <xf numFmtId="181" fontId="4" fillId="0" borderId="0" applyFont="0" applyFill="0" applyBorder="0" applyAlignment="0" applyProtection="0"/>
    <xf numFmtId="3" fontId="39" fillId="0" borderId="80" applyAlignment="0">
      <alignment horizontal="right" vertical="center"/>
    </xf>
    <xf numFmtId="180" fontId="39" fillId="0" borderId="80">
      <alignment horizontal="right" vertical="center"/>
    </xf>
    <xf numFmtId="49" fontId="40" fillId="0" borderId="80">
      <alignment horizontal="left" vertical="center"/>
    </xf>
    <xf numFmtId="189" fontId="41" fillId="0" borderId="80" applyNumberFormat="0" applyFill="0">
      <alignment horizontal="right"/>
    </xf>
    <xf numFmtId="190" fontId="41" fillId="0" borderId="80">
      <alignment horizontal="right"/>
    </xf>
    <xf numFmtId="0" fontId="4" fillId="0" borderId="0" applyFont="0" applyFill="0" applyBorder="0" applyAlignment="0" applyProtection="0"/>
    <xf numFmtId="191" fontId="4" fillId="0" borderId="0" applyFont="0" applyFill="0" applyBorder="0" applyAlignment="0" applyProtection="0"/>
    <xf numFmtId="2" fontId="4" fillId="0" borderId="0" applyFont="0" applyFill="0" applyBorder="0" applyAlignment="0" applyProtection="0"/>
    <xf numFmtId="0" fontId="42" fillId="0" borderId="0" applyNumberFormat="0" applyFill="0" applyBorder="0" applyAlignment="0" applyProtection="0"/>
    <xf numFmtId="0" fontId="43" fillId="0" borderId="80">
      <alignment horizontal="left"/>
    </xf>
    <xf numFmtId="0" fontId="43" fillId="0" borderId="81">
      <alignment horizontal="right" vertical="center"/>
    </xf>
    <xf numFmtId="0" fontId="44" fillId="0" borderId="80">
      <alignment horizontal="left" vertical="center"/>
    </xf>
    <xf numFmtId="0" fontId="41" fillId="0" borderId="80">
      <alignment horizontal="left" vertical="center"/>
    </xf>
    <xf numFmtId="0" fontId="45" fillId="0" borderId="80">
      <alignment horizontal="left"/>
    </xf>
    <xf numFmtId="0" fontId="45" fillId="20" borderId="0">
      <alignment horizontal="centerContinuous" wrapText="1"/>
    </xf>
    <xf numFmtId="49" fontId="45" fillId="20" borderId="4">
      <alignment horizontal="left" vertical="center"/>
    </xf>
    <xf numFmtId="0" fontId="45" fillId="20" borderId="0">
      <alignment horizontal="centerContinuous" vertical="center" wrapText="1"/>
    </xf>
    <xf numFmtId="165" fontId="46" fillId="0" borderId="0" applyFont="0" applyFill="0" applyBorder="0" applyAlignment="0" applyProtection="0"/>
    <xf numFmtId="166" fontId="46" fillId="0" borderId="0" applyFont="0" applyFill="0" applyBorder="0" applyAlignment="0" applyProtection="0"/>
    <xf numFmtId="9" fontId="46" fillId="0" borderId="0" applyFont="0" applyFill="0" applyBorder="0" applyAlignment="0" applyProtection="0"/>
    <xf numFmtId="192" fontId="46" fillId="0" borderId="0" applyFont="0" applyFill="0" applyBorder="0" applyAlignment="0" applyProtection="0"/>
    <xf numFmtId="0" fontId="3" fillId="0" borderId="0"/>
    <xf numFmtId="49" fontId="36" fillId="0" borderId="1" applyNumberFormat="0" applyFill="0" applyBorder="0" applyProtection="0">
      <alignment horizontal="left" vertical="center"/>
    </xf>
    <xf numFmtId="0" fontId="35" fillId="0" borderId="1" applyNumberFormat="0" applyFill="0" applyAlignment="0" applyProtection="0"/>
    <xf numFmtId="0" fontId="47" fillId="2" borderId="0" applyNumberFormat="0" applyFont="0" applyBorder="0" applyAlignment="0" applyProtection="0"/>
    <xf numFmtId="171" fontId="35" fillId="21" borderId="1" applyNumberFormat="0" applyFont="0" applyBorder="0" applyAlignment="0" applyProtection="0">
      <alignment horizontal="right" vertical="center"/>
    </xf>
    <xf numFmtId="3" fontId="39" fillId="0" borderId="0">
      <alignment horizontal="left" vertical="center"/>
    </xf>
    <xf numFmtId="0" fontId="37" fillId="0" borderId="0">
      <alignment horizontal="left" vertical="center"/>
    </xf>
    <xf numFmtId="0" fontId="47" fillId="0" borderId="0">
      <alignment horizontal="right"/>
    </xf>
    <xf numFmtId="49" fontId="47" fillId="0" borderId="0">
      <alignment horizontal="center"/>
    </xf>
    <xf numFmtId="0" fontId="40" fillId="0" borderId="0">
      <alignment horizontal="right"/>
    </xf>
    <xf numFmtId="0" fontId="47" fillId="0" borderId="0">
      <alignment horizontal="left"/>
    </xf>
    <xf numFmtId="0" fontId="35" fillId="0" borderId="0"/>
    <xf numFmtId="49" fontId="39" fillId="0" borderId="0">
      <alignment horizontal="left" vertical="center"/>
    </xf>
    <xf numFmtId="49" fontId="40" fillId="0" borderId="80">
      <alignment horizontal="left" vertical="center"/>
    </xf>
    <xf numFmtId="49" fontId="37" fillId="0" borderId="80" applyFill="0">
      <alignment horizontal="left" vertical="center"/>
    </xf>
    <xf numFmtId="49" fontId="40" fillId="0" borderId="80">
      <alignment horizontal="left"/>
    </xf>
    <xf numFmtId="189" fontId="39" fillId="0" borderId="0" applyNumberFormat="0">
      <alignment horizontal="right"/>
    </xf>
    <xf numFmtId="0" fontId="43" fillId="22" borderId="0">
      <alignment horizontal="centerContinuous" vertical="center" wrapText="1"/>
    </xf>
    <xf numFmtId="0" fontId="43" fillId="0" borderId="82">
      <alignment horizontal="left" vertical="center"/>
    </xf>
    <xf numFmtId="0" fontId="48" fillId="0" borderId="0">
      <alignment horizontal="left" vertical="top"/>
    </xf>
    <xf numFmtId="0" fontId="45" fillId="0" borderId="0">
      <alignment horizontal="left"/>
    </xf>
    <xf numFmtId="0" fontId="38" fillId="0" borderId="0">
      <alignment horizontal="left"/>
    </xf>
    <xf numFmtId="0" fontId="41" fillId="0" borderId="0">
      <alignment horizontal="left"/>
    </xf>
    <xf numFmtId="0" fontId="48" fillId="0" borderId="0">
      <alignment horizontal="left" vertical="top"/>
    </xf>
    <xf numFmtId="0" fontId="38" fillId="0" borderId="0">
      <alignment horizontal="left"/>
    </xf>
    <xf numFmtId="0" fontId="41" fillId="0" borderId="0">
      <alignment horizontal="left"/>
    </xf>
    <xf numFmtId="49" fontId="39" fillId="0" borderId="80">
      <alignment horizontal="left"/>
    </xf>
    <xf numFmtId="0" fontId="43" fillId="0" borderId="81">
      <alignment horizontal="left"/>
    </xf>
    <xf numFmtId="0" fontId="45" fillId="0" borderId="0">
      <alignment horizontal="left" vertical="center"/>
    </xf>
    <xf numFmtId="49" fontId="47" fillId="0" borderId="80">
      <alignment horizontal="left"/>
    </xf>
    <xf numFmtId="0" fontId="35" fillId="0" borderId="0"/>
    <xf numFmtId="166" fontId="4" fillId="0" borderId="0" applyFont="0" applyFill="0" applyBorder="0" applyAlignment="0" applyProtection="0"/>
    <xf numFmtId="0" fontId="2" fillId="10" borderId="0" applyNumberFormat="0" applyBorder="0" applyAlignment="0" applyProtection="0"/>
    <xf numFmtId="9" fontId="4" fillId="0" borderId="0" applyFont="0" applyFill="0" applyBorder="0" applyAlignment="0" applyProtection="0"/>
    <xf numFmtId="0" fontId="1" fillId="0" borderId="0"/>
    <xf numFmtId="166" fontId="1" fillId="0" borderId="0" applyFont="0" applyFill="0" applyBorder="0" applyAlignment="0" applyProtection="0"/>
    <xf numFmtId="0" fontId="1" fillId="10" borderId="0" applyNumberFormat="0" applyBorder="0" applyAlignment="0" applyProtection="0"/>
    <xf numFmtId="166" fontId="4" fillId="0" borderId="0" applyFont="0" applyFill="0" applyBorder="0" applyAlignment="0" applyProtection="0"/>
    <xf numFmtId="0" fontId="1" fillId="0" borderId="0"/>
    <xf numFmtId="0" fontId="1" fillId="10" borderId="0" applyNumberFormat="0" applyBorder="0" applyAlignment="0" applyProtection="0"/>
  </cellStyleXfs>
  <cellXfs count="1576">
    <xf numFmtId="0" fontId="0" fillId="0" borderId="0" xfId="0"/>
    <xf numFmtId="0" fontId="6" fillId="3" borderId="0" xfId="0" applyFont="1" applyFill="1"/>
    <xf numFmtId="0" fontId="0" fillId="0" borderId="0" xfId="0" applyBorder="1"/>
    <xf numFmtId="0" fontId="5" fillId="0" borderId="0" xfId="0" applyFont="1" applyFill="1" applyBorder="1"/>
    <xf numFmtId="0" fontId="4" fillId="3" borderId="0" xfId="0" applyFont="1" applyFill="1"/>
    <xf numFmtId="0" fontId="11" fillId="3" borderId="0" xfId="0" applyFont="1" applyFill="1" applyBorder="1" applyAlignment="1" applyProtection="1">
      <alignment vertical="center" wrapText="1"/>
    </xf>
    <xf numFmtId="0" fontId="4" fillId="0" borderId="0" xfId="0" applyNumberFormat="1" applyFont="1" applyFill="1" applyBorder="1" applyAlignment="1" applyProtection="1"/>
    <xf numFmtId="0" fontId="4" fillId="0" borderId="0" xfId="0" applyFont="1" applyProtection="1"/>
    <xf numFmtId="0" fontId="4" fillId="0" borderId="0" xfId="0" applyFont="1" applyBorder="1" applyProtection="1"/>
    <xf numFmtId="0" fontId="4" fillId="0" borderId="26" xfId="0" applyFont="1" applyBorder="1"/>
    <xf numFmtId="0" fontId="4" fillId="0" borderId="50" xfId="0" applyFont="1" applyBorder="1" applyProtection="1"/>
    <xf numFmtId="0" fontId="4" fillId="0" borderId="28" xfId="0" applyFont="1" applyBorder="1"/>
    <xf numFmtId="0" fontId="4" fillId="0" borderId="51" xfId="0" applyFont="1" applyBorder="1"/>
    <xf numFmtId="0" fontId="4" fillId="0" borderId="52" xfId="0" applyFont="1" applyBorder="1"/>
    <xf numFmtId="0" fontId="4" fillId="0" borderId="26" xfId="0" applyFont="1" applyBorder="1" applyProtection="1"/>
    <xf numFmtId="0" fontId="4" fillId="0" borderId="50" xfId="0" applyFont="1" applyBorder="1"/>
    <xf numFmtId="0" fontId="4" fillId="0" borderId="28" xfId="0" applyFont="1" applyBorder="1" applyProtection="1"/>
    <xf numFmtId="0" fontId="4" fillId="0" borderId="51" xfId="0" applyFont="1" applyBorder="1" applyProtection="1"/>
    <xf numFmtId="0" fontId="4" fillId="0" borderId="52" xfId="0" applyFont="1" applyBorder="1" applyProtection="1"/>
    <xf numFmtId="0" fontId="14" fillId="3" borderId="29" xfId="0" applyFont="1" applyFill="1" applyBorder="1" applyAlignment="1" applyProtection="1">
      <alignment vertical="center"/>
    </xf>
    <xf numFmtId="0" fontId="14" fillId="0" borderId="29" xfId="0" applyFont="1" applyBorder="1" applyAlignment="1" applyProtection="1">
      <alignment vertical="center"/>
    </xf>
    <xf numFmtId="0" fontId="4" fillId="0" borderId="29" xfId="0" applyFont="1" applyBorder="1" applyProtection="1"/>
    <xf numFmtId="0" fontId="14" fillId="0" borderId="26" xfId="0" applyFont="1" applyBorder="1" applyAlignment="1" applyProtection="1">
      <alignment vertical="center"/>
    </xf>
    <xf numFmtId="0" fontId="12" fillId="3" borderId="0" xfId="0" applyFont="1" applyFill="1" applyBorder="1" applyAlignment="1" applyProtection="1">
      <alignment vertical="center"/>
    </xf>
    <xf numFmtId="0" fontId="4" fillId="0" borderId="0" xfId="0" applyFont="1" applyBorder="1"/>
    <xf numFmtId="0" fontId="4" fillId="0" borderId="0" xfId="0" applyFont="1"/>
    <xf numFmtId="0" fontId="4" fillId="0" borderId="25" xfId="0" applyFont="1" applyBorder="1" applyProtection="1"/>
    <xf numFmtId="0" fontId="4" fillId="0" borderId="54" xfId="0" applyFont="1" applyBorder="1" applyProtection="1"/>
    <xf numFmtId="0" fontId="14" fillId="3" borderId="0" xfId="0" applyFont="1" applyFill="1" applyBorder="1" applyAlignment="1" applyProtection="1">
      <alignment vertical="center"/>
    </xf>
    <xf numFmtId="0" fontId="14" fillId="3" borderId="53" xfId="0" applyFont="1" applyFill="1" applyBorder="1" applyAlignment="1" applyProtection="1">
      <alignment vertical="center"/>
    </xf>
    <xf numFmtId="0" fontId="26" fillId="0" borderId="52" xfId="0" applyFont="1" applyBorder="1" applyProtection="1"/>
    <xf numFmtId="0" fontId="25" fillId="0" borderId="51" xfId="0" applyFont="1" applyBorder="1" applyProtection="1"/>
    <xf numFmtId="0" fontId="4" fillId="0" borderId="50" xfId="0" applyFont="1" applyBorder="1"/>
    <xf numFmtId="0" fontId="4" fillId="0" borderId="26" xfId="0" applyFont="1" applyBorder="1" applyProtection="1"/>
    <xf numFmtId="0" fontId="4" fillId="0" borderId="28" xfId="0" applyFont="1" applyBorder="1" applyProtection="1"/>
    <xf numFmtId="0" fontId="4" fillId="0" borderId="51" xfId="0" applyFont="1" applyBorder="1" applyProtection="1"/>
    <xf numFmtId="0" fontId="4" fillId="0" borderId="51" xfId="0" applyFont="1" applyBorder="1"/>
    <xf numFmtId="0" fontId="4" fillId="0" borderId="50" xfId="0" applyFont="1" applyBorder="1" applyProtection="1"/>
    <xf numFmtId="0" fontId="4" fillId="0" borderId="26" xfId="0" applyFont="1" applyBorder="1"/>
    <xf numFmtId="0" fontId="4" fillId="3" borderId="0" xfId="0" applyFont="1" applyFill="1" applyBorder="1" applyProtection="1"/>
    <xf numFmtId="0" fontId="4" fillId="3" borderId="0" xfId="0" applyFont="1" applyFill="1" applyBorder="1" applyAlignment="1" applyProtection="1">
      <alignment horizontal="left" vertical="center" wrapText="1"/>
    </xf>
    <xf numFmtId="0" fontId="4" fillId="0" borderId="0" xfId="0" applyFont="1" applyAlignment="1">
      <alignment vertical="center"/>
    </xf>
    <xf numFmtId="0" fontId="4" fillId="0" borderId="0" xfId="0" applyFont="1" applyFill="1" applyBorder="1"/>
    <xf numFmtId="0" fontId="4" fillId="0" borderId="26" xfId="0" applyFont="1" applyBorder="1" applyAlignment="1">
      <alignment vertical="center"/>
    </xf>
    <xf numFmtId="0" fontId="4" fillId="0" borderId="51" xfId="0" applyFont="1" applyBorder="1" applyAlignment="1" applyProtection="1">
      <alignment vertical="center"/>
    </xf>
    <xf numFmtId="0" fontId="4" fillId="0" borderId="55" xfId="0" applyFont="1" applyBorder="1" applyProtection="1"/>
    <xf numFmtId="0" fontId="4" fillId="0" borderId="55" xfId="0" applyFont="1" applyBorder="1" applyAlignment="1" applyProtection="1">
      <alignment vertical="center"/>
    </xf>
    <xf numFmtId="0" fontId="29" fillId="0" borderId="26" xfId="0" applyFont="1" applyBorder="1" applyAlignment="1" applyProtection="1">
      <alignment horizontal="right"/>
    </xf>
    <xf numFmtId="0" fontId="29" fillId="0" borderId="50" xfId="0" applyFont="1" applyBorder="1" applyAlignment="1" applyProtection="1">
      <alignment horizontal="right"/>
    </xf>
    <xf numFmtId="3" fontId="11" fillId="3" borderId="0" xfId="0" applyNumberFormat="1" applyFont="1" applyFill="1" applyBorder="1" applyAlignment="1" applyProtection="1">
      <alignment horizontal="center" vertical="center" wrapText="1"/>
    </xf>
    <xf numFmtId="0" fontId="11" fillId="0" borderId="0" xfId="0" applyFont="1" applyBorder="1" applyAlignment="1">
      <alignment vertical="center" wrapText="1"/>
    </xf>
    <xf numFmtId="0" fontId="4" fillId="3" borderId="53" xfId="0" applyFont="1" applyFill="1" applyBorder="1" applyAlignment="1" applyProtection="1">
      <alignment vertical="top" wrapText="1"/>
    </xf>
    <xf numFmtId="0" fontId="4" fillId="0" borderId="50" xfId="0" applyFont="1" applyBorder="1" applyAlignment="1" applyProtection="1">
      <alignment horizontal="right"/>
    </xf>
    <xf numFmtId="0" fontId="23" fillId="3" borderId="0" xfId="0" applyFont="1" applyFill="1" applyBorder="1" applyAlignment="1" applyProtection="1">
      <alignment vertical="center"/>
    </xf>
    <xf numFmtId="1" fontId="4" fillId="3" borderId="0" xfId="0" applyNumberFormat="1" applyFont="1" applyFill="1" applyBorder="1" applyAlignment="1" applyProtection="1">
      <alignment horizontal="left" vertical="center" wrapText="1"/>
    </xf>
    <xf numFmtId="0" fontId="9" fillId="12" borderId="0" xfId="0" applyNumberFormat="1" applyFont="1" applyFill="1" applyBorder="1" applyAlignment="1" applyProtection="1">
      <alignment vertical="center"/>
      <protection locked="0"/>
    </xf>
    <xf numFmtId="0" fontId="31" fillId="12" borderId="0" xfId="0" applyNumberFormat="1" applyFont="1" applyFill="1" applyBorder="1" applyAlignment="1" applyProtection="1">
      <alignment horizontal="center" vertical="center"/>
    </xf>
    <xf numFmtId="0" fontId="24" fillId="12" borderId="0" xfId="0" applyNumberFormat="1" applyFont="1" applyFill="1" applyBorder="1" applyAlignment="1" applyProtection="1">
      <alignment vertical="center"/>
      <protection locked="0"/>
    </xf>
    <xf numFmtId="0" fontId="11" fillId="12" borderId="0" xfId="0" applyNumberFormat="1" applyFont="1" applyFill="1" applyBorder="1" applyAlignment="1" applyProtection="1">
      <alignment vertical="center"/>
    </xf>
    <xf numFmtId="0" fontId="4" fillId="12" borderId="0" xfId="0" applyNumberFormat="1" applyFont="1" applyFill="1" applyBorder="1" applyAlignment="1" applyProtection="1">
      <alignment vertical="center"/>
    </xf>
    <xf numFmtId="0" fontId="9" fillId="0" borderId="0" xfId="0" applyNumberFormat="1" applyFont="1" applyFill="1" applyBorder="1" applyAlignment="1" applyProtection="1">
      <alignment vertical="center"/>
      <protection locked="0"/>
    </xf>
    <xf numFmtId="0" fontId="27" fillId="0" borderId="0" xfId="0" applyNumberFormat="1" applyFont="1" applyFill="1" applyBorder="1" applyAlignment="1" applyProtection="1">
      <alignment horizontal="center" vertical="center"/>
    </xf>
    <xf numFmtId="0" fontId="28" fillId="0" borderId="0" xfId="0" applyNumberFormat="1" applyFont="1" applyFill="1" applyBorder="1" applyAlignment="1" applyProtection="1">
      <alignment vertical="center"/>
      <protection locked="0"/>
    </xf>
    <xf numFmtId="0" fontId="11" fillId="0" borderId="0" xfId="0" applyNumberFormat="1" applyFont="1" applyFill="1" applyBorder="1" applyAlignment="1" applyProtection="1">
      <alignment vertical="center"/>
    </xf>
    <xf numFmtId="0" fontId="4" fillId="0" borderId="0" xfId="0" applyNumberFormat="1" applyFont="1" applyFill="1" applyBorder="1" applyAlignment="1" applyProtection="1">
      <alignment vertical="center"/>
    </xf>
    <xf numFmtId="0" fontId="4" fillId="0" borderId="0" xfId="0" applyFont="1" applyFill="1" applyBorder="1" applyAlignment="1">
      <alignment vertical="center"/>
    </xf>
    <xf numFmtId="0" fontId="4" fillId="0" borderId="0" xfId="0" applyFont="1" applyFill="1"/>
    <xf numFmtId="0" fontId="4" fillId="3" borderId="0" xfId="0" applyFont="1" applyFill="1" applyProtection="1"/>
    <xf numFmtId="0" fontId="4" fillId="3" borderId="52" xfId="0" applyFont="1" applyFill="1" applyBorder="1" applyAlignment="1">
      <alignment vertical="center"/>
    </xf>
    <xf numFmtId="0" fontId="30" fillId="3" borderId="58" xfId="0" applyFont="1" applyFill="1" applyBorder="1" applyAlignment="1" applyProtection="1">
      <alignment horizontal="right" vertical="center"/>
    </xf>
    <xf numFmtId="0" fontId="4" fillId="3" borderId="52" xfId="0" applyFont="1" applyFill="1" applyBorder="1" applyAlignment="1" applyProtection="1">
      <alignment vertical="center"/>
    </xf>
    <xf numFmtId="0" fontId="9" fillId="12" borderId="0" xfId="0" applyNumberFormat="1" applyFont="1" applyFill="1" applyBorder="1" applyAlignment="1" applyProtection="1">
      <protection locked="0"/>
    </xf>
    <xf numFmtId="0" fontId="11" fillId="12" borderId="0" xfId="0" applyNumberFormat="1" applyFont="1" applyFill="1" applyBorder="1" applyAlignment="1" applyProtection="1"/>
    <xf numFmtId="0" fontId="4" fillId="12" borderId="0" xfId="0" applyNumberFormat="1" applyFont="1" applyFill="1" applyBorder="1" applyAlignment="1" applyProtection="1"/>
    <xf numFmtId="0" fontId="4" fillId="15" borderId="6" xfId="0" applyNumberFormat="1" applyFont="1" applyFill="1" applyBorder="1" applyAlignment="1" applyProtection="1"/>
    <xf numFmtId="0" fontId="11" fillId="15" borderId="6" xfId="0" applyNumberFormat="1" applyFont="1" applyFill="1" applyBorder="1" applyAlignment="1" applyProtection="1"/>
    <xf numFmtId="0" fontId="11" fillId="0" borderId="26" xfId="0" applyFont="1" applyBorder="1" applyProtection="1"/>
    <xf numFmtId="0" fontId="9" fillId="15" borderId="5" xfId="0" applyNumberFormat="1" applyFont="1" applyFill="1" applyBorder="1" applyAlignment="1" applyProtection="1">
      <protection locked="0"/>
    </xf>
    <xf numFmtId="0" fontId="13" fillId="15" borderId="6" xfId="0" applyNumberFormat="1" applyFont="1" applyFill="1" applyBorder="1" applyAlignment="1" applyProtection="1">
      <alignment horizontal="left" vertical="center"/>
      <protection locked="0"/>
    </xf>
    <xf numFmtId="0" fontId="9" fillId="15" borderId="5" xfId="0" applyNumberFormat="1" applyFont="1" applyFill="1" applyBorder="1" applyAlignment="1" applyProtection="1">
      <alignment vertical="center"/>
      <protection locked="0"/>
    </xf>
    <xf numFmtId="0" fontId="11" fillId="15" borderId="6" xfId="0" applyNumberFormat="1" applyFont="1" applyFill="1" applyBorder="1" applyAlignment="1" applyProtection="1">
      <alignment vertical="center"/>
    </xf>
    <xf numFmtId="0" fontId="4" fillId="15" borderId="6" xfId="0" applyNumberFormat="1" applyFont="1" applyFill="1" applyBorder="1" applyAlignment="1" applyProtection="1">
      <alignment vertical="center"/>
    </xf>
    <xf numFmtId="0" fontId="4" fillId="0" borderId="52" xfId="0" applyFont="1" applyBorder="1" applyProtection="1"/>
    <xf numFmtId="0" fontId="4" fillId="0" borderId="52" xfId="0" applyFont="1" applyBorder="1"/>
    <xf numFmtId="0" fontId="19" fillId="0" borderId="0" xfId="0" applyFont="1" applyFill="1"/>
    <xf numFmtId="0" fontId="4" fillId="0" borderId="0" xfId="0" applyFont="1" applyFill="1" applyBorder="1" applyAlignment="1">
      <alignment horizontal="left" vertical="center"/>
    </xf>
    <xf numFmtId="0" fontId="0" fillId="0" borderId="0" xfId="0" applyFill="1"/>
    <xf numFmtId="0" fontId="4" fillId="0" borderId="51" xfId="0" applyFont="1" applyBorder="1" applyAlignment="1">
      <alignment wrapText="1"/>
    </xf>
    <xf numFmtId="0" fontId="4" fillId="0" borderId="51" xfId="0" applyFont="1" applyBorder="1" applyAlignment="1" applyProtection="1">
      <alignment wrapText="1"/>
    </xf>
    <xf numFmtId="0" fontId="0" fillId="0" borderId="0" xfId="0" applyAlignment="1">
      <alignment wrapText="1"/>
    </xf>
    <xf numFmtId="0" fontId="4" fillId="0" borderId="60" xfId="0" applyFont="1" applyBorder="1" applyProtection="1"/>
    <xf numFmtId="0" fontId="0" fillId="0" borderId="0" xfId="0"/>
    <xf numFmtId="0" fontId="5" fillId="0" borderId="0" xfId="0" applyFont="1"/>
    <xf numFmtId="0" fontId="0" fillId="0" borderId="0" xfId="0"/>
    <xf numFmtId="0" fontId="0" fillId="0" borderId="0" xfId="0"/>
    <xf numFmtId="0" fontId="0" fillId="3" borderId="0" xfId="0" applyFill="1" applyProtection="1"/>
    <xf numFmtId="0" fontId="0" fillId="0" borderId="0" xfId="0" applyProtection="1"/>
    <xf numFmtId="0" fontId="0" fillId="3" borderId="4" xfId="0" applyFill="1" applyBorder="1" applyProtection="1"/>
    <xf numFmtId="0" fontId="0" fillId="3" borderId="0" xfId="0" applyFill="1" applyBorder="1" applyProtection="1"/>
    <xf numFmtId="0" fontId="6" fillId="3" borderId="0" xfId="0" applyFont="1" applyFill="1" applyBorder="1" applyProtection="1"/>
    <xf numFmtId="3" fontId="0" fillId="3" borderId="0" xfId="0" applyNumberFormat="1" applyFill="1" applyProtection="1"/>
    <xf numFmtId="0" fontId="15" fillId="3" borderId="0" xfId="0" applyFont="1" applyFill="1" applyAlignment="1" applyProtection="1">
      <alignment horizontal="center" vertical="center"/>
    </xf>
    <xf numFmtId="0" fontId="6" fillId="3" borderId="0" xfId="0" applyFont="1" applyFill="1" applyProtection="1"/>
    <xf numFmtId="170" fontId="0" fillId="3" borderId="0" xfId="0" applyNumberFormat="1" applyFill="1" applyBorder="1" applyAlignment="1" applyProtection="1">
      <alignment horizontal="right" vertical="center" indent="1"/>
    </xf>
    <xf numFmtId="0" fontId="5" fillId="3" borderId="0" xfId="0" applyFont="1" applyFill="1" applyBorder="1" applyAlignment="1" applyProtection="1">
      <alignment horizontal="left" vertical="center"/>
    </xf>
    <xf numFmtId="170" fontId="5" fillId="3" borderId="0" xfId="0" applyNumberFormat="1" applyFont="1" applyFill="1" applyBorder="1" applyAlignment="1" applyProtection="1">
      <alignment horizontal="right" vertical="center" indent="1"/>
    </xf>
    <xf numFmtId="3" fontId="33" fillId="3" borderId="0" xfId="0" applyNumberFormat="1" applyFont="1" applyFill="1" applyBorder="1" applyProtection="1"/>
    <xf numFmtId="166" fontId="33" fillId="3" borderId="0" xfId="4" applyNumberFormat="1" applyFont="1" applyFill="1" applyBorder="1" applyAlignment="1" applyProtection="1">
      <alignment horizontal="right" vertical="center" indent="1"/>
    </xf>
    <xf numFmtId="0" fontId="0" fillId="0" borderId="4" xfId="0" applyBorder="1" applyProtection="1"/>
    <xf numFmtId="169" fontId="0" fillId="3" borderId="0" xfId="0" applyNumberFormat="1" applyFill="1" applyBorder="1" applyAlignment="1" applyProtection="1">
      <alignment horizontal="right" vertical="center" indent="1"/>
    </xf>
    <xf numFmtId="0" fontId="0" fillId="3" borderId="0" xfId="0" applyFill="1" applyAlignment="1" applyProtection="1">
      <alignment horizontal="right" vertical="center" indent="1"/>
    </xf>
    <xf numFmtId="0" fontId="0" fillId="0" borderId="0" xfId="0" applyFill="1" applyProtection="1"/>
    <xf numFmtId="169" fontId="0" fillId="0" borderId="0" xfId="0" applyNumberFormat="1" applyFill="1" applyBorder="1" applyAlignment="1" applyProtection="1">
      <alignment horizontal="right" vertical="center" indent="1"/>
    </xf>
    <xf numFmtId="0" fontId="0" fillId="0" borderId="0" xfId="0" applyFill="1" applyAlignment="1" applyProtection="1">
      <alignment horizontal="right" vertical="center" indent="1"/>
    </xf>
    <xf numFmtId="170" fontId="0" fillId="3" borderId="0" xfId="4" applyNumberFormat="1" applyFont="1" applyFill="1" applyBorder="1" applyAlignment="1" applyProtection="1">
      <alignment horizontal="right" vertical="center" indent="1"/>
    </xf>
    <xf numFmtId="166" fontId="0" fillId="3" borderId="0" xfId="4" applyNumberFormat="1" applyFont="1" applyFill="1" applyBorder="1" applyAlignment="1" applyProtection="1">
      <alignment horizontal="right" vertical="center" indent="1"/>
    </xf>
    <xf numFmtId="169" fontId="0" fillId="3" borderId="0" xfId="0" applyNumberFormat="1" applyFill="1" applyBorder="1" applyProtection="1"/>
    <xf numFmtId="0" fontId="0" fillId="15" borderId="6" xfId="0" applyFill="1" applyBorder="1"/>
    <xf numFmtId="0" fontId="0" fillId="15" borderId="7" xfId="0" applyFill="1" applyBorder="1"/>
    <xf numFmtId="0" fontId="4" fillId="0" borderId="0" xfId="0" applyFont="1" applyFill="1" applyAlignment="1">
      <alignment horizontal="center" vertical="center"/>
    </xf>
    <xf numFmtId="0" fontId="0" fillId="0" borderId="0" xfId="0" applyAlignment="1">
      <alignment horizontal="center" vertical="center"/>
    </xf>
    <xf numFmtId="0" fontId="5" fillId="0" borderId="0" xfId="0" applyFont="1" applyFill="1" applyAlignment="1">
      <alignment horizontal="center" vertical="center"/>
    </xf>
    <xf numFmtId="0" fontId="0" fillId="0" borderId="0" xfId="0" applyAlignment="1">
      <alignment horizontal="center"/>
    </xf>
    <xf numFmtId="0" fontId="5" fillId="3" borderId="0" xfId="0" applyFont="1" applyFill="1" applyBorder="1" applyProtection="1"/>
    <xf numFmtId="0" fontId="0" fillId="0" borderId="0" xfId="0" applyBorder="1" applyProtection="1"/>
    <xf numFmtId="0" fontId="15" fillId="3" borderId="0" xfId="0" applyFont="1" applyFill="1" applyBorder="1" applyAlignment="1" applyProtection="1">
      <alignment horizontal="center" vertical="center"/>
    </xf>
    <xf numFmtId="0" fontId="0" fillId="3" borderId="0" xfId="0" applyFill="1" applyBorder="1" applyAlignment="1" applyProtection="1">
      <alignment horizontal="right" vertical="center" indent="1"/>
    </xf>
    <xf numFmtId="174" fontId="12" fillId="3" borderId="0" xfId="3" applyNumberFormat="1" applyFont="1" applyFill="1" applyBorder="1" applyAlignment="1" applyProtection="1">
      <alignment vertical="center"/>
    </xf>
    <xf numFmtId="0" fontId="16" fillId="0" borderId="51" xfId="0" applyFont="1" applyBorder="1" applyAlignment="1" applyProtection="1">
      <alignment horizontal="right" vertical="top"/>
    </xf>
    <xf numFmtId="0" fontId="16" fillId="3" borderId="58" xfId="0" applyNumberFormat="1" applyFont="1" applyFill="1" applyBorder="1" applyAlignment="1" applyProtection="1">
      <alignment vertical="top" wrapText="1"/>
    </xf>
    <xf numFmtId="0" fontId="16" fillId="3" borderId="59" xfId="0" applyNumberFormat="1" applyFont="1" applyFill="1" applyBorder="1" applyAlignment="1" applyProtection="1">
      <alignment vertical="top" wrapText="1"/>
    </xf>
    <xf numFmtId="0" fontId="18" fillId="0" borderId="0" xfId="0" applyFont="1" applyAlignment="1">
      <alignment vertical="center"/>
    </xf>
    <xf numFmtId="0" fontId="0" fillId="0" borderId="0" xfId="0" applyFont="1"/>
    <xf numFmtId="182" fontId="15" fillId="25" borderId="20" xfId="7" applyNumberFormat="1" applyFont="1" applyFill="1" applyBorder="1" applyAlignment="1">
      <alignment vertical="center"/>
    </xf>
    <xf numFmtId="177" fontId="4" fillId="0" borderId="28" xfId="0" applyNumberFormat="1" applyFont="1" applyBorder="1" applyAlignment="1" applyProtection="1">
      <alignment vertical="center"/>
    </xf>
    <xf numFmtId="0" fontId="11" fillId="3" borderId="61" xfId="0" applyFont="1" applyFill="1" applyBorder="1" applyAlignment="1" applyProtection="1">
      <alignment vertical="center" wrapText="1"/>
    </xf>
    <xf numFmtId="182" fontId="15" fillId="18" borderId="20" xfId="6" applyNumberFormat="1" applyFont="1" applyFill="1" applyBorder="1" applyAlignment="1">
      <alignment vertical="center"/>
    </xf>
    <xf numFmtId="0" fontId="34" fillId="0" borderId="52" xfId="0" applyFont="1" applyFill="1" applyBorder="1"/>
    <xf numFmtId="0" fontId="4" fillId="0" borderId="0" xfId="0" applyFont="1" applyAlignment="1">
      <alignment horizontal="center"/>
    </xf>
    <xf numFmtId="0" fontId="54" fillId="3" borderId="1" xfId="0" applyFont="1" applyFill="1" applyBorder="1" applyAlignment="1" applyProtection="1">
      <alignment horizontal="left" vertical="center"/>
    </xf>
    <xf numFmtId="0" fontId="56" fillId="3" borderId="1" xfId="0" applyFont="1" applyFill="1" applyBorder="1" applyAlignment="1" applyProtection="1">
      <alignment horizontal="left" vertical="center"/>
    </xf>
    <xf numFmtId="173" fontId="54" fillId="3" borderId="1" xfId="0" applyNumberFormat="1" applyFont="1" applyFill="1" applyBorder="1" applyAlignment="1" applyProtection="1">
      <alignment horizontal="right" vertical="center" indent="1"/>
    </xf>
    <xf numFmtId="173" fontId="54" fillId="0" borderId="1" xfId="0" applyNumberFormat="1" applyFont="1" applyBorder="1" applyAlignment="1" applyProtection="1">
      <alignment horizontal="right" vertical="center" indent="1"/>
    </xf>
    <xf numFmtId="173" fontId="56" fillId="3" borderId="1" xfId="0" applyNumberFormat="1" applyFont="1" applyFill="1" applyBorder="1" applyAlignment="1" applyProtection="1">
      <alignment horizontal="right" vertical="center" indent="1"/>
    </xf>
    <xf numFmtId="196" fontId="54" fillId="3" borderId="7" xfId="4" applyNumberFormat="1" applyFont="1" applyFill="1" applyBorder="1" applyAlignment="1" applyProtection="1">
      <alignment horizontal="right" vertical="center" indent="1"/>
    </xf>
    <xf numFmtId="173" fontId="54" fillId="33" borderId="1" xfId="0" applyNumberFormat="1" applyFont="1" applyFill="1" applyBorder="1" applyAlignment="1" applyProtection="1">
      <alignment horizontal="right" vertical="center" indent="1"/>
    </xf>
    <xf numFmtId="0" fontId="54" fillId="15" borderId="5" xfId="0" applyFont="1" applyFill="1" applyBorder="1" applyAlignment="1" applyProtection="1">
      <alignment horizontal="left" vertical="center"/>
    </xf>
    <xf numFmtId="196" fontId="54" fillId="0" borderId="43" xfId="5" applyNumberFormat="1" applyFont="1" applyFill="1" applyBorder="1" applyAlignment="1" applyProtection="1">
      <alignment horizontal="left" vertical="center" indent="1"/>
    </xf>
    <xf numFmtId="0" fontId="54" fillId="15" borderId="1" xfId="0" applyFont="1" applyFill="1" applyBorder="1" applyAlignment="1" applyProtection="1">
      <alignment horizontal="left" vertical="center"/>
    </xf>
    <xf numFmtId="196" fontId="54" fillId="24" borderId="43" xfId="5" applyNumberFormat="1" applyFont="1" applyFill="1" applyBorder="1" applyAlignment="1" applyProtection="1">
      <alignment horizontal="left" vertical="center" indent="1"/>
    </xf>
    <xf numFmtId="0" fontId="54" fillId="25" borderId="5" xfId="0" applyFont="1" applyFill="1" applyBorder="1" applyAlignment="1" applyProtection="1">
      <alignment horizontal="left"/>
    </xf>
    <xf numFmtId="196" fontId="54" fillId="25" borderId="1" xfId="7" applyNumberFormat="1" applyFont="1" applyFill="1" applyBorder="1" applyAlignment="1" applyProtection="1">
      <alignment horizontal="right" vertical="center" indent="1"/>
    </xf>
    <xf numFmtId="196" fontId="54" fillId="0" borderId="57" xfId="5" applyNumberFormat="1" applyFont="1" applyFill="1" applyBorder="1" applyAlignment="1" applyProtection="1">
      <alignment horizontal="left" vertical="center" indent="1"/>
    </xf>
    <xf numFmtId="0" fontId="54" fillId="15" borderId="1" xfId="0" applyFont="1" applyFill="1" applyBorder="1" applyAlignment="1" applyProtection="1">
      <alignment horizontal="left"/>
    </xf>
    <xf numFmtId="196" fontId="56" fillId="26" borderId="7" xfId="4" applyNumberFormat="1" applyFont="1" applyFill="1" applyBorder="1" applyAlignment="1" applyProtection="1">
      <alignment horizontal="right" vertical="center" indent="1"/>
    </xf>
    <xf numFmtId="0" fontId="54" fillId="25" borderId="1" xfId="0" applyFont="1" applyFill="1" applyBorder="1" applyAlignment="1" applyProtection="1">
      <alignment horizontal="left" vertical="center"/>
    </xf>
    <xf numFmtId="0" fontId="54" fillId="25" borderId="5" xfId="0" applyFont="1" applyFill="1" applyBorder="1" applyAlignment="1" applyProtection="1">
      <alignment horizontal="left" vertical="center"/>
    </xf>
    <xf numFmtId="196" fontId="56" fillId="25" borderId="1" xfId="7" applyNumberFormat="1" applyFont="1" applyFill="1" applyBorder="1" applyAlignment="1" applyProtection="1">
      <alignment horizontal="right" vertical="center" indent="1"/>
    </xf>
    <xf numFmtId="183" fontId="54" fillId="14" borderId="5" xfId="12" applyNumberFormat="1" applyFont="1" applyFill="1" applyBorder="1" applyAlignment="1" applyProtection="1">
      <alignment horizontal="center" vertical="center" wrapText="1"/>
    </xf>
    <xf numFmtId="183" fontId="54" fillId="14" borderId="21" xfId="12" applyNumberFormat="1" applyFont="1" applyFill="1" applyBorder="1" applyAlignment="1" applyProtection="1">
      <alignment horizontal="center" vertical="center" wrapText="1"/>
    </xf>
    <xf numFmtId="183" fontId="54" fillId="14" borderId="1" xfId="12" applyNumberFormat="1" applyFont="1" applyFill="1" applyBorder="1" applyAlignment="1" applyProtection="1">
      <alignment horizontal="center" vertical="center" wrapText="1"/>
    </xf>
    <xf numFmtId="183" fontId="56" fillId="14" borderId="1" xfId="12" applyNumberFormat="1" applyFont="1" applyFill="1" applyBorder="1" applyAlignment="1" applyProtection="1">
      <alignment horizontal="center" vertical="center" wrapText="1"/>
    </xf>
    <xf numFmtId="173" fontId="54" fillId="32" borderId="1" xfId="0" applyNumberFormat="1" applyFont="1" applyFill="1" applyBorder="1" applyAlignment="1" applyProtection="1">
      <alignment horizontal="right" vertical="center" indent="1"/>
    </xf>
    <xf numFmtId="0" fontId="52" fillId="15" borderId="1" xfId="0" applyFont="1" applyFill="1" applyBorder="1" applyProtection="1"/>
    <xf numFmtId="0" fontId="50" fillId="4" borderId="1" xfId="6" applyFont="1" applyBorder="1" applyAlignment="1" applyProtection="1">
      <alignment horizontal="center" vertical="center"/>
    </xf>
    <xf numFmtId="0" fontId="50" fillId="27" borderId="1" xfId="8" applyFont="1" applyFill="1" applyBorder="1" applyAlignment="1" applyProtection="1">
      <alignment horizontal="center" vertical="center"/>
    </xf>
    <xf numFmtId="0" fontId="50" fillId="24" borderId="1" xfId="9" applyFont="1" applyFill="1" applyBorder="1" applyAlignment="1" applyProtection="1">
      <alignment horizontal="center" vertical="center"/>
    </xf>
    <xf numFmtId="0" fontId="52" fillId="3" borderId="4" xfId="0" applyFont="1" applyFill="1" applyBorder="1" applyProtection="1"/>
    <xf numFmtId="0" fontId="57" fillId="3" borderId="4" xfId="0" applyFont="1" applyFill="1" applyBorder="1" applyProtection="1"/>
    <xf numFmtId="0" fontId="52" fillId="3" borderId="0" xfId="0" applyFont="1" applyFill="1" applyBorder="1" applyProtection="1"/>
    <xf numFmtId="0" fontId="59" fillId="3" borderId="0" xfId="0" applyFont="1" applyFill="1" applyBorder="1" applyProtection="1"/>
    <xf numFmtId="0" fontId="52" fillId="0" borderId="0" xfId="0" applyFont="1" applyProtection="1"/>
    <xf numFmtId="3" fontId="52" fillId="3" borderId="0" xfId="0" applyNumberFormat="1" applyFont="1" applyFill="1" applyBorder="1" applyProtection="1"/>
    <xf numFmtId="173" fontId="52" fillId="33" borderId="1" xfId="0" applyNumberFormat="1" applyFont="1" applyFill="1" applyBorder="1" applyAlignment="1" applyProtection="1">
      <alignment horizontal="right" vertical="center" indent="1"/>
    </xf>
    <xf numFmtId="0" fontId="60" fillId="3" borderId="4" xfId="0" applyFont="1" applyFill="1" applyBorder="1" applyAlignment="1" applyProtection="1">
      <alignment horizontal="left" vertical="center" indent="1"/>
    </xf>
    <xf numFmtId="0" fontId="60" fillId="3" borderId="4" xfId="0" applyFont="1" applyFill="1" applyBorder="1" applyProtection="1"/>
    <xf numFmtId="3" fontId="60" fillId="3" borderId="4" xfId="0" applyNumberFormat="1" applyFont="1" applyFill="1" applyBorder="1" applyProtection="1"/>
    <xf numFmtId="0" fontId="60" fillId="3" borderId="0" xfId="0" applyFont="1" applyFill="1" applyBorder="1" applyAlignment="1" applyProtection="1">
      <alignment horizontal="left" vertical="center" indent="1"/>
    </xf>
    <xf numFmtId="0" fontId="60" fillId="3" borderId="0" xfId="0" applyFont="1" applyFill="1" applyBorder="1" applyProtection="1"/>
    <xf numFmtId="3" fontId="60" fillId="3" borderId="0" xfId="0" applyNumberFormat="1" applyFont="1" applyFill="1" applyBorder="1" applyProtection="1"/>
    <xf numFmtId="0" fontId="53" fillId="3" borderId="0" xfId="0" applyFont="1" applyFill="1" applyAlignment="1" applyProtection="1">
      <alignment horizontal="center" vertical="center"/>
    </xf>
    <xf numFmtId="0" fontId="52" fillId="0" borderId="4" xfId="0" applyFont="1" applyBorder="1" applyProtection="1"/>
    <xf numFmtId="188" fontId="59" fillId="3" borderId="0" xfId="0" applyNumberFormat="1" applyFont="1" applyFill="1" applyAlignment="1" applyProtection="1">
      <alignment vertical="center"/>
    </xf>
    <xf numFmtId="0" fontId="52" fillId="0" borderId="0" xfId="0" applyFont="1" applyFill="1" applyProtection="1"/>
    <xf numFmtId="195" fontId="52" fillId="0" borderId="0" xfId="0" applyNumberFormat="1" applyFont="1" applyFill="1" applyProtection="1"/>
    <xf numFmtId="0" fontId="52" fillId="3" borderId="4" xfId="0" applyFont="1" applyFill="1" applyBorder="1" applyAlignment="1" applyProtection="1">
      <alignment horizontal="left" vertical="center" indent="1"/>
    </xf>
    <xf numFmtId="3" fontId="52" fillId="3" borderId="4" xfId="0" applyNumberFormat="1" applyFont="1" applyFill="1" applyBorder="1" applyProtection="1"/>
    <xf numFmtId="169" fontId="52" fillId="3" borderId="4" xfId="0" applyNumberFormat="1" applyFont="1" applyFill="1" applyBorder="1" applyAlignment="1" applyProtection="1">
      <alignment horizontal="right" vertical="center" indent="1"/>
    </xf>
    <xf numFmtId="183" fontId="57" fillId="26" borderId="1" xfId="12" applyNumberFormat="1" applyFont="1" applyFill="1" applyBorder="1" applyAlignment="1" applyProtection="1">
      <alignment horizontal="center" vertical="center" wrapText="1"/>
    </xf>
    <xf numFmtId="170" fontId="52" fillId="3" borderId="0" xfId="4" applyNumberFormat="1" applyFont="1" applyFill="1" applyBorder="1" applyAlignment="1" applyProtection="1">
      <alignment horizontal="right" vertical="center" indent="1"/>
    </xf>
    <xf numFmtId="183" fontId="52" fillId="3" borderId="0" xfId="0" applyNumberFormat="1" applyFont="1" applyFill="1" applyBorder="1" applyAlignment="1" applyProtection="1">
      <alignment horizontal="left" vertical="center" indent="1"/>
    </xf>
    <xf numFmtId="183" fontId="52" fillId="3" borderId="4" xfId="0" applyNumberFormat="1" applyFont="1" applyFill="1" applyBorder="1" applyAlignment="1" applyProtection="1">
      <alignment horizontal="left" vertical="center" indent="1"/>
    </xf>
    <xf numFmtId="183" fontId="52" fillId="3" borderId="4" xfId="0" applyNumberFormat="1" applyFont="1" applyFill="1" applyBorder="1" applyAlignment="1" applyProtection="1">
      <alignment vertical="center"/>
    </xf>
    <xf numFmtId="170" fontId="52" fillId="3" borderId="4" xfId="4" applyNumberFormat="1" applyFont="1" applyFill="1" applyBorder="1" applyAlignment="1" applyProtection="1">
      <alignment horizontal="right" vertical="center" indent="1"/>
    </xf>
    <xf numFmtId="169" fontId="52" fillId="3" borderId="0" xfId="0" applyNumberFormat="1" applyFont="1" applyFill="1" applyBorder="1" applyAlignment="1" applyProtection="1">
      <alignment horizontal="right" vertical="center" indent="1"/>
    </xf>
    <xf numFmtId="0" fontId="52" fillId="0" borderId="0" xfId="0" applyFont="1"/>
    <xf numFmtId="0" fontId="52" fillId="24" borderId="3" xfId="0" applyFont="1" applyFill="1" applyBorder="1" applyAlignment="1" applyProtection="1">
      <alignment horizontal="center" vertical="center" wrapText="1"/>
    </xf>
    <xf numFmtId="0" fontId="52" fillId="0" borderId="0" xfId="0" applyFont="1" applyAlignment="1" applyProtection="1">
      <alignment horizontal="left" vertical="center" indent="1"/>
    </xf>
    <xf numFmtId="0" fontId="52" fillId="0" borderId="0" xfId="0" applyFont="1" applyAlignment="1" applyProtection="1">
      <alignment horizontal="left" indent="1"/>
    </xf>
    <xf numFmtId="49" fontId="58" fillId="3" borderId="0" xfId="0" applyNumberFormat="1" applyFont="1" applyFill="1" applyBorder="1" applyAlignment="1" applyProtection="1">
      <alignment horizontal="left" vertical="center" indent="1"/>
    </xf>
    <xf numFmtId="0" fontId="58" fillId="3" borderId="0" xfId="0" applyFont="1" applyFill="1" applyBorder="1" applyProtection="1"/>
    <xf numFmtId="188" fontId="58" fillId="3" borderId="0" xfId="0" applyNumberFormat="1" applyFont="1" applyFill="1" applyAlignment="1" applyProtection="1">
      <alignment vertical="center"/>
    </xf>
    <xf numFmtId="0" fontId="64" fillId="3" borderId="4" xfId="0" applyFont="1" applyFill="1" applyBorder="1" applyProtection="1"/>
    <xf numFmtId="0" fontId="53" fillId="0" borderId="0" xfId="0" applyFont="1" applyFill="1"/>
    <xf numFmtId="0" fontId="50" fillId="0" borderId="0" xfId="12" applyFont="1" applyFill="1"/>
    <xf numFmtId="0" fontId="50" fillId="0" borderId="0" xfId="0" applyFont="1" applyFill="1"/>
    <xf numFmtId="0" fontId="50" fillId="0" borderId="0" xfId="0" applyFont="1" applyFill="1" applyAlignment="1">
      <alignment vertical="center"/>
    </xf>
    <xf numFmtId="0" fontId="50" fillId="0" borderId="0" xfId="0" applyFont="1" applyFill="1" applyAlignment="1"/>
    <xf numFmtId="0" fontId="64" fillId="3" borderId="0" xfId="0" applyFont="1" applyFill="1" applyProtection="1">
      <protection locked="0"/>
    </xf>
    <xf numFmtId="0" fontId="53" fillId="15" borderId="1" xfId="0" applyFont="1" applyFill="1" applyBorder="1" applyAlignment="1">
      <alignment horizontal="center" vertical="center"/>
    </xf>
    <xf numFmtId="0" fontId="68" fillId="0" borderId="0" xfId="0" applyFont="1" applyBorder="1" applyAlignment="1">
      <alignment horizontal="left" vertical="center"/>
    </xf>
    <xf numFmtId="0" fontId="64" fillId="0" borderId="0" xfId="0" applyFont="1"/>
    <xf numFmtId="0" fontId="54" fillId="0" borderId="0" xfId="0" applyFont="1"/>
    <xf numFmtId="0" fontId="54" fillId="0" borderId="0" xfId="0" applyFont="1" applyBorder="1"/>
    <xf numFmtId="0" fontId="50" fillId="0" borderId="1" xfId="0" applyFont="1" applyBorder="1" applyAlignment="1">
      <alignment horizontal="center" vertical="center"/>
    </xf>
    <xf numFmtId="0" fontId="70" fillId="0" borderId="0" xfId="2" applyFont="1" applyBorder="1" applyAlignment="1" applyProtection="1">
      <alignment horizontal="left" vertical="center" indent="1"/>
    </xf>
    <xf numFmtId="0" fontId="70" fillId="0" borderId="15" xfId="2" applyFont="1" applyBorder="1" applyAlignment="1" applyProtection="1">
      <alignment horizontal="left" vertical="center" indent="1"/>
    </xf>
    <xf numFmtId="0" fontId="53" fillId="3" borderId="0" xfId="0" applyFont="1" applyFill="1" applyBorder="1"/>
    <xf numFmtId="0" fontId="50" fillId="0" borderId="26" xfId="0" applyFont="1" applyBorder="1" applyProtection="1"/>
    <xf numFmtId="0" fontId="50" fillId="0" borderId="53" xfId="0" applyFont="1" applyBorder="1" applyProtection="1"/>
    <xf numFmtId="0" fontId="53" fillId="15" borderId="1" xfId="0" applyFont="1" applyFill="1" applyBorder="1" applyAlignment="1" applyProtection="1">
      <alignment horizontal="left" vertical="center" indent="1"/>
    </xf>
    <xf numFmtId="0" fontId="50" fillId="0" borderId="4" xfId="0" applyFont="1" applyBorder="1"/>
    <xf numFmtId="0" fontId="68" fillId="15" borderId="6" xfId="0" applyNumberFormat="1" applyFont="1" applyFill="1" applyBorder="1" applyAlignment="1" applyProtection="1">
      <alignment vertical="center"/>
    </xf>
    <xf numFmtId="0" fontId="50" fillId="3" borderId="1" xfId="0" applyFont="1" applyFill="1" applyBorder="1" applyAlignment="1" applyProtection="1">
      <alignment horizontal="left" vertical="center" wrapText="1" indent="1"/>
    </xf>
    <xf numFmtId="0" fontId="54" fillId="3" borderId="1" xfId="0" applyFont="1" applyFill="1" applyBorder="1" applyAlignment="1" applyProtection="1">
      <alignment horizontal="left" vertical="center" wrapText="1" indent="1"/>
    </xf>
    <xf numFmtId="175" fontId="54" fillId="3" borderId="1" xfId="4" applyNumberFormat="1" applyFont="1" applyFill="1" applyBorder="1" applyAlignment="1" applyProtection="1">
      <alignment horizontal="right" vertical="center" wrapText="1" indent="1"/>
    </xf>
    <xf numFmtId="0" fontId="54" fillId="3" borderId="1" xfId="0" applyFont="1" applyFill="1" applyBorder="1" applyAlignment="1" applyProtection="1">
      <alignment horizontal="center" vertical="center" wrapText="1"/>
    </xf>
    <xf numFmtId="175" fontId="54" fillId="0" borderId="1" xfId="4" applyNumberFormat="1" applyFont="1" applyFill="1" applyBorder="1" applyAlignment="1" applyProtection="1">
      <alignment horizontal="right" vertical="center" wrapText="1" indent="1"/>
    </xf>
    <xf numFmtId="0" fontId="57" fillId="15" borderId="1" xfId="0" applyFont="1" applyFill="1" applyBorder="1" applyAlignment="1" applyProtection="1">
      <alignment horizontal="center" vertical="center" wrapText="1"/>
    </xf>
    <xf numFmtId="0" fontId="53" fillId="15" borderId="1" xfId="0" applyFont="1" applyFill="1" applyBorder="1" applyAlignment="1" applyProtection="1">
      <alignment horizontal="center" vertical="center"/>
    </xf>
    <xf numFmtId="0" fontId="53" fillId="15" borderId="1" xfId="0" applyFont="1" applyFill="1" applyBorder="1" applyAlignment="1" applyProtection="1">
      <alignment horizontal="center" vertical="center" wrapText="1"/>
    </xf>
    <xf numFmtId="0" fontId="57" fillId="14" borderId="1" xfId="0" applyFont="1" applyFill="1" applyBorder="1" applyAlignment="1" applyProtection="1">
      <alignment horizontal="center" vertical="center" wrapText="1"/>
    </xf>
    <xf numFmtId="167" fontId="57" fillId="16" borderId="1" xfId="0" applyNumberFormat="1" applyFont="1" applyFill="1" applyBorder="1" applyAlignment="1" applyProtection="1">
      <alignment horizontal="center" vertical="center" wrapText="1"/>
    </xf>
    <xf numFmtId="0" fontId="53" fillId="14" borderId="1" xfId="0" applyFont="1" applyFill="1" applyBorder="1" applyAlignment="1" applyProtection="1">
      <alignment horizontal="center" vertical="center" wrapText="1"/>
    </xf>
    <xf numFmtId="167" fontId="53" fillId="16" borderId="1" xfId="0" applyNumberFormat="1" applyFont="1" applyFill="1" applyBorder="1" applyAlignment="1" applyProtection="1">
      <alignment horizontal="center" vertical="center" wrapText="1"/>
    </xf>
    <xf numFmtId="3" fontId="50" fillId="18" borderId="1" xfId="4" applyNumberFormat="1" applyFont="1" applyFill="1" applyBorder="1" applyAlignment="1" applyProtection="1">
      <alignment horizontal="center" vertical="center" wrapText="1"/>
    </xf>
    <xf numFmtId="177" fontId="50" fillId="14" borderId="1" xfId="0" applyNumberFormat="1" applyFont="1" applyFill="1" applyBorder="1" applyAlignment="1" applyProtection="1">
      <alignment horizontal="right" vertical="center" wrapText="1" indent="1"/>
    </xf>
    <xf numFmtId="0" fontId="50" fillId="0" borderId="0" xfId="0" applyFont="1"/>
    <xf numFmtId="177" fontId="53" fillId="16" borderId="1" xfId="0" applyNumberFormat="1" applyFont="1" applyFill="1" applyBorder="1" applyAlignment="1" applyProtection="1">
      <alignment horizontal="center" vertical="center" wrapText="1"/>
    </xf>
    <xf numFmtId="0" fontId="53" fillId="3" borderId="29" xfId="0" applyFont="1" applyFill="1" applyBorder="1" applyAlignment="1" applyProtection="1">
      <alignment vertical="center"/>
    </xf>
    <xf numFmtId="0" fontId="53" fillId="0" borderId="26" xfId="0" applyFont="1" applyBorder="1" applyAlignment="1" applyProtection="1">
      <alignment vertical="center"/>
    </xf>
    <xf numFmtId="3" fontId="50" fillId="28" borderId="1" xfId="0" applyNumberFormat="1" applyFont="1" applyFill="1" applyBorder="1" applyAlignment="1" applyProtection="1">
      <alignment horizontal="right" vertical="center" wrapText="1" indent="1"/>
    </xf>
    <xf numFmtId="0" fontId="50" fillId="0" borderId="1" xfId="0" applyFont="1" applyBorder="1" applyAlignment="1">
      <alignment horizontal="left" vertical="center" indent="1"/>
    </xf>
    <xf numFmtId="0" fontId="50" fillId="0" borderId="1" xfId="0" applyFont="1" applyBorder="1" applyAlignment="1">
      <alignment horizontal="center" vertical="center"/>
    </xf>
    <xf numFmtId="0" fontId="52" fillId="3" borderId="0" xfId="0" applyFont="1" applyFill="1" applyBorder="1" applyAlignment="1" applyProtection="1">
      <alignment horizontal="left" vertical="center"/>
    </xf>
    <xf numFmtId="0" fontId="50" fillId="3" borderId="1" xfId="0" applyFont="1" applyFill="1" applyBorder="1" applyAlignment="1" applyProtection="1">
      <alignment horizontal="left" vertical="center" wrapText="1"/>
    </xf>
    <xf numFmtId="9" fontId="50" fillId="3" borderId="1" xfId="0" applyNumberFormat="1" applyFont="1" applyFill="1" applyBorder="1" applyAlignment="1" applyProtection="1">
      <alignment horizontal="center" vertical="center" wrapText="1"/>
    </xf>
    <xf numFmtId="171" fontId="50" fillId="3" borderId="1" xfId="0" applyNumberFormat="1" applyFont="1" applyFill="1" applyBorder="1" applyAlignment="1" applyProtection="1">
      <alignment horizontal="right" vertical="center" wrapText="1" indent="1"/>
    </xf>
    <xf numFmtId="198" fontId="50" fillId="3" borderId="1" xfId="0" applyNumberFormat="1" applyFont="1" applyFill="1" applyBorder="1" applyAlignment="1" applyProtection="1">
      <alignment horizontal="right" vertical="center" wrapText="1" indent="1"/>
    </xf>
    <xf numFmtId="173" fontId="50" fillId="3" borderId="1" xfId="0" applyNumberFormat="1" applyFont="1" applyFill="1" applyBorder="1" applyAlignment="1">
      <alignment horizontal="right" vertical="center" wrapText="1" indent="1"/>
    </xf>
    <xf numFmtId="0" fontId="68" fillId="12" borderId="0" xfId="0" applyNumberFormat="1" applyFont="1" applyFill="1" applyBorder="1" applyAlignment="1" applyProtection="1">
      <alignment horizontal="right"/>
    </xf>
    <xf numFmtId="0" fontId="68" fillId="12" borderId="0" xfId="0" applyNumberFormat="1" applyFont="1" applyFill="1" applyBorder="1" applyAlignment="1" applyProtection="1">
      <protection locked="0"/>
    </xf>
    <xf numFmtId="0" fontId="50" fillId="0" borderId="0" xfId="0" applyFont="1" applyBorder="1" applyProtection="1"/>
    <xf numFmtId="0" fontId="50" fillId="0" borderId="28" xfId="0" applyFont="1" applyBorder="1" applyProtection="1"/>
    <xf numFmtId="0" fontId="50" fillId="0" borderId="51" xfId="0" applyFont="1" applyBorder="1" applyProtection="1"/>
    <xf numFmtId="0" fontId="74" fillId="0" borderId="25" xfId="0" applyFont="1" applyBorder="1" applyAlignment="1" applyProtection="1">
      <alignment vertical="center"/>
    </xf>
    <xf numFmtId="0" fontId="74" fillId="0" borderId="26" xfId="0" applyFont="1" applyBorder="1" applyAlignment="1" applyProtection="1">
      <alignment vertical="center"/>
    </xf>
    <xf numFmtId="0" fontId="50" fillId="0" borderId="26" xfId="0" applyFont="1" applyBorder="1"/>
    <xf numFmtId="0" fontId="50" fillId="0" borderId="52" xfId="0" applyFont="1" applyBorder="1" applyProtection="1"/>
    <xf numFmtId="0" fontId="53" fillId="8" borderId="1" xfId="4" applyNumberFormat="1" applyFont="1" applyFill="1" applyBorder="1" applyAlignment="1" applyProtection="1">
      <alignment horizontal="center" vertical="center" wrapText="1"/>
    </xf>
    <xf numFmtId="0" fontId="53" fillId="14" borderId="1" xfId="0" applyNumberFormat="1" applyFont="1" applyFill="1" applyBorder="1" applyAlignment="1" applyProtection="1">
      <alignment horizontal="center" vertical="center" wrapText="1"/>
    </xf>
    <xf numFmtId="0" fontId="53" fillId="16" borderId="1" xfId="0" applyNumberFormat="1" applyFont="1" applyFill="1" applyBorder="1" applyAlignment="1" applyProtection="1">
      <alignment horizontal="center" vertical="center" wrapText="1"/>
    </xf>
    <xf numFmtId="174" fontId="50" fillId="8" borderId="1" xfId="4" applyNumberFormat="1" applyFont="1" applyFill="1" applyBorder="1" applyAlignment="1" applyProtection="1">
      <alignment horizontal="right" vertical="center" wrapText="1" indent="1"/>
    </xf>
    <xf numFmtId="168" fontId="50" fillId="14" borderId="1" xfId="0" applyNumberFormat="1" applyFont="1" applyFill="1" applyBorder="1" applyAlignment="1" applyProtection="1">
      <alignment horizontal="right" vertical="center" wrapText="1" indent="1"/>
    </xf>
    <xf numFmtId="177" fontId="50" fillId="16" borderId="1" xfId="0" applyNumberFormat="1" applyFont="1" applyFill="1" applyBorder="1" applyAlignment="1" applyProtection="1">
      <alignment horizontal="right" vertical="center" wrapText="1" indent="1"/>
    </xf>
    <xf numFmtId="168" fontId="50" fillId="8" borderId="1" xfId="4" applyNumberFormat="1" applyFont="1" applyFill="1" applyBorder="1" applyAlignment="1" applyProtection="1">
      <alignment horizontal="right" vertical="center" wrapText="1" indent="1"/>
    </xf>
    <xf numFmtId="0" fontId="50" fillId="3" borderId="0" xfId="0" applyFont="1" applyFill="1" applyBorder="1" applyAlignment="1" applyProtection="1">
      <alignment horizontal="center" vertical="center" wrapText="1"/>
    </xf>
    <xf numFmtId="179" fontId="50" fillId="3" borderId="0" xfId="0" applyNumberFormat="1" applyFont="1" applyFill="1" applyBorder="1" applyAlignment="1" applyProtection="1">
      <alignment horizontal="center" vertical="center" wrapText="1"/>
    </xf>
    <xf numFmtId="9" fontId="50" fillId="3" borderId="0" xfId="3" applyFont="1" applyFill="1" applyBorder="1" applyAlignment="1" applyProtection="1">
      <alignment horizontal="center" vertical="center" wrapText="1"/>
    </xf>
    <xf numFmtId="179" fontId="53" fillId="8" borderId="1" xfId="4" applyNumberFormat="1" applyFont="1" applyFill="1" applyBorder="1" applyAlignment="1" applyProtection="1">
      <alignment horizontal="center" vertical="center" wrapText="1"/>
    </xf>
    <xf numFmtId="179" fontId="53" fillId="14" borderId="1" xfId="0" applyNumberFormat="1" applyFont="1" applyFill="1" applyBorder="1" applyAlignment="1" applyProtection="1">
      <alignment horizontal="center" vertical="center" wrapText="1"/>
    </xf>
    <xf numFmtId="179" fontId="53" fillId="16" borderId="1" xfId="0" applyNumberFormat="1" applyFont="1" applyFill="1" applyBorder="1" applyAlignment="1" applyProtection="1">
      <alignment horizontal="center" vertical="center" wrapText="1"/>
    </xf>
    <xf numFmtId="0" fontId="50" fillId="3" borderId="53" xfId="0" applyFont="1" applyFill="1" applyBorder="1" applyAlignment="1" applyProtection="1">
      <alignment vertical="center" wrapText="1"/>
    </xf>
    <xf numFmtId="0" fontId="74" fillId="0" borderId="29" xfId="0" applyFont="1" applyBorder="1" applyAlignment="1" applyProtection="1">
      <alignment vertical="center"/>
    </xf>
    <xf numFmtId="0" fontId="50" fillId="3" borderId="0" xfId="0" applyFont="1" applyFill="1" applyBorder="1" applyAlignment="1" applyProtection="1">
      <alignment horizontal="left" vertical="center" wrapText="1"/>
    </xf>
    <xf numFmtId="0" fontId="50" fillId="12" borderId="0" xfId="0" applyFont="1" applyFill="1" applyBorder="1" applyAlignment="1" applyProtection="1">
      <alignment horizontal="left" vertical="center" wrapText="1"/>
    </xf>
    <xf numFmtId="0" fontId="50" fillId="3" borderId="0" xfId="0" applyFont="1" applyFill="1" applyBorder="1" applyAlignment="1" applyProtection="1">
      <alignment vertical="center" wrapText="1"/>
    </xf>
    <xf numFmtId="0" fontId="74" fillId="0" borderId="0" xfId="0" applyFont="1" applyBorder="1" applyAlignment="1" applyProtection="1">
      <alignment vertical="center"/>
    </xf>
    <xf numFmtId="0" fontId="50" fillId="12" borderId="0" xfId="0" applyNumberFormat="1" applyFont="1" applyFill="1" applyBorder="1" applyAlignment="1" applyProtection="1"/>
    <xf numFmtId="3" fontId="50" fillId="12" borderId="0" xfId="0" applyNumberFormat="1" applyFont="1" applyFill="1" applyBorder="1" applyAlignment="1" applyProtection="1"/>
    <xf numFmtId="0" fontId="74" fillId="3" borderId="29" xfId="0" applyFont="1" applyFill="1" applyBorder="1" applyAlignment="1" applyProtection="1">
      <alignment vertical="center"/>
    </xf>
    <xf numFmtId="0" fontId="50" fillId="0" borderId="29" xfId="0" applyFont="1" applyBorder="1" applyProtection="1"/>
    <xf numFmtId="0" fontId="50" fillId="0" borderId="29" xfId="0" applyFont="1" applyBorder="1"/>
    <xf numFmtId="0" fontId="76" fillId="3" borderId="0" xfId="0" applyFont="1" applyFill="1" applyBorder="1" applyAlignment="1" applyProtection="1">
      <alignment horizontal="left" vertical="center"/>
    </xf>
    <xf numFmtId="3" fontId="50" fillId="0" borderId="0" xfId="0" applyNumberFormat="1" applyFont="1" applyFill="1" applyBorder="1" applyAlignment="1" applyProtection="1">
      <alignment horizontal="center" vertical="center" wrapText="1"/>
    </xf>
    <xf numFmtId="170" fontId="50" fillId="0" borderId="0" xfId="0" applyNumberFormat="1" applyFont="1" applyFill="1" applyBorder="1" applyAlignment="1" applyProtection="1">
      <alignment horizontal="center" vertical="center" wrapText="1"/>
    </xf>
    <xf numFmtId="0" fontId="50" fillId="0" borderId="52" xfId="0" applyFont="1" applyBorder="1"/>
    <xf numFmtId="174" fontId="54" fillId="3" borderId="1" xfId="0" applyNumberFormat="1" applyFont="1" applyFill="1" applyBorder="1" applyAlignment="1" applyProtection="1">
      <alignment horizontal="right" vertical="center" wrapText="1" indent="1"/>
    </xf>
    <xf numFmtId="174" fontId="54" fillId="0" borderId="1" xfId="0" applyNumberFormat="1" applyFont="1" applyFill="1" applyBorder="1" applyAlignment="1" applyProtection="1">
      <alignment horizontal="right" vertical="center" wrapText="1" indent="1"/>
    </xf>
    <xf numFmtId="0" fontId="53" fillId="15" borderId="16" xfId="0" applyFont="1" applyFill="1" applyBorder="1" applyAlignment="1">
      <alignment horizontal="center"/>
    </xf>
    <xf numFmtId="0" fontId="52" fillId="0" borderId="0" xfId="0" applyFont="1" applyFill="1"/>
    <xf numFmtId="0" fontId="77" fillId="0" borderId="0" xfId="0" applyFont="1" applyFill="1"/>
    <xf numFmtId="0" fontId="56" fillId="0" borderId="0" xfId="0" applyFont="1" applyFill="1"/>
    <xf numFmtId="3" fontId="57" fillId="0" borderId="0" xfId="0" applyNumberFormat="1" applyFont="1" applyFill="1" applyBorder="1" applyAlignment="1"/>
    <xf numFmtId="0" fontId="79" fillId="0" borderId="0" xfId="0" quotePrefix="1" applyFont="1" applyFill="1" applyAlignment="1">
      <alignment vertical="center"/>
    </xf>
    <xf numFmtId="0" fontId="52" fillId="0" borderId="0" xfId="0" applyFont="1" applyFill="1" applyAlignment="1">
      <alignment horizontal="left" vertical="center"/>
    </xf>
    <xf numFmtId="0" fontId="79" fillId="0" borderId="0" xfId="0" quotePrefix="1" applyFont="1" applyFill="1" applyAlignment="1">
      <alignment vertical="center" wrapText="1"/>
    </xf>
    <xf numFmtId="0" fontId="79" fillId="0" borderId="0" xfId="0" quotePrefix="1" applyFont="1" applyFill="1" applyAlignment="1">
      <alignment horizontal="left" vertical="center"/>
    </xf>
    <xf numFmtId="0" fontId="79" fillId="0" borderId="0" xfId="0" applyFont="1" applyFill="1"/>
    <xf numFmtId="0" fontId="57" fillId="0" borderId="0" xfId="0" applyFont="1" applyFill="1" applyAlignment="1">
      <alignment horizontal="left" vertical="center"/>
    </xf>
    <xf numFmtId="0" fontId="52" fillId="0" borderId="0" xfId="0" applyFont="1" applyFill="1" applyBorder="1" applyAlignment="1">
      <alignment horizontal="left" vertical="center"/>
    </xf>
    <xf numFmtId="0" fontId="52" fillId="0" borderId="0" xfId="0" applyFont="1" applyFill="1" applyAlignment="1">
      <alignment horizontal="center" vertical="center"/>
    </xf>
    <xf numFmtId="0" fontId="79" fillId="0" borderId="0" xfId="0" quotePrefix="1" applyFont="1" applyFill="1"/>
    <xf numFmtId="0" fontId="52" fillId="0" borderId="0" xfId="0" applyFont="1" applyFill="1" applyBorder="1"/>
    <xf numFmtId="0" fontId="78" fillId="0" borderId="0" xfId="0" applyFont="1" applyFill="1"/>
    <xf numFmtId="0" fontId="52" fillId="0" borderId="0" xfId="0" applyFont="1" applyFill="1" applyBorder="1" applyAlignment="1">
      <alignment horizontal="left" vertical="center" indent="1"/>
    </xf>
    <xf numFmtId="0" fontId="52" fillId="4" borderId="78" xfId="6" applyFont="1" applyBorder="1"/>
    <xf numFmtId="0" fontId="52" fillId="13" borderId="77" xfId="8" applyFont="1" applyBorder="1"/>
    <xf numFmtId="0" fontId="52" fillId="17" borderId="77" xfId="9" applyFont="1" applyBorder="1"/>
    <xf numFmtId="0" fontId="52" fillId="5" borderId="77" xfId="7" applyFont="1" applyBorder="1"/>
    <xf numFmtId="0" fontId="52" fillId="0" borderId="79" xfId="0" applyFont="1" applyFill="1" applyBorder="1"/>
    <xf numFmtId="0" fontId="50" fillId="0" borderId="0" xfId="0" applyFont="1" applyFill="1" applyBorder="1" applyAlignment="1">
      <alignment horizontal="left" vertical="center" indent="1"/>
    </xf>
    <xf numFmtId="0" fontId="50" fillId="0" borderId="0" xfId="0" applyFont="1" applyFill="1" applyBorder="1"/>
    <xf numFmtId="0" fontId="50" fillId="0" borderId="0" xfId="0" applyFont="1" applyFill="1" applyBorder="1" applyAlignment="1">
      <alignment horizontal="left" vertical="center"/>
    </xf>
    <xf numFmtId="0" fontId="50" fillId="0" borderId="0" xfId="0" applyFont="1" applyFill="1" applyBorder="1" applyAlignment="1">
      <alignment vertical="center"/>
    </xf>
    <xf numFmtId="0" fontId="50" fillId="0" borderId="0" xfId="0" quotePrefix="1" applyFont="1" applyFill="1" applyAlignment="1">
      <alignment horizontal="left" vertical="center"/>
    </xf>
    <xf numFmtId="0" fontId="66" fillId="0" borderId="0" xfId="0" quotePrefix="1" applyFont="1" applyFill="1" applyAlignment="1">
      <alignment vertical="center"/>
    </xf>
    <xf numFmtId="0" fontId="50" fillId="0" borderId="0" xfId="0" applyFont="1" applyFill="1" applyAlignment="1">
      <alignment horizontal="left" vertical="center"/>
    </xf>
    <xf numFmtId="0" fontId="66" fillId="0" borderId="0" xfId="0" quotePrefix="1" applyFont="1" applyFill="1" applyAlignment="1">
      <alignment vertical="center" wrapText="1"/>
    </xf>
    <xf numFmtId="0" fontId="50" fillId="0" borderId="0" xfId="0" quotePrefix="1" applyFont="1" applyFill="1" applyAlignment="1">
      <alignment horizontal="left"/>
    </xf>
    <xf numFmtId="0" fontId="50" fillId="0" borderId="0" xfId="0" applyFont="1" applyFill="1" applyAlignment="1">
      <alignment horizontal="left"/>
    </xf>
    <xf numFmtId="0" fontId="81" fillId="0" borderId="0" xfId="0" applyFont="1" applyFill="1"/>
    <xf numFmtId="0" fontId="58" fillId="0" borderId="0" xfId="0" applyFont="1" applyFill="1" applyProtection="1">
      <protection locked="0"/>
    </xf>
    <xf numFmtId="0" fontId="57" fillId="0" borderId="0" xfId="0" applyFont="1" applyFill="1" applyAlignment="1">
      <alignment vertical="center"/>
    </xf>
    <xf numFmtId="0" fontId="52" fillId="0" borderId="0" xfId="0" applyFont="1" applyFill="1" applyAlignment="1">
      <alignment horizontal="right"/>
    </xf>
    <xf numFmtId="0" fontId="58" fillId="15" borderId="5" xfId="0" applyFont="1" applyFill="1" applyBorder="1" applyProtection="1">
      <protection locked="0"/>
    </xf>
    <xf numFmtId="0" fontId="54" fillId="15" borderId="6" xfId="0" applyFont="1" applyFill="1" applyBorder="1" applyProtection="1"/>
    <xf numFmtId="0" fontId="52" fillId="15" borderId="6" xfId="0" applyFont="1" applyFill="1" applyBorder="1"/>
    <xf numFmtId="0" fontId="52" fillId="15" borderId="6" xfId="0" applyFont="1" applyFill="1" applyBorder="1" applyProtection="1"/>
    <xf numFmtId="0" fontId="52" fillId="15" borderId="7" xfId="0" applyFont="1" applyFill="1" applyBorder="1" applyProtection="1"/>
    <xf numFmtId="0" fontId="57" fillId="0" borderId="0" xfId="0" applyFont="1" applyFill="1"/>
    <xf numFmtId="0" fontId="52" fillId="0" borderId="0" xfId="0" applyFont="1" applyFill="1" applyAlignment="1">
      <alignment vertical="center"/>
    </xf>
    <xf numFmtId="0" fontId="79" fillId="0" borderId="0" xfId="0" quotePrefix="1" applyFont="1" applyFill="1" applyAlignment="1"/>
    <xf numFmtId="0" fontId="79" fillId="0" borderId="0" xfId="0" applyFont="1"/>
    <xf numFmtId="0" fontId="79" fillId="0" borderId="0" xfId="0" applyFont="1" applyFill="1" applyBorder="1"/>
    <xf numFmtId="0" fontId="79" fillId="0" borderId="0" xfId="0" applyFont="1" applyFill="1" applyAlignment="1">
      <alignment horizontal="left" indent="6"/>
    </xf>
    <xf numFmtId="0" fontId="52" fillId="0" borderId="0" xfId="0" applyFont="1" applyAlignment="1">
      <alignment horizontal="center" vertical="center"/>
    </xf>
    <xf numFmtId="0" fontId="52" fillId="3" borderId="0" xfId="0" applyFont="1" applyFill="1" applyAlignment="1">
      <alignment horizontal="center" vertical="center"/>
    </xf>
    <xf numFmtId="0" fontId="57" fillId="3" borderId="0" xfId="0" applyFont="1" applyFill="1"/>
    <xf numFmtId="0" fontId="52" fillId="3" borderId="0" xfId="0" applyFont="1" applyFill="1"/>
    <xf numFmtId="168" fontId="85" fillId="15" borderId="6" xfId="1" applyNumberFormat="1" applyFont="1" applyFill="1" applyBorder="1" applyAlignment="1">
      <alignment vertical="center"/>
    </xf>
    <xf numFmtId="168" fontId="85" fillId="15" borderId="7" xfId="1" applyNumberFormat="1" applyFont="1" applyFill="1" applyBorder="1" applyAlignment="1">
      <alignment vertical="center"/>
    </xf>
    <xf numFmtId="0" fontId="52" fillId="3" borderId="0" xfId="0" applyFont="1" applyFill="1" applyBorder="1" applyAlignment="1">
      <alignment vertical="center"/>
    </xf>
    <xf numFmtId="0" fontId="52" fillId="15" borderId="7" xfId="0" applyFont="1" applyFill="1" applyBorder="1" applyAlignment="1">
      <alignment vertical="center"/>
    </xf>
    <xf numFmtId="168" fontId="85" fillId="15" borderId="4" xfId="1" applyNumberFormat="1" applyFont="1" applyFill="1" applyBorder="1" applyAlignment="1">
      <alignment vertical="center"/>
    </xf>
    <xf numFmtId="168" fontId="85" fillId="15" borderId="23" xfId="1" applyNumberFormat="1" applyFont="1" applyFill="1" applyBorder="1" applyAlignment="1">
      <alignment vertical="center"/>
    </xf>
    <xf numFmtId="4" fontId="75" fillId="0" borderId="0" xfId="1" applyNumberFormat="1" applyFont="1" applyFill="1" applyBorder="1" applyAlignment="1">
      <alignment vertical="center"/>
    </xf>
    <xf numFmtId="183" fontId="57" fillId="4" borderId="14" xfId="6" applyNumberFormat="1" applyFont="1" applyBorder="1" applyAlignment="1">
      <alignment vertical="center"/>
    </xf>
    <xf numFmtId="183" fontId="57" fillId="25" borderId="14" xfId="7" applyNumberFormat="1" applyFont="1" applyFill="1" applyBorder="1" applyAlignment="1">
      <alignment vertical="center"/>
    </xf>
    <xf numFmtId="0" fontId="83" fillId="0" borderId="0" xfId="0" applyFont="1" applyFill="1"/>
    <xf numFmtId="0" fontId="62" fillId="0" borderId="0" xfId="0" applyFont="1" applyFill="1"/>
    <xf numFmtId="0" fontId="64" fillId="0" borderId="0" xfId="0" applyFont="1" applyFill="1" applyProtection="1">
      <protection locked="0"/>
    </xf>
    <xf numFmtId="0" fontId="87" fillId="0" borderId="0" xfId="0" applyFont="1" applyFill="1"/>
    <xf numFmtId="0" fontId="88" fillId="0" borderId="0" xfId="0" applyFont="1" applyFill="1"/>
    <xf numFmtId="184" fontId="54" fillId="23" borderId="1" xfId="5" applyNumberFormat="1" applyFont="1" applyBorder="1" applyAlignment="1">
      <alignment horizontal="center" vertical="center"/>
      <protection locked="0"/>
    </xf>
    <xf numFmtId="0" fontId="50" fillId="0" borderId="0" xfId="0" applyFont="1" applyFill="1" applyAlignment="1">
      <alignment horizontal="right" vertical="center"/>
    </xf>
    <xf numFmtId="0" fontId="50" fillId="0" borderId="0" xfId="0" applyFont="1" applyFill="1" applyAlignment="1">
      <alignment horizontal="right"/>
    </xf>
    <xf numFmtId="0" fontId="50" fillId="0" borderId="0" xfId="0" applyFont="1" applyFill="1" applyAlignment="1" applyProtection="1">
      <alignment vertical="center"/>
      <protection locked="0"/>
    </xf>
    <xf numFmtId="0" fontId="64" fillId="15" borderId="6" xfId="0" applyFont="1" applyFill="1" applyBorder="1" applyAlignment="1" applyProtection="1">
      <alignment vertical="center"/>
      <protection locked="0"/>
    </xf>
    <xf numFmtId="0" fontId="56" fillId="0" borderId="0" xfId="0" applyFont="1" applyFill="1" applyAlignment="1">
      <alignment vertical="center"/>
    </xf>
    <xf numFmtId="0" fontId="50" fillId="0" borderId="0" xfId="0" applyFont="1" applyFill="1" applyAlignment="1">
      <alignment horizontal="left" indent="3"/>
    </xf>
    <xf numFmtId="0" fontId="50" fillId="0" borderId="0" xfId="0" quotePrefix="1" applyFont="1" applyFill="1"/>
    <xf numFmtId="0" fontId="53" fillId="3" borderId="0" xfId="0" applyFont="1" applyFill="1"/>
    <xf numFmtId="0" fontId="50" fillId="3" borderId="0" xfId="0" applyFont="1" applyFill="1"/>
    <xf numFmtId="0" fontId="53" fillId="0" borderId="0" xfId="0" applyFont="1" applyFill="1" applyBorder="1" applyAlignment="1">
      <alignment horizontal="center"/>
    </xf>
    <xf numFmtId="176" fontId="92" fillId="3" borderId="3" xfId="0" applyNumberFormat="1" applyFont="1" applyFill="1" applyBorder="1" applyAlignment="1" applyProtection="1">
      <alignment vertical="center"/>
    </xf>
    <xf numFmtId="185" fontId="92" fillId="3" borderId="8" xfId="0" applyNumberFormat="1" applyFont="1" applyFill="1" applyBorder="1" applyAlignment="1">
      <alignment vertical="center"/>
    </xf>
    <xf numFmtId="0" fontId="92" fillId="0" borderId="0" xfId="0" applyFont="1" applyFill="1" applyAlignment="1">
      <alignment vertical="center"/>
    </xf>
    <xf numFmtId="0" fontId="92" fillId="0" borderId="0" xfId="0" applyFont="1" applyFill="1" applyBorder="1"/>
    <xf numFmtId="176" fontId="50" fillId="23" borderId="1" xfId="5" applyNumberFormat="1" applyFont="1" applyBorder="1">
      <protection locked="0"/>
    </xf>
    <xf numFmtId="176" fontId="50" fillId="23" borderId="1" xfId="5" applyNumberFormat="1" applyFont="1" applyBorder="1" applyAlignment="1">
      <alignment vertical="center"/>
      <protection locked="0"/>
    </xf>
    <xf numFmtId="166" fontId="50" fillId="23" borderId="1" xfId="5" quotePrefix="1" applyNumberFormat="1" applyFont="1" applyBorder="1" applyAlignment="1">
      <alignment vertical="center"/>
      <protection locked="0"/>
    </xf>
    <xf numFmtId="185" fontId="66" fillId="3" borderId="1" xfId="0" applyNumberFormat="1" applyFont="1" applyFill="1" applyBorder="1"/>
    <xf numFmtId="0" fontId="50" fillId="3" borderId="0" xfId="0" applyFont="1" applyFill="1" applyBorder="1"/>
    <xf numFmtId="176" fontId="53" fillId="23" borderId="1" xfId="5" applyNumberFormat="1" applyFont="1" applyBorder="1">
      <protection locked="0"/>
    </xf>
    <xf numFmtId="0" fontId="66" fillId="0" borderId="0" xfId="0" quotePrefix="1" applyFont="1" applyFill="1"/>
    <xf numFmtId="0" fontId="53" fillId="15" borderId="16" xfId="0" applyFont="1" applyFill="1" applyBorder="1" applyAlignment="1">
      <alignment horizontal="center" vertical="center"/>
    </xf>
    <xf numFmtId="0" fontId="53" fillId="15" borderId="21" xfId="0" applyFont="1" applyFill="1" applyBorder="1" applyAlignment="1">
      <alignment horizontal="center" vertical="center"/>
    </xf>
    <xf numFmtId="0" fontId="53" fillId="15" borderId="17" xfId="0" applyFont="1" applyFill="1" applyBorder="1" applyAlignment="1">
      <alignment horizontal="center" vertical="center"/>
    </xf>
    <xf numFmtId="0" fontId="53" fillId="15" borderId="8" xfId="0" applyFont="1" applyFill="1" applyBorder="1" applyAlignment="1">
      <alignment horizontal="center" vertical="center"/>
    </xf>
    <xf numFmtId="0" fontId="53" fillId="15" borderId="0" xfId="0" applyFont="1" applyFill="1" applyBorder="1" applyAlignment="1">
      <alignment horizontal="center" vertical="center"/>
    </xf>
    <xf numFmtId="186" fontId="50" fillId="0" borderId="1" xfId="0" applyNumberFormat="1" applyFont="1" applyFill="1" applyBorder="1" applyAlignment="1">
      <alignment vertical="center"/>
    </xf>
    <xf numFmtId="187" fontId="50" fillId="0" borderId="1" xfId="0" applyNumberFormat="1" applyFont="1" applyFill="1" applyBorder="1" applyAlignment="1">
      <alignment vertical="center"/>
    </xf>
    <xf numFmtId="183" fontId="50" fillId="0" borderId="1" xfId="0" applyNumberFormat="1" applyFont="1" applyFill="1" applyBorder="1" applyAlignment="1">
      <alignment vertical="center"/>
    </xf>
    <xf numFmtId="181" fontId="50" fillId="0" borderId="1" xfId="4" applyNumberFormat="1" applyFont="1" applyFill="1" applyBorder="1" applyAlignment="1">
      <alignment vertical="center"/>
    </xf>
    <xf numFmtId="0" fontId="50" fillId="15" borderId="6" xfId="0" applyFont="1" applyFill="1" applyBorder="1" applyAlignment="1">
      <alignment horizontal="center" vertical="center"/>
    </xf>
    <xf numFmtId="168" fontId="50" fillId="15" borderId="5" xfId="0" applyNumberFormat="1" applyFont="1" applyFill="1" applyBorder="1" applyAlignment="1">
      <alignment vertical="center"/>
    </xf>
    <xf numFmtId="169" fontId="53" fillId="15" borderId="7" xfId="0" applyNumberFormat="1" applyFont="1" applyFill="1" applyBorder="1" applyAlignment="1">
      <alignment horizontal="right" vertical="center" indent="1"/>
    </xf>
    <xf numFmtId="0" fontId="50" fillId="3" borderId="0" xfId="0" applyFont="1" applyFill="1" applyBorder="1" applyAlignment="1">
      <alignment vertical="center"/>
    </xf>
    <xf numFmtId="186" fontId="50" fillId="0" borderId="3" xfId="0" applyNumberFormat="1" applyFont="1" applyFill="1" applyBorder="1" applyAlignment="1">
      <alignment vertical="center"/>
    </xf>
    <xf numFmtId="187" fontId="50" fillId="0" borderId="3" xfId="0" applyNumberFormat="1" applyFont="1" applyFill="1" applyBorder="1" applyAlignment="1">
      <alignment vertical="center"/>
    </xf>
    <xf numFmtId="181" fontId="50" fillId="0" borderId="1" xfId="0" applyNumberFormat="1" applyFont="1" applyFill="1" applyBorder="1" applyAlignment="1">
      <alignment vertical="center"/>
    </xf>
    <xf numFmtId="0" fontId="50" fillId="15" borderId="7" xfId="0" applyFont="1" applyFill="1" applyBorder="1" applyAlignment="1">
      <alignment vertical="center"/>
    </xf>
    <xf numFmtId="181" fontId="53" fillId="15" borderId="1" xfId="4" applyNumberFormat="1" applyFont="1" applyFill="1" applyBorder="1" applyAlignment="1">
      <alignment vertical="center"/>
    </xf>
    <xf numFmtId="3" fontId="50" fillId="0" borderId="0" xfId="0" applyNumberFormat="1" applyFont="1" applyFill="1" applyBorder="1" applyAlignment="1">
      <alignment vertical="center"/>
    </xf>
    <xf numFmtId="169" fontId="50" fillId="0" borderId="0" xfId="0" applyNumberFormat="1" applyFont="1" applyFill="1" applyBorder="1" applyAlignment="1">
      <alignment vertical="center"/>
    </xf>
    <xf numFmtId="0" fontId="53" fillId="29" borderId="5" xfId="0" applyFont="1" applyFill="1" applyBorder="1" applyProtection="1">
      <protection locked="0"/>
    </xf>
    <xf numFmtId="0" fontId="53" fillId="4" borderId="6" xfId="0" applyFont="1" applyFill="1" applyBorder="1" applyProtection="1"/>
    <xf numFmtId="0" fontId="53" fillId="29" borderId="6" xfId="0" applyFont="1" applyFill="1" applyBorder="1" applyProtection="1"/>
    <xf numFmtId="0" fontId="53" fillId="4" borderId="7" xfId="0" applyFont="1" applyFill="1" applyBorder="1" applyProtection="1"/>
    <xf numFmtId="0" fontId="53" fillId="0" borderId="0" xfId="0" applyFont="1" applyFill="1" applyBorder="1" applyProtection="1"/>
    <xf numFmtId="0" fontId="53" fillId="0" borderId="0" xfId="0" applyFont="1" applyFill="1" applyBorder="1"/>
    <xf numFmtId="169" fontId="50" fillId="0" borderId="0" xfId="0" applyNumberFormat="1" applyFont="1" applyFill="1" applyBorder="1"/>
    <xf numFmtId="183" fontId="50" fillId="4" borderId="14" xfId="6" applyNumberFormat="1" applyFont="1" applyBorder="1" applyAlignment="1">
      <alignment vertical="center"/>
    </xf>
    <xf numFmtId="183" fontId="53" fillId="4" borderId="14" xfId="6" applyNumberFormat="1" applyFont="1" applyBorder="1" applyAlignment="1">
      <alignment vertical="center"/>
    </xf>
    <xf numFmtId="169" fontId="50" fillId="3" borderId="0" xfId="0" applyNumberFormat="1" applyFont="1" applyFill="1" applyBorder="1"/>
    <xf numFmtId="182" fontId="50" fillId="0" borderId="0" xfId="0" applyNumberFormat="1" applyFont="1" applyFill="1"/>
    <xf numFmtId="183" fontId="53" fillId="25" borderId="14" xfId="7" applyNumberFormat="1" applyFont="1" applyFill="1" applyBorder="1" applyAlignment="1">
      <alignment vertical="center"/>
    </xf>
    <xf numFmtId="0" fontId="64" fillId="4" borderId="6" xfId="0" applyFont="1" applyFill="1" applyBorder="1" applyAlignment="1" applyProtection="1">
      <alignment vertical="center"/>
      <protection locked="0"/>
    </xf>
    <xf numFmtId="0" fontId="56" fillId="4" borderId="19" xfId="6" applyNumberFormat="1" applyFont="1" applyBorder="1" applyAlignment="1">
      <alignment horizontal="left" vertical="center" indent="1"/>
    </xf>
    <xf numFmtId="0" fontId="56" fillId="25" borderId="19" xfId="7" applyNumberFormat="1" applyFont="1" applyFill="1" applyBorder="1" applyAlignment="1">
      <alignment horizontal="left" vertical="center" indent="1"/>
    </xf>
    <xf numFmtId="0" fontId="52" fillId="15" borderId="5" xfId="0" applyFont="1" applyFill="1" applyBorder="1"/>
    <xf numFmtId="0" fontId="52" fillId="15" borderId="6" xfId="0" applyFont="1" applyFill="1" applyBorder="1" applyAlignment="1">
      <alignment horizontal="right"/>
    </xf>
    <xf numFmtId="0" fontId="57" fillId="15" borderId="6" xfId="0" applyFont="1" applyFill="1" applyBorder="1" applyAlignment="1">
      <alignment horizontal="left"/>
    </xf>
    <xf numFmtId="0" fontId="52" fillId="15" borderId="7" xfId="0" applyFont="1" applyFill="1" applyBorder="1"/>
    <xf numFmtId="0" fontId="52" fillId="0" borderId="0" xfId="0" applyFont="1" applyAlignment="1">
      <alignment vertical="center"/>
    </xf>
    <xf numFmtId="0" fontId="79" fillId="3" borderId="0" xfId="0" applyFont="1" applyFill="1" applyBorder="1"/>
    <xf numFmtId="0" fontId="52" fillId="3" borderId="0" xfId="0" applyFont="1" applyFill="1" applyAlignment="1">
      <alignment vertical="center"/>
    </xf>
    <xf numFmtId="0" fontId="57" fillId="3" borderId="0" xfId="0" applyFont="1" applyFill="1" applyAlignment="1">
      <alignment vertical="center"/>
    </xf>
    <xf numFmtId="0" fontId="52" fillId="0" borderId="0" xfId="0" applyFont="1" applyAlignment="1">
      <alignment horizontal="left" vertical="center" indent="1"/>
    </xf>
    <xf numFmtId="0" fontId="57" fillId="0" borderId="0" xfId="0" applyFont="1"/>
    <xf numFmtId="0" fontId="50" fillId="0" borderId="0" xfId="0" quotePrefix="1" applyFont="1" applyAlignment="1">
      <alignment wrapText="1"/>
    </xf>
    <xf numFmtId="0" fontId="50" fillId="0" borderId="0" xfId="0" applyFont="1" applyAlignment="1">
      <alignment vertical="center"/>
    </xf>
    <xf numFmtId="0" fontId="53" fillId="3" borderId="0" xfId="0" applyFont="1" applyFill="1" applyBorder="1" applyAlignment="1">
      <alignment vertical="center"/>
    </xf>
    <xf numFmtId="0" fontId="66" fillId="3" borderId="0" xfId="0" quotePrefix="1" applyFont="1" applyFill="1" applyBorder="1"/>
    <xf numFmtId="0" fontId="53" fillId="15" borderId="56" xfId="0" applyFont="1" applyFill="1" applyBorder="1" applyAlignment="1">
      <alignment horizontal="center" vertical="center"/>
    </xf>
    <xf numFmtId="0" fontId="53" fillId="15" borderId="1" xfId="0" applyFont="1" applyFill="1" applyBorder="1" applyAlignment="1">
      <alignment horizontal="center" vertical="center" wrapText="1"/>
    </xf>
    <xf numFmtId="0" fontId="96" fillId="3" borderId="0" xfId="0" applyFont="1" applyFill="1" applyAlignment="1">
      <alignment horizontal="right" vertical="center"/>
    </xf>
    <xf numFmtId="0" fontId="92" fillId="12" borderId="1" xfId="11" applyNumberFormat="1" applyFont="1" applyBorder="1" applyAlignment="1">
      <alignment horizontal="center" vertical="center"/>
    </xf>
    <xf numFmtId="0" fontId="96" fillId="0" borderId="1" xfId="0" applyFont="1" applyBorder="1" applyAlignment="1">
      <alignment horizontal="right" vertical="center"/>
    </xf>
    <xf numFmtId="168" fontId="96" fillId="0" borderId="1" xfId="0" applyNumberFormat="1" applyFont="1" applyBorder="1" applyAlignment="1">
      <alignment horizontal="right" vertical="center"/>
    </xf>
    <xf numFmtId="177" fontId="96" fillId="0" borderId="1" xfId="0" applyNumberFormat="1" applyFont="1" applyBorder="1" applyAlignment="1">
      <alignment horizontal="right" vertical="center"/>
    </xf>
    <xf numFmtId="2" fontId="96" fillId="0" borderId="1" xfId="0" applyNumberFormat="1" applyFont="1" applyBorder="1" applyAlignment="1">
      <alignment horizontal="right" vertical="center"/>
    </xf>
    <xf numFmtId="2" fontId="96" fillId="3" borderId="1" xfId="0" applyNumberFormat="1" applyFont="1" applyFill="1" applyBorder="1" applyAlignment="1">
      <alignment vertical="center"/>
    </xf>
    <xf numFmtId="2" fontId="96" fillId="3" borderId="1" xfId="0" applyNumberFormat="1" applyFont="1" applyFill="1" applyBorder="1" applyAlignment="1">
      <alignment horizontal="right" vertical="center"/>
    </xf>
    <xf numFmtId="0" fontId="50" fillId="23" borderId="1" xfId="5" applyFont="1" applyBorder="1" applyAlignment="1">
      <alignment horizontal="left" vertical="center"/>
      <protection locked="0"/>
    </xf>
    <xf numFmtId="0" fontId="50" fillId="23" borderId="7" xfId="5" applyFont="1" applyBorder="1" applyAlignment="1">
      <alignment horizontal="left" vertical="center"/>
      <protection locked="0"/>
    </xf>
    <xf numFmtId="175" fontId="50" fillId="23" borderId="7" xfId="4" applyNumberFormat="1" applyFont="1" applyFill="1" applyBorder="1" applyProtection="1">
      <protection locked="0"/>
    </xf>
    <xf numFmtId="175" fontId="50" fillId="23" borderId="1" xfId="4" applyNumberFormat="1" applyFont="1" applyFill="1" applyBorder="1" applyProtection="1">
      <protection locked="0"/>
    </xf>
    <xf numFmtId="166" fontId="50" fillId="0" borderId="1" xfId="0" applyNumberFormat="1" applyFont="1" applyBorder="1" applyAlignment="1">
      <alignment horizontal="right" vertical="center"/>
    </xf>
    <xf numFmtId="166" fontId="50" fillId="3" borderId="1" xfId="0" applyNumberFormat="1" applyFont="1" applyFill="1" applyBorder="1" applyAlignment="1">
      <alignment horizontal="right" vertical="center"/>
    </xf>
    <xf numFmtId="166" fontId="50" fillId="3" borderId="1" xfId="0" applyNumberFormat="1" applyFont="1" applyFill="1" applyBorder="1" applyAlignment="1">
      <alignment vertical="center"/>
    </xf>
    <xf numFmtId="0" fontId="66" fillId="3" borderId="0" xfId="0" applyFont="1" applyFill="1" applyBorder="1"/>
    <xf numFmtId="2" fontId="53" fillId="15" borderId="1" xfId="0" applyNumberFormat="1" applyFont="1" applyFill="1" applyBorder="1" applyAlignment="1">
      <alignment vertical="center"/>
    </xf>
    <xf numFmtId="0" fontId="96" fillId="12" borderId="3" xfId="11" applyNumberFormat="1" applyFont="1" applyBorder="1" applyAlignment="1">
      <alignment vertical="center"/>
    </xf>
    <xf numFmtId="0" fontId="96" fillId="12" borderId="23" xfId="11" applyNumberFormat="1" applyFont="1" applyBorder="1" applyAlignment="1">
      <alignment vertical="center"/>
    </xf>
    <xf numFmtId="3" fontId="96" fillId="12" borderId="1" xfId="11" applyNumberFormat="1" applyFont="1" applyBorder="1" applyAlignment="1">
      <alignment vertical="center"/>
    </xf>
    <xf numFmtId="0" fontId="96" fillId="0" borderId="1" xfId="0" applyFont="1" applyBorder="1" applyAlignment="1">
      <alignment horizontal="center" vertical="center"/>
    </xf>
    <xf numFmtId="0" fontId="50" fillId="3" borderId="0" xfId="0" quotePrefix="1" applyFont="1" applyFill="1" applyAlignment="1">
      <alignment vertical="center"/>
    </xf>
    <xf numFmtId="0" fontId="50" fillId="3" borderId="0" xfId="0" applyFont="1" applyFill="1" applyAlignment="1">
      <alignment vertical="center"/>
    </xf>
    <xf numFmtId="166" fontId="50" fillId="0" borderId="1" xfId="4" applyNumberFormat="1" applyFont="1" applyBorder="1" applyAlignment="1">
      <alignment horizontal="right" vertical="center"/>
    </xf>
    <xf numFmtId="166" fontId="50" fillId="3" borderId="1" xfId="4" applyNumberFormat="1" applyFont="1" applyFill="1" applyBorder="1" applyAlignment="1">
      <alignment vertical="center"/>
    </xf>
    <xf numFmtId="166" fontId="50" fillId="3" borderId="1" xfId="4" applyNumberFormat="1" applyFont="1" applyFill="1" applyBorder="1" applyAlignment="1">
      <alignment horizontal="right" vertical="center"/>
    </xf>
    <xf numFmtId="166" fontId="50" fillId="0" borderId="0" xfId="5" applyNumberFormat="1" applyFont="1" applyFill="1" applyBorder="1" applyAlignment="1" applyProtection="1">
      <alignment vertical="center"/>
    </xf>
    <xf numFmtId="166" fontId="50" fillId="0" borderId="0" xfId="0" applyNumberFormat="1" applyFont="1" applyBorder="1" applyAlignment="1">
      <alignment horizontal="right" vertical="center"/>
    </xf>
    <xf numFmtId="166" fontId="53" fillId="15" borderId="1" xfId="4" applyNumberFormat="1" applyFont="1" applyFill="1" applyBorder="1" applyAlignment="1">
      <alignment vertical="center"/>
    </xf>
    <xf numFmtId="0" fontId="50" fillId="3" borderId="0" xfId="0" applyFont="1" applyFill="1" applyAlignment="1" applyProtection="1">
      <alignment horizontal="left" vertical="center"/>
      <protection locked="0"/>
    </xf>
    <xf numFmtId="0" fontId="50" fillId="15" borderId="5" xfId="0" applyFont="1" applyFill="1" applyBorder="1"/>
    <xf numFmtId="0" fontId="88" fillId="15" borderId="5" xfId="0" applyFont="1" applyFill="1" applyBorder="1"/>
    <xf numFmtId="0" fontId="88" fillId="15" borderId="6" xfId="0" applyFont="1" applyFill="1" applyBorder="1" applyAlignment="1">
      <alignment horizontal="right"/>
    </xf>
    <xf numFmtId="0" fontId="68" fillId="15" borderId="6" xfId="0" applyFont="1" applyFill="1" applyBorder="1" applyAlignment="1">
      <alignment horizontal="left"/>
    </xf>
    <xf numFmtId="0" fontId="88" fillId="15" borderId="6" xfId="0" applyFont="1" applyFill="1" applyBorder="1"/>
    <xf numFmtId="0" fontId="88" fillId="15" borderId="7" xfId="0" applyFont="1" applyFill="1" applyBorder="1"/>
    <xf numFmtId="0" fontId="88" fillId="0" borderId="0" xfId="0" applyFont="1"/>
    <xf numFmtId="0" fontId="68" fillId="4" borderId="5" xfId="0" applyFont="1" applyFill="1" applyBorder="1"/>
    <xf numFmtId="0" fontId="64" fillId="4" borderId="6" xfId="0" applyFont="1" applyFill="1" applyBorder="1" applyAlignment="1">
      <alignment vertical="center"/>
    </xf>
    <xf numFmtId="0" fontId="68" fillId="4" borderId="6" xfId="0" applyFont="1" applyFill="1" applyBorder="1"/>
    <xf numFmtId="0" fontId="68" fillId="4" borderId="7" xfId="0" applyFont="1" applyFill="1" applyBorder="1"/>
    <xf numFmtId="0" fontId="53" fillId="3" borderId="0" xfId="0" applyFont="1" applyFill="1" applyAlignment="1">
      <alignment vertical="center"/>
    </xf>
    <xf numFmtId="0" fontId="56" fillId="3" borderId="0" xfId="0" applyFont="1" applyFill="1" applyAlignment="1">
      <alignment vertical="center"/>
    </xf>
    <xf numFmtId="0" fontId="50" fillId="3" borderId="0" xfId="0" quotePrefix="1" applyFont="1" applyFill="1" applyAlignment="1">
      <alignment horizontal="left" vertical="center"/>
    </xf>
    <xf numFmtId="0" fontId="50" fillId="3" borderId="0" xfId="0" applyFont="1" applyFill="1" applyAlignment="1">
      <alignment horizontal="left" vertical="center"/>
    </xf>
    <xf numFmtId="4" fontId="96" fillId="0" borderId="1" xfId="0" applyNumberFormat="1" applyFont="1" applyBorder="1" applyAlignment="1">
      <alignment horizontal="right" vertical="center"/>
    </xf>
    <xf numFmtId="4" fontId="96" fillId="0" borderId="1" xfId="0" applyNumberFormat="1" applyFont="1" applyBorder="1" applyAlignment="1">
      <alignment vertical="center"/>
    </xf>
    <xf numFmtId="166" fontId="96" fillId="0" borderId="1" xfId="77" applyNumberFormat="1" applyFont="1" applyBorder="1" applyAlignment="1">
      <alignment horizontal="right" vertical="center"/>
    </xf>
    <xf numFmtId="166" fontId="96" fillId="3" borderId="1" xfId="77" applyNumberFormat="1" applyFont="1" applyFill="1" applyBorder="1" applyAlignment="1">
      <alignment vertical="center"/>
    </xf>
    <xf numFmtId="166" fontId="96" fillId="3" borderId="1" xfId="77" applyNumberFormat="1" applyFont="1" applyFill="1" applyBorder="1" applyAlignment="1">
      <alignment horizontal="right" vertical="center"/>
    </xf>
    <xf numFmtId="0" fontId="96" fillId="0" borderId="0" xfId="0" applyFont="1"/>
    <xf numFmtId="166" fontId="50" fillId="0" borderId="1" xfId="77" applyNumberFormat="1" applyFont="1" applyBorder="1" applyAlignment="1">
      <alignment horizontal="right" vertical="center"/>
    </xf>
    <xf numFmtId="166" fontId="50" fillId="3" borderId="1" xfId="77" applyNumberFormat="1" applyFont="1" applyFill="1" applyBorder="1" applyAlignment="1">
      <alignment vertical="center"/>
    </xf>
    <xf numFmtId="166" fontId="50" fillId="3" borderId="1" xfId="77" applyNumberFormat="1" applyFont="1" applyFill="1" applyBorder="1" applyAlignment="1">
      <alignment horizontal="right" vertical="center"/>
    </xf>
    <xf numFmtId="0" fontId="66" fillId="3" borderId="0" xfId="0" quotePrefix="1" applyFont="1" applyFill="1" applyAlignment="1">
      <alignment horizontal="left" vertical="center"/>
    </xf>
    <xf numFmtId="3" fontId="96" fillId="0" borderId="1" xfId="11" applyNumberFormat="1" applyFont="1" applyFill="1" applyBorder="1" applyAlignment="1">
      <alignment vertical="center"/>
    </xf>
    <xf numFmtId="0" fontId="96" fillId="0" borderId="1" xfId="0" applyFont="1" applyFill="1" applyBorder="1" applyAlignment="1">
      <alignment horizontal="center" vertical="center"/>
    </xf>
    <xf numFmtId="166" fontId="96" fillId="0" borderId="1" xfId="0" applyNumberFormat="1" applyFont="1" applyFill="1" applyBorder="1" applyAlignment="1">
      <alignment horizontal="right" vertical="center"/>
    </xf>
    <xf numFmtId="166" fontId="96" fillId="0" borderId="1" xfId="4" applyNumberFormat="1" applyFont="1" applyFill="1" applyBorder="1" applyAlignment="1">
      <alignment vertical="center"/>
    </xf>
    <xf numFmtId="166" fontId="96" fillId="0" borderId="1" xfId="4" applyNumberFormat="1" applyFont="1" applyFill="1" applyBorder="1" applyAlignment="1">
      <alignment horizontal="right" vertical="center"/>
    </xf>
    <xf numFmtId="166" fontId="53" fillId="15" borderId="1" xfId="4" applyFont="1" applyFill="1" applyBorder="1" applyAlignment="1">
      <alignment vertical="center"/>
    </xf>
    <xf numFmtId="166" fontId="96" fillId="0" borderId="1" xfId="0" applyNumberFormat="1" applyFont="1" applyFill="1" applyBorder="1" applyAlignment="1">
      <alignment vertical="center"/>
    </xf>
    <xf numFmtId="182" fontId="56" fillId="4" borderId="20" xfId="6" applyNumberFormat="1" applyFont="1" applyBorder="1" applyAlignment="1">
      <alignment vertical="center"/>
    </xf>
    <xf numFmtId="182" fontId="56" fillId="25" borderId="20" xfId="7" applyNumberFormat="1" applyFont="1" applyFill="1" applyBorder="1" applyAlignment="1">
      <alignment vertical="center"/>
    </xf>
    <xf numFmtId="0" fontId="50" fillId="3" borderId="0" xfId="0" applyFont="1" applyFill="1" applyAlignment="1">
      <alignment horizontal="left"/>
    </xf>
    <xf numFmtId="0" fontId="58" fillId="3" borderId="0" xfId="0" applyFont="1" applyFill="1" applyAlignment="1" applyProtection="1">
      <alignment vertical="center"/>
      <protection locked="0"/>
    </xf>
    <xf numFmtId="0" fontId="52" fillId="3" borderId="0" xfId="0" applyFont="1" applyFill="1" applyAlignment="1">
      <alignment horizontal="right" vertical="center"/>
    </xf>
    <xf numFmtId="3" fontId="57" fillId="3" borderId="0" xfId="0" applyNumberFormat="1" applyFont="1" applyFill="1" applyBorder="1" applyAlignment="1">
      <alignment vertical="center"/>
    </xf>
    <xf numFmtId="0" fontId="52" fillId="12" borderId="0" xfId="0" applyFont="1" applyFill="1"/>
    <xf numFmtId="0" fontId="57" fillId="3" borderId="0" xfId="0" applyFont="1" applyFill="1" applyAlignment="1">
      <alignment horizontal="left" vertical="center"/>
    </xf>
    <xf numFmtId="0" fontId="57" fillId="3" borderId="0" xfId="0" applyFont="1" applyFill="1" applyAlignment="1">
      <alignment horizontal="center" vertical="center"/>
    </xf>
    <xf numFmtId="0" fontId="52" fillId="15" borderId="5" xfId="0" applyFont="1" applyFill="1" applyBorder="1" applyAlignment="1">
      <alignment vertical="center"/>
    </xf>
    <xf numFmtId="0" fontId="52" fillId="15" borderId="6" xfId="0" applyFont="1" applyFill="1" applyBorder="1" applyAlignment="1">
      <alignment vertical="center"/>
    </xf>
    <xf numFmtId="0" fontId="97" fillId="3" borderId="0" xfId="0" applyFont="1" applyFill="1"/>
    <xf numFmtId="3" fontId="57" fillId="3" borderId="0" xfId="0" applyNumberFormat="1" applyFont="1" applyFill="1" applyBorder="1" applyAlignment="1"/>
    <xf numFmtId="0" fontId="53" fillId="3" borderId="1" xfId="0" applyFont="1" applyFill="1" applyBorder="1" applyAlignment="1">
      <alignment horizontal="center" vertical="center"/>
    </xf>
    <xf numFmtId="0" fontId="98" fillId="0" borderId="5" xfId="0" applyFont="1" applyBorder="1" applyAlignment="1">
      <alignment horizontal="center" vertical="center" wrapText="1"/>
    </xf>
    <xf numFmtId="0" fontId="98" fillId="0" borderId="6" xfId="0" applyFont="1" applyBorder="1" applyAlignment="1">
      <alignment horizontal="center" vertical="center" wrapText="1"/>
    </xf>
    <xf numFmtId="0" fontId="98" fillId="0" borderId="7" xfId="0" applyFont="1" applyBorder="1" applyAlignment="1">
      <alignment horizontal="center" vertical="center" wrapText="1"/>
    </xf>
    <xf numFmtId="0" fontId="98" fillId="0" borderId="27" xfId="0" applyFont="1" applyBorder="1" applyAlignment="1">
      <alignment horizontal="center" vertical="center" wrapText="1"/>
    </xf>
    <xf numFmtId="169" fontId="53" fillId="12" borderId="0" xfId="0" applyNumberFormat="1" applyFont="1" applyFill="1" applyBorder="1"/>
    <xf numFmtId="0" fontId="57" fillId="12" borderId="0" xfId="0" applyFont="1" applyFill="1"/>
    <xf numFmtId="0" fontId="98" fillId="0" borderId="0" xfId="0" applyFont="1" applyAlignment="1">
      <alignment horizontal="center" vertical="center" wrapText="1"/>
    </xf>
    <xf numFmtId="0" fontId="50" fillId="3" borderId="0" xfId="0" applyFont="1" applyFill="1" applyAlignment="1">
      <alignment horizontal="right" vertical="center"/>
    </xf>
    <xf numFmtId="3" fontId="53" fillId="3" borderId="0" xfId="0" applyNumberFormat="1" applyFont="1" applyFill="1" applyBorder="1" applyAlignment="1">
      <alignment vertical="center"/>
    </xf>
    <xf numFmtId="0" fontId="53" fillId="3" borderId="0" xfId="0" applyFont="1" applyFill="1" applyAlignment="1">
      <alignment horizontal="center" vertical="center"/>
    </xf>
    <xf numFmtId="0" fontId="50" fillId="12" borderId="0" xfId="0" applyFont="1" applyFill="1"/>
    <xf numFmtId="0" fontId="50" fillId="15" borderId="5" xfId="0" applyFont="1" applyFill="1" applyBorder="1" applyAlignment="1">
      <alignment vertical="center"/>
    </xf>
    <xf numFmtId="0" fontId="50" fillId="15" borderId="6" xfId="0" applyFont="1" applyFill="1" applyBorder="1" applyAlignment="1">
      <alignment vertical="center"/>
    </xf>
    <xf numFmtId="0" fontId="54" fillId="15" borderId="5" xfId="0" applyFont="1" applyFill="1" applyBorder="1" applyAlignment="1">
      <alignment vertical="center"/>
    </xf>
    <xf numFmtId="0" fontId="54" fillId="15" borderId="6" xfId="0" applyFont="1" applyFill="1" applyBorder="1" applyAlignment="1">
      <alignment horizontal="right" vertical="center"/>
    </xf>
    <xf numFmtId="0" fontId="56" fillId="15" borderId="6" xfId="0" applyFont="1" applyFill="1" applyBorder="1" applyAlignment="1">
      <alignment horizontal="left" vertical="center"/>
    </xf>
    <xf numFmtId="0" fontId="54" fillId="15" borderId="6" xfId="0" applyFont="1" applyFill="1" applyBorder="1" applyAlignment="1">
      <alignment vertical="center"/>
    </xf>
    <xf numFmtId="0" fontId="54" fillId="15" borderId="7" xfId="0" applyFont="1" applyFill="1" applyBorder="1" applyAlignment="1">
      <alignment vertical="center"/>
    </xf>
    <xf numFmtId="0" fontId="54" fillId="0" borderId="0" xfId="0" applyFont="1" applyAlignment="1">
      <alignment vertical="center"/>
    </xf>
    <xf numFmtId="0" fontId="64" fillId="4" borderId="6" xfId="0" applyFont="1" applyFill="1" applyBorder="1" applyAlignment="1">
      <alignment horizontal="left" vertical="center"/>
    </xf>
    <xf numFmtId="0" fontId="56" fillId="3" borderId="0" xfId="0" applyFont="1" applyFill="1"/>
    <xf numFmtId="0" fontId="66" fillId="3" borderId="0" xfId="0" applyFont="1" applyFill="1"/>
    <xf numFmtId="0" fontId="50" fillId="3" borderId="0" xfId="0" quotePrefix="1" applyFont="1" applyFill="1"/>
    <xf numFmtId="0" fontId="50" fillId="12" borderId="0" xfId="0" applyFont="1" applyFill="1" applyBorder="1"/>
    <xf numFmtId="49" fontId="50" fillId="3" borderId="0" xfId="0" applyNumberFormat="1" applyFont="1" applyFill="1" applyAlignment="1">
      <alignment horizontal="left" vertical="center" indent="3"/>
    </xf>
    <xf numFmtId="49" fontId="50" fillId="3" borderId="0" xfId="0" quotePrefix="1" applyNumberFormat="1" applyFont="1" applyFill="1" applyAlignment="1">
      <alignment horizontal="left" vertical="center" indent="3"/>
    </xf>
    <xf numFmtId="49" fontId="50" fillId="0" borderId="0" xfId="0" quotePrefix="1" applyNumberFormat="1" applyFont="1" applyFill="1" applyAlignment="1">
      <alignment horizontal="left" vertical="center" indent="3"/>
    </xf>
    <xf numFmtId="49" fontId="50" fillId="0" borderId="0" xfId="0" applyNumberFormat="1" applyFont="1" applyFill="1" applyAlignment="1">
      <alignment horizontal="left" vertical="center" indent="6"/>
    </xf>
    <xf numFmtId="49" fontId="53" fillId="0" borderId="0" xfId="0" applyNumberFormat="1" applyFont="1" applyFill="1" applyAlignment="1">
      <alignment horizontal="left" vertical="center" indent="9"/>
    </xf>
    <xf numFmtId="49" fontId="50" fillId="0" borderId="0" xfId="0" applyNumberFormat="1" applyFont="1" applyFill="1" applyAlignment="1">
      <alignment horizontal="left" vertical="center" indent="9"/>
    </xf>
    <xf numFmtId="0" fontId="53" fillId="15" borderId="1" xfId="0" applyFont="1" applyFill="1" applyBorder="1" applyAlignment="1">
      <alignment horizontal="center"/>
    </xf>
    <xf numFmtId="0" fontId="53" fillId="15" borderId="8" xfId="0" applyFont="1" applyFill="1" applyBorder="1" applyAlignment="1">
      <alignment horizontal="center"/>
    </xf>
    <xf numFmtId="0" fontId="53" fillId="15" borderId="3" xfId="0" applyFont="1" applyFill="1" applyBorder="1" applyAlignment="1">
      <alignment horizontal="center"/>
    </xf>
    <xf numFmtId="0" fontId="50" fillId="3" borderId="0" xfId="0" applyFont="1" applyFill="1" applyAlignment="1">
      <alignment horizontal="center" vertical="center"/>
    </xf>
    <xf numFmtId="0" fontId="50" fillId="0" borderId="0" xfId="0" applyFont="1" applyAlignment="1">
      <alignment horizontal="center" vertical="center"/>
    </xf>
    <xf numFmtId="188" fontId="92" fillId="12" borderId="3" xfId="0" applyNumberFormat="1" applyFont="1" applyFill="1" applyBorder="1" applyAlignment="1">
      <alignment vertical="center"/>
    </xf>
    <xf numFmtId="3" fontId="92" fillId="12" borderId="3" xfId="0" applyNumberFormat="1" applyFont="1" applyFill="1" applyBorder="1" applyAlignment="1">
      <alignment horizontal="center" vertical="center"/>
    </xf>
    <xf numFmtId="188" fontId="92" fillId="12" borderId="3" xfId="0" applyNumberFormat="1" applyFont="1" applyFill="1" applyBorder="1" applyAlignment="1" applyProtection="1">
      <alignment vertical="center"/>
      <protection locked="0"/>
    </xf>
    <xf numFmtId="3" fontId="92" fillId="12" borderId="1" xfId="11" applyNumberFormat="1" applyFont="1" applyBorder="1" applyAlignment="1">
      <alignment horizontal="right" vertical="center" indent="1"/>
    </xf>
    <xf numFmtId="0" fontId="92" fillId="3" borderId="0" xfId="0" applyFont="1" applyFill="1" applyAlignment="1">
      <alignment vertical="center"/>
    </xf>
    <xf numFmtId="188" fontId="50" fillId="23" borderId="1" xfId="5" applyNumberFormat="1" applyFont="1" applyBorder="1" applyAlignment="1">
      <alignment vertical="center"/>
      <protection locked="0"/>
    </xf>
    <xf numFmtId="3" fontId="50" fillId="0" borderId="1" xfId="0" applyNumberFormat="1" applyFont="1" applyBorder="1" applyAlignment="1">
      <alignment horizontal="center" vertical="center"/>
    </xf>
    <xf numFmtId="181" fontId="50" fillId="23" borderId="1" xfId="5" applyNumberFormat="1" applyFont="1" applyBorder="1" applyAlignment="1">
      <alignment horizontal="right" vertical="center" indent="1"/>
      <protection locked="0"/>
    </xf>
    <xf numFmtId="3" fontId="50" fillId="0" borderId="1" xfId="4" applyNumberFormat="1" applyFont="1" applyBorder="1" applyAlignment="1">
      <alignment horizontal="right" vertical="center" indent="1"/>
    </xf>
    <xf numFmtId="0" fontId="50" fillId="3" borderId="8" xfId="0" applyFont="1" applyFill="1" applyBorder="1" applyAlignment="1">
      <alignment horizontal="center" vertical="center"/>
    </xf>
    <xf numFmtId="0" fontId="50" fillId="0" borderId="17" xfId="0" applyFont="1" applyBorder="1" applyAlignment="1">
      <alignment horizontal="center" vertical="center"/>
    </xf>
    <xf numFmtId="0" fontId="50" fillId="0" borderId="0" xfId="0" applyFont="1" applyBorder="1" applyAlignment="1">
      <alignment horizontal="center" vertical="center"/>
    </xf>
    <xf numFmtId="0" fontId="50" fillId="0" borderId="15" xfId="0" applyFont="1" applyBorder="1" applyAlignment="1">
      <alignment horizontal="center" vertical="center"/>
    </xf>
    <xf numFmtId="0" fontId="50" fillId="3" borderId="3" xfId="0" applyFont="1" applyFill="1" applyBorder="1" applyAlignment="1">
      <alignment horizontal="center" vertical="center"/>
    </xf>
    <xf numFmtId="0" fontId="50" fillId="0" borderId="56" xfId="0" applyFont="1" applyBorder="1" applyAlignment="1">
      <alignment horizontal="center" vertical="center"/>
    </xf>
    <xf numFmtId="0" fontId="50" fillId="0" borderId="4" xfId="0" applyFont="1" applyBorder="1" applyAlignment="1">
      <alignment horizontal="center" vertical="center"/>
    </xf>
    <xf numFmtId="0" fontId="50" fillId="0" borderId="23" xfId="0" applyFont="1" applyBorder="1" applyAlignment="1">
      <alignment horizontal="center" vertical="center"/>
    </xf>
    <xf numFmtId="166" fontId="50" fillId="15" borderId="6" xfId="4" applyFont="1" applyFill="1" applyBorder="1" applyAlignment="1">
      <alignment horizontal="right" indent="1"/>
    </xf>
    <xf numFmtId="166" fontId="50" fillId="15" borderId="7" xfId="4" applyFont="1" applyFill="1" applyBorder="1" applyAlignment="1">
      <alignment horizontal="right" indent="1"/>
    </xf>
    <xf numFmtId="3" fontId="53" fillId="15" borderId="7" xfId="4" applyNumberFormat="1" applyFont="1" applyFill="1" applyBorder="1" applyAlignment="1">
      <alignment horizontal="right" vertical="center" indent="1"/>
    </xf>
    <xf numFmtId="3" fontId="50" fillId="3" borderId="0" xfId="0" applyNumberFormat="1" applyFont="1" applyFill="1" applyBorder="1" applyAlignment="1">
      <alignment horizontal="center"/>
    </xf>
    <xf numFmtId="169" fontId="50" fillId="3" borderId="0" xfId="0" applyNumberFormat="1" applyFont="1" applyFill="1" applyBorder="1" applyProtection="1">
      <protection locked="0"/>
    </xf>
    <xf numFmtId="0" fontId="50" fillId="3" borderId="0" xfId="0" applyFont="1" applyFill="1" applyAlignment="1">
      <alignment horizontal="left" vertical="center" indent="3"/>
    </xf>
    <xf numFmtId="0" fontId="50" fillId="12" borderId="0" xfId="0" applyFont="1" applyFill="1" applyAlignment="1">
      <alignment vertical="center"/>
    </xf>
    <xf numFmtId="0" fontId="50" fillId="0" borderId="0" xfId="0" applyFont="1" applyFill="1" applyAlignment="1">
      <alignment horizontal="left" vertical="center" indent="3"/>
    </xf>
    <xf numFmtId="0" fontId="53" fillId="0" borderId="0" xfId="0" applyFont="1" applyFill="1" applyAlignment="1">
      <alignment horizontal="left" vertical="center" indent="6"/>
    </xf>
    <xf numFmtId="0" fontId="53" fillId="0" borderId="0" xfId="0" applyFont="1" applyFill="1" applyAlignment="1">
      <alignment horizontal="left" vertical="center" indent="9"/>
    </xf>
    <xf numFmtId="0" fontId="50" fillId="0" borderId="0" xfId="0" applyFont="1" applyFill="1" applyAlignment="1">
      <alignment horizontal="left" vertical="center" indent="9"/>
    </xf>
    <xf numFmtId="0" fontId="50" fillId="0" borderId="0" xfId="0" applyFont="1" applyFill="1" applyAlignment="1">
      <alignment horizontal="left" vertical="center" indent="12"/>
    </xf>
    <xf numFmtId="0" fontId="66" fillId="0" borderId="0" xfId="0" quotePrefix="1" applyFont="1" applyFill="1" applyAlignment="1">
      <alignment horizontal="left" vertical="center" indent="12"/>
    </xf>
    <xf numFmtId="0" fontId="66" fillId="0" borderId="0" xfId="0" applyFont="1" applyFill="1" applyAlignment="1">
      <alignment horizontal="left" vertical="center" indent="12"/>
    </xf>
    <xf numFmtId="0" fontId="66" fillId="3" borderId="0" xfId="0" quotePrefix="1" applyFont="1" applyFill="1"/>
    <xf numFmtId="0" fontId="53" fillId="15" borderId="3" xfId="0" applyFont="1" applyFill="1" applyBorder="1" applyAlignment="1">
      <alignment horizontal="center" vertical="center"/>
    </xf>
    <xf numFmtId="188" fontId="96" fillId="12" borderId="3" xfId="0" applyNumberFormat="1" applyFont="1" applyFill="1" applyBorder="1" applyAlignment="1" applyProtection="1">
      <alignment vertical="center"/>
      <protection locked="0"/>
    </xf>
    <xf numFmtId="3" fontId="96" fillId="12" borderId="3" xfId="0" applyNumberFormat="1" applyFont="1" applyFill="1" applyBorder="1" applyAlignment="1">
      <alignment horizontal="center" vertical="center"/>
    </xf>
    <xf numFmtId="3" fontId="96" fillId="12" borderId="3" xfId="0" applyNumberFormat="1" applyFont="1" applyFill="1" applyBorder="1" applyAlignment="1">
      <alignment horizontal="right" vertical="center" indent="1"/>
    </xf>
    <xf numFmtId="188" fontId="50" fillId="23" borderId="1" xfId="5" applyNumberFormat="1" applyFont="1" applyBorder="1" applyAlignment="1">
      <alignment horizontal="right" vertical="center"/>
      <protection locked="0"/>
    </xf>
    <xf numFmtId="3" fontId="50" fillId="0" borderId="1" xfId="0" applyNumberFormat="1" applyFont="1" applyBorder="1" applyAlignment="1">
      <alignment horizontal="right" vertical="center" indent="1"/>
    </xf>
    <xf numFmtId="169" fontId="50" fillId="3" borderId="0" xfId="0" applyNumberFormat="1" applyFont="1" applyFill="1"/>
    <xf numFmtId="0" fontId="53" fillId="15" borderId="5" xfId="0" applyFont="1" applyFill="1" applyBorder="1" applyAlignment="1">
      <alignment horizontal="left" vertical="center"/>
    </xf>
    <xf numFmtId="166" fontId="50" fillId="15" borderId="6" xfId="4" applyFont="1" applyFill="1" applyBorder="1" applyAlignment="1">
      <alignment horizontal="right" vertical="center"/>
    </xf>
    <xf numFmtId="166" fontId="50" fillId="15" borderId="7" xfId="4" applyFont="1" applyFill="1" applyBorder="1" applyAlignment="1">
      <alignment horizontal="right" vertical="center"/>
    </xf>
    <xf numFmtId="49" fontId="50" fillId="0" borderId="0" xfId="0" quotePrefix="1" applyNumberFormat="1" applyFont="1" applyFill="1" applyAlignment="1">
      <alignment horizontal="left" vertical="center" indent="6"/>
    </xf>
    <xf numFmtId="0" fontId="50" fillId="15" borderId="16" xfId="0" applyFont="1" applyFill="1" applyBorder="1" applyAlignment="1">
      <alignment vertical="center"/>
    </xf>
    <xf numFmtId="0" fontId="53" fillId="15" borderId="24" xfId="0" applyFont="1" applyFill="1" applyBorder="1" applyAlignment="1">
      <alignment horizontal="center" vertical="center"/>
    </xf>
    <xf numFmtId="0" fontId="50" fillId="3" borderId="1" xfId="0" applyFont="1" applyFill="1" applyBorder="1" applyAlignment="1">
      <alignment horizontal="center"/>
    </xf>
    <xf numFmtId="188" fontId="92" fillId="12" borderId="3" xfId="0" applyNumberFormat="1" applyFont="1" applyFill="1" applyBorder="1" applyAlignment="1" applyProtection="1">
      <alignment horizontal="left" vertical="center"/>
      <protection locked="0"/>
    </xf>
    <xf numFmtId="187" fontId="92" fillId="12" borderId="3" xfId="0" applyNumberFormat="1" applyFont="1" applyFill="1" applyBorder="1" applyAlignment="1" applyProtection="1">
      <alignment vertical="center"/>
      <protection locked="0"/>
    </xf>
    <xf numFmtId="0" fontId="50" fillId="3" borderId="1" xfId="0" applyFont="1" applyFill="1" applyBorder="1"/>
    <xf numFmtId="188" fontId="50" fillId="23" borderId="3" xfId="5" applyNumberFormat="1" applyFont="1" applyBorder="1" applyAlignment="1">
      <alignment horizontal="left" vertical="center"/>
      <protection locked="0"/>
    </xf>
    <xf numFmtId="169" fontId="50" fillId="23" borderId="1" xfId="5" applyNumberFormat="1" applyFont="1" applyBorder="1" applyAlignment="1">
      <alignment horizontal="right" vertical="center"/>
      <protection locked="0"/>
    </xf>
    <xf numFmtId="3" fontId="50" fillId="12" borderId="3" xfId="0" applyNumberFormat="1" applyFont="1" applyFill="1" applyBorder="1" applyAlignment="1" applyProtection="1">
      <alignment horizontal="right" vertical="center" indent="1"/>
      <protection locked="0"/>
    </xf>
    <xf numFmtId="0" fontId="50" fillId="0" borderId="21" xfId="0" applyFont="1" applyBorder="1" applyAlignment="1">
      <alignment horizontal="center" vertical="center"/>
    </xf>
    <xf numFmtId="0" fontId="50" fillId="0" borderId="27" xfId="0" applyFont="1" applyBorder="1" applyAlignment="1">
      <alignment horizontal="center" vertical="center"/>
    </xf>
    <xf numFmtId="0" fontId="50" fillId="0" borderId="24" xfId="0" applyFont="1" applyBorder="1" applyAlignment="1">
      <alignment horizontal="center" vertical="center"/>
    </xf>
    <xf numFmtId="188" fontId="50" fillId="23" borderId="3" xfId="5" applyNumberFormat="1" applyFont="1" applyBorder="1" applyAlignment="1">
      <alignment vertical="center"/>
      <protection locked="0"/>
    </xf>
    <xf numFmtId="188" fontId="50" fillId="23" borderId="8" xfId="5" applyNumberFormat="1" applyFont="1" applyBorder="1" applyAlignment="1">
      <alignment horizontal="left" vertical="center"/>
      <protection locked="0"/>
    </xf>
    <xf numFmtId="0" fontId="53" fillId="15" borderId="5" xfId="0" applyFont="1" applyFill="1" applyBorder="1" applyAlignment="1">
      <alignment horizontal="left" vertical="center" indent="1"/>
    </xf>
    <xf numFmtId="0" fontId="50" fillId="15" borderId="5" xfId="0" applyFont="1" applyFill="1" applyBorder="1" applyAlignment="1">
      <alignment horizontal="left" vertical="center" indent="1"/>
    </xf>
    <xf numFmtId="0" fontId="50" fillId="15" borderId="7" xfId="0" applyFont="1" applyFill="1" applyBorder="1" applyAlignment="1">
      <alignment horizontal="left" vertical="center" indent="1"/>
    </xf>
    <xf numFmtId="0" fontId="50" fillId="3" borderId="0" xfId="0" applyFont="1" applyFill="1" applyBorder="1" applyAlignment="1">
      <alignment horizontal="left" vertical="center" indent="1"/>
    </xf>
    <xf numFmtId="0" fontId="68" fillId="3" borderId="0" xfId="0" applyFont="1" applyFill="1" applyAlignment="1">
      <alignment vertical="center"/>
    </xf>
    <xf numFmtId="0" fontId="50" fillId="12" borderId="0" xfId="0" applyFont="1" applyFill="1" applyBorder="1" applyAlignment="1">
      <alignment vertical="center"/>
    </xf>
    <xf numFmtId="0" fontId="92" fillId="12" borderId="3" xfId="0" applyFont="1" applyFill="1" applyBorder="1" applyAlignment="1" applyProtection="1">
      <alignment horizontal="left" vertical="center"/>
      <protection locked="0"/>
    </xf>
    <xf numFmtId="169" fontId="92" fillId="12" borderId="3" xfId="4" applyNumberFormat="1" applyFont="1" applyFill="1" applyBorder="1" applyAlignment="1" applyProtection="1">
      <alignment horizontal="right" vertical="center"/>
      <protection locked="0"/>
    </xf>
    <xf numFmtId="169" fontId="92" fillId="12" borderId="3" xfId="4" applyNumberFormat="1" applyFont="1" applyFill="1" applyBorder="1" applyAlignment="1">
      <alignment horizontal="right" vertical="center"/>
    </xf>
    <xf numFmtId="169" fontId="92" fillId="12" borderId="3" xfId="0" applyNumberFormat="1" applyFont="1" applyFill="1" applyBorder="1" applyAlignment="1" applyProtection="1">
      <alignment horizontal="right" vertical="center"/>
      <protection locked="0"/>
    </xf>
    <xf numFmtId="3" fontId="92" fillId="12" borderId="3" xfId="0" applyNumberFormat="1" applyFont="1" applyFill="1" applyBorder="1" applyAlignment="1" applyProtection="1">
      <alignment horizontal="right" vertical="center"/>
      <protection locked="0"/>
    </xf>
    <xf numFmtId="3" fontId="92" fillId="12" borderId="3" xfId="0" applyNumberFormat="1" applyFont="1" applyFill="1" applyBorder="1" applyAlignment="1">
      <alignment horizontal="right" vertical="center"/>
    </xf>
    <xf numFmtId="0" fontId="50" fillId="23" borderId="1" xfId="5" applyFont="1" applyBorder="1" applyAlignment="1">
      <alignment vertical="center"/>
      <protection locked="0"/>
    </xf>
    <xf numFmtId="169" fontId="50" fillId="23" borderId="1" xfId="5" applyNumberFormat="1" applyFont="1" applyBorder="1" applyAlignment="1">
      <alignment vertical="center"/>
      <protection locked="0"/>
    </xf>
    <xf numFmtId="169" fontId="50" fillId="12" borderId="3" xfId="0" applyNumberFormat="1" applyFont="1" applyFill="1" applyBorder="1" applyAlignment="1" applyProtection="1">
      <alignment horizontal="right" vertical="center"/>
      <protection locked="0"/>
    </xf>
    <xf numFmtId="3" fontId="50" fillId="12" borderId="3" xfId="0" applyNumberFormat="1" applyFont="1" applyFill="1" applyBorder="1" applyAlignment="1" applyProtection="1">
      <alignment horizontal="right" vertical="center"/>
      <protection locked="0"/>
    </xf>
    <xf numFmtId="3" fontId="50" fillId="12" borderId="3" xfId="0" applyNumberFormat="1" applyFont="1" applyFill="1" applyBorder="1" applyAlignment="1">
      <alignment horizontal="right" vertical="center"/>
    </xf>
    <xf numFmtId="0" fontId="50" fillId="23" borderId="16" xfId="5" applyFont="1" applyBorder="1" applyAlignment="1">
      <alignment vertical="center"/>
      <protection locked="0"/>
    </xf>
    <xf numFmtId="169" fontId="50" fillId="23" borderId="16" xfId="5" applyNumberFormat="1" applyFont="1" applyBorder="1" applyAlignment="1">
      <alignment vertical="center"/>
      <protection locked="0"/>
    </xf>
    <xf numFmtId="169" fontId="50" fillId="23" borderId="16" xfId="5" applyNumberFormat="1" applyFont="1" applyBorder="1" applyAlignment="1">
      <alignment horizontal="right" vertical="center"/>
      <protection locked="0"/>
    </xf>
    <xf numFmtId="0" fontId="53" fillId="2" borderId="5" xfId="0" applyFont="1" applyFill="1" applyBorder="1" applyAlignment="1">
      <alignment horizontal="left" vertical="center" indent="1"/>
    </xf>
    <xf numFmtId="0" fontId="53" fillId="2" borderId="6" xfId="0" applyFont="1" applyFill="1" applyBorder="1" applyAlignment="1">
      <alignment vertical="center"/>
    </xf>
    <xf numFmtId="0" fontId="53" fillId="2" borderId="7" xfId="0" applyFont="1" applyFill="1" applyBorder="1" applyAlignment="1">
      <alignment vertical="center"/>
    </xf>
    <xf numFmtId="169" fontId="53" fillId="2" borderId="1" xfId="0" applyNumberFormat="1" applyFont="1" applyFill="1" applyBorder="1" applyAlignment="1">
      <alignment vertical="center"/>
    </xf>
    <xf numFmtId="3" fontId="53" fillId="2" borderId="1" xfId="0" applyNumberFormat="1" applyFont="1" applyFill="1" applyBorder="1" applyAlignment="1">
      <alignment vertical="center"/>
    </xf>
    <xf numFmtId="0" fontId="50" fillId="3" borderId="0" xfId="0" applyFont="1" applyFill="1" applyAlignment="1">
      <alignment wrapText="1"/>
    </xf>
    <xf numFmtId="4" fontId="53" fillId="12" borderId="0" xfId="0" applyNumberFormat="1" applyFont="1" applyFill="1" applyBorder="1"/>
    <xf numFmtId="0" fontId="50" fillId="0" borderId="0" xfId="0" applyFont="1" applyAlignment="1">
      <alignment horizontal="left" vertical="center" indent="1"/>
    </xf>
    <xf numFmtId="0" fontId="53" fillId="12" borderId="0" xfId="0" applyFont="1" applyFill="1" applyBorder="1"/>
    <xf numFmtId="0" fontId="53" fillId="15" borderId="5" xfId="0" applyFont="1" applyFill="1" applyBorder="1" applyAlignment="1">
      <alignment horizontal="center" vertical="center" wrapText="1"/>
    </xf>
    <xf numFmtId="0" fontId="50" fillId="3" borderId="1" xfId="0" applyFont="1" applyFill="1" applyBorder="1" applyAlignment="1">
      <alignment horizontal="left" vertical="center" indent="1"/>
    </xf>
    <xf numFmtId="0" fontId="50" fillId="3" borderId="1" xfId="0" applyFont="1" applyFill="1" applyBorder="1" applyAlignment="1">
      <alignment horizontal="center" vertical="center"/>
    </xf>
    <xf numFmtId="3" fontId="50" fillId="3" borderId="1" xfId="0" applyNumberFormat="1" applyFont="1" applyFill="1" applyBorder="1" applyAlignment="1">
      <alignment horizontal="right" vertical="center" indent="1"/>
    </xf>
    <xf numFmtId="169" fontId="50" fillId="3" borderId="1" xfId="4" applyNumberFormat="1" applyFont="1" applyFill="1" applyBorder="1" applyAlignment="1">
      <alignment horizontal="right" vertical="center" indent="1"/>
    </xf>
    <xf numFmtId="3" fontId="50" fillId="3" borderId="1" xfId="4" applyNumberFormat="1" applyFont="1" applyFill="1" applyBorder="1" applyAlignment="1">
      <alignment horizontal="right" vertical="center" indent="1"/>
    </xf>
    <xf numFmtId="169" fontId="50" fillId="0" borderId="1" xfId="0" applyNumberFormat="1" applyFont="1" applyBorder="1" applyAlignment="1">
      <alignment horizontal="right" vertical="center" indent="1"/>
    </xf>
    <xf numFmtId="0" fontId="54" fillId="0" borderId="0" xfId="0" applyNumberFormat="1" applyFont="1" applyFill="1" applyBorder="1" applyAlignment="1" applyProtection="1"/>
    <xf numFmtId="0" fontId="52" fillId="0" borderId="0" xfId="0" applyFont="1" applyAlignment="1">
      <alignment horizontal="left"/>
    </xf>
    <xf numFmtId="0" fontId="54" fillId="0" borderId="0" xfId="0" applyNumberFormat="1" applyFont="1" applyFill="1" applyBorder="1" applyAlignment="1" applyProtection="1">
      <alignment vertical="center"/>
    </xf>
    <xf numFmtId="0" fontId="58" fillId="12" borderId="0"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vertical="center"/>
    </xf>
    <xf numFmtId="0" fontId="52" fillId="0" borderId="0" xfId="0" applyFont="1" applyBorder="1" applyAlignment="1">
      <alignment vertical="center"/>
    </xf>
    <xf numFmtId="0" fontId="52" fillId="0" borderId="0" xfId="0" applyFont="1" applyAlignment="1">
      <alignment horizontal="center"/>
    </xf>
    <xf numFmtId="0" fontId="52" fillId="3" borderId="0" xfId="0" applyNumberFormat="1" applyFont="1" applyFill="1" applyBorder="1" applyAlignment="1" applyProtection="1">
      <alignment horizontal="right" vertical="center"/>
    </xf>
    <xf numFmtId="0" fontId="52" fillId="0" borderId="0" xfId="0" applyFont="1" applyBorder="1"/>
    <xf numFmtId="0" fontId="57" fillId="15" borderId="16" xfId="0" applyFont="1" applyFill="1" applyBorder="1" applyAlignment="1">
      <alignment horizontal="left" vertical="center" wrapText="1"/>
    </xf>
    <xf numFmtId="0" fontId="57" fillId="15" borderId="16" xfId="0" applyFont="1" applyFill="1" applyBorder="1" applyAlignment="1">
      <alignment horizontal="center" vertical="center" wrapText="1"/>
    </xf>
    <xf numFmtId="0" fontId="57" fillId="3" borderId="0" xfId="0" applyFont="1" applyFill="1" applyBorder="1" applyAlignment="1">
      <alignment horizontal="left" vertical="center"/>
    </xf>
    <xf numFmtId="0" fontId="52" fillId="3" borderId="1" xfId="0" applyFont="1" applyFill="1" applyBorder="1" applyAlignment="1">
      <alignment horizontal="left" vertical="center"/>
    </xf>
    <xf numFmtId="3" fontId="52" fillId="3" borderId="1" xfId="0" applyNumberFormat="1" applyFont="1" applyFill="1" applyBorder="1" applyAlignment="1">
      <alignment horizontal="right" vertical="center"/>
    </xf>
    <xf numFmtId="166" fontId="52" fillId="3" borderId="1" xfId="4" applyFont="1" applyFill="1" applyBorder="1" applyAlignment="1">
      <alignment horizontal="right" vertical="center"/>
    </xf>
    <xf numFmtId="188" fontId="57" fillId="4" borderId="14" xfId="6" applyNumberFormat="1" applyFont="1" applyBorder="1" applyAlignment="1">
      <alignment vertical="center"/>
    </xf>
    <xf numFmtId="188" fontId="52" fillId="4" borderId="14" xfId="6" applyNumberFormat="1" applyFont="1" applyBorder="1" applyAlignment="1">
      <alignment vertical="center"/>
    </xf>
    <xf numFmtId="0" fontId="57" fillId="0" borderId="0" xfId="6" applyNumberFormat="1" applyFont="1" applyFill="1" applyBorder="1" applyAlignment="1">
      <alignment horizontal="left" vertical="center" indent="1"/>
    </xf>
    <xf numFmtId="188" fontId="57" fillId="0" borderId="0" xfId="6" applyNumberFormat="1" applyFont="1" applyFill="1" applyBorder="1" applyAlignment="1">
      <alignment vertical="center"/>
    </xf>
    <xf numFmtId="188" fontId="52" fillId="0" borderId="0" xfId="6" applyNumberFormat="1" applyFont="1" applyFill="1" applyBorder="1" applyAlignment="1">
      <alignment vertical="center"/>
    </xf>
    <xf numFmtId="193" fontId="53" fillId="0" borderId="0" xfId="6" applyNumberFormat="1" applyFont="1" applyFill="1" applyBorder="1" applyAlignment="1">
      <alignment horizontal="right" vertical="center" indent="1"/>
    </xf>
    <xf numFmtId="0" fontId="62" fillId="3" borderId="0" xfId="0" applyFont="1" applyFill="1" applyAlignment="1">
      <alignment vertical="center" wrapText="1"/>
    </xf>
    <xf numFmtId="0" fontId="64" fillId="12" borderId="0" xfId="0" applyNumberFormat="1" applyFont="1" applyFill="1" applyBorder="1" applyAlignment="1" applyProtection="1">
      <alignment vertical="center"/>
      <protection locked="0"/>
    </xf>
    <xf numFmtId="0" fontId="101" fillId="12" borderId="0" xfId="0" applyNumberFormat="1" applyFont="1" applyFill="1" applyBorder="1" applyAlignment="1" applyProtection="1">
      <alignment vertical="center"/>
      <protection locked="0"/>
    </xf>
    <xf numFmtId="0" fontId="50" fillId="3" borderId="0" xfId="0" applyNumberFormat="1" applyFont="1" applyFill="1" applyBorder="1" applyAlignment="1" applyProtection="1">
      <alignment horizontal="right" vertical="center"/>
    </xf>
    <xf numFmtId="0" fontId="66" fillId="3" borderId="0" xfId="0" applyFont="1" applyFill="1" applyAlignment="1">
      <alignment vertical="center"/>
    </xf>
    <xf numFmtId="0" fontId="50" fillId="3" borderId="1" xfId="0" applyFont="1" applyFill="1" applyBorder="1" applyAlignment="1">
      <alignment horizontal="left" vertical="center"/>
    </xf>
    <xf numFmtId="3" fontId="50" fillId="3" borderId="1" xfId="0" applyNumberFormat="1" applyFont="1" applyFill="1" applyBorder="1" applyAlignment="1">
      <alignment horizontal="right" vertical="center"/>
    </xf>
    <xf numFmtId="166" fontId="50" fillId="3" borderId="1" xfId="4" applyFont="1" applyFill="1" applyBorder="1" applyAlignment="1">
      <alignment horizontal="right" vertical="center"/>
    </xf>
    <xf numFmtId="0" fontId="66" fillId="0" borderId="0" xfId="0" applyFont="1" applyAlignment="1">
      <alignment horizontal="justify" vertical="center" wrapText="1"/>
    </xf>
    <xf numFmtId="0" fontId="66" fillId="0" borderId="0" xfId="0" applyFont="1" applyAlignment="1">
      <alignment horizontal="center" vertical="center" wrapText="1"/>
    </xf>
    <xf numFmtId="0" fontId="53" fillId="15" borderId="16" xfId="0" applyFont="1" applyFill="1" applyBorder="1" applyAlignment="1">
      <alignment horizontal="center" vertical="center" wrapText="1"/>
    </xf>
    <xf numFmtId="0" fontId="50" fillId="0" borderId="0" xfId="0" applyFont="1" applyAlignment="1">
      <alignment horizontal="center"/>
    </xf>
    <xf numFmtId="0" fontId="92" fillId="12" borderId="0" xfId="11" applyNumberFormat="1" applyFont="1" applyAlignment="1">
      <alignment horizontal="right" vertical="center"/>
    </xf>
    <xf numFmtId="0" fontId="92" fillId="12" borderId="1" xfId="11" applyNumberFormat="1" applyFont="1" applyBorder="1" applyAlignment="1">
      <alignment horizontal="left" vertical="center" indent="1"/>
    </xf>
    <xf numFmtId="166" fontId="92" fillId="12" borderId="1" xfId="11" applyNumberFormat="1" applyFont="1" applyBorder="1" applyAlignment="1">
      <alignment horizontal="left" vertical="center"/>
    </xf>
    <xf numFmtId="169" fontId="92" fillId="12" borderId="1" xfId="11" applyNumberFormat="1" applyFont="1" applyBorder="1" applyAlignment="1">
      <alignment horizontal="right" vertical="center" indent="1"/>
    </xf>
    <xf numFmtId="175" fontId="92" fillId="12" borderId="1" xfId="11" applyNumberFormat="1" applyFont="1" applyBorder="1" applyAlignment="1">
      <alignment vertical="center"/>
    </xf>
    <xf numFmtId="199" fontId="92" fillId="12" borderId="1" xfId="11" applyNumberFormat="1" applyFont="1" applyBorder="1" applyAlignment="1">
      <alignment horizontal="right" vertical="center" indent="1"/>
    </xf>
    <xf numFmtId="200" fontId="92" fillId="12" borderId="1" xfId="11" applyNumberFormat="1" applyFont="1" applyBorder="1" applyAlignment="1">
      <alignment horizontal="right" vertical="center" indent="1"/>
    </xf>
    <xf numFmtId="166" fontId="50" fillId="23" borderId="1" xfId="4" applyFont="1" applyFill="1" applyBorder="1" applyAlignment="1" applyProtection="1">
      <alignment horizontal="left" vertical="center"/>
      <protection locked="0"/>
    </xf>
    <xf numFmtId="169" fontId="50" fillId="23" borderId="1" xfId="4" applyNumberFormat="1" applyFont="1" applyFill="1" applyBorder="1" applyAlignment="1" applyProtection="1">
      <alignment horizontal="right" vertical="center" indent="1"/>
      <protection locked="0"/>
    </xf>
    <xf numFmtId="3" fontId="50" fillId="12" borderId="1" xfId="4" applyNumberFormat="1" applyFont="1" applyFill="1" applyBorder="1" applyAlignment="1" applyProtection="1">
      <alignment vertical="center"/>
      <protection locked="0"/>
    </xf>
    <xf numFmtId="164" fontId="50" fillId="0" borderId="1" xfId="0" applyNumberFormat="1" applyFont="1" applyBorder="1" applyAlignment="1">
      <alignment horizontal="right" vertical="center" indent="1"/>
    </xf>
    <xf numFmtId="169" fontId="50" fillId="23" borderId="1" xfId="5" applyNumberFormat="1" applyFont="1" applyBorder="1" applyAlignment="1">
      <alignment horizontal="right" vertical="center" indent="1"/>
      <protection locked="0"/>
    </xf>
    <xf numFmtId="0" fontId="50" fillId="0" borderId="0" xfId="0" applyFont="1" applyAlignment="1">
      <alignment horizontal="left"/>
    </xf>
    <xf numFmtId="0" fontId="52" fillId="0" borderId="0" xfId="0" applyFont="1" applyAlignment="1"/>
    <xf numFmtId="0" fontId="52" fillId="12" borderId="0" xfId="0" applyFont="1" applyFill="1" applyAlignment="1"/>
    <xf numFmtId="193" fontId="52" fillId="0" borderId="0" xfId="0" applyNumberFormat="1" applyFont="1"/>
    <xf numFmtId="0" fontId="56" fillId="12" borderId="0" xfId="0" applyFont="1" applyFill="1" applyAlignment="1"/>
    <xf numFmtId="0" fontId="50" fillId="0" borderId="0" xfId="0" applyFont="1" applyAlignment="1"/>
    <xf numFmtId="0" fontId="66" fillId="12" borderId="0" xfId="0" applyFont="1" applyFill="1" applyAlignment="1">
      <alignment vertical="center"/>
    </xf>
    <xf numFmtId="0" fontId="66" fillId="12" borderId="0" xfId="0" applyFont="1" applyFill="1" applyAlignment="1">
      <alignment vertical="center" wrapText="1"/>
    </xf>
    <xf numFmtId="0" fontId="66" fillId="12" borderId="0" xfId="0" applyFont="1" applyFill="1" applyAlignment="1">
      <alignment vertical="top" wrapText="1"/>
    </xf>
    <xf numFmtId="0" fontId="50" fillId="12" borderId="0" xfId="0" applyFont="1" applyFill="1" applyAlignment="1">
      <alignment horizontal="justify" vertical="center" wrapText="1"/>
    </xf>
    <xf numFmtId="0" fontId="92" fillId="3" borderId="1" xfId="0" applyFont="1" applyFill="1" applyBorder="1" applyAlignment="1" applyProtection="1">
      <alignment vertical="center"/>
    </xf>
    <xf numFmtId="0" fontId="92" fillId="12" borderId="0" xfId="11" applyNumberFormat="1" applyFont="1" applyAlignment="1">
      <alignment vertical="center"/>
    </xf>
    <xf numFmtId="166" fontId="50" fillId="23" borderId="1" xfId="4" applyFont="1" applyFill="1" applyBorder="1" applyAlignment="1" applyProtection="1">
      <alignment horizontal="center" vertical="center"/>
      <protection locked="0"/>
    </xf>
    <xf numFmtId="0" fontId="50" fillId="3" borderId="1" xfId="0" applyFont="1" applyFill="1" applyBorder="1" applyAlignment="1">
      <alignment horizontal="right" vertical="center"/>
    </xf>
    <xf numFmtId="0" fontId="52" fillId="0" borderId="0" xfId="0" applyNumberFormat="1" applyFont="1" applyFill="1" applyBorder="1" applyAlignment="1" applyProtection="1"/>
    <xf numFmtId="0" fontId="102" fillId="0" borderId="0" xfId="0" applyNumberFormat="1" applyFont="1" applyFill="1" applyBorder="1" applyAlignment="1" applyProtection="1"/>
    <xf numFmtId="0" fontId="58" fillId="3" borderId="0" xfId="0" applyNumberFormat="1" applyFont="1" applyFill="1" applyBorder="1" applyAlignment="1" applyProtection="1">
      <protection locked="0"/>
    </xf>
    <xf numFmtId="0" fontId="57" fillId="3" borderId="0" xfId="0" applyFont="1" applyFill="1" applyAlignment="1"/>
    <xf numFmtId="0" fontId="52" fillId="3" borderId="0" xfId="0" applyNumberFormat="1" applyFont="1" applyFill="1" applyBorder="1" applyAlignment="1" applyProtection="1">
      <alignment horizontal="right"/>
    </xf>
    <xf numFmtId="0" fontId="57" fillId="3" borderId="0" xfId="0" applyNumberFormat="1" applyFont="1" applyFill="1" applyBorder="1" applyAlignment="1" applyProtection="1"/>
    <xf numFmtId="0" fontId="62" fillId="3" borderId="0" xfId="0" applyNumberFormat="1" applyFont="1" applyFill="1" applyBorder="1" applyAlignment="1" applyProtection="1"/>
    <xf numFmtId="0" fontId="84" fillId="0" borderId="0" xfId="0" applyNumberFormat="1" applyFont="1" applyFill="1" applyBorder="1" applyAlignment="1" applyProtection="1"/>
    <xf numFmtId="0" fontId="60" fillId="0" borderId="0" xfId="0" applyNumberFormat="1" applyFont="1" applyFill="1" applyBorder="1" applyAlignment="1" applyProtection="1"/>
    <xf numFmtId="0" fontId="52" fillId="15" borderId="6" xfId="0" applyNumberFormat="1" applyFont="1" applyFill="1" applyBorder="1" applyAlignment="1" applyProtection="1"/>
    <xf numFmtId="0" fontId="60" fillId="15" borderId="6" xfId="0" applyNumberFormat="1" applyFont="1" applyFill="1" applyBorder="1" applyAlignment="1" applyProtection="1"/>
    <xf numFmtId="0" fontId="54" fillId="15" borderId="7" xfId="0" applyNumberFormat="1" applyFont="1" applyFill="1" applyBorder="1" applyAlignment="1" applyProtection="1"/>
    <xf numFmtId="0" fontId="54" fillId="3" borderId="0" xfId="0" applyNumberFormat="1" applyFont="1" applyFill="1" applyBorder="1" applyAlignment="1" applyProtection="1"/>
    <xf numFmtId="0" fontId="52" fillId="3" borderId="0" xfId="0" applyNumberFormat="1" applyFont="1" applyFill="1" applyBorder="1" applyAlignment="1" applyProtection="1"/>
    <xf numFmtId="0" fontId="60" fillId="3" borderId="0" xfId="0" applyNumberFormat="1" applyFont="1" applyFill="1" applyBorder="1" applyAlignment="1" applyProtection="1"/>
    <xf numFmtId="0" fontId="62" fillId="0" borderId="0" xfId="0" applyNumberFormat="1" applyFont="1" applyFill="1" applyBorder="1" applyAlignment="1" applyProtection="1"/>
    <xf numFmtId="0" fontId="84" fillId="0" borderId="0" xfId="0" applyFont="1" applyBorder="1" applyProtection="1"/>
    <xf numFmtId="0" fontId="60" fillId="0" borderId="0" xfId="0" applyFont="1"/>
    <xf numFmtId="0" fontId="52" fillId="0" borderId="0" xfId="0" applyNumberFormat="1" applyFont="1" applyFill="1" applyBorder="1" applyAlignment="1" applyProtection="1">
      <alignment horizontal="left" vertical="center"/>
    </xf>
    <xf numFmtId="0" fontId="58" fillId="0" borderId="0" xfId="0" applyFont="1" applyFill="1" applyBorder="1"/>
    <xf numFmtId="0" fontId="103" fillId="0" borderId="0" xfId="0" applyFont="1" applyFill="1" applyBorder="1"/>
    <xf numFmtId="0" fontId="52" fillId="12" borderId="0" xfId="0" applyNumberFormat="1" applyFont="1" applyFill="1" applyBorder="1" applyAlignment="1" applyProtection="1"/>
    <xf numFmtId="0" fontId="58" fillId="12" borderId="0" xfId="0" applyNumberFormat="1" applyFont="1" applyFill="1" applyBorder="1" applyAlignment="1" applyProtection="1">
      <protection locked="0"/>
    </xf>
    <xf numFmtId="0" fontId="54" fillId="12" borderId="0" xfId="0" applyNumberFormat="1" applyFont="1" applyFill="1" applyBorder="1" applyAlignment="1" applyProtection="1"/>
    <xf numFmtId="176" fontId="52" fillId="12" borderId="0" xfId="0" applyNumberFormat="1" applyFont="1" applyFill="1" applyBorder="1" applyAlignment="1" applyProtection="1"/>
    <xf numFmtId="176" fontId="52" fillId="12" borderId="0" xfId="0" applyNumberFormat="1" applyFont="1" applyFill="1" applyBorder="1" applyAlignment="1" applyProtection="1">
      <alignment horizontal="right"/>
    </xf>
    <xf numFmtId="175" fontId="52" fillId="12" borderId="0" xfId="0" applyNumberFormat="1" applyFont="1" applyFill="1" applyBorder="1" applyAlignment="1" applyProtection="1"/>
    <xf numFmtId="0" fontId="62" fillId="12" borderId="0" xfId="0" applyNumberFormat="1" applyFont="1" applyFill="1" applyBorder="1" applyAlignment="1" applyProtection="1"/>
    <xf numFmtId="0" fontId="84" fillId="12" borderId="0" xfId="0" applyNumberFormat="1" applyFont="1" applyFill="1" applyBorder="1" applyAlignment="1" applyProtection="1"/>
    <xf numFmtId="0" fontId="60" fillId="12" borderId="0" xfId="0" applyNumberFormat="1" applyFont="1" applyFill="1" applyBorder="1" applyAlignment="1" applyProtection="1"/>
    <xf numFmtId="166" fontId="52" fillId="0" borderId="0" xfId="0" applyNumberFormat="1" applyFont="1" applyFill="1" applyBorder="1" applyAlignment="1" applyProtection="1"/>
    <xf numFmtId="188" fontId="52" fillId="4" borderId="14" xfId="0" applyNumberFormat="1" applyFont="1" applyFill="1" applyBorder="1" applyAlignment="1">
      <alignment vertical="center"/>
    </xf>
    <xf numFmtId="188" fontId="57" fillId="4" borderId="14" xfId="0" applyNumberFormat="1" applyFont="1" applyFill="1" applyBorder="1" applyAlignment="1">
      <alignment vertical="center"/>
    </xf>
    <xf numFmtId="0" fontId="52" fillId="0" borderId="14" xfId="0" applyFont="1" applyBorder="1" applyAlignment="1">
      <alignment horizontal="left" indent="1"/>
    </xf>
    <xf numFmtId="0" fontId="52" fillId="0" borderId="14" xfId="0" applyFont="1" applyBorder="1"/>
    <xf numFmtId="193" fontId="52" fillId="0" borderId="14" xfId="0" applyNumberFormat="1" applyFont="1" applyBorder="1"/>
    <xf numFmtId="188" fontId="57" fillId="25" borderId="36" xfId="0" applyNumberFormat="1" applyFont="1" applyFill="1" applyBorder="1" applyAlignment="1" applyProtection="1">
      <alignment vertical="center"/>
    </xf>
    <xf numFmtId="0" fontId="53" fillId="3" borderId="0" xfId="0" applyNumberFormat="1" applyFont="1" applyFill="1" applyBorder="1" applyAlignment="1" applyProtection="1"/>
    <xf numFmtId="0" fontId="56" fillId="3" borderId="0" xfId="0" applyNumberFormat="1" applyFont="1" applyFill="1" applyBorder="1" applyAlignment="1" applyProtection="1"/>
    <xf numFmtId="0" fontId="50" fillId="0" borderId="0" xfId="0" applyNumberFormat="1" applyFont="1" applyFill="1" applyBorder="1" applyAlignment="1" applyProtection="1"/>
    <xf numFmtId="0" fontId="50" fillId="3" borderId="0" xfId="0" applyNumberFormat="1" applyFont="1" applyFill="1" applyBorder="1" applyAlignment="1" applyProtection="1">
      <alignment vertical="center" wrapText="1"/>
    </xf>
    <xf numFmtId="0" fontId="50" fillId="3" borderId="0" xfId="0" applyNumberFormat="1" applyFont="1" applyFill="1" applyBorder="1" applyAlignment="1" applyProtection="1"/>
    <xf numFmtId="0" fontId="104" fillId="0" borderId="0" xfId="0" applyNumberFormat="1" applyFont="1" applyFill="1" applyBorder="1" applyAlignment="1" applyProtection="1"/>
    <xf numFmtId="0" fontId="64" fillId="15" borderId="6" xfId="0" applyFont="1" applyFill="1" applyBorder="1" applyProtection="1">
      <protection locked="0"/>
    </xf>
    <xf numFmtId="0" fontId="50" fillId="0" borderId="0" xfId="0" applyNumberFormat="1" applyFont="1" applyFill="1" applyBorder="1" applyAlignment="1" applyProtection="1">
      <protection hidden="1"/>
    </xf>
    <xf numFmtId="0" fontId="50" fillId="0" borderId="17" xfId="0" applyNumberFormat="1" applyFont="1" applyFill="1" applyBorder="1" applyAlignment="1" applyProtection="1"/>
    <xf numFmtId="0" fontId="50" fillId="0" borderId="0" xfId="0" applyNumberFormat="1" applyFont="1" applyFill="1" applyBorder="1" applyAlignment="1" applyProtection="1">
      <alignment horizontal="left"/>
      <protection hidden="1"/>
    </xf>
    <xf numFmtId="0" fontId="53" fillId="0" borderId="46" xfId="0" applyNumberFormat="1" applyFont="1" applyFill="1" applyBorder="1" applyAlignment="1" applyProtection="1"/>
    <xf numFmtId="0" fontId="53" fillId="0" borderId="44" xfId="0" applyFont="1" applyBorder="1" applyProtection="1"/>
    <xf numFmtId="0" fontId="53" fillId="0" borderId="0" xfId="0" applyNumberFormat="1" applyFont="1" applyFill="1" applyBorder="1" applyAlignment="1" applyProtection="1">
      <alignment horizontal="left"/>
      <protection hidden="1"/>
    </xf>
    <xf numFmtId="0" fontId="50" fillId="3" borderId="47" xfId="0" applyFont="1" applyFill="1" applyBorder="1" applyProtection="1"/>
    <xf numFmtId="0" fontId="50" fillId="0" borderId="1" xfId="0" applyNumberFormat="1" applyFont="1" applyFill="1" applyBorder="1" applyAlignment="1" applyProtection="1">
      <alignment horizontal="center" vertical="center" wrapText="1"/>
    </xf>
    <xf numFmtId="0" fontId="66" fillId="0" borderId="0" xfId="0" applyNumberFormat="1" applyFont="1" applyFill="1" applyBorder="1" applyAlignment="1" applyProtection="1">
      <alignment vertical="center" wrapText="1"/>
    </xf>
    <xf numFmtId="0" fontId="67" fillId="0" borderId="0" xfId="0" applyNumberFormat="1" applyFont="1" applyFill="1" applyBorder="1" applyAlignment="1" applyProtection="1">
      <alignment vertical="center" wrapText="1"/>
    </xf>
    <xf numFmtId="0" fontId="50" fillId="3" borderId="44" xfId="0" applyFont="1" applyFill="1" applyBorder="1" applyProtection="1"/>
    <xf numFmtId="0" fontId="50" fillId="3" borderId="48" xfId="0" applyFont="1" applyFill="1" applyBorder="1" applyProtection="1"/>
    <xf numFmtId="0" fontId="50" fillId="3" borderId="45" xfId="0" applyFont="1" applyFill="1" applyBorder="1" applyProtection="1"/>
    <xf numFmtId="0" fontId="66" fillId="0" borderId="0" xfId="0" applyFont="1" applyAlignment="1">
      <alignment horizontal="right"/>
    </xf>
    <xf numFmtId="0" fontId="66" fillId="0" borderId="0" xfId="0" applyNumberFormat="1" applyFont="1" applyFill="1" applyBorder="1" applyAlignment="1" applyProtection="1"/>
    <xf numFmtId="0" fontId="50" fillId="3" borderId="16" xfId="0" applyNumberFormat="1" applyFont="1" applyFill="1" applyBorder="1" applyProtection="1"/>
    <xf numFmtId="0" fontId="50" fillId="3" borderId="3" xfId="0" applyFont="1" applyFill="1" applyBorder="1" applyProtection="1"/>
    <xf numFmtId="0" fontId="50" fillId="0" borderId="0" xfId="0" applyNumberFormat="1" applyFont="1" applyFill="1" applyBorder="1" applyAlignment="1" applyProtection="1">
      <alignment horizontal="left" vertical="center" indent="1"/>
    </xf>
    <xf numFmtId="0" fontId="50" fillId="0" borderId="0" xfId="0" applyNumberFormat="1" applyFont="1" applyFill="1" applyBorder="1" applyAlignment="1" applyProtection="1">
      <alignment horizontal="left"/>
    </xf>
    <xf numFmtId="0" fontId="50" fillId="0" borderId="0" xfId="0" applyNumberFormat="1" applyFont="1" applyFill="1" applyBorder="1" applyAlignment="1" applyProtection="1">
      <alignment horizontal="center"/>
    </xf>
    <xf numFmtId="176" fontId="50" fillId="0" borderId="0" xfId="0" applyNumberFormat="1" applyFont="1" applyFill="1" applyBorder="1" applyAlignment="1" applyProtection="1"/>
    <xf numFmtId="176" fontId="50" fillId="0" borderId="0" xfId="0" applyNumberFormat="1" applyFont="1" applyFill="1" applyBorder="1" applyAlignment="1" applyProtection="1">
      <alignment horizontal="right"/>
    </xf>
    <xf numFmtId="175" fontId="50" fillId="0" borderId="0" xfId="0" applyNumberFormat="1" applyFont="1" applyFill="1" applyBorder="1" applyAlignment="1" applyProtection="1"/>
    <xf numFmtId="0" fontId="53" fillId="15" borderId="31" xfId="0" applyNumberFormat="1" applyFont="1" applyFill="1" applyBorder="1" applyAlignment="1" applyProtection="1">
      <alignment horizontal="center" vertical="center"/>
    </xf>
    <xf numFmtId="0" fontId="50" fillId="15" borderId="30" xfId="0" applyNumberFormat="1" applyFont="1" applyFill="1" applyBorder="1" applyAlignment="1" applyProtection="1">
      <alignment horizontal="center"/>
    </xf>
    <xf numFmtId="0" fontId="50" fillId="15" borderId="31" xfId="0" applyNumberFormat="1" applyFont="1" applyFill="1" applyBorder="1" applyAlignment="1" applyProtection="1">
      <alignment horizontal="left" vertical="center" indent="1"/>
    </xf>
    <xf numFmtId="0" fontId="50" fillId="15" borderId="32" xfId="0" applyNumberFormat="1" applyFont="1" applyFill="1" applyBorder="1" applyAlignment="1" applyProtection="1">
      <alignment horizontal="center"/>
    </xf>
    <xf numFmtId="2" fontId="50" fillId="23" borderId="30" xfId="5" applyNumberFormat="1" applyFont="1" applyBorder="1" applyAlignment="1">
      <alignment horizontal="center"/>
      <protection locked="0"/>
    </xf>
    <xf numFmtId="0" fontId="66" fillId="0" borderId="0" xfId="0" applyNumberFormat="1" applyFont="1" applyFill="1" applyBorder="1" applyAlignment="1" applyProtection="1">
      <alignment horizontal="left" vertical="center" indent="1"/>
    </xf>
    <xf numFmtId="0" fontId="53" fillId="0" borderId="0" xfId="0" applyFont="1" applyBorder="1" applyProtection="1"/>
    <xf numFmtId="0" fontId="50" fillId="0" borderId="0" xfId="0" applyFont="1" applyBorder="1" applyAlignment="1" applyProtection="1">
      <alignment horizontal="right"/>
    </xf>
    <xf numFmtId="0" fontId="50" fillId="2" borderId="1" xfId="0" applyFont="1" applyFill="1" applyBorder="1" applyAlignment="1" applyProtection="1">
      <alignment horizontal="right"/>
      <protection hidden="1"/>
    </xf>
    <xf numFmtId="0" fontId="50" fillId="0" borderId="0" xfId="0" applyFont="1" applyFill="1" applyBorder="1" applyAlignment="1" applyProtection="1">
      <alignment horizontal="right"/>
      <protection hidden="1"/>
    </xf>
    <xf numFmtId="0" fontId="66" fillId="0" borderId="0" xfId="0" applyFont="1" applyFill="1" applyBorder="1" applyAlignment="1" applyProtection="1">
      <alignment horizontal="left"/>
      <protection hidden="1"/>
    </xf>
    <xf numFmtId="0" fontId="50" fillId="0" borderId="0" xfId="0" applyFont="1" applyFill="1" applyBorder="1" applyProtection="1">
      <protection hidden="1"/>
    </xf>
    <xf numFmtId="49" fontId="50" fillId="0" borderId="0" xfId="0" applyNumberFormat="1" applyFont="1" applyFill="1" applyBorder="1" applyAlignment="1" applyProtection="1">
      <alignment horizontal="right"/>
      <protection hidden="1"/>
    </xf>
    <xf numFmtId="2" fontId="50" fillId="2" borderId="1" xfId="0" applyNumberFormat="1" applyFont="1" applyFill="1" applyBorder="1" applyAlignment="1" applyProtection="1">
      <alignment horizontal="right"/>
      <protection hidden="1"/>
    </xf>
    <xf numFmtId="0" fontId="53" fillId="0" borderId="0" xfId="0" applyFont="1" applyFill="1" applyBorder="1" applyAlignment="1" applyProtection="1">
      <alignment horizontal="right"/>
      <protection hidden="1"/>
    </xf>
    <xf numFmtId="39" fontId="50" fillId="2" borderId="5" xfId="0" applyNumberFormat="1" applyFont="1" applyFill="1" applyBorder="1" applyAlignment="1" applyProtection="1">
      <alignment horizontal="center"/>
      <protection hidden="1"/>
    </xf>
    <xf numFmtId="0" fontId="53" fillId="0" borderId="1" xfId="0" applyFont="1" applyFill="1" applyBorder="1" applyAlignment="1" applyProtection="1">
      <alignment horizontal="center"/>
      <protection hidden="1"/>
    </xf>
    <xf numFmtId="0" fontId="50" fillId="0" borderId="1" xfId="0" applyFont="1" applyBorder="1" applyAlignment="1" applyProtection="1">
      <alignment horizontal="center"/>
    </xf>
    <xf numFmtId="0" fontId="50" fillId="0" borderId="16" xfId="0" applyNumberFormat="1" applyFont="1" applyFill="1" applyBorder="1" applyAlignment="1" applyProtection="1">
      <alignment horizontal="center"/>
      <protection hidden="1"/>
    </xf>
    <xf numFmtId="178" fontId="50" fillId="2" borderId="0" xfId="0" applyNumberFormat="1" applyFont="1" applyFill="1" applyBorder="1" applyAlignment="1" applyProtection="1">
      <alignment horizontal="center"/>
      <protection hidden="1"/>
    </xf>
    <xf numFmtId="178" fontId="50" fillId="0" borderId="0" xfId="0" applyNumberFormat="1" applyFont="1" applyFill="1" applyBorder="1" applyAlignment="1" applyProtection="1">
      <protection hidden="1"/>
    </xf>
    <xf numFmtId="178" fontId="50" fillId="0" borderId="15" xfId="0" applyNumberFormat="1" applyFont="1" applyFill="1" applyBorder="1" applyAlignment="1" applyProtection="1">
      <protection hidden="1"/>
    </xf>
    <xf numFmtId="0" fontId="53" fillId="15" borderId="49" xfId="0" applyNumberFormat="1" applyFont="1" applyFill="1" applyBorder="1" applyAlignment="1" applyProtection="1">
      <alignment horizontal="left" vertical="center" indent="1"/>
    </xf>
    <xf numFmtId="0" fontId="53" fillId="15" borderId="31" xfId="0" applyNumberFormat="1" applyFont="1" applyFill="1" applyBorder="1" applyAlignment="1" applyProtection="1">
      <alignment horizontal="center"/>
    </xf>
    <xf numFmtId="0" fontId="104" fillId="0" borderId="0" xfId="0" applyFont="1"/>
    <xf numFmtId="0" fontId="50" fillId="0" borderId="8" xfId="0" applyNumberFormat="1" applyFont="1" applyFill="1" applyBorder="1" applyAlignment="1" applyProtection="1">
      <alignment horizontal="center"/>
      <protection hidden="1"/>
    </xf>
    <xf numFmtId="178" fontId="53" fillId="0" borderId="0" xfId="0" applyNumberFormat="1" applyFont="1" applyFill="1" applyBorder="1" applyProtection="1">
      <protection hidden="1"/>
    </xf>
    <xf numFmtId="0" fontId="50" fillId="15" borderId="21" xfId="0" applyFont="1" applyFill="1" applyBorder="1" applyAlignment="1" applyProtection="1">
      <alignment horizontal="left" vertical="center" indent="1"/>
    </xf>
    <xf numFmtId="0" fontId="50" fillId="15" borderId="21" xfId="0" applyFont="1" applyFill="1" applyBorder="1" applyAlignment="1" applyProtection="1">
      <alignment horizontal="center" vertical="center"/>
    </xf>
    <xf numFmtId="172" fontId="50" fillId="23" borderId="30" xfId="5" applyNumberFormat="1" applyFont="1" applyBorder="1" applyAlignment="1">
      <alignment horizontal="center"/>
      <protection locked="0"/>
    </xf>
    <xf numFmtId="178" fontId="50" fillId="0" borderId="0" xfId="0" applyNumberFormat="1" applyFont="1" applyBorder="1" applyProtection="1"/>
    <xf numFmtId="0" fontId="50" fillId="15" borderId="17" xfId="0" applyFont="1" applyFill="1" applyBorder="1" applyAlignment="1" applyProtection="1">
      <alignment horizontal="left" vertical="center" indent="1"/>
    </xf>
    <xf numFmtId="0" fontId="50" fillId="15" borderId="17" xfId="0" applyFont="1" applyFill="1" applyBorder="1" applyAlignment="1" applyProtection="1">
      <alignment horizontal="center" vertical="center"/>
    </xf>
    <xf numFmtId="0" fontId="50" fillId="15" borderId="56" xfId="0" applyFont="1" applyFill="1" applyBorder="1" applyAlignment="1" applyProtection="1">
      <alignment horizontal="left" vertical="center" indent="1"/>
    </xf>
    <xf numFmtId="0" fontId="50" fillId="15" borderId="1" xfId="0" applyFont="1" applyFill="1" applyBorder="1" applyAlignment="1" applyProtection="1">
      <alignment horizontal="center" vertical="center"/>
    </xf>
    <xf numFmtId="10" fontId="50" fillId="0" borderId="1" xfId="0" applyNumberFormat="1" applyFont="1" applyFill="1" applyBorder="1" applyAlignment="1" applyProtection="1">
      <alignment horizontal="center"/>
    </xf>
    <xf numFmtId="0" fontId="50" fillId="0" borderId="1" xfId="0" applyNumberFormat="1" applyFont="1" applyFill="1" applyBorder="1" applyAlignment="1" applyProtection="1">
      <alignment horizontal="left" vertical="center" indent="1"/>
    </xf>
    <xf numFmtId="0" fontId="50" fillId="0" borderId="39" xfId="0" applyNumberFormat="1" applyFont="1" applyFill="1" applyBorder="1" applyAlignment="1" applyProtection="1">
      <alignment horizontal="center"/>
    </xf>
    <xf numFmtId="0" fontId="50" fillId="0" borderId="30" xfId="0" applyNumberFormat="1" applyFont="1" applyFill="1" applyBorder="1" applyAlignment="1" applyProtection="1">
      <alignment horizontal="center"/>
    </xf>
    <xf numFmtId="0" fontId="53" fillId="0" borderId="0" xfId="0" applyFont="1"/>
    <xf numFmtId="0" fontId="53" fillId="0" borderId="5" xfId="0" applyFont="1" applyBorder="1" applyAlignment="1">
      <alignment horizontal="right" vertical="center"/>
    </xf>
    <xf numFmtId="0" fontId="50" fillId="0" borderId="6" xfId="0" applyFont="1" applyBorder="1" applyAlignment="1">
      <alignment vertical="center"/>
    </xf>
    <xf numFmtId="0" fontId="50" fillId="0" borderId="7" xfId="0" applyFont="1" applyBorder="1" applyAlignment="1">
      <alignment vertical="center"/>
    </xf>
    <xf numFmtId="0" fontId="53" fillId="15" borderId="32" xfId="0" applyNumberFormat="1" applyFont="1" applyFill="1" applyBorder="1" applyAlignment="1" applyProtection="1">
      <alignment horizontal="center"/>
    </xf>
    <xf numFmtId="0" fontId="50" fillId="15" borderId="32" xfId="0" applyNumberFormat="1" applyFont="1" applyFill="1" applyBorder="1" applyAlignment="1" applyProtection="1"/>
    <xf numFmtId="0" fontId="50" fillId="23" borderId="1" xfId="5" applyFont="1" applyBorder="1" applyAlignment="1">
      <alignment horizontal="center"/>
      <protection locked="0"/>
    </xf>
    <xf numFmtId="0" fontId="50" fillId="15" borderId="40" xfId="0" applyNumberFormat="1" applyFont="1" applyFill="1" applyBorder="1" applyAlignment="1" applyProtection="1">
      <alignment horizontal="center"/>
    </xf>
    <xf numFmtId="167" fontId="50" fillId="0" borderId="30" xfId="0" applyNumberFormat="1" applyFont="1" applyFill="1" applyBorder="1" applyAlignment="1" applyProtection="1">
      <alignment horizontal="center"/>
    </xf>
    <xf numFmtId="167" fontId="50" fillId="0" borderId="0" xfId="0" applyNumberFormat="1" applyFont="1" applyFill="1" applyBorder="1" applyAlignment="1" applyProtection="1">
      <alignment horizontal="center"/>
    </xf>
    <xf numFmtId="0" fontId="53" fillId="0" borderId="0" xfId="0" applyNumberFormat="1" applyFont="1" applyFill="1" applyBorder="1" applyAlignment="1" applyProtection="1">
      <alignment horizontal="left"/>
    </xf>
    <xf numFmtId="0" fontId="50" fillId="23" borderId="30" xfId="5" applyNumberFormat="1" applyFont="1" applyBorder="1" applyAlignment="1">
      <alignment horizontal="center"/>
      <protection locked="0"/>
    </xf>
    <xf numFmtId="178" fontId="50" fillId="2" borderId="23" xfId="0" applyNumberFormat="1" applyFont="1" applyFill="1" applyBorder="1" applyAlignment="1" applyProtection="1">
      <alignment horizontal="center"/>
      <protection hidden="1"/>
    </xf>
    <xf numFmtId="0" fontId="66" fillId="0" borderId="0" xfId="0" applyFont="1" applyFill="1" applyBorder="1" applyProtection="1">
      <protection hidden="1"/>
    </xf>
    <xf numFmtId="0" fontId="53" fillId="0" borderId="5" xfId="0" applyFont="1" applyFill="1" applyBorder="1" applyProtection="1">
      <protection hidden="1"/>
    </xf>
    <xf numFmtId="0" fontId="50" fillId="0" borderId="7" xfId="0" applyFont="1" applyFill="1" applyBorder="1" applyProtection="1">
      <protection hidden="1"/>
    </xf>
    <xf numFmtId="2" fontId="50" fillId="0" borderId="1" xfId="0" applyNumberFormat="1" applyFont="1" applyFill="1" applyBorder="1" applyProtection="1">
      <protection hidden="1"/>
    </xf>
    <xf numFmtId="0" fontId="53" fillId="0" borderId="0" xfId="0" applyFont="1" applyFill="1" applyBorder="1" applyProtection="1">
      <protection hidden="1"/>
    </xf>
    <xf numFmtId="2" fontId="50" fillId="0" borderId="0" xfId="0" applyNumberFormat="1" applyFont="1" applyFill="1" applyBorder="1" applyProtection="1">
      <protection hidden="1"/>
    </xf>
    <xf numFmtId="0" fontId="50" fillId="15" borderId="34" xfId="0" applyNumberFormat="1" applyFont="1" applyFill="1" applyBorder="1" applyAlignment="1" applyProtection="1">
      <alignment horizontal="center"/>
    </xf>
    <xf numFmtId="0" fontId="50" fillId="0" borderId="0" xfId="0" applyNumberFormat="1" applyFont="1" applyFill="1" applyBorder="1" applyAlignment="1" applyProtection="1">
      <alignment vertical="top"/>
    </xf>
    <xf numFmtId="0" fontId="66" fillId="0" borderId="0" xfId="0" applyNumberFormat="1" applyFont="1" applyFill="1" applyBorder="1" applyAlignment="1" applyProtection="1">
      <alignment vertical="top"/>
    </xf>
    <xf numFmtId="0" fontId="50" fillId="23" borderId="30" xfId="5" applyNumberFormat="1" applyFont="1" applyBorder="1" applyAlignment="1">
      <alignment horizontal="center" vertical="center"/>
      <protection locked="0"/>
    </xf>
    <xf numFmtId="0" fontId="106" fillId="0" borderId="0" xfId="0" applyFont="1" applyFill="1" applyBorder="1" applyProtection="1"/>
    <xf numFmtId="0" fontId="53" fillId="15" borderId="32" xfId="0" applyFont="1" applyFill="1" applyBorder="1" applyAlignment="1">
      <alignment horizontal="center"/>
    </xf>
    <xf numFmtId="0" fontId="50" fillId="15" borderId="64" xfId="0" applyNumberFormat="1" applyFont="1" applyFill="1" applyBorder="1" applyAlignment="1" applyProtection="1">
      <alignment horizontal="center"/>
    </xf>
    <xf numFmtId="0" fontId="53" fillId="15" borderId="63" xfId="0" applyNumberFormat="1" applyFont="1" applyFill="1" applyBorder="1" applyAlignment="1" applyProtection="1">
      <alignment horizontal="center"/>
    </xf>
    <xf numFmtId="0" fontId="53" fillId="15" borderId="38" xfId="0" applyNumberFormat="1" applyFont="1" applyFill="1" applyBorder="1" applyAlignment="1" applyProtection="1">
      <alignment horizontal="center"/>
    </xf>
    <xf numFmtId="176" fontId="50" fillId="0" borderId="1" xfId="4" applyNumberFormat="1" applyFont="1" applyBorder="1" applyAlignment="1" applyProtection="1">
      <alignment horizontal="right"/>
    </xf>
    <xf numFmtId="166" fontId="50" fillId="0" borderId="0" xfId="4" applyFont="1" applyFill="1" applyBorder="1" applyAlignment="1" applyProtection="1"/>
    <xf numFmtId="176" fontId="50" fillId="0" borderId="30" xfId="4" applyNumberFormat="1" applyFont="1" applyFill="1" applyBorder="1" applyAlignment="1" applyProtection="1"/>
    <xf numFmtId="0" fontId="53" fillId="0" borderId="0" xfId="0" applyNumberFormat="1" applyFont="1" applyFill="1" applyBorder="1" applyAlignment="1" applyProtection="1">
      <alignment horizontal="center"/>
    </xf>
    <xf numFmtId="176" fontId="50" fillId="0" borderId="0" xfId="4" applyNumberFormat="1" applyFont="1" applyFill="1" applyBorder="1" applyAlignment="1" applyProtection="1"/>
    <xf numFmtId="0" fontId="52" fillId="0" borderId="0" xfId="0" applyNumberFormat="1" applyFont="1" applyFill="1" applyBorder="1" applyAlignment="1" applyProtection="1">
      <alignment vertical="top"/>
    </xf>
    <xf numFmtId="0" fontId="88" fillId="15" borderId="6" xfId="0" applyNumberFormat="1" applyFont="1" applyFill="1" applyBorder="1" applyAlignment="1" applyProtection="1"/>
    <xf numFmtId="0" fontId="107" fillId="15" borderId="6" xfId="0" applyNumberFormat="1" applyFont="1" applyFill="1" applyBorder="1" applyAlignment="1" applyProtection="1"/>
    <xf numFmtId="0" fontId="88" fillId="15" borderId="7" xfId="0" applyNumberFormat="1" applyFont="1" applyFill="1" applyBorder="1" applyAlignment="1" applyProtection="1"/>
    <xf numFmtId="0" fontId="53" fillId="0" borderId="0" xfId="0" applyNumberFormat="1" applyFont="1" applyFill="1" applyBorder="1" applyAlignment="1" applyProtection="1"/>
    <xf numFmtId="0" fontId="105" fillId="0" borderId="0" xfId="0" applyNumberFormat="1" applyFont="1" applyFill="1" applyBorder="1" applyAlignment="1" applyProtection="1"/>
    <xf numFmtId="0" fontId="50" fillId="0" borderId="0" xfId="0" applyNumberFormat="1" applyFont="1" applyFill="1" applyBorder="1" applyAlignment="1" applyProtection="1">
      <alignment horizontal="left" vertical="center"/>
    </xf>
    <xf numFmtId="0" fontId="108" fillId="0" borderId="0" xfId="0" applyNumberFormat="1" applyFont="1" applyFill="1" applyBorder="1" applyAlignment="1" applyProtection="1"/>
    <xf numFmtId="0" fontId="50" fillId="15" borderId="5" xfId="0" applyNumberFormat="1" applyFont="1" applyFill="1" applyBorder="1" applyAlignment="1" applyProtection="1">
      <alignment horizontal="left" vertical="center" indent="1"/>
    </xf>
    <xf numFmtId="0" fontId="50" fillId="23" borderId="32" xfId="5" quotePrefix="1" applyNumberFormat="1" applyFont="1" applyBorder="1" applyAlignment="1">
      <alignment horizontal="center"/>
      <protection locked="0"/>
    </xf>
    <xf numFmtId="0" fontId="50" fillId="0" borderId="41" xfId="0" applyNumberFormat="1" applyFont="1" applyFill="1" applyBorder="1" applyAlignment="1" applyProtection="1"/>
    <xf numFmtId="176" fontId="50" fillId="0" borderId="1" xfId="4" applyNumberFormat="1" applyFont="1" applyFill="1" applyBorder="1" applyProtection="1">
      <protection hidden="1"/>
    </xf>
    <xf numFmtId="0" fontId="53" fillId="15" borderId="33" xfId="0" applyNumberFormat="1" applyFont="1" applyFill="1" applyBorder="1" applyAlignment="1" applyProtection="1">
      <alignment horizontal="center" vertical="center"/>
    </xf>
    <xf numFmtId="0" fontId="53" fillId="15" borderId="34" xfId="0" applyNumberFormat="1" applyFont="1" applyFill="1" applyBorder="1" applyAlignment="1" applyProtection="1">
      <alignment horizontal="center"/>
    </xf>
    <xf numFmtId="166" fontId="50" fillId="0" borderId="1" xfId="4" applyFont="1" applyFill="1" applyBorder="1" applyProtection="1">
      <protection hidden="1"/>
    </xf>
    <xf numFmtId="0" fontId="53" fillId="15" borderId="30" xfId="0" applyNumberFormat="1" applyFont="1" applyFill="1" applyBorder="1" applyAlignment="1" applyProtection="1">
      <alignment horizontal="center"/>
    </xf>
    <xf numFmtId="166" fontId="50" fillId="23" borderId="30" xfId="5" applyNumberFormat="1" applyFont="1" applyBorder="1" applyAlignment="1">
      <alignment horizontal="center"/>
      <protection locked="0"/>
    </xf>
    <xf numFmtId="166" fontId="50" fillId="0" borderId="30" xfId="0" applyNumberFormat="1" applyFont="1" applyFill="1" applyBorder="1" applyAlignment="1" applyProtection="1">
      <alignment horizontal="center"/>
    </xf>
    <xf numFmtId="0" fontId="64" fillId="4" borderId="5" xfId="0" applyFont="1" applyFill="1" applyBorder="1"/>
    <xf numFmtId="0" fontId="64" fillId="4" borderId="6" xfId="0" applyFont="1" applyFill="1" applyBorder="1"/>
    <xf numFmtId="0" fontId="109" fillId="4" borderId="6" xfId="0" applyFont="1" applyFill="1" applyBorder="1"/>
    <xf numFmtId="0" fontId="64" fillId="4" borderId="7" xfId="0" applyFont="1" applyFill="1" applyBorder="1"/>
    <xf numFmtId="0" fontId="56" fillId="4" borderId="19" xfId="0" applyNumberFormat="1" applyFont="1" applyFill="1" applyBorder="1" applyAlignment="1">
      <alignment horizontal="left" vertical="center" indent="1"/>
    </xf>
    <xf numFmtId="0" fontId="56" fillId="25" borderId="35" xfId="0" applyNumberFormat="1" applyFont="1" applyFill="1" applyBorder="1" applyAlignment="1" applyProtection="1">
      <alignment horizontal="left" vertical="center" indent="1"/>
    </xf>
    <xf numFmtId="0" fontId="52" fillId="12" borderId="0" xfId="0" applyNumberFormat="1" applyFont="1" applyFill="1" applyBorder="1" applyAlignment="1" applyProtection="1">
      <alignment horizontal="left" vertical="center"/>
    </xf>
    <xf numFmtId="0" fontId="58" fillId="12" borderId="0" xfId="0" applyNumberFormat="1" applyFont="1" applyFill="1" applyBorder="1" applyAlignment="1" applyProtection="1"/>
    <xf numFmtId="0" fontId="57" fillId="3" borderId="0" xfId="0" applyFont="1" applyFill="1" applyProtection="1"/>
    <xf numFmtId="0" fontId="52" fillId="0" borderId="0" xfId="0" applyFont="1" applyBorder="1" applyProtection="1"/>
    <xf numFmtId="0" fontId="62" fillId="0" borderId="0" xfId="0" applyFont="1" applyBorder="1" applyProtection="1"/>
    <xf numFmtId="0" fontId="54" fillId="0" borderId="0" xfId="0" applyFont="1" applyBorder="1" applyProtection="1"/>
    <xf numFmtId="188" fontId="52" fillId="4" borderId="14" xfId="6" applyNumberFormat="1" applyFont="1" applyBorder="1" applyAlignment="1" applyProtection="1">
      <alignment vertical="center"/>
    </xf>
    <xf numFmtId="188" fontId="57" fillId="25" borderId="36" xfId="7" applyNumberFormat="1" applyFont="1" applyFill="1" applyBorder="1" applyAlignment="1" applyProtection="1">
      <alignment vertical="center"/>
    </xf>
    <xf numFmtId="0" fontId="64" fillId="3" borderId="0" xfId="0" applyNumberFormat="1" applyFont="1" applyFill="1" applyBorder="1" applyAlignment="1" applyProtection="1"/>
    <xf numFmtId="0" fontId="64" fillId="3" borderId="0" xfId="0" applyNumberFormat="1" applyFont="1" applyFill="1" applyBorder="1" applyAlignment="1" applyProtection="1">
      <protection locked="0"/>
    </xf>
    <xf numFmtId="0" fontId="56" fillId="0" borderId="0" xfId="0" applyNumberFormat="1" applyFont="1" applyFill="1" applyBorder="1" applyAlignment="1" applyProtection="1"/>
    <xf numFmtId="0" fontId="88" fillId="0" borderId="0" xfId="0" applyNumberFormat="1" applyFont="1" applyFill="1" applyBorder="1" applyAlignment="1" applyProtection="1"/>
    <xf numFmtId="0" fontId="50" fillId="0" borderId="0" xfId="0" applyFont="1" applyProtection="1"/>
    <xf numFmtId="0" fontId="64" fillId="15" borderId="42" xfId="0" applyNumberFormat="1" applyFont="1" applyFill="1" applyBorder="1" applyAlignment="1" applyProtection="1"/>
    <xf numFmtId="0" fontId="88" fillId="15" borderId="42" xfId="0" applyNumberFormat="1" applyFont="1" applyFill="1" applyBorder="1" applyAlignment="1" applyProtection="1"/>
    <xf numFmtId="0" fontId="88" fillId="15" borderId="65" xfId="0" applyNumberFormat="1" applyFont="1" applyFill="1" applyBorder="1" applyAlignment="1" applyProtection="1"/>
    <xf numFmtId="0" fontId="53" fillId="0" borderId="30" xfId="0" applyNumberFormat="1" applyFont="1" applyFill="1" applyBorder="1" applyAlignment="1" applyProtection="1"/>
    <xf numFmtId="0" fontId="50" fillId="3" borderId="16" xfId="0" applyFont="1" applyFill="1" applyBorder="1" applyProtection="1"/>
    <xf numFmtId="0" fontId="53" fillId="3" borderId="0" xfId="0" applyFont="1" applyFill="1" applyProtection="1"/>
    <xf numFmtId="0" fontId="50" fillId="0" borderId="0" xfId="0" quotePrefix="1" applyFont="1" applyProtection="1"/>
    <xf numFmtId="0" fontId="50" fillId="15" borderId="1" xfId="0" applyFont="1" applyFill="1" applyBorder="1" applyAlignment="1" applyProtection="1">
      <alignment horizontal="left" vertical="center" indent="1"/>
    </xf>
    <xf numFmtId="0" fontId="50" fillId="15" borderId="1" xfId="0" applyFont="1" applyFill="1" applyBorder="1" applyProtection="1"/>
    <xf numFmtId="166" fontId="50" fillId="23" borderId="1" xfId="5" applyNumberFormat="1" applyFont="1" applyBorder="1" applyAlignment="1">
      <alignment horizontal="center"/>
      <protection locked="0"/>
    </xf>
    <xf numFmtId="0" fontId="50" fillId="0" borderId="0" xfId="0" quotePrefix="1" applyFont="1" applyBorder="1" applyAlignment="1" applyProtection="1">
      <alignment horizontal="left"/>
    </xf>
    <xf numFmtId="0" fontId="66" fillId="0" borderId="0" xfId="0" quotePrefix="1" applyFont="1" applyBorder="1" applyAlignment="1" applyProtection="1">
      <alignment horizontal="left"/>
    </xf>
    <xf numFmtId="0" fontId="50" fillId="3" borderId="0" xfId="0" applyFont="1" applyFill="1" applyProtection="1"/>
    <xf numFmtId="0" fontId="85" fillId="0" borderId="0" xfId="0" applyFont="1" applyProtection="1"/>
    <xf numFmtId="0" fontId="50" fillId="15" borderId="1" xfId="0" applyFont="1" applyFill="1" applyBorder="1" applyAlignment="1" applyProtection="1">
      <alignment horizontal="left" vertical="center" wrapText="1" indent="1"/>
    </xf>
    <xf numFmtId="166" fontId="50" fillId="23" borderId="1" xfId="5" applyNumberFormat="1" applyFont="1" applyBorder="1">
      <protection locked="0"/>
    </xf>
    <xf numFmtId="0" fontId="50" fillId="0" borderId="0" xfId="0" applyFont="1" applyAlignment="1" applyProtection="1">
      <alignment horizontal="left" wrapText="1"/>
    </xf>
    <xf numFmtId="0" fontId="50" fillId="0" borderId="0" xfId="0" applyFont="1" applyBorder="1" applyAlignment="1" applyProtection="1">
      <alignment horizontal="left"/>
    </xf>
    <xf numFmtId="0" fontId="50" fillId="15" borderId="1" xfId="0" applyFont="1" applyFill="1" applyBorder="1" applyAlignment="1" applyProtection="1">
      <alignment horizontal="center"/>
    </xf>
    <xf numFmtId="49" fontId="50" fillId="15" borderId="1" xfId="0" applyNumberFormat="1" applyFont="1" applyFill="1" applyBorder="1" applyAlignment="1" applyProtection="1">
      <alignment horizontal="left" vertical="center" wrapText="1" indent="1"/>
    </xf>
    <xf numFmtId="49" fontId="50" fillId="0" borderId="0" xfId="0" applyNumberFormat="1" applyFont="1" applyAlignment="1" applyProtection="1">
      <alignment horizontal="left" wrapText="1"/>
    </xf>
    <xf numFmtId="49" fontId="50" fillId="15" borderId="16" xfId="0" applyNumberFormat="1" applyFont="1" applyFill="1" applyBorder="1" applyAlignment="1" applyProtection="1">
      <alignment horizontal="left" vertical="center" wrapText="1" indent="1"/>
    </xf>
    <xf numFmtId="0" fontId="50" fillId="15" borderId="3" xfId="0" applyFont="1" applyFill="1" applyBorder="1" applyAlignment="1" applyProtection="1">
      <alignment horizontal="left" vertical="center" indent="1"/>
    </xf>
    <xf numFmtId="0" fontId="50" fillId="0" borderId="0" xfId="0" quotePrefix="1" applyFont="1" applyFill="1" applyBorder="1" applyAlignment="1" applyProtection="1">
      <alignment horizontal="left"/>
    </xf>
    <xf numFmtId="49" fontId="50" fillId="15" borderId="5" xfId="0" applyNumberFormat="1" applyFont="1" applyFill="1" applyBorder="1" applyAlignment="1" applyProtection="1">
      <alignment horizontal="left" vertical="center" wrapText="1" indent="1"/>
    </xf>
    <xf numFmtId="0" fontId="50" fillId="15" borderId="7" xfId="0" applyFont="1" applyFill="1" applyBorder="1" applyAlignment="1" applyProtection="1">
      <alignment horizontal="center" vertical="center"/>
    </xf>
    <xf numFmtId="166" fontId="50" fillId="23" borderId="7" xfId="5" applyNumberFormat="1" applyFont="1" applyBorder="1">
      <protection locked="0"/>
    </xf>
    <xf numFmtId="0" fontId="50" fillId="0" borderId="0" xfId="0" applyFont="1" applyProtection="1">
      <protection hidden="1"/>
    </xf>
    <xf numFmtId="0" fontId="53" fillId="3" borderId="0" xfId="0" applyFont="1" applyFill="1" applyAlignment="1" applyProtection="1">
      <alignment vertical="center" wrapText="1"/>
    </xf>
    <xf numFmtId="49" fontId="50" fillId="15" borderId="1" xfId="0" applyNumberFormat="1" applyFont="1" applyFill="1" applyBorder="1" applyAlignment="1" applyProtection="1">
      <alignment vertical="center"/>
    </xf>
    <xf numFmtId="0" fontId="50" fillId="0" borderId="0" xfId="0" quotePrefix="1" applyFont="1" applyBorder="1" applyAlignment="1" applyProtection="1">
      <alignment horizontal="left" vertical="center"/>
    </xf>
    <xf numFmtId="0" fontId="50" fillId="15" borderId="6" xfId="0" applyFont="1" applyFill="1" applyBorder="1" applyAlignment="1" applyProtection="1"/>
    <xf numFmtId="0" fontId="50" fillId="15" borderId="43" xfId="0" applyFont="1" applyFill="1" applyBorder="1" applyAlignment="1" applyProtection="1">
      <alignment horizontal="left" vertical="center" indent="1"/>
    </xf>
    <xf numFmtId="0" fontId="53" fillId="12" borderId="0" xfId="0" applyFont="1" applyFill="1" applyBorder="1" applyProtection="1"/>
    <xf numFmtId="0" fontId="50" fillId="0" borderId="0" xfId="0" applyFont="1" applyFill="1" applyProtection="1">
      <protection hidden="1"/>
    </xf>
    <xf numFmtId="0" fontId="50" fillId="0" borderId="0" xfId="0" quotePrefix="1" applyFont="1" applyFill="1" applyProtection="1">
      <protection hidden="1"/>
    </xf>
    <xf numFmtId="166" fontId="50" fillId="0" borderId="7" xfId="4" applyNumberFormat="1" applyFont="1" applyFill="1" applyBorder="1" applyProtection="1">
      <protection hidden="1"/>
    </xf>
    <xf numFmtId="0" fontId="53" fillId="15" borderId="33" xfId="0" applyNumberFormat="1" applyFont="1" applyFill="1" applyBorder="1" applyAlignment="1" applyProtection="1">
      <alignment horizontal="center"/>
    </xf>
    <xf numFmtId="0" fontId="88" fillId="12" borderId="0" xfId="0" applyNumberFormat="1" applyFont="1" applyFill="1" applyBorder="1" applyAlignment="1" applyProtection="1"/>
    <xf numFmtId="0" fontId="88" fillId="0" borderId="0" xfId="0" applyFont="1" applyBorder="1" applyProtection="1"/>
    <xf numFmtId="0" fontId="106" fillId="3" borderId="0" xfId="0" applyFont="1" applyFill="1" applyProtection="1"/>
    <xf numFmtId="0" fontId="56" fillId="4" borderId="19" xfId="6" applyNumberFormat="1" applyFont="1" applyBorder="1" applyAlignment="1" applyProtection="1">
      <alignment horizontal="left" vertical="center" indent="1"/>
    </xf>
    <xf numFmtId="0" fontId="58" fillId="3" borderId="0" xfId="0" applyFont="1" applyFill="1"/>
    <xf numFmtId="0" fontId="54" fillId="3" borderId="0" xfId="0" applyFont="1" applyFill="1"/>
    <xf numFmtId="0" fontId="69" fillId="3" borderId="0" xfId="0" applyFont="1" applyFill="1"/>
    <xf numFmtId="0" fontId="54" fillId="3" borderId="1" xfId="0" applyFont="1" applyFill="1" applyBorder="1" applyAlignment="1">
      <alignment horizontal="left" vertical="center" indent="1"/>
    </xf>
    <xf numFmtId="0" fontId="54" fillId="3" borderId="1" xfId="0" applyFont="1" applyFill="1" applyBorder="1" applyAlignment="1">
      <alignment horizontal="right" vertical="center" indent="1"/>
    </xf>
    <xf numFmtId="0" fontId="54" fillId="3" borderId="0" xfId="0" applyFont="1" applyFill="1" applyAlignment="1">
      <alignment horizontal="right"/>
    </xf>
    <xf numFmtId="3" fontId="54" fillId="3" borderId="1" xfId="0" applyNumberFormat="1" applyFont="1" applyFill="1" applyBorder="1" applyAlignment="1">
      <alignment horizontal="right" vertical="center" indent="1"/>
    </xf>
    <xf numFmtId="0" fontId="50" fillId="23" borderId="1" xfId="5" applyFont="1" applyBorder="1" applyAlignment="1">
      <alignment horizontal="left" vertical="center"/>
      <protection locked="0"/>
    </xf>
    <xf numFmtId="0" fontId="53" fillId="15" borderId="1" xfId="0" applyFont="1" applyFill="1" applyBorder="1" applyAlignment="1">
      <alignment horizontal="center" vertical="center" wrapText="1"/>
    </xf>
    <xf numFmtId="0" fontId="50" fillId="3" borderId="0" xfId="0" applyFont="1" applyFill="1" applyAlignment="1">
      <alignment horizontal="left" vertical="center"/>
    </xf>
    <xf numFmtId="0" fontId="50" fillId="3" borderId="0" xfId="0" applyFont="1" applyFill="1" applyAlignment="1">
      <alignment horizontal="justify" vertical="center"/>
    </xf>
    <xf numFmtId="0" fontId="58" fillId="3" borderId="0" xfId="0" applyFont="1" applyFill="1" applyProtection="1">
      <protection locked="0"/>
    </xf>
    <xf numFmtId="0" fontId="52" fillId="3" borderId="0" xfId="0" applyFont="1" applyFill="1" applyBorder="1"/>
    <xf numFmtId="188" fontId="52" fillId="13" borderId="14" xfId="8" applyNumberFormat="1" applyFont="1" applyBorder="1" applyAlignment="1">
      <alignment vertical="center"/>
    </xf>
    <xf numFmtId="188" fontId="57" fillId="13" borderId="14" xfId="8" applyNumberFormat="1" applyFont="1" applyBorder="1" applyAlignment="1">
      <alignment vertical="center"/>
    </xf>
    <xf numFmtId="0" fontId="52" fillId="3" borderId="0" xfId="0" applyFont="1" applyFill="1" applyAlignment="1">
      <alignment horizontal="left" vertical="center" indent="1"/>
    </xf>
    <xf numFmtId="0" fontId="114" fillId="3" borderId="0" xfId="0" applyFont="1" applyFill="1"/>
    <xf numFmtId="0" fontId="50" fillId="3" borderId="0" xfId="0" applyFont="1" applyFill="1" applyAlignment="1">
      <alignment horizontal="left" indent="2"/>
    </xf>
    <xf numFmtId="0" fontId="50" fillId="3" borderId="0" xfId="0" quotePrefix="1" applyFont="1" applyFill="1" applyAlignment="1">
      <alignment horizontal="left" indent="2"/>
    </xf>
    <xf numFmtId="0" fontId="50" fillId="0" borderId="0" xfId="0" quotePrefix="1" applyFont="1" applyFill="1" applyAlignment="1">
      <alignment horizontal="left" indent="2"/>
    </xf>
    <xf numFmtId="170" fontId="50" fillId="12" borderId="0" xfId="0" applyNumberFormat="1" applyFont="1" applyFill="1" applyBorder="1" applyProtection="1"/>
    <xf numFmtId="0" fontId="92" fillId="12" borderId="1" xfId="11" applyNumberFormat="1" applyFont="1" applyBorder="1" applyAlignment="1"/>
    <xf numFmtId="176" fontId="96" fillId="12" borderId="1" xfId="0" applyNumberFormat="1" applyFont="1" applyFill="1" applyBorder="1" applyProtection="1"/>
    <xf numFmtId="169" fontId="92" fillId="9" borderId="1" xfId="0" applyNumberFormat="1" applyFont="1" applyFill="1" applyBorder="1" applyProtection="1"/>
    <xf numFmtId="0" fontId="92" fillId="12" borderId="0" xfId="11" applyNumberFormat="1" applyFont="1" applyAlignment="1"/>
    <xf numFmtId="0" fontId="50" fillId="23" borderId="1" xfId="5" applyFont="1" applyBorder="1">
      <protection locked="0"/>
    </xf>
    <xf numFmtId="0" fontId="50" fillId="23" borderId="1" xfId="5" applyFont="1" applyBorder="1" applyAlignment="1">
      <protection locked="0"/>
    </xf>
    <xf numFmtId="176" fontId="50" fillId="12" borderId="1" xfId="0" applyNumberFormat="1" applyFont="1" applyFill="1" applyBorder="1" applyProtection="1"/>
    <xf numFmtId="169" fontId="92" fillId="9" borderId="1" xfId="0" applyNumberFormat="1" applyFont="1" applyFill="1" applyBorder="1"/>
    <xf numFmtId="0" fontId="50" fillId="15" borderId="1" xfId="0" applyFont="1" applyFill="1" applyBorder="1"/>
    <xf numFmtId="0" fontId="53" fillId="15" borderId="1" xfId="0" applyFont="1" applyFill="1" applyBorder="1"/>
    <xf numFmtId="3" fontId="50" fillId="15" borderId="1" xfId="0" applyNumberFormat="1" applyFont="1" applyFill="1" applyBorder="1"/>
    <xf numFmtId="3" fontId="50" fillId="3" borderId="0" xfId="0" applyNumberFormat="1" applyFont="1" applyFill="1"/>
    <xf numFmtId="3" fontId="50" fillId="0" borderId="0" xfId="0" applyNumberFormat="1" applyFont="1" applyFill="1" applyBorder="1" applyAlignment="1">
      <alignment horizontal="right"/>
    </xf>
    <xf numFmtId="170" fontId="50" fillId="0" borderId="0" xfId="0" applyNumberFormat="1" applyFont="1" applyFill="1" applyBorder="1" applyAlignment="1">
      <alignment horizontal="center"/>
    </xf>
    <xf numFmtId="0" fontId="56" fillId="13" borderId="19" xfId="8" applyNumberFormat="1" applyFont="1" applyBorder="1" applyAlignment="1">
      <alignment horizontal="left" vertical="center" indent="1"/>
    </xf>
    <xf numFmtId="183" fontId="56" fillId="25" borderId="14" xfId="7" applyNumberFormat="1" applyFont="1" applyFill="1" applyBorder="1" applyAlignment="1">
      <alignment vertical="center"/>
    </xf>
    <xf numFmtId="0" fontId="50" fillId="0" borderId="0" xfId="0" applyNumberFormat="1" applyFont="1"/>
    <xf numFmtId="0" fontId="50" fillId="3" borderId="0" xfId="0" quotePrefix="1" applyFont="1" applyFill="1" applyAlignment="1">
      <alignment horizontal="justify" vertical="center"/>
    </xf>
    <xf numFmtId="0" fontId="50" fillId="0" borderId="0" xfId="0" applyFont="1" applyAlignment="1">
      <alignment vertical="center" wrapText="1"/>
    </xf>
    <xf numFmtId="0" fontId="53" fillId="0" borderId="0" xfId="0" applyFont="1" applyAlignment="1">
      <alignment vertical="center" wrapText="1"/>
    </xf>
    <xf numFmtId="0" fontId="50" fillId="0" borderId="1" xfId="0" applyFont="1" applyFill="1" applyBorder="1" applyAlignment="1">
      <alignment horizontal="center" vertical="center" wrapText="1"/>
    </xf>
    <xf numFmtId="176" fontId="50" fillId="23" borderId="3" xfId="5" applyNumberFormat="1" applyFont="1" applyBorder="1" applyAlignment="1">
      <alignment horizontal="left" vertical="center" indent="1"/>
      <protection locked="0"/>
    </xf>
    <xf numFmtId="176" fontId="50" fillId="0" borderId="3" xfId="5" applyNumberFormat="1" applyFont="1" applyFill="1" applyBorder="1" applyAlignment="1" applyProtection="1">
      <alignment horizontal="left" vertical="center" indent="1"/>
    </xf>
    <xf numFmtId="176" fontId="50" fillId="0" borderId="1" xfId="5" applyNumberFormat="1" applyFont="1" applyFill="1" applyBorder="1" applyAlignment="1" applyProtection="1">
      <alignment horizontal="left" vertical="center" indent="1"/>
    </xf>
    <xf numFmtId="176" fontId="50" fillId="0" borderId="3" xfId="5" applyNumberFormat="1" applyFont="1" applyFill="1" applyBorder="1" applyAlignment="1">
      <alignment horizontal="left" vertical="center" indent="1"/>
      <protection locked="0"/>
    </xf>
    <xf numFmtId="176" fontId="50" fillId="6" borderId="1" xfId="0" applyNumberFormat="1" applyFont="1" applyFill="1" applyBorder="1" applyAlignment="1">
      <alignment horizontal="right" vertical="center" indent="1"/>
    </xf>
    <xf numFmtId="0" fontId="50" fillId="0" borderId="0" xfId="0" applyFont="1" applyBorder="1" applyAlignment="1">
      <alignment horizontal="left" vertical="center" indent="1"/>
    </xf>
    <xf numFmtId="176" fontId="50" fillId="6" borderId="3" xfId="0" applyNumberFormat="1" applyFont="1" applyFill="1" applyBorder="1" applyAlignment="1">
      <alignment horizontal="right" vertical="center" indent="1"/>
    </xf>
    <xf numFmtId="0" fontId="50" fillId="25" borderId="1" xfId="0" applyFont="1" applyFill="1" applyBorder="1" applyAlignment="1">
      <alignment horizontal="left" vertical="center" indent="1"/>
    </xf>
    <xf numFmtId="176" fontId="50" fillId="23" borderId="1" xfId="5" applyNumberFormat="1" applyFont="1" applyBorder="1" applyAlignment="1">
      <alignment horizontal="left" vertical="center" indent="1"/>
      <protection locked="0"/>
    </xf>
    <xf numFmtId="0" fontId="50" fillId="0" borderId="0" xfId="0" applyFont="1" applyAlignment="1">
      <alignment wrapText="1"/>
    </xf>
    <xf numFmtId="0" fontId="50" fillId="15" borderId="3" xfId="0" applyFont="1" applyFill="1" applyBorder="1" applyAlignment="1">
      <alignment horizontal="center" vertical="center" wrapText="1"/>
    </xf>
    <xf numFmtId="183" fontId="50" fillId="3" borderId="0" xfId="0" applyNumberFormat="1" applyFont="1" applyFill="1" applyBorder="1" applyAlignment="1">
      <alignment horizontal="left" vertical="center" indent="1"/>
    </xf>
    <xf numFmtId="0" fontId="50" fillId="0" borderId="0" xfId="0" applyFont="1" applyBorder="1"/>
    <xf numFmtId="0" fontId="56" fillId="18" borderId="19" xfId="6" applyNumberFormat="1" applyFont="1" applyFill="1" applyBorder="1" applyAlignment="1">
      <alignment horizontal="left" vertical="center" indent="1"/>
    </xf>
    <xf numFmtId="188" fontId="54" fillId="18" borderId="14" xfId="0" applyNumberFormat="1" applyFont="1" applyFill="1" applyBorder="1" applyAlignment="1">
      <alignment vertical="center"/>
    </xf>
    <xf numFmtId="188" fontId="56" fillId="18" borderId="14" xfId="0" applyNumberFormat="1" applyFont="1" applyFill="1" applyBorder="1" applyAlignment="1">
      <alignment vertical="center"/>
    </xf>
    <xf numFmtId="201" fontId="56" fillId="18" borderId="14" xfId="0" applyNumberFormat="1" applyFont="1" applyFill="1" applyBorder="1" applyAlignment="1">
      <alignment vertical="center"/>
    </xf>
    <xf numFmtId="182" fontId="56" fillId="25" borderId="14" xfId="7" applyNumberFormat="1" applyFont="1" applyFill="1" applyBorder="1" applyAlignment="1">
      <alignment vertical="center"/>
    </xf>
    <xf numFmtId="0" fontId="52" fillId="0" borderId="0" xfId="12" applyFont="1" applyFill="1"/>
    <xf numFmtId="0" fontId="52" fillId="0" borderId="0" xfId="12" applyFont="1" applyFill="1" applyAlignment="1">
      <alignment vertical="center"/>
    </xf>
    <xf numFmtId="0" fontId="52" fillId="0" borderId="0" xfId="12" applyFont="1" applyFill="1" applyAlignment="1">
      <alignment horizontal="right" vertical="center"/>
    </xf>
    <xf numFmtId="0" fontId="50" fillId="0" borderId="0" xfId="0" applyFont="1" applyFill="1" applyBorder="1" applyAlignment="1">
      <alignment vertical="center" wrapText="1"/>
    </xf>
    <xf numFmtId="0" fontId="68" fillId="18" borderId="5" xfId="0" applyFont="1" applyFill="1" applyBorder="1"/>
    <xf numFmtId="0" fontId="64" fillId="18" borderId="6" xfId="0" applyFont="1" applyFill="1" applyBorder="1"/>
    <xf numFmtId="0" fontId="68" fillId="18" borderId="6" xfId="0" applyFont="1" applyFill="1" applyBorder="1"/>
    <xf numFmtId="0" fontId="68" fillId="18" borderId="7" xfId="0" applyFont="1" applyFill="1" applyBorder="1"/>
    <xf numFmtId="0" fontId="66" fillId="0" borderId="0" xfId="0" applyFont="1" applyFill="1"/>
    <xf numFmtId="183" fontId="56" fillId="18" borderId="14" xfId="6" applyNumberFormat="1" applyFont="1" applyFill="1" applyBorder="1" applyAlignment="1">
      <alignment vertical="center"/>
    </xf>
    <xf numFmtId="182" fontId="56" fillId="18" borderId="20" xfId="6" applyNumberFormat="1" applyFont="1" applyFill="1" applyBorder="1" applyAlignment="1">
      <alignment vertical="center"/>
    </xf>
    <xf numFmtId="0" fontId="54" fillId="0" borderId="0" xfId="0" applyFont="1" applyAlignment="1">
      <alignment horizontal="left" vertical="center" indent="1"/>
    </xf>
    <xf numFmtId="0" fontId="50" fillId="15" borderId="5" xfId="0" applyFont="1" applyFill="1" applyBorder="1" applyAlignment="1" applyProtection="1">
      <alignment horizontal="left" indent="1"/>
    </xf>
    <xf numFmtId="0" fontId="50" fillId="3" borderId="0" xfId="12" applyFont="1" applyFill="1"/>
    <xf numFmtId="0" fontId="50" fillId="3" borderId="1" xfId="0" applyFont="1" applyFill="1" applyBorder="1" applyAlignment="1" applyProtection="1">
      <alignment horizontal="center" vertical="center" wrapText="1"/>
    </xf>
    <xf numFmtId="170" fontId="50" fillId="0" borderId="0" xfId="0" applyNumberFormat="1" applyFont="1" applyFill="1" applyBorder="1" applyAlignment="1">
      <alignment horizontal="center"/>
    </xf>
    <xf numFmtId="3" fontId="50" fillId="0" borderId="0" xfId="0" applyNumberFormat="1" applyFont="1" applyFill="1" applyBorder="1" applyAlignment="1">
      <alignment horizontal="right"/>
    </xf>
    <xf numFmtId="0" fontId="53" fillId="0" borderId="0" xfId="0" applyFont="1" applyFill="1" applyBorder="1" applyAlignment="1">
      <alignment horizontal="center"/>
    </xf>
    <xf numFmtId="0" fontId="50" fillId="23" borderId="1" xfId="5" applyFont="1" applyBorder="1" applyAlignment="1">
      <alignment horizontal="center"/>
      <protection locked="0"/>
    </xf>
    <xf numFmtId="0" fontId="56" fillId="23" borderId="1" xfId="5" applyFont="1" applyBorder="1" applyAlignment="1">
      <alignment horizontal="center" vertical="center"/>
      <protection locked="0"/>
    </xf>
    <xf numFmtId="0" fontId="52" fillId="24" borderId="16" xfId="0" applyFont="1" applyFill="1" applyBorder="1" applyAlignment="1" applyProtection="1">
      <alignment horizontal="center" vertical="center" wrapText="1"/>
    </xf>
    <xf numFmtId="0" fontId="54" fillId="25" borderId="5" xfId="0" applyFont="1" applyFill="1" applyBorder="1" applyAlignment="1" applyProtection="1">
      <alignment horizontal="center" vertical="center" wrapText="1"/>
    </xf>
    <xf numFmtId="0" fontId="54" fillId="25" borderId="1" xfId="0" applyFont="1" applyFill="1" applyBorder="1" applyAlignment="1" applyProtection="1">
      <alignment horizontal="center" vertical="center" wrapText="1"/>
    </xf>
    <xf numFmtId="0" fontId="52" fillId="24" borderId="16" xfId="0" applyFont="1" applyFill="1" applyBorder="1" applyAlignment="1" applyProtection="1">
      <alignment horizontal="center" vertical="center"/>
    </xf>
    <xf numFmtId="0" fontId="52" fillId="24" borderId="24" xfId="0" applyFont="1" applyFill="1" applyBorder="1" applyAlignment="1" applyProtection="1">
      <alignment horizontal="center" vertical="center"/>
    </xf>
    <xf numFmtId="0" fontId="52" fillId="24" borderId="24" xfId="0" applyFont="1" applyFill="1" applyBorder="1" applyAlignment="1" applyProtection="1">
      <alignment horizontal="center" vertical="center" wrapText="1"/>
    </xf>
    <xf numFmtId="0" fontId="52" fillId="24" borderId="21" xfId="0" applyFont="1" applyFill="1" applyBorder="1" applyAlignment="1" applyProtection="1">
      <alignment horizontal="center" vertical="center"/>
    </xf>
    <xf numFmtId="0" fontId="52" fillId="24" borderId="21" xfId="0" applyFont="1" applyFill="1" applyBorder="1" applyAlignment="1" applyProtection="1">
      <alignment horizontal="center" vertical="center" wrapText="1"/>
    </xf>
    <xf numFmtId="0" fontId="52" fillId="24" borderId="27" xfId="0" applyFont="1" applyFill="1" applyBorder="1" applyAlignment="1" applyProtection="1">
      <alignment horizontal="center" vertical="center" wrapText="1"/>
    </xf>
    <xf numFmtId="183" fontId="54" fillId="26" borderId="5" xfId="12" applyNumberFormat="1" applyFont="1" applyFill="1" applyBorder="1" applyAlignment="1" applyProtection="1">
      <alignment horizontal="center" vertical="center" wrapText="1"/>
    </xf>
    <xf numFmtId="183" fontId="54" fillId="26" borderId="1" xfId="12" applyNumberFormat="1" applyFont="1" applyFill="1" applyBorder="1" applyAlignment="1" applyProtection="1">
      <alignment horizontal="center" vertical="center" wrapText="1"/>
    </xf>
    <xf numFmtId="0" fontId="50" fillId="24" borderId="56" xfId="0" applyFont="1" applyFill="1" applyBorder="1" applyAlignment="1" applyProtection="1">
      <alignment horizontal="center" vertical="center" wrapText="1"/>
    </xf>
    <xf numFmtId="0" fontId="50" fillId="24" borderId="3" xfId="0" applyFont="1" applyFill="1" applyBorder="1" applyAlignment="1" applyProtection="1">
      <alignment horizontal="center" vertical="center" wrapText="1"/>
    </xf>
    <xf numFmtId="0" fontId="56" fillId="25" borderId="7" xfId="0" applyFont="1" applyFill="1" applyBorder="1" applyAlignment="1" applyProtection="1">
      <alignment horizontal="center" vertical="center" wrapText="1"/>
    </xf>
    <xf numFmtId="0" fontId="53" fillId="15" borderId="1" xfId="0" applyFont="1" applyFill="1" applyBorder="1" applyAlignment="1">
      <alignment horizontal="center" vertical="center" wrapText="1"/>
    </xf>
    <xf numFmtId="0" fontId="53" fillId="0" borderId="38" xfId="0" applyNumberFormat="1" applyFont="1" applyFill="1" applyBorder="1" applyAlignment="1" applyProtection="1">
      <alignment horizontal="center" vertical="top"/>
    </xf>
    <xf numFmtId="176" fontId="50" fillId="0" borderId="0" xfId="0" applyNumberFormat="1" applyFont="1"/>
    <xf numFmtId="0" fontId="53" fillId="15" borderId="1" xfId="0" applyFont="1" applyFill="1" applyBorder="1" applyAlignment="1" applyProtection="1">
      <alignment horizontal="center" vertical="center" wrapText="1"/>
    </xf>
    <xf numFmtId="0" fontId="53" fillId="15" borderId="16" xfId="0" applyFont="1" applyFill="1" applyBorder="1" applyAlignment="1" applyProtection="1">
      <alignment horizontal="center" vertical="center" wrapText="1"/>
    </xf>
    <xf numFmtId="0" fontId="50" fillId="3" borderId="1" xfId="0" applyFont="1" applyFill="1" applyBorder="1" applyAlignment="1" applyProtection="1">
      <alignment horizontal="left" vertical="center" wrapText="1" indent="1"/>
    </xf>
    <xf numFmtId="0" fontId="50" fillId="0" borderId="7" xfId="0" applyFont="1" applyBorder="1" applyAlignment="1" applyProtection="1">
      <alignment horizontal="center" vertical="center"/>
    </xf>
    <xf numFmtId="0" fontId="4" fillId="0" borderId="61" xfId="0" applyFont="1" applyBorder="1" applyProtection="1"/>
    <xf numFmtId="0" fontId="4" fillId="12" borderId="29" xfId="0" applyFont="1" applyFill="1" applyBorder="1"/>
    <xf numFmtId="0" fontId="4" fillId="12" borderId="61" xfId="0" applyFont="1" applyFill="1" applyBorder="1" applyProtection="1"/>
    <xf numFmtId="0" fontId="0" fillId="12" borderId="0" xfId="0" applyFill="1"/>
    <xf numFmtId="0" fontId="53" fillId="12" borderId="1" xfId="0" applyFont="1" applyFill="1" applyBorder="1" applyAlignment="1" applyProtection="1">
      <alignment horizontal="center" vertical="center" wrapText="1"/>
    </xf>
    <xf numFmtId="0" fontId="118" fillId="12" borderId="1" xfId="0" applyFont="1" applyFill="1" applyBorder="1" applyAlignment="1" applyProtection="1">
      <alignment horizontal="center" vertical="center"/>
    </xf>
    <xf numFmtId="0" fontId="118" fillId="12" borderId="1" xfId="0" applyFont="1" applyFill="1" applyBorder="1" applyAlignment="1" applyProtection="1">
      <alignment horizontal="center" vertical="center" wrapText="1"/>
    </xf>
    <xf numFmtId="0" fontId="118" fillId="12" borderId="16" xfId="0" applyFont="1" applyFill="1" applyBorder="1" applyAlignment="1" applyProtection="1">
      <alignment horizontal="center" vertical="center"/>
    </xf>
    <xf numFmtId="0" fontId="118" fillId="12" borderId="7" xfId="0" applyFont="1" applyFill="1" applyBorder="1" applyAlignment="1" applyProtection="1">
      <alignment horizontal="center" vertical="center" wrapText="1"/>
    </xf>
    <xf numFmtId="0" fontId="53" fillId="15" borderId="5" xfId="0" applyFont="1" applyFill="1" applyBorder="1" applyAlignment="1">
      <alignment vertical="center"/>
    </xf>
    <xf numFmtId="0" fontId="53" fillId="15" borderId="7" xfId="0" applyFont="1" applyFill="1" applyBorder="1" applyAlignment="1">
      <alignment vertical="center"/>
    </xf>
    <xf numFmtId="175" fontId="50" fillId="12" borderId="1" xfId="4" applyNumberFormat="1" applyFont="1" applyFill="1" applyBorder="1" applyProtection="1">
      <protection locked="0"/>
    </xf>
    <xf numFmtId="0" fontId="119" fillId="0" borderId="50" xfId="0" applyFont="1" applyBorder="1"/>
    <xf numFmtId="0" fontId="119" fillId="0" borderId="0" xfId="0" applyFont="1"/>
    <xf numFmtId="0" fontId="119" fillId="0" borderId="51" xfId="0" applyFont="1" applyBorder="1" applyProtection="1"/>
    <xf numFmtId="0" fontId="119" fillId="12" borderId="0" xfId="0" applyFont="1" applyFill="1" applyBorder="1"/>
    <xf numFmtId="0" fontId="119" fillId="12" borderId="0" xfId="0" applyFont="1" applyFill="1"/>
    <xf numFmtId="0" fontId="119" fillId="12" borderId="51" xfId="0" applyFont="1" applyFill="1" applyBorder="1" applyProtection="1"/>
    <xf numFmtId="0" fontId="119" fillId="0" borderId="58" xfId="0" applyFont="1" applyBorder="1" applyProtection="1"/>
    <xf numFmtId="0" fontId="33" fillId="0" borderId="50" xfId="0" applyFont="1" applyBorder="1"/>
    <xf numFmtId="0" fontId="33" fillId="0" borderId="0" xfId="0" applyFont="1"/>
    <xf numFmtId="0" fontId="33" fillId="0" borderId="51" xfId="0" applyFont="1" applyBorder="1" applyProtection="1"/>
    <xf numFmtId="0" fontId="50" fillId="12" borderId="3" xfId="0" applyFont="1" applyFill="1" applyBorder="1" applyAlignment="1" applyProtection="1">
      <alignment horizontal="center" vertical="center"/>
    </xf>
    <xf numFmtId="0" fontId="62" fillId="12" borderId="3" xfId="0" applyFont="1" applyFill="1" applyBorder="1" applyAlignment="1" applyProtection="1">
      <alignment horizontal="center" vertical="center"/>
    </xf>
    <xf numFmtId="0" fontId="62" fillId="0" borderId="1" xfId="0" applyFont="1" applyBorder="1" applyAlignment="1" applyProtection="1">
      <alignment horizontal="center" vertical="center"/>
    </xf>
    <xf numFmtId="0" fontId="50" fillId="12" borderId="1" xfId="0" applyFont="1" applyFill="1" applyBorder="1" applyAlignment="1" applyProtection="1">
      <alignment horizontal="left" vertical="center"/>
    </xf>
    <xf numFmtId="0" fontId="50" fillId="12" borderId="3" xfId="0" applyFont="1" applyFill="1" applyBorder="1" applyAlignment="1" applyProtection="1">
      <alignment horizontal="left" vertical="center" wrapText="1"/>
    </xf>
    <xf numFmtId="0" fontId="66" fillId="0" borderId="1" xfId="0" applyFont="1" applyBorder="1" applyAlignment="1">
      <alignment horizontal="left" vertical="center" indent="1"/>
    </xf>
    <xf numFmtId="0" fontId="16" fillId="0" borderId="0" xfId="0" applyFont="1"/>
    <xf numFmtId="166" fontId="50" fillId="0" borderId="1" xfId="4" applyFont="1" applyFill="1" applyBorder="1" applyAlignment="1" applyProtection="1">
      <alignment horizontal="right" vertical="center" wrapText="1" indent="1"/>
    </xf>
    <xf numFmtId="0" fontId="66" fillId="0" borderId="1" xfId="0" applyFont="1" applyBorder="1" applyAlignment="1">
      <alignment horizontal="left" vertical="center"/>
    </xf>
    <xf numFmtId="0" fontId="50" fillId="0" borderId="1" xfId="0" applyFont="1" applyFill="1" applyBorder="1" applyAlignment="1" applyProtection="1">
      <alignment horizontal="left" vertical="center" wrapText="1"/>
    </xf>
    <xf numFmtId="0" fontId="16" fillId="0" borderId="7" xfId="0" applyFont="1" applyBorder="1" applyAlignment="1">
      <alignment horizontal="left" vertical="center"/>
    </xf>
    <xf numFmtId="0" fontId="66" fillId="0" borderId="1" xfId="0" applyFont="1" applyBorder="1" applyAlignment="1">
      <alignment horizontal="left" vertical="center" wrapText="1"/>
    </xf>
    <xf numFmtId="166" fontId="50" fillId="12" borderId="1" xfId="4" applyFont="1" applyFill="1" applyBorder="1" applyAlignment="1" applyProtection="1">
      <alignment horizontal="left" vertical="center"/>
    </xf>
    <xf numFmtId="0" fontId="16" fillId="12" borderId="0" xfId="0" applyFont="1" applyFill="1" applyAlignment="1">
      <alignment horizontal="left" vertical="center"/>
    </xf>
    <xf numFmtId="0" fontId="50" fillId="12" borderId="7" xfId="0" applyFont="1" applyFill="1" applyBorder="1" applyAlignment="1">
      <alignment horizontal="left" vertical="center"/>
    </xf>
    <xf numFmtId="166" fontId="50" fillId="3" borderId="1" xfId="4" applyFont="1" applyFill="1" applyBorder="1" applyAlignment="1" applyProtection="1">
      <alignment horizontal="left" vertical="center" wrapText="1"/>
    </xf>
    <xf numFmtId="166" fontId="50" fillId="18" borderId="1" xfId="4" applyFont="1" applyFill="1" applyBorder="1" applyAlignment="1" applyProtection="1">
      <alignment horizontal="left" vertical="center" wrapText="1"/>
    </xf>
    <xf numFmtId="0" fontId="16" fillId="0" borderId="0" xfId="0" applyFont="1" applyAlignment="1">
      <alignment horizontal="left" vertical="center"/>
    </xf>
    <xf numFmtId="0" fontId="50" fillId="0" borderId="7" xfId="0" applyFont="1" applyBorder="1" applyAlignment="1" applyProtection="1">
      <alignment horizontal="left" vertical="center"/>
    </xf>
    <xf numFmtId="166" fontId="50" fillId="0" borderId="1" xfId="4" applyFont="1" applyFill="1" applyBorder="1" applyAlignment="1" applyProtection="1">
      <alignment horizontal="left" vertical="center" wrapText="1"/>
    </xf>
    <xf numFmtId="0" fontId="16" fillId="0" borderId="1" xfId="0" applyFont="1" applyBorder="1" applyAlignment="1">
      <alignment horizontal="left" vertical="center"/>
    </xf>
    <xf numFmtId="166" fontId="16" fillId="0" borderId="1" xfId="4" applyFont="1" applyBorder="1" applyAlignment="1">
      <alignment horizontal="left" vertical="center"/>
    </xf>
    <xf numFmtId="0" fontId="16" fillId="0" borderId="76" xfId="0" applyFont="1" applyBorder="1" applyAlignment="1"/>
    <xf numFmtId="0" fontId="50" fillId="0" borderId="1" xfId="0" applyFont="1" applyBorder="1" applyAlignment="1" applyProtection="1">
      <alignment horizontal="right" vertical="center" indent="1"/>
    </xf>
    <xf numFmtId="0" fontId="16" fillId="0" borderId="51" xfId="0" applyFont="1" applyBorder="1" applyProtection="1"/>
    <xf numFmtId="0" fontId="16" fillId="0" borderId="62" xfId="0" applyFont="1" applyBorder="1" applyAlignment="1"/>
    <xf numFmtId="0" fontId="16" fillId="0" borderId="85" xfId="0" applyFont="1" applyBorder="1" applyAlignment="1"/>
    <xf numFmtId="0" fontId="50" fillId="3" borderId="1" xfId="0" quotePrefix="1" applyFont="1" applyFill="1" applyBorder="1" applyAlignment="1" applyProtection="1">
      <alignment horizontal="center" vertical="center" wrapText="1"/>
    </xf>
    <xf numFmtId="166" fontId="50" fillId="8" borderId="1" xfId="4" applyFont="1" applyFill="1" applyBorder="1" applyAlignment="1" applyProtection="1">
      <alignment horizontal="center" vertical="center" wrapText="1"/>
    </xf>
    <xf numFmtId="166" fontId="50" fillId="18" borderId="3" xfId="4" applyFont="1" applyFill="1" applyBorder="1" applyAlignment="1" applyProtection="1">
      <alignment horizontal="left" vertical="center" wrapText="1"/>
    </xf>
    <xf numFmtId="0" fontId="50" fillId="18" borderId="3" xfId="0" applyFont="1" applyFill="1" applyBorder="1" applyAlignment="1">
      <alignment horizontal="center" vertical="center"/>
    </xf>
    <xf numFmtId="166" fontId="16" fillId="18" borderId="1" xfId="4" applyFont="1" applyFill="1" applyBorder="1" applyAlignment="1">
      <alignment horizontal="left" vertical="center"/>
    </xf>
    <xf numFmtId="194" fontId="50" fillId="8" borderId="1" xfId="4" applyNumberFormat="1" applyFont="1" applyFill="1" applyBorder="1" applyAlignment="1" applyProtection="1">
      <alignment horizontal="left" vertical="center" wrapText="1"/>
    </xf>
    <xf numFmtId="194" fontId="50" fillId="14" borderId="1" xfId="4" applyNumberFormat="1" applyFont="1" applyFill="1" applyBorder="1" applyAlignment="1" applyProtection="1">
      <alignment horizontal="left" vertical="center" wrapText="1"/>
    </xf>
    <xf numFmtId="194" fontId="50" fillId="16" borderId="1" xfId="4" applyNumberFormat="1" applyFont="1" applyFill="1" applyBorder="1" applyAlignment="1" applyProtection="1">
      <alignment horizontal="left" vertical="center" wrapText="1"/>
    </xf>
    <xf numFmtId="194" fontId="50" fillId="14" borderId="3" xfId="4" applyNumberFormat="1" applyFont="1" applyFill="1" applyBorder="1" applyAlignment="1" applyProtection="1">
      <alignment horizontal="left" vertical="center" wrapText="1"/>
    </xf>
    <xf numFmtId="194" fontId="50" fillId="14" borderId="3" xfId="4" applyNumberFormat="1" applyFont="1" applyFill="1" applyBorder="1" applyAlignment="1">
      <alignment horizontal="left" vertical="center"/>
    </xf>
    <xf numFmtId="194" fontId="50" fillId="8" borderId="1" xfId="4" applyNumberFormat="1" applyFont="1" applyFill="1" applyBorder="1" applyAlignment="1" applyProtection="1">
      <alignment horizontal="right" vertical="center" wrapText="1" indent="1"/>
    </xf>
    <xf numFmtId="194" fontId="50" fillId="14" borderId="3" xfId="4" applyNumberFormat="1" applyFont="1" applyFill="1" applyBorder="1" applyAlignment="1">
      <alignment horizontal="right" vertical="center" indent="1"/>
    </xf>
    <xf numFmtId="194" fontId="50" fillId="16" borderId="1" xfId="4" applyNumberFormat="1" applyFont="1" applyFill="1" applyBorder="1" applyAlignment="1" applyProtection="1">
      <alignment horizontal="right" vertical="center" wrapText="1" indent="1"/>
    </xf>
    <xf numFmtId="194" fontId="50" fillId="18" borderId="1" xfId="4" applyNumberFormat="1" applyFont="1" applyFill="1" applyBorder="1" applyAlignment="1" applyProtection="1">
      <alignment horizontal="left" vertical="center" wrapText="1"/>
    </xf>
    <xf numFmtId="194" fontId="16" fillId="18" borderId="1" xfId="4" applyNumberFormat="1" applyFont="1" applyFill="1" applyBorder="1" applyAlignment="1">
      <alignment horizontal="left" vertical="center"/>
    </xf>
    <xf numFmtId="194" fontId="16" fillId="14" borderId="1" xfId="4" applyNumberFormat="1" applyFont="1" applyFill="1" applyBorder="1" applyAlignment="1">
      <alignment horizontal="left" vertical="center"/>
    </xf>
    <xf numFmtId="194" fontId="50" fillId="34" borderId="1" xfId="4" applyNumberFormat="1" applyFont="1" applyFill="1" applyBorder="1" applyAlignment="1" applyProtection="1">
      <alignment horizontal="left" vertical="center" wrapText="1"/>
    </xf>
    <xf numFmtId="194" fontId="16" fillId="34" borderId="1" xfId="4" applyNumberFormat="1" applyFont="1" applyFill="1" applyBorder="1" applyAlignment="1">
      <alignment horizontal="left" vertical="center"/>
    </xf>
    <xf numFmtId="0" fontId="120" fillId="12" borderId="51" xfId="0" applyFont="1" applyFill="1" applyBorder="1" applyProtection="1"/>
    <xf numFmtId="0" fontId="121" fillId="0" borderId="51" xfId="0" applyFont="1" applyBorder="1" applyProtection="1"/>
    <xf numFmtId="194" fontId="118" fillId="8" borderId="1" xfId="4" applyNumberFormat="1" applyFont="1" applyFill="1" applyBorder="1" applyAlignment="1" applyProtection="1">
      <alignment horizontal="left" vertical="center" wrapText="1"/>
    </xf>
    <xf numFmtId="0" fontId="53" fillId="12" borderId="0" xfId="0" applyFont="1" applyFill="1" applyBorder="1" applyAlignment="1">
      <alignment horizontal="center" vertical="center"/>
    </xf>
    <xf numFmtId="0" fontId="50" fillId="12" borderId="0" xfId="0" applyFont="1" applyFill="1" applyBorder="1" applyAlignment="1">
      <alignment horizontal="center" vertical="center"/>
    </xf>
    <xf numFmtId="3" fontId="50" fillId="12" borderId="0" xfId="4" applyNumberFormat="1" applyFont="1" applyFill="1" applyBorder="1" applyAlignment="1" applyProtection="1">
      <alignment horizontal="center" vertical="center" wrapText="1"/>
    </xf>
    <xf numFmtId="1" fontId="4" fillId="12" borderId="0" xfId="0" applyNumberFormat="1" applyFont="1" applyFill="1" applyBorder="1" applyAlignment="1" applyProtection="1">
      <alignment horizontal="left" vertical="center" wrapText="1"/>
    </xf>
    <xf numFmtId="0" fontId="14" fillId="12" borderId="26" xfId="0" applyFont="1" applyFill="1" applyBorder="1" applyAlignment="1" applyProtection="1">
      <alignment vertical="center"/>
    </xf>
    <xf numFmtId="0" fontId="16" fillId="12" borderId="1" xfId="0" applyFont="1" applyFill="1" applyBorder="1" applyAlignment="1">
      <alignment horizontal="center" vertical="center"/>
    </xf>
    <xf numFmtId="0" fontId="50" fillId="0" borderId="1" xfId="0" applyFont="1" applyBorder="1" applyAlignment="1">
      <alignment horizontal="center"/>
    </xf>
    <xf numFmtId="0" fontId="53" fillId="15" borderId="5" xfId="0" applyFont="1" applyFill="1" applyBorder="1" applyAlignment="1" applyProtection="1">
      <alignment vertical="center"/>
    </xf>
    <xf numFmtId="0" fontId="53" fillId="15" borderId="6" xfId="0" applyFont="1" applyFill="1" applyBorder="1" applyAlignment="1" applyProtection="1">
      <alignment vertical="center"/>
    </xf>
    <xf numFmtId="0" fontId="53" fillId="15" borderId="7" xfId="0" applyFont="1" applyFill="1" applyBorder="1" applyAlignment="1" applyProtection="1">
      <alignment vertical="center"/>
    </xf>
    <xf numFmtId="175" fontId="50" fillId="14" borderId="1" xfId="4" applyNumberFormat="1" applyFont="1" applyFill="1" applyBorder="1" applyAlignment="1" applyProtection="1">
      <alignment horizontal="center" vertical="center" wrapText="1"/>
    </xf>
    <xf numFmtId="175" fontId="50" fillId="14" borderId="3" xfId="4" applyNumberFormat="1" applyFont="1" applyFill="1" applyBorder="1" applyAlignment="1" applyProtection="1">
      <alignment horizontal="center" vertical="center" wrapText="1"/>
    </xf>
    <xf numFmtId="0" fontId="57" fillId="34" borderId="1" xfId="0" applyFont="1" applyFill="1" applyBorder="1" applyAlignment="1" applyProtection="1">
      <alignment horizontal="center" vertical="center" wrapText="1"/>
    </xf>
    <xf numFmtId="0" fontId="53" fillId="34" borderId="1" xfId="0" applyFont="1" applyFill="1" applyBorder="1" applyAlignment="1" applyProtection="1">
      <alignment horizontal="center" vertical="center" wrapText="1"/>
    </xf>
    <xf numFmtId="175" fontId="50" fillId="34" borderId="1" xfId="4" applyNumberFormat="1" applyFont="1" applyFill="1" applyBorder="1" applyAlignment="1" applyProtection="1">
      <alignment horizontal="center" vertical="center" wrapText="1"/>
    </xf>
    <xf numFmtId="175" fontId="50" fillId="34" borderId="3" xfId="4" applyNumberFormat="1" applyFont="1" applyFill="1" applyBorder="1" applyAlignment="1">
      <alignment horizontal="center" vertical="center"/>
    </xf>
    <xf numFmtId="166" fontId="50" fillId="0" borderId="1" xfId="4" applyFont="1" applyFill="1" applyBorder="1" applyAlignment="1">
      <alignment horizontal="center" vertical="center"/>
    </xf>
    <xf numFmtId="166" fontId="50" fillId="0" borderId="3" xfId="4" applyFont="1" applyFill="1" applyBorder="1" applyAlignment="1">
      <alignment vertical="center"/>
    </xf>
    <xf numFmtId="194" fontId="50" fillId="0" borderId="1" xfId="4" applyNumberFormat="1" applyFont="1" applyFill="1" applyBorder="1" applyAlignment="1">
      <alignment horizontal="center" vertical="center"/>
    </xf>
    <xf numFmtId="194" fontId="50" fillId="0" borderId="1" xfId="4" applyNumberFormat="1" applyFont="1" applyFill="1" applyBorder="1" applyAlignment="1">
      <alignment vertical="center"/>
    </xf>
    <xf numFmtId="0" fontId="122" fillId="29" borderId="1" xfId="0" applyFont="1" applyFill="1" applyBorder="1" applyAlignment="1" applyProtection="1">
      <alignment horizontal="left" vertical="center"/>
    </xf>
    <xf numFmtId="2" fontId="50" fillId="8" borderId="1" xfId="4" applyNumberFormat="1" applyFont="1" applyFill="1" applyBorder="1" applyAlignment="1" applyProtection="1">
      <alignment horizontal="right" vertical="center" wrapText="1" indent="1"/>
    </xf>
    <xf numFmtId="0" fontId="53" fillId="0" borderId="25" xfId="0" applyFont="1" applyBorder="1" applyAlignment="1" applyProtection="1">
      <alignment vertical="center"/>
    </xf>
    <xf numFmtId="0" fontId="118" fillId="0" borderId="26" xfId="0" applyFont="1" applyBorder="1" applyAlignment="1" applyProtection="1">
      <alignment vertical="center"/>
    </xf>
    <xf numFmtId="0" fontId="50" fillId="8" borderId="1" xfId="4" applyNumberFormat="1" applyFont="1" applyFill="1" applyBorder="1" applyAlignment="1" applyProtection="1">
      <alignment horizontal="right" vertical="center" wrapText="1" indent="1"/>
    </xf>
    <xf numFmtId="202" fontId="50" fillId="8" borderId="1" xfId="4" applyNumberFormat="1" applyFont="1" applyFill="1" applyBorder="1" applyAlignment="1" applyProtection="1">
      <alignment horizontal="right" vertical="center" wrapText="1" indent="1"/>
    </xf>
    <xf numFmtId="0" fontId="50" fillId="0" borderId="1" xfId="0" applyFont="1" applyBorder="1" applyAlignment="1">
      <alignment horizontal="center" vertical="center"/>
    </xf>
    <xf numFmtId="43" fontId="50" fillId="3" borderId="0" xfId="0" applyNumberFormat="1" applyFont="1" applyFill="1" applyBorder="1"/>
    <xf numFmtId="0" fontId="96" fillId="12" borderId="23" xfId="11" quotePrefix="1" applyNumberFormat="1" applyFont="1" applyBorder="1" applyAlignment="1">
      <alignment vertical="center"/>
    </xf>
    <xf numFmtId="166" fontId="96" fillId="0" borderId="1" xfId="4" applyFont="1" applyBorder="1" applyAlignment="1">
      <alignment horizontal="right" vertical="center"/>
    </xf>
    <xf numFmtId="166" fontId="96" fillId="0" borderId="1" xfId="4" applyFont="1" applyBorder="1" applyAlignment="1">
      <alignment vertical="center"/>
    </xf>
    <xf numFmtId="166" fontId="50" fillId="0" borderId="1" xfId="4" applyFont="1" applyBorder="1" applyAlignment="1">
      <alignment horizontal="right" vertical="center"/>
    </xf>
    <xf numFmtId="166" fontId="50" fillId="12" borderId="1" xfId="4" applyFont="1" applyFill="1" applyBorder="1" applyProtection="1">
      <protection locked="0"/>
    </xf>
    <xf numFmtId="166" fontId="54" fillId="3" borderId="7" xfId="4" applyFont="1" applyFill="1" applyBorder="1" applyAlignment="1" applyProtection="1">
      <alignment horizontal="right" vertical="center" indent="1"/>
    </xf>
    <xf numFmtId="166" fontId="122" fillId="29" borderId="1" xfId="4" applyFont="1" applyFill="1" applyBorder="1" applyAlignment="1" applyProtection="1">
      <alignment horizontal="right" vertical="center" indent="1"/>
    </xf>
    <xf numFmtId="0" fontId="123" fillId="15" borderId="5" xfId="0" applyFont="1" applyFill="1" applyBorder="1" applyAlignment="1">
      <alignment horizontal="left" indent="1"/>
    </xf>
    <xf numFmtId="3" fontId="123" fillId="2" borderId="3" xfId="4" applyNumberFormat="1" applyFont="1" applyFill="1" applyBorder="1" applyAlignment="1">
      <alignment horizontal="right" vertical="center" indent="1"/>
    </xf>
    <xf numFmtId="169" fontId="123" fillId="2" borderId="3" xfId="4" applyNumberFormat="1" applyFont="1" applyFill="1" applyBorder="1" applyAlignment="1">
      <alignment horizontal="right" vertical="center" indent="1"/>
    </xf>
    <xf numFmtId="0" fontId="33" fillId="0" borderId="0" xfId="0" applyNumberFormat="1" applyFont="1" applyFill="1" applyBorder="1" applyAlignment="1" applyProtection="1"/>
    <xf numFmtId="0" fontId="33" fillId="0" borderId="0" xfId="0" applyFont="1" applyAlignment="1">
      <alignment horizontal="right"/>
    </xf>
    <xf numFmtId="0" fontId="125" fillId="0" borderId="0" xfId="0" applyFont="1" applyAlignment="1">
      <alignment vertical="center"/>
    </xf>
    <xf numFmtId="166" fontId="54" fillId="3" borderId="1" xfId="4" applyFont="1" applyFill="1" applyBorder="1" applyAlignment="1" applyProtection="1">
      <alignment horizontal="right" vertical="center" indent="1"/>
    </xf>
    <xf numFmtId="166" fontId="52" fillId="33" borderId="1" xfId="4" applyFont="1" applyFill="1" applyBorder="1" applyAlignment="1" applyProtection="1">
      <alignment horizontal="right" vertical="center" indent="1"/>
    </xf>
    <xf numFmtId="166" fontId="56" fillId="3" borderId="1" xfId="4" applyFont="1" applyFill="1" applyBorder="1" applyAlignment="1" applyProtection="1">
      <alignment horizontal="right" vertical="center" indent="1"/>
    </xf>
    <xf numFmtId="166" fontId="54" fillId="0" borderId="1" xfId="4" applyFont="1" applyFill="1" applyBorder="1" applyAlignment="1" applyProtection="1">
      <alignment horizontal="right" vertical="center" indent="1"/>
    </xf>
    <xf numFmtId="166" fontId="54" fillId="33" borderId="1" xfId="4" applyFont="1" applyFill="1" applyBorder="1" applyAlignment="1" applyProtection="1">
      <alignment horizontal="right" vertical="center" indent="1"/>
    </xf>
    <xf numFmtId="166" fontId="56" fillId="25" borderId="1" xfId="4" applyFont="1" applyFill="1" applyBorder="1" applyAlignment="1" applyProtection="1">
      <alignment horizontal="right" vertical="center" indent="1"/>
    </xf>
    <xf numFmtId="166" fontId="54" fillId="0" borderId="7" xfId="4" applyFont="1" applyFill="1" applyBorder="1" applyAlignment="1" applyProtection="1">
      <alignment horizontal="right" vertical="center" indent="1"/>
    </xf>
    <xf numFmtId="166" fontId="54" fillId="25" borderId="1" xfId="4" applyFont="1" applyFill="1" applyBorder="1" applyAlignment="1" applyProtection="1">
      <alignment horizontal="right" vertical="center" indent="1"/>
    </xf>
    <xf numFmtId="166" fontId="54" fillId="31" borderId="7" xfId="4" applyFont="1" applyFill="1" applyBorder="1" applyAlignment="1" applyProtection="1">
      <alignment horizontal="right" vertical="center" indent="1"/>
    </xf>
    <xf numFmtId="0" fontId="50" fillId="3" borderId="86" xfId="0" applyFont="1" applyFill="1" applyBorder="1" applyProtection="1"/>
    <xf numFmtId="0" fontId="50" fillId="0" borderId="4" xfId="0" applyNumberFormat="1" applyFont="1" applyFill="1" applyBorder="1" applyAlignment="1" applyProtection="1"/>
    <xf numFmtId="0" fontId="53" fillId="0" borderId="32" xfId="0" applyNumberFormat="1" applyFont="1" applyFill="1" applyBorder="1" applyAlignment="1" applyProtection="1"/>
    <xf numFmtId="0" fontId="50" fillId="0" borderId="87" xfId="0" applyNumberFormat="1" applyFont="1" applyFill="1" applyBorder="1" applyAlignment="1" applyProtection="1"/>
    <xf numFmtId="0" fontId="50" fillId="0" borderId="24" xfId="0" applyNumberFormat="1" applyFont="1" applyFill="1" applyBorder="1" applyAlignment="1" applyProtection="1">
      <alignment horizontal="right" vertical="top"/>
    </xf>
    <xf numFmtId="0" fontId="50" fillId="0" borderId="88" xfId="0" applyNumberFormat="1" applyFont="1" applyFill="1" applyBorder="1" applyAlignment="1" applyProtection="1"/>
    <xf numFmtId="0" fontId="50" fillId="0" borderId="15" xfId="0" applyNumberFormat="1" applyFont="1" applyFill="1" applyBorder="1" applyAlignment="1" applyProtection="1">
      <alignment horizontal="right" vertical="top"/>
    </xf>
    <xf numFmtId="0" fontId="50" fillId="0" borderId="89" xfId="0" applyNumberFormat="1" applyFont="1" applyFill="1" applyBorder="1" applyAlignment="1" applyProtection="1"/>
    <xf numFmtId="0" fontId="50" fillId="0" borderId="23" xfId="0" applyNumberFormat="1" applyFont="1" applyFill="1" applyBorder="1" applyAlignment="1" applyProtection="1">
      <alignment horizontal="right" vertical="top"/>
    </xf>
    <xf numFmtId="0" fontId="50" fillId="0" borderId="0" xfId="0" applyNumberFormat="1" applyFont="1" applyFill="1" applyBorder="1" applyAlignment="1" applyProtection="1">
      <alignment horizontal="right" vertical="top"/>
    </xf>
    <xf numFmtId="166" fontId="50" fillId="23" borderId="3" xfId="4" applyFont="1" applyFill="1" applyBorder="1" applyAlignment="1" applyProtection="1">
      <alignment horizontal="left" vertical="center" indent="1"/>
      <protection locked="0"/>
    </xf>
    <xf numFmtId="166" fontId="50" fillId="0" borderId="3" xfId="4" applyFont="1" applyFill="1" applyBorder="1" applyAlignment="1" applyProtection="1">
      <alignment horizontal="left" vertical="center" indent="1"/>
    </xf>
    <xf numFmtId="166" fontId="50" fillId="0" borderId="3" xfId="4" applyFont="1" applyFill="1" applyBorder="1" applyAlignment="1" applyProtection="1">
      <alignment horizontal="left" vertical="center" indent="1"/>
      <protection locked="0"/>
    </xf>
    <xf numFmtId="166" fontId="50" fillId="6" borderId="1" xfId="4" applyFont="1" applyFill="1" applyBorder="1" applyAlignment="1">
      <alignment horizontal="right" vertical="center" indent="1"/>
    </xf>
    <xf numFmtId="166" fontId="96" fillId="3" borderId="1" xfId="4" applyFont="1" applyFill="1" applyBorder="1" applyAlignment="1">
      <alignment horizontal="right" vertical="center"/>
    </xf>
    <xf numFmtId="0" fontId="56" fillId="3" borderId="0" xfId="0" applyFont="1" applyFill="1" applyAlignment="1">
      <alignment horizontal="center" vertical="center"/>
    </xf>
    <xf numFmtId="0" fontId="50" fillId="23" borderId="1" xfId="5" applyFont="1" applyBorder="1" applyAlignment="1">
      <alignment horizontal="left" vertical="center"/>
      <protection locked="0"/>
    </xf>
    <xf numFmtId="0" fontId="53" fillId="15" borderId="1" xfId="0" applyFont="1" applyFill="1" applyBorder="1" applyAlignment="1">
      <alignment horizontal="center" vertical="center" wrapText="1"/>
    </xf>
    <xf numFmtId="0" fontId="50" fillId="0" borderId="1" xfId="0" applyFont="1" applyBorder="1" applyAlignment="1">
      <alignment horizontal="center" vertical="center"/>
    </xf>
    <xf numFmtId="0" fontId="50" fillId="15" borderId="40" xfId="0" applyNumberFormat="1" applyFont="1" applyFill="1" applyBorder="1" applyAlignment="1" applyProtection="1">
      <alignment horizontal="center"/>
    </xf>
    <xf numFmtId="0" fontId="50" fillId="15" borderId="32" xfId="0" applyNumberFormat="1" applyFont="1" applyFill="1" applyBorder="1" applyAlignment="1" applyProtection="1">
      <alignment horizontal="center"/>
    </xf>
    <xf numFmtId="0" fontId="56" fillId="3" borderId="0" xfId="0" applyFont="1" applyFill="1" applyBorder="1" applyAlignment="1" applyProtection="1">
      <alignment horizontal="center" vertical="center"/>
    </xf>
    <xf numFmtId="0" fontId="50" fillId="3" borderId="0" xfId="0" applyNumberFormat="1" applyFont="1" applyFill="1" applyBorder="1" applyAlignment="1" applyProtection="1">
      <alignment vertical="center" wrapText="1"/>
    </xf>
    <xf numFmtId="170" fontId="50" fillId="0" borderId="0" xfId="0" applyNumberFormat="1" applyFont="1" applyFill="1" applyBorder="1" applyAlignment="1">
      <alignment horizontal="center"/>
    </xf>
    <xf numFmtId="0" fontId="53" fillId="0" borderId="0" xfId="0" applyFont="1" applyFill="1" applyBorder="1" applyAlignment="1">
      <alignment horizontal="center"/>
    </xf>
    <xf numFmtId="3" fontId="50" fillId="0" borderId="0" xfId="0" applyNumberFormat="1" applyFont="1" applyFill="1" applyBorder="1" applyAlignment="1">
      <alignment horizontal="right"/>
    </xf>
    <xf numFmtId="0" fontId="50" fillId="23" borderId="1" xfId="5" applyFont="1" applyBorder="1" applyAlignment="1">
      <alignment horizontal="center"/>
      <protection locked="0"/>
    </xf>
    <xf numFmtId="43" fontId="50" fillId="0" borderId="0" xfId="0" applyNumberFormat="1" applyFont="1"/>
    <xf numFmtId="166" fontId="96" fillId="3" borderId="1" xfId="4" applyFont="1" applyFill="1" applyBorder="1" applyAlignment="1">
      <alignment vertical="center"/>
    </xf>
    <xf numFmtId="166" fontId="50" fillId="12" borderId="3" xfId="4" applyFont="1" applyFill="1" applyBorder="1" applyAlignment="1" applyProtection="1">
      <alignment horizontal="left" vertical="center" indent="1"/>
      <protection locked="0"/>
    </xf>
    <xf numFmtId="0" fontId="53" fillId="15" borderId="1" xfId="0" applyFont="1" applyFill="1" applyBorder="1" applyAlignment="1">
      <alignment horizontal="center" vertical="center" wrapText="1"/>
    </xf>
    <xf numFmtId="0" fontId="50" fillId="23" borderId="1" xfId="5" applyFont="1" applyBorder="1" applyAlignment="1">
      <alignment horizontal="left" vertical="center"/>
      <protection locked="0"/>
    </xf>
    <xf numFmtId="0" fontId="50" fillId="0" borderId="1" xfId="0" applyFont="1" applyBorder="1" applyAlignment="1">
      <alignment horizontal="center" vertical="center"/>
    </xf>
    <xf numFmtId="49" fontId="50" fillId="3" borderId="0" xfId="0" applyNumberFormat="1" applyFont="1" applyFill="1" applyAlignment="1">
      <alignment horizontal="left" vertical="center" indent="2"/>
    </xf>
    <xf numFmtId="166" fontId="96" fillId="12" borderId="1" xfId="4" applyFont="1" applyFill="1" applyBorder="1" applyProtection="1"/>
    <xf numFmtId="166" fontId="50" fillId="12" borderId="1" xfId="4" applyFont="1" applyFill="1" applyBorder="1" applyProtection="1"/>
    <xf numFmtId="176" fontId="50" fillId="12" borderId="3" xfId="5" applyNumberFormat="1" applyFont="1" applyFill="1" applyBorder="1" applyAlignment="1">
      <alignment horizontal="left" vertical="center" indent="1"/>
      <protection locked="0"/>
    </xf>
    <xf numFmtId="176" fontId="50" fillId="12" borderId="1" xfId="5" applyNumberFormat="1" applyFont="1" applyFill="1" applyBorder="1" applyAlignment="1">
      <alignment horizontal="left" vertical="center" indent="1"/>
      <protection locked="0"/>
    </xf>
    <xf numFmtId="166" fontId="50" fillId="12" borderId="1" xfId="4" applyFont="1" applyFill="1" applyBorder="1" applyAlignment="1" applyProtection="1">
      <alignment horizontal="left" vertical="center" indent="1"/>
      <protection locked="0"/>
    </xf>
    <xf numFmtId="166" fontId="54" fillId="0" borderId="43" xfId="4" applyFont="1" applyFill="1" applyBorder="1" applyAlignment="1" applyProtection="1">
      <alignment horizontal="left" vertical="center" indent="1"/>
    </xf>
    <xf numFmtId="166" fontId="54" fillId="24" borderId="43" xfId="4" applyFont="1" applyFill="1" applyBorder="1" applyAlignment="1" applyProtection="1">
      <alignment horizontal="left" vertical="center" indent="1"/>
    </xf>
    <xf numFmtId="166" fontId="50" fillId="0" borderId="0" xfId="4" applyFont="1"/>
    <xf numFmtId="0" fontId="4" fillId="12" borderId="0" xfId="0" applyFont="1" applyFill="1"/>
    <xf numFmtId="0" fontId="4" fillId="12" borderId="0" xfId="0" applyFont="1" applyFill="1" applyAlignment="1">
      <alignment wrapText="1"/>
    </xf>
    <xf numFmtId="0" fontId="52" fillId="35" borderId="77" xfId="5" applyFont="1" applyFill="1" applyBorder="1">
      <protection locked="0"/>
    </xf>
    <xf numFmtId="166" fontId="92" fillId="3" borderId="3" xfId="4" applyFont="1" applyFill="1" applyBorder="1" applyAlignment="1" applyProtection="1">
      <alignment vertical="center"/>
    </xf>
    <xf numFmtId="0" fontId="123" fillId="15" borderId="1" xfId="0" applyFont="1" applyFill="1" applyBorder="1" applyAlignment="1">
      <alignment horizontal="center"/>
    </xf>
    <xf numFmtId="166" fontId="50" fillId="0" borderId="1" xfId="4" applyFont="1" applyFill="1" applyBorder="1"/>
    <xf numFmtId="0" fontId="50" fillId="0" borderId="1" xfId="0" applyFont="1" applyFill="1" applyBorder="1"/>
    <xf numFmtId="203" fontId="50" fillId="0" borderId="1" xfId="0" applyNumberFormat="1" applyFont="1" applyFill="1" applyBorder="1"/>
    <xf numFmtId="0" fontId="50" fillId="0" borderId="1" xfId="0" applyFont="1" applyFill="1" applyBorder="1" applyAlignment="1">
      <alignment vertical="center"/>
    </xf>
    <xf numFmtId="0" fontId="123" fillId="15" borderId="1" xfId="0" applyFont="1" applyFill="1" applyBorder="1" applyAlignment="1">
      <alignment vertical="center"/>
    </xf>
    <xf numFmtId="0" fontId="123" fillId="15" borderId="1" xfId="0" applyFont="1" applyFill="1" applyBorder="1"/>
    <xf numFmtId="166" fontId="50" fillId="2" borderId="3" xfId="4" applyFont="1" applyFill="1" applyBorder="1" applyAlignment="1">
      <alignment horizontal="right" vertical="center" indent="1"/>
    </xf>
    <xf numFmtId="166" fontId="92" fillId="12" borderId="1" xfId="4" applyFont="1" applyFill="1" applyBorder="1" applyAlignment="1">
      <alignment horizontal="right" vertical="center" indent="1"/>
    </xf>
    <xf numFmtId="166" fontId="92" fillId="12" borderId="1" xfId="4" applyFont="1" applyFill="1" applyBorder="1" applyAlignment="1">
      <alignment vertical="center"/>
    </xf>
    <xf numFmtId="166" fontId="50" fillId="23" borderId="1" xfId="4" applyFont="1" applyFill="1" applyBorder="1" applyAlignment="1" applyProtection="1">
      <alignment horizontal="right" vertical="center" indent="1"/>
      <protection locked="0"/>
    </xf>
    <xf numFmtId="166" fontId="50" fillId="12" borderId="1" xfId="4" applyFont="1" applyFill="1" applyBorder="1" applyAlignment="1" applyProtection="1">
      <alignment horizontal="right" vertical="center" indent="1"/>
      <protection locked="0"/>
    </xf>
    <xf numFmtId="166" fontId="50" fillId="0" borderId="1" xfId="4" applyFont="1" applyBorder="1" applyAlignment="1">
      <alignment horizontal="right" vertical="center" indent="1"/>
    </xf>
    <xf numFmtId="0" fontId="123" fillId="15" borderId="1" xfId="0" applyFont="1" applyFill="1" applyBorder="1" applyAlignment="1">
      <alignment horizontal="center"/>
    </xf>
    <xf numFmtId="0" fontId="53" fillId="15" borderId="1" xfId="0" applyFont="1" applyFill="1" applyBorder="1" applyAlignment="1" applyProtection="1">
      <alignment horizontal="center" vertical="center" wrapText="1"/>
    </xf>
    <xf numFmtId="0" fontId="50" fillId="0" borderId="1" xfId="0" applyFont="1" applyBorder="1" applyAlignment="1">
      <alignment horizontal="left" vertical="center" indent="1"/>
    </xf>
    <xf numFmtId="0" fontId="53" fillId="15" borderId="1" xfId="0" applyFont="1" applyFill="1" applyBorder="1" applyAlignment="1" applyProtection="1">
      <alignment horizontal="center" vertical="center"/>
    </xf>
    <xf numFmtId="166" fontId="50" fillId="15" borderId="1" xfId="4" applyFont="1" applyFill="1" applyBorder="1"/>
    <xf numFmtId="166" fontId="53" fillId="15" borderId="1" xfId="4" applyFont="1" applyFill="1" applyBorder="1"/>
    <xf numFmtId="2" fontId="53" fillId="15" borderId="5" xfId="0" applyNumberFormat="1" applyFont="1" applyFill="1" applyBorder="1" applyAlignment="1">
      <alignment vertical="center"/>
    </xf>
    <xf numFmtId="2" fontId="53" fillId="15" borderId="7" xfId="0" applyNumberFormat="1" applyFont="1" applyFill="1" applyBorder="1" applyAlignment="1">
      <alignment vertical="center"/>
    </xf>
    <xf numFmtId="2" fontId="53" fillId="12" borderId="8" xfId="0" applyNumberFormat="1" applyFont="1" applyFill="1" applyBorder="1" applyAlignment="1">
      <alignment vertical="center"/>
    </xf>
    <xf numFmtId="166" fontId="50" fillId="37" borderId="3" xfId="4" applyFont="1" applyFill="1" applyBorder="1" applyAlignment="1" applyProtection="1">
      <alignment horizontal="left" vertical="center" indent="1"/>
      <protection locked="0"/>
    </xf>
    <xf numFmtId="166" fontId="50" fillId="23" borderId="3" xfId="5" applyNumberFormat="1" applyFont="1" applyBorder="1" applyAlignment="1">
      <alignment horizontal="left" vertical="center" indent="1"/>
      <protection locked="0"/>
    </xf>
    <xf numFmtId="166" fontId="0" fillId="0" borderId="0" xfId="4" applyFont="1"/>
    <xf numFmtId="0" fontId="13" fillId="12" borderId="0" xfId="0" applyFont="1" applyFill="1"/>
    <xf numFmtId="0" fontId="13" fillId="29" borderId="1" xfId="0" applyFont="1" applyFill="1" applyBorder="1" applyAlignment="1">
      <alignment horizontal="left"/>
    </xf>
    <xf numFmtId="0" fontId="11" fillId="12" borderId="1" xfId="0" applyFont="1" applyFill="1" applyBorder="1"/>
    <xf numFmtId="0" fontId="11" fillId="12" borderId="1" xfId="0" applyFont="1" applyFill="1" applyBorder="1" applyAlignment="1">
      <alignment wrapText="1"/>
    </xf>
    <xf numFmtId="0" fontId="11" fillId="12" borderId="1" xfId="0" applyFont="1" applyFill="1" applyBorder="1" applyAlignment="1">
      <alignment horizontal="left"/>
    </xf>
    <xf numFmtId="0" fontId="11" fillId="12" borderId="1" xfId="0" quotePrefix="1" applyFont="1" applyFill="1" applyBorder="1" applyAlignment="1">
      <alignment horizontal="left"/>
    </xf>
    <xf numFmtId="0" fontId="11" fillId="12" borderId="1" xfId="0" applyFont="1" applyFill="1" applyBorder="1" applyAlignment="1">
      <alignment vertical="center"/>
    </xf>
    <xf numFmtId="0" fontId="11" fillId="12" borderId="1" xfId="0" applyFont="1" applyFill="1" applyBorder="1" applyAlignment="1">
      <alignment horizontal="left" vertical="center"/>
    </xf>
    <xf numFmtId="0" fontId="11" fillId="12" borderId="1" xfId="0" applyFont="1" applyFill="1" applyBorder="1" applyAlignment="1">
      <alignment horizontal="left" vertical="center" wrapText="1"/>
    </xf>
    <xf numFmtId="0" fontId="11" fillId="12" borderId="1" xfId="0" applyFont="1" applyFill="1" applyBorder="1" applyAlignment="1">
      <alignment horizontal="left" wrapText="1"/>
    </xf>
    <xf numFmtId="0" fontId="13" fillId="27" borderId="1" xfId="0" applyFont="1" applyFill="1" applyBorder="1" applyAlignment="1">
      <alignment horizontal="left"/>
    </xf>
    <xf numFmtId="0" fontId="13" fillId="38" borderId="1" xfId="0" applyFont="1" applyFill="1" applyBorder="1" applyAlignment="1">
      <alignment horizontal="left"/>
    </xf>
    <xf numFmtId="0" fontId="11" fillId="12" borderId="1" xfId="0" quotePrefix="1" applyFont="1" applyFill="1" applyBorder="1" applyAlignment="1">
      <alignment horizontal="left" vertical="center"/>
    </xf>
    <xf numFmtId="0" fontId="13" fillId="36" borderId="1" xfId="0" applyFont="1" applyFill="1" applyBorder="1" applyAlignment="1">
      <alignment horizontal="left"/>
    </xf>
    <xf numFmtId="0" fontId="11" fillId="12" borderId="1" xfId="0" applyFont="1" applyFill="1" applyBorder="1" applyAlignment="1">
      <alignment horizontal="right" vertical="center"/>
    </xf>
    <xf numFmtId="0" fontId="11" fillId="35" borderId="1" xfId="0" applyFont="1" applyFill="1" applyBorder="1" applyAlignment="1">
      <alignment horizontal="left" vertical="center"/>
    </xf>
    <xf numFmtId="0" fontId="54" fillId="0" borderId="1" xfId="0" applyFont="1" applyFill="1" applyBorder="1" applyAlignment="1" applyProtection="1">
      <alignment horizontal="left" vertical="center" wrapText="1" indent="1"/>
    </xf>
    <xf numFmtId="2" fontId="54" fillId="3" borderId="1" xfId="0" applyNumberFormat="1" applyFont="1" applyFill="1" applyBorder="1" applyAlignment="1" applyProtection="1">
      <alignment horizontal="right" vertical="center" wrapText="1" indent="1"/>
    </xf>
    <xf numFmtId="1" fontId="54" fillId="0" borderId="1" xfId="0" applyNumberFormat="1" applyFont="1" applyFill="1" applyBorder="1" applyAlignment="1" applyProtection="1">
      <alignment horizontal="right" vertical="center" wrapText="1" indent="1"/>
    </xf>
    <xf numFmtId="0" fontId="70" fillId="0" borderId="0" xfId="2" applyFont="1" applyFill="1" applyBorder="1" applyAlignment="1" applyProtection="1">
      <alignment horizontal="left" vertical="center" indent="1"/>
    </xf>
    <xf numFmtId="0" fontId="70" fillId="0" borderId="15" xfId="2" applyFont="1" applyFill="1" applyBorder="1" applyAlignment="1" applyProtection="1">
      <alignment horizontal="left" vertical="center" indent="1"/>
    </xf>
    <xf numFmtId="0" fontId="21" fillId="0" borderId="17" xfId="2" applyBorder="1" applyAlignment="1" applyProtection="1">
      <alignment horizontal="left" vertical="center" indent="1"/>
    </xf>
    <xf numFmtId="0" fontId="21" fillId="0" borderId="17" xfId="2" applyFill="1" applyBorder="1" applyAlignment="1" applyProtection="1">
      <alignment horizontal="left" vertical="center" indent="1"/>
    </xf>
    <xf numFmtId="0" fontId="0" fillId="0" borderId="5" xfId="0" applyBorder="1"/>
    <xf numFmtId="0" fontId="70" fillId="0" borderId="6" xfId="2" applyFont="1" applyFill="1" applyBorder="1" applyAlignment="1" applyProtection="1">
      <alignment horizontal="left" vertical="center" indent="1"/>
    </xf>
    <xf numFmtId="0" fontId="70" fillId="0" borderId="7" xfId="2" applyFont="1" applyFill="1" applyBorder="1" applyAlignment="1" applyProtection="1">
      <alignment horizontal="left" vertical="center" indent="1"/>
    </xf>
    <xf numFmtId="0" fontId="11" fillId="12" borderId="1" xfId="0" applyFont="1" applyFill="1" applyBorder="1" applyAlignment="1">
      <alignment horizontal="left" vertical="center" wrapText="1"/>
    </xf>
    <xf numFmtId="0" fontId="52" fillId="0" borderId="0" xfId="0" applyFont="1" applyFill="1" applyAlignment="1">
      <alignment horizontal="right" vertical="center" wrapText="1"/>
    </xf>
    <xf numFmtId="0" fontId="131" fillId="12" borderId="1" xfId="0" applyFont="1" applyFill="1" applyBorder="1" applyAlignment="1">
      <alignment horizontal="left" vertical="center" wrapText="1"/>
    </xf>
    <xf numFmtId="0" fontId="5" fillId="12" borderId="0" xfId="0" applyFont="1" applyFill="1" applyAlignment="1">
      <alignment horizontal="center"/>
    </xf>
    <xf numFmtId="0" fontId="4" fillId="12" borderId="0" xfId="0" applyFont="1" applyFill="1" applyAlignment="1">
      <alignment horizontal="center"/>
    </xf>
    <xf numFmtId="0" fontId="54" fillId="30" borderId="1" xfId="5" applyFont="1" applyFill="1" applyBorder="1" applyAlignment="1">
      <alignment horizontal="left" vertical="center" wrapText="1" indent="1"/>
      <protection locked="0"/>
    </xf>
    <xf numFmtId="0" fontId="54" fillId="23" borderId="1" xfId="5" applyFont="1" applyBorder="1" applyAlignment="1">
      <alignment horizontal="left" vertical="center" wrapText="1" indent="1"/>
      <protection locked="0"/>
    </xf>
    <xf numFmtId="0" fontId="54" fillId="23" borderId="5" xfId="5" applyFont="1" applyBorder="1" applyAlignment="1">
      <alignment horizontal="left" vertical="center" indent="1"/>
      <protection locked="0"/>
    </xf>
    <xf numFmtId="0" fontId="54" fillId="23" borderId="6" xfId="5" applyFont="1" applyBorder="1" applyAlignment="1">
      <alignment horizontal="left" vertical="center" indent="1"/>
      <protection locked="0"/>
    </xf>
    <xf numFmtId="0" fontId="54" fillId="23" borderId="7" xfId="5" applyFont="1" applyBorder="1" applyAlignment="1">
      <alignment horizontal="left" vertical="center" indent="1"/>
      <protection locked="0"/>
    </xf>
    <xf numFmtId="199" fontId="54" fillId="23" borderId="5" xfId="5" applyNumberFormat="1" applyFont="1" applyBorder="1" applyAlignment="1">
      <alignment horizontal="left" vertical="center" indent="1"/>
      <protection locked="0"/>
    </xf>
    <xf numFmtId="199" fontId="54" fillId="23" borderId="6" xfId="5" applyNumberFormat="1" applyFont="1" applyBorder="1" applyAlignment="1">
      <alignment horizontal="left" vertical="center" indent="1"/>
      <protection locked="0"/>
    </xf>
    <xf numFmtId="199" fontId="54" fillId="23" borderId="7" xfId="5" applyNumberFormat="1" applyFont="1" applyBorder="1" applyAlignment="1">
      <alignment horizontal="left" vertical="center" indent="1"/>
      <protection locked="0"/>
    </xf>
    <xf numFmtId="0" fontId="52" fillId="30" borderId="5" xfId="0" applyFont="1" applyFill="1" applyBorder="1" applyAlignment="1">
      <alignment horizontal="center"/>
    </xf>
    <xf numFmtId="0" fontId="52" fillId="30" borderId="6" xfId="0" applyFont="1" applyFill="1" applyBorder="1" applyAlignment="1">
      <alignment horizontal="center"/>
    </xf>
    <xf numFmtId="0" fontId="52" fillId="30" borderId="7" xfId="0" applyFont="1" applyFill="1" applyBorder="1" applyAlignment="1">
      <alignment horizontal="center"/>
    </xf>
    <xf numFmtId="0" fontId="123" fillId="15" borderId="1" xfId="0" applyFont="1" applyFill="1" applyBorder="1" applyAlignment="1">
      <alignment horizontal="center" vertical="center"/>
    </xf>
    <xf numFmtId="0" fontId="53" fillId="15" borderId="1" xfId="0" applyFont="1" applyFill="1" applyBorder="1" applyAlignment="1">
      <alignment horizontal="center" vertical="center"/>
    </xf>
    <xf numFmtId="0" fontId="83" fillId="3" borderId="17" xfId="0" applyFont="1" applyFill="1" applyBorder="1" applyAlignment="1">
      <alignment horizontal="center" vertical="center" wrapText="1"/>
    </xf>
    <xf numFmtId="0" fontId="83" fillId="3" borderId="0" xfId="0" applyFont="1" applyFill="1" applyBorder="1" applyAlignment="1">
      <alignment horizontal="center" vertical="center" wrapText="1"/>
    </xf>
    <xf numFmtId="0" fontId="123" fillId="15" borderId="1" xfId="0" applyFont="1" applyFill="1" applyBorder="1" applyAlignment="1">
      <alignment horizontal="center"/>
    </xf>
    <xf numFmtId="0" fontId="56" fillId="3" borderId="0" xfId="0" applyFont="1" applyFill="1" applyAlignment="1">
      <alignment horizontal="left" vertical="center"/>
    </xf>
    <xf numFmtId="0" fontId="86" fillId="0" borderId="0" xfId="0" quotePrefix="1" applyFont="1" applyFill="1" applyAlignment="1">
      <alignment horizontal="justify" vertical="center" wrapText="1"/>
    </xf>
    <xf numFmtId="0" fontId="53" fillId="15" borderId="16" xfId="0" applyFont="1" applyFill="1" applyBorder="1" applyAlignment="1">
      <alignment horizontal="center" vertical="center" wrapText="1"/>
    </xf>
    <xf numFmtId="0" fontId="53" fillId="15" borderId="3" xfId="0" applyFont="1" applyFill="1" applyBorder="1" applyAlignment="1">
      <alignment horizontal="center" vertical="center" wrapText="1"/>
    </xf>
    <xf numFmtId="185" fontId="56" fillId="25" borderId="14" xfId="7" applyNumberFormat="1" applyFont="1" applyFill="1" applyBorder="1" applyAlignment="1">
      <alignment vertical="center"/>
    </xf>
    <xf numFmtId="185" fontId="56" fillId="25" borderId="20" xfId="7" applyNumberFormat="1" applyFont="1" applyFill="1" applyBorder="1" applyAlignment="1">
      <alignment vertical="center"/>
    </xf>
    <xf numFmtId="185" fontId="56" fillId="4" borderId="14" xfId="6" applyNumberFormat="1" applyFont="1" applyBorder="1" applyAlignment="1">
      <alignment vertical="center"/>
    </xf>
    <xf numFmtId="185" fontId="56" fillId="4" borderId="20" xfId="6" applyNumberFormat="1" applyFont="1" applyBorder="1" applyAlignment="1">
      <alignment vertical="center"/>
    </xf>
    <xf numFmtId="0" fontId="53" fillId="15" borderId="24" xfId="0" applyFont="1" applyFill="1" applyBorder="1" applyAlignment="1">
      <alignment horizontal="center" vertical="center" wrapText="1"/>
    </xf>
    <xf numFmtId="0" fontId="53" fillId="15" borderId="23" xfId="0" applyFont="1" applyFill="1" applyBorder="1" applyAlignment="1">
      <alignment horizontal="center" vertical="center" wrapText="1"/>
    </xf>
    <xf numFmtId="0" fontId="53" fillId="15" borderId="21" xfId="0" applyFont="1" applyFill="1" applyBorder="1" applyAlignment="1">
      <alignment horizontal="center" vertical="center"/>
    </xf>
    <xf numFmtId="0" fontId="53" fillId="15" borderId="27" xfId="0" applyFont="1" applyFill="1" applyBorder="1" applyAlignment="1">
      <alignment horizontal="center" vertical="center"/>
    </xf>
    <xf numFmtId="0" fontId="53" fillId="15" borderId="24" xfId="0" applyFont="1" applyFill="1" applyBorder="1" applyAlignment="1">
      <alignment horizontal="center" vertical="center"/>
    </xf>
    <xf numFmtId="0" fontId="53" fillId="15" borderId="56" xfId="0" applyFont="1" applyFill="1" applyBorder="1" applyAlignment="1">
      <alignment horizontal="center" vertical="center"/>
    </xf>
    <xf numFmtId="0" fontId="53" fillId="15" borderId="4" xfId="0" applyFont="1" applyFill="1" applyBorder="1" applyAlignment="1">
      <alignment horizontal="center" vertical="center"/>
    </xf>
    <xf numFmtId="0" fontId="53" fillId="15" borderId="23" xfId="0" applyFont="1" applyFill="1" applyBorder="1" applyAlignment="1">
      <alignment horizontal="center" vertical="center"/>
    </xf>
    <xf numFmtId="0" fontId="91" fillId="23" borderId="5" xfId="5" applyFont="1" applyBorder="1" applyAlignment="1">
      <alignment horizontal="center" vertical="center"/>
      <protection locked="0"/>
    </xf>
    <xf numFmtId="0" fontId="91" fillId="23" borderId="6" xfId="5" applyFont="1" applyBorder="1" applyAlignment="1">
      <alignment horizontal="center" vertical="center"/>
      <protection locked="0"/>
    </xf>
    <xf numFmtId="0" fontId="91" fillId="23" borderId="7" xfId="5" applyFont="1" applyBorder="1" applyAlignment="1">
      <alignment horizontal="center" vertical="center"/>
      <protection locked="0"/>
    </xf>
    <xf numFmtId="0" fontId="53" fillId="15" borderId="8" xfId="0" applyFont="1" applyFill="1" applyBorder="1" applyAlignment="1">
      <alignment horizontal="center" vertical="center" wrapText="1"/>
    </xf>
    <xf numFmtId="0" fontId="53" fillId="15" borderId="1" xfId="0" applyFont="1" applyFill="1" applyBorder="1" applyAlignment="1">
      <alignment horizontal="center" vertical="center" wrapText="1"/>
    </xf>
    <xf numFmtId="0" fontId="50" fillId="23" borderId="1" xfId="5" applyFont="1" applyBorder="1" applyAlignment="1">
      <alignment horizontal="left" vertical="center"/>
      <protection locked="0"/>
    </xf>
    <xf numFmtId="0" fontId="53" fillId="15" borderId="16" xfId="0" applyFont="1" applyFill="1" applyBorder="1" applyAlignment="1">
      <alignment horizontal="center" vertical="center"/>
    </xf>
    <xf numFmtId="0" fontId="53" fillId="15" borderId="8" xfId="0" applyFont="1" applyFill="1" applyBorder="1" applyAlignment="1">
      <alignment horizontal="center" vertical="center"/>
    </xf>
    <xf numFmtId="0" fontId="53" fillId="15" borderId="3" xfId="0" applyFont="1" applyFill="1" applyBorder="1" applyAlignment="1">
      <alignment horizontal="center" vertical="center"/>
    </xf>
    <xf numFmtId="0" fontId="96" fillId="12" borderId="1" xfId="11" applyNumberFormat="1" applyFont="1" applyBorder="1" applyAlignment="1">
      <alignment horizontal="left" vertical="center"/>
    </xf>
    <xf numFmtId="166" fontId="53" fillId="15" borderId="5" xfId="4" applyNumberFormat="1" applyFont="1" applyFill="1" applyBorder="1" applyAlignment="1">
      <alignment horizontal="center" vertical="center"/>
    </xf>
    <xf numFmtId="166" fontId="53" fillId="15" borderId="6" xfId="4" applyNumberFormat="1" applyFont="1" applyFill="1" applyBorder="1" applyAlignment="1">
      <alignment horizontal="center" vertical="center"/>
    </xf>
    <xf numFmtId="166" fontId="53" fillId="15" borderId="7" xfId="4" applyNumberFormat="1" applyFont="1" applyFill="1" applyBorder="1" applyAlignment="1">
      <alignment horizontal="center" vertical="center"/>
    </xf>
    <xf numFmtId="0" fontId="96" fillId="0" borderId="5" xfId="11" applyNumberFormat="1" applyFont="1" applyFill="1" applyBorder="1" applyAlignment="1">
      <alignment horizontal="left" vertical="center"/>
    </xf>
    <xf numFmtId="0" fontId="96" fillId="0" borderId="7" xfId="11" applyNumberFormat="1" applyFont="1" applyFill="1" applyBorder="1" applyAlignment="1">
      <alignment horizontal="left" vertical="center"/>
    </xf>
    <xf numFmtId="0" fontId="53" fillId="15" borderId="5" xfId="0" applyFont="1" applyFill="1" applyBorder="1" applyAlignment="1">
      <alignment horizontal="center" vertical="center"/>
    </xf>
    <xf numFmtId="0" fontId="53" fillId="15" borderId="6" xfId="0" applyFont="1" applyFill="1" applyBorder="1" applyAlignment="1">
      <alignment horizontal="center" vertical="center"/>
    </xf>
    <xf numFmtId="0" fontId="53" fillId="15" borderId="7" xfId="0" applyFont="1" applyFill="1" applyBorder="1" applyAlignment="1">
      <alignment horizontal="center" vertical="center"/>
    </xf>
    <xf numFmtId="0" fontId="96" fillId="0" borderId="5" xfId="5" applyFont="1" applyFill="1" applyBorder="1" applyAlignment="1">
      <alignment horizontal="left" vertical="center"/>
      <protection locked="0"/>
    </xf>
    <xf numFmtId="0" fontId="96" fillId="0" borderId="7" xfId="5" applyFont="1" applyFill="1" applyBorder="1" applyAlignment="1">
      <alignment horizontal="left" vertical="center"/>
      <protection locked="0"/>
    </xf>
    <xf numFmtId="0" fontId="50" fillId="0" borderId="0" xfId="0" quotePrefix="1" applyFont="1" applyAlignment="1">
      <alignment horizontal="justify"/>
    </xf>
    <xf numFmtId="0" fontId="53" fillId="15" borderId="21" xfId="0" applyFont="1" applyFill="1" applyBorder="1" applyAlignment="1">
      <alignment horizontal="center" vertical="center" wrapText="1"/>
    </xf>
    <xf numFmtId="0" fontId="53" fillId="15" borderId="27" xfId="0" applyFont="1" applyFill="1" applyBorder="1" applyAlignment="1">
      <alignment horizontal="center" vertical="center" wrapText="1"/>
    </xf>
    <xf numFmtId="0" fontId="53" fillId="15" borderId="56" xfId="0" applyFont="1" applyFill="1" applyBorder="1" applyAlignment="1">
      <alignment horizontal="center" vertical="center" wrapText="1"/>
    </xf>
    <xf numFmtId="0" fontId="53" fillId="15" borderId="4" xfId="0" applyFont="1" applyFill="1" applyBorder="1" applyAlignment="1">
      <alignment horizontal="center" vertical="center" wrapText="1"/>
    </xf>
    <xf numFmtId="0" fontId="50" fillId="3" borderId="16" xfId="0" applyFont="1" applyFill="1" applyBorder="1" applyAlignment="1">
      <alignment horizontal="center" vertical="center"/>
    </xf>
    <xf numFmtId="0" fontId="50" fillId="3" borderId="8" xfId="0" applyFont="1" applyFill="1" applyBorder="1" applyAlignment="1">
      <alignment horizontal="center" vertical="center"/>
    </xf>
    <xf numFmtId="0" fontId="50" fillId="3" borderId="3" xfId="0" applyFont="1" applyFill="1" applyBorder="1" applyAlignment="1">
      <alignment horizontal="center" vertical="center"/>
    </xf>
    <xf numFmtId="49" fontId="50" fillId="3" borderId="0" xfId="0" quotePrefix="1" applyNumberFormat="1" applyFont="1" applyFill="1" applyAlignment="1">
      <alignment horizontal="left" vertical="center" wrapText="1"/>
    </xf>
    <xf numFmtId="0" fontId="50" fillId="3" borderId="5" xfId="0" applyFont="1" applyFill="1" applyBorder="1" applyAlignment="1">
      <alignment horizontal="left" vertical="center" indent="1"/>
    </xf>
    <xf numFmtId="0" fontId="50" fillId="3" borderId="6" xfId="0" applyFont="1" applyFill="1" applyBorder="1" applyAlignment="1">
      <alignment horizontal="left" vertical="center" indent="1"/>
    </xf>
    <xf numFmtId="0" fontId="50" fillId="3" borderId="7" xfId="0" applyFont="1" applyFill="1" applyBorder="1" applyAlignment="1">
      <alignment horizontal="left" vertical="center" indent="1"/>
    </xf>
    <xf numFmtId="0" fontId="53" fillId="15" borderId="5" xfId="0" applyFont="1" applyFill="1" applyBorder="1" applyAlignment="1">
      <alignment horizontal="center"/>
    </xf>
    <xf numFmtId="0" fontId="53" fillId="15" borderId="7" xfId="0" applyFont="1" applyFill="1" applyBorder="1" applyAlignment="1">
      <alignment horizontal="center"/>
    </xf>
    <xf numFmtId="0" fontId="56" fillId="3" borderId="0" xfId="0" applyFont="1" applyFill="1" applyAlignment="1">
      <alignment horizontal="center" vertical="center"/>
    </xf>
    <xf numFmtId="0" fontId="50" fillId="3" borderId="0" xfId="0" applyFont="1" applyFill="1" applyAlignment="1">
      <alignment horizontal="justify"/>
    </xf>
    <xf numFmtId="0" fontId="64" fillId="15" borderId="6" xfId="0" applyFont="1" applyFill="1" applyBorder="1" applyAlignment="1" applyProtection="1">
      <alignment horizontal="left" vertical="center"/>
      <protection locked="0"/>
    </xf>
    <xf numFmtId="0" fontId="50" fillId="3" borderId="0" xfId="0" applyFont="1" applyFill="1" applyAlignment="1" applyProtection="1">
      <alignment horizontal="left" vertical="center" wrapText="1"/>
      <protection locked="0"/>
    </xf>
    <xf numFmtId="0" fontId="53" fillId="15" borderId="17" xfId="0" applyFont="1" applyFill="1" applyBorder="1" applyAlignment="1">
      <alignment horizontal="center" vertical="center" wrapText="1"/>
    </xf>
    <xf numFmtId="0" fontId="50" fillId="3" borderId="0" xfId="0" applyFont="1" applyFill="1" applyAlignment="1">
      <alignment horizontal="left" vertical="center" wrapText="1"/>
    </xf>
    <xf numFmtId="0" fontId="53" fillId="2" borderId="5" xfId="0" applyFont="1" applyFill="1" applyBorder="1" applyAlignment="1">
      <alignment horizontal="left" vertical="center" indent="2"/>
    </xf>
    <xf numFmtId="0" fontId="53" fillId="2" borderId="6" xfId="0" applyFont="1" applyFill="1" applyBorder="1" applyAlignment="1">
      <alignment horizontal="left" vertical="center" indent="2"/>
    </xf>
    <xf numFmtId="0" fontId="53" fillId="2" borderId="7" xfId="0" applyFont="1" applyFill="1" applyBorder="1" applyAlignment="1">
      <alignment horizontal="left" vertical="center" indent="2"/>
    </xf>
    <xf numFmtId="0" fontId="53" fillId="3" borderId="0" xfId="0" applyFont="1" applyFill="1" applyBorder="1" applyAlignment="1">
      <alignment horizontal="center" vertical="center"/>
    </xf>
    <xf numFmtId="0" fontId="50" fillId="3" borderId="0" xfId="0" applyFont="1" applyFill="1" applyAlignment="1">
      <alignment horizontal="justify" vertical="center"/>
    </xf>
    <xf numFmtId="166" fontId="56" fillId="4" borderId="14" xfId="4" applyFont="1" applyFill="1" applyBorder="1" applyAlignment="1">
      <alignment horizontal="right" vertical="center" indent="1"/>
    </xf>
    <xf numFmtId="166" fontId="56" fillId="4" borderId="20" xfId="4" applyFont="1" applyFill="1" applyBorder="1" applyAlignment="1">
      <alignment horizontal="right" vertical="center" indent="1"/>
    </xf>
    <xf numFmtId="166" fontId="56" fillId="25" borderId="14" xfId="4" applyFont="1" applyFill="1" applyBorder="1" applyAlignment="1">
      <alignment horizontal="right" vertical="center" indent="1"/>
    </xf>
    <xf numFmtId="166" fontId="56" fillId="25" borderId="20" xfId="4" applyFont="1" applyFill="1" applyBorder="1" applyAlignment="1">
      <alignment horizontal="right" vertical="center" indent="1"/>
    </xf>
    <xf numFmtId="0" fontId="50" fillId="0" borderId="0" xfId="0" applyFont="1" applyAlignment="1">
      <alignment horizontal="justify" vertical="center" wrapText="1"/>
    </xf>
    <xf numFmtId="0" fontId="50" fillId="12" borderId="0" xfId="0" applyFont="1" applyFill="1" applyAlignment="1">
      <alignment horizontal="justify" vertical="center"/>
    </xf>
    <xf numFmtId="0" fontId="50" fillId="12" borderId="0" xfId="0" applyFont="1" applyFill="1" applyAlignment="1">
      <alignment horizontal="left" vertical="center" wrapText="1"/>
    </xf>
    <xf numFmtId="0" fontId="50" fillId="12" borderId="0" xfId="0" applyFont="1" applyFill="1" applyAlignment="1">
      <alignment horizontal="justify" vertical="center" wrapText="1"/>
    </xf>
    <xf numFmtId="0" fontId="50" fillId="12" borderId="0" xfId="0" applyFont="1" applyFill="1" applyAlignment="1">
      <alignment vertical="center" wrapText="1"/>
    </xf>
    <xf numFmtId="0" fontId="50" fillId="0" borderId="0" xfId="0" applyFont="1" applyFill="1" applyAlignment="1">
      <alignment horizontal="justify" vertical="justify" wrapText="1"/>
    </xf>
    <xf numFmtId="166" fontId="56" fillId="25" borderId="36" xfId="4" applyFont="1" applyFill="1" applyBorder="1" applyAlignment="1" applyProtection="1">
      <alignment horizontal="right" vertical="center" indent="1"/>
    </xf>
    <xf numFmtId="166" fontId="56" fillId="25" borderId="37" xfId="4" applyFont="1" applyFill="1" applyBorder="1" applyAlignment="1" applyProtection="1">
      <alignment horizontal="right" vertical="center" indent="1"/>
    </xf>
    <xf numFmtId="0" fontId="50" fillId="23" borderId="31" xfId="5" applyNumberFormat="1" applyFont="1" applyBorder="1" applyAlignment="1">
      <alignment horizontal="center"/>
      <protection locked="0"/>
    </xf>
    <xf numFmtId="0" fontId="50" fillId="23" borderId="40" xfId="5" applyNumberFormat="1" applyFont="1" applyBorder="1" applyAlignment="1">
      <alignment horizontal="center"/>
      <protection locked="0"/>
    </xf>
    <xf numFmtId="0" fontId="50" fillId="23" borderId="75" xfId="5" applyNumberFormat="1" applyFont="1" applyBorder="1" applyAlignment="1">
      <alignment horizontal="center"/>
      <protection locked="0"/>
    </xf>
    <xf numFmtId="0" fontId="50" fillId="15" borderId="40" xfId="0" applyNumberFormat="1" applyFont="1" applyFill="1" applyBorder="1" applyAlignment="1" applyProtection="1">
      <alignment horizontal="center"/>
    </xf>
    <xf numFmtId="0" fontId="50" fillId="15" borderId="32" xfId="0" applyNumberFormat="1" applyFont="1" applyFill="1" applyBorder="1" applyAlignment="1" applyProtection="1">
      <alignment horizontal="center"/>
    </xf>
    <xf numFmtId="0" fontId="50" fillId="3" borderId="0" xfId="0" applyNumberFormat="1" applyFont="1" applyFill="1" applyBorder="1" applyAlignment="1" applyProtection="1">
      <alignment horizontal="justify" vertical="center" wrapText="1"/>
    </xf>
    <xf numFmtId="0" fontId="50" fillId="15" borderId="6" xfId="0" applyNumberFormat="1" applyFont="1" applyFill="1" applyBorder="1" applyAlignment="1" applyProtection="1">
      <alignment horizontal="center"/>
    </xf>
    <xf numFmtId="0" fontId="50" fillId="15" borderId="7" xfId="0" applyNumberFormat="1" applyFont="1" applyFill="1" applyBorder="1" applyAlignment="1" applyProtection="1">
      <alignment horizontal="center"/>
    </xf>
    <xf numFmtId="0" fontId="50" fillId="0" borderId="16" xfId="0" applyFont="1" applyBorder="1" applyAlignment="1">
      <alignment horizontal="center" vertical="center"/>
    </xf>
    <xf numFmtId="0" fontId="50" fillId="0" borderId="8" xfId="0" applyFont="1" applyBorder="1" applyAlignment="1">
      <alignment horizontal="center" vertical="center"/>
    </xf>
    <xf numFmtId="0" fontId="50" fillId="0" borderId="3" xfId="0" applyFont="1" applyBorder="1" applyAlignment="1">
      <alignment horizontal="center" vertical="center"/>
    </xf>
    <xf numFmtId="0" fontId="50" fillId="3" borderId="0" xfId="0" applyNumberFormat="1" applyFont="1" applyFill="1" applyBorder="1" applyAlignment="1" applyProtection="1">
      <alignment horizontal="justify" vertical="justify" wrapText="1"/>
    </xf>
    <xf numFmtId="0" fontId="50" fillId="0" borderId="1" xfId="0" applyFont="1" applyBorder="1" applyAlignment="1">
      <alignment horizontal="center" vertical="center" wrapText="1"/>
    </xf>
    <xf numFmtId="0" fontId="53" fillId="3" borderId="0" xfId="0" applyFont="1" applyFill="1" applyAlignment="1">
      <alignment horizontal="center" vertical="center"/>
    </xf>
    <xf numFmtId="0" fontId="50" fillId="3" borderId="0" xfId="0" applyNumberFormat="1" applyFont="1" applyFill="1" applyBorder="1" applyAlignment="1" applyProtection="1">
      <alignment horizontal="justify" vertical="center"/>
    </xf>
    <xf numFmtId="0" fontId="50" fillId="0" borderId="0" xfId="0" applyFont="1" applyFill="1" applyAlignment="1">
      <alignment horizontal="justify" vertical="center"/>
    </xf>
    <xf numFmtId="0" fontId="50" fillId="0" borderId="0" xfId="0" applyFont="1" applyFill="1" applyAlignment="1">
      <alignment horizontal="left" vertical="center" wrapText="1"/>
    </xf>
    <xf numFmtId="0" fontId="50" fillId="0" borderId="0" xfId="0" applyFont="1" applyAlignment="1" applyProtection="1">
      <alignment horizontal="justify" vertical="center"/>
    </xf>
    <xf numFmtId="0" fontId="50" fillId="0" borderId="0" xfId="0" applyFont="1" applyAlignment="1" applyProtection="1">
      <alignment horizontal="justify" vertical="center" wrapText="1"/>
    </xf>
    <xf numFmtId="0" fontId="50" fillId="3" borderId="0" xfId="0" applyNumberFormat="1" applyFont="1" applyFill="1" applyBorder="1" applyAlignment="1" applyProtection="1">
      <alignment vertical="center" wrapText="1"/>
    </xf>
    <xf numFmtId="0" fontId="50" fillId="3" borderId="0" xfId="0" applyNumberFormat="1" applyFont="1" applyFill="1" applyBorder="1" applyAlignment="1" applyProtection="1">
      <alignment horizontal="left" vertical="center" wrapText="1"/>
    </xf>
    <xf numFmtId="0" fontId="50" fillId="23" borderId="6" xfId="5" applyFont="1" applyBorder="1" applyAlignment="1">
      <alignment horizontal="center"/>
      <protection locked="0"/>
    </xf>
    <xf numFmtId="0" fontId="50" fillId="23" borderId="7" xfId="5" applyFont="1" applyBorder="1" applyAlignment="1">
      <alignment horizontal="center"/>
      <protection locked="0"/>
    </xf>
    <xf numFmtId="197" fontId="50" fillId="0" borderId="5" xfId="0" applyNumberFormat="1" applyFont="1" applyFill="1" applyBorder="1" applyAlignment="1" applyProtection="1">
      <alignment horizontal="center"/>
    </xf>
    <xf numFmtId="197" fontId="50" fillId="0" borderId="7" xfId="0" applyNumberFormat="1" applyFont="1" applyFill="1" applyBorder="1" applyAlignment="1" applyProtection="1">
      <alignment horizontal="center"/>
    </xf>
    <xf numFmtId="0" fontId="79" fillId="0" borderId="0" xfId="0" applyNumberFormat="1" applyFont="1" applyFill="1" applyBorder="1" applyAlignment="1" applyProtection="1">
      <alignment horizontal="justify" vertical="center" wrapText="1"/>
    </xf>
    <xf numFmtId="49" fontId="50" fillId="23" borderId="21" xfId="5" applyNumberFormat="1" applyFont="1" applyBorder="1" applyAlignment="1">
      <alignment horizontal="center"/>
      <protection locked="0"/>
    </xf>
    <xf numFmtId="49" fontId="50" fillId="23" borderId="24" xfId="5" applyNumberFormat="1" applyFont="1" applyBorder="1" applyAlignment="1">
      <alignment horizontal="center"/>
      <protection locked="0"/>
    </xf>
    <xf numFmtId="166" fontId="56" fillId="4" borderId="14" xfId="4" applyFont="1" applyFill="1" applyBorder="1" applyAlignment="1" applyProtection="1">
      <alignment horizontal="right" vertical="center" indent="1"/>
    </xf>
    <xf numFmtId="166" fontId="56" fillId="4" borderId="20" xfId="4" applyFont="1" applyFill="1" applyBorder="1" applyAlignment="1" applyProtection="1">
      <alignment horizontal="right" vertical="center" indent="1"/>
    </xf>
    <xf numFmtId="0" fontId="53" fillId="3" borderId="0" xfId="0" applyFont="1" applyFill="1" applyAlignment="1" applyProtection="1">
      <alignment horizontal="justify" vertical="center" wrapText="1"/>
    </xf>
    <xf numFmtId="0" fontId="56" fillId="3" borderId="84" xfId="0" applyFont="1" applyFill="1" applyBorder="1" applyAlignment="1" applyProtection="1">
      <alignment horizontal="center" vertical="center"/>
    </xf>
    <xf numFmtId="0" fontId="56" fillId="3" borderId="0" xfId="0" applyFont="1" applyFill="1" applyBorder="1" applyAlignment="1" applyProtection="1">
      <alignment horizontal="center" vertical="center"/>
    </xf>
    <xf numFmtId="166" fontId="56" fillId="13" borderId="14" xfId="4" applyFont="1" applyFill="1" applyBorder="1" applyAlignment="1">
      <alignment horizontal="right" vertical="center" indent="1"/>
    </xf>
    <xf numFmtId="166" fontId="56" fillId="13" borderId="20" xfId="4" applyFont="1" applyFill="1" applyBorder="1" applyAlignment="1">
      <alignment horizontal="right" vertical="center" indent="1"/>
    </xf>
    <xf numFmtId="170" fontId="50" fillId="0" borderId="0" xfId="0" applyNumberFormat="1" applyFont="1" applyFill="1" applyBorder="1" applyAlignment="1">
      <alignment horizontal="center"/>
    </xf>
    <xf numFmtId="0" fontId="53" fillId="0" borderId="0" xfId="0" applyFont="1" applyFill="1" applyBorder="1" applyAlignment="1">
      <alignment horizontal="center"/>
    </xf>
    <xf numFmtId="3" fontId="50" fillId="0" borderId="0" xfId="0" applyNumberFormat="1" applyFont="1" applyFill="1" applyBorder="1" applyAlignment="1">
      <alignment horizontal="right" indent="1"/>
    </xf>
    <xf numFmtId="0" fontId="53" fillId="3" borderId="0" xfId="0" applyFont="1" applyFill="1" applyBorder="1" applyAlignment="1">
      <alignment horizontal="left" vertical="center"/>
    </xf>
    <xf numFmtId="0" fontId="53" fillId="19" borderId="27" xfId="0" applyFont="1" applyFill="1" applyBorder="1" applyAlignment="1">
      <alignment horizontal="center" vertical="center" wrapText="1"/>
    </xf>
    <xf numFmtId="0" fontId="53" fillId="19" borderId="0" xfId="0" applyFont="1" applyFill="1" applyBorder="1" applyAlignment="1">
      <alignment horizontal="center" vertical="center" wrapText="1"/>
    </xf>
    <xf numFmtId="0" fontId="53" fillId="19" borderId="4" xfId="0" applyFont="1" applyFill="1" applyBorder="1" applyAlignment="1">
      <alignment horizontal="center" vertical="center" wrapText="1"/>
    </xf>
    <xf numFmtId="0" fontId="53" fillId="19" borderId="24" xfId="0" applyFont="1" applyFill="1" applyBorder="1" applyAlignment="1">
      <alignment horizontal="center" vertical="center" wrapText="1"/>
    </xf>
    <xf numFmtId="0" fontId="53" fillId="19" borderId="15" xfId="0" applyFont="1" applyFill="1" applyBorder="1" applyAlignment="1">
      <alignment horizontal="center" vertical="center" wrapText="1"/>
    </xf>
    <xf numFmtId="0" fontId="53" fillId="19" borderId="23" xfId="0" applyFont="1" applyFill="1" applyBorder="1" applyAlignment="1">
      <alignment horizontal="center" vertical="center" wrapText="1"/>
    </xf>
    <xf numFmtId="0" fontId="50" fillId="18" borderId="9" xfId="0" applyFont="1" applyFill="1" applyBorder="1" applyAlignment="1">
      <alignment horizontal="center" vertical="center" wrapText="1"/>
    </xf>
    <xf numFmtId="0" fontId="50" fillId="18" borderId="10" xfId="0" applyFont="1" applyFill="1" applyBorder="1" applyAlignment="1">
      <alignment horizontal="center" vertical="center" wrapText="1"/>
    </xf>
    <xf numFmtId="0" fontId="50" fillId="18" borderId="13" xfId="0" applyFont="1" applyFill="1" applyBorder="1" applyAlignment="1">
      <alignment horizontal="center" vertical="center" wrapText="1"/>
    </xf>
    <xf numFmtId="0" fontId="50" fillId="18" borderId="22" xfId="0" applyFont="1" applyFill="1" applyBorder="1" applyAlignment="1">
      <alignment horizontal="center" vertical="center" wrapText="1"/>
    </xf>
    <xf numFmtId="0" fontId="50" fillId="18" borderId="0" xfId="0" applyFont="1" applyFill="1" applyBorder="1" applyAlignment="1">
      <alignment horizontal="center" vertical="center" wrapText="1"/>
    </xf>
    <xf numFmtId="0" fontId="50" fillId="18" borderId="83" xfId="0" applyFont="1" applyFill="1" applyBorder="1" applyAlignment="1">
      <alignment horizontal="center" vertical="center" wrapText="1"/>
    </xf>
    <xf numFmtId="0" fontId="50" fillId="18" borderId="11" xfId="0" applyFont="1" applyFill="1" applyBorder="1" applyAlignment="1">
      <alignment horizontal="center" vertical="center" wrapText="1"/>
    </xf>
    <xf numFmtId="0" fontId="50" fillId="18" borderId="12" xfId="0" applyFont="1" applyFill="1" applyBorder="1" applyAlignment="1">
      <alignment horizontal="center" vertical="center" wrapText="1"/>
    </xf>
    <xf numFmtId="0" fontId="50" fillId="18" borderId="18" xfId="0" applyFont="1" applyFill="1" applyBorder="1" applyAlignment="1">
      <alignment horizontal="center" vertical="center" wrapText="1"/>
    </xf>
    <xf numFmtId="0" fontId="53" fillId="3" borderId="0" xfId="12" applyFont="1" applyFill="1" applyAlignment="1">
      <alignment horizontal="left" vertical="center"/>
    </xf>
    <xf numFmtId="0" fontId="52" fillId="18" borderId="9" xfId="0" applyNumberFormat="1" applyFont="1" applyFill="1" applyBorder="1" applyAlignment="1" applyProtection="1">
      <alignment horizontal="center" vertical="center" wrapText="1"/>
    </xf>
    <xf numFmtId="0" fontId="52" fillId="18" borderId="10" xfId="0" applyNumberFormat="1" applyFont="1" applyFill="1" applyBorder="1" applyAlignment="1" applyProtection="1">
      <alignment horizontal="center" vertical="center" wrapText="1"/>
    </xf>
    <xf numFmtId="0" fontId="52" fillId="18" borderId="13" xfId="0" applyNumberFormat="1" applyFont="1" applyFill="1" applyBorder="1" applyAlignment="1" applyProtection="1">
      <alignment horizontal="center" vertical="center" wrapText="1"/>
    </xf>
    <xf numFmtId="0" fontId="52" fillId="18" borderId="11" xfId="0" applyNumberFormat="1" applyFont="1" applyFill="1" applyBorder="1" applyAlignment="1" applyProtection="1">
      <alignment horizontal="center" vertical="center" wrapText="1"/>
    </xf>
    <xf numFmtId="0" fontId="52" fillId="18" borderId="12" xfId="0" applyNumberFormat="1" applyFont="1" applyFill="1" applyBorder="1" applyAlignment="1" applyProtection="1">
      <alignment horizontal="center" vertical="center" wrapText="1"/>
    </xf>
    <xf numFmtId="0" fontId="52" fillId="18" borderId="18" xfId="0" applyNumberFormat="1" applyFont="1" applyFill="1" applyBorder="1" applyAlignment="1" applyProtection="1">
      <alignment horizontal="center" vertical="center" wrapText="1"/>
    </xf>
    <xf numFmtId="0" fontId="50" fillId="0" borderId="0" xfId="0" quotePrefix="1" applyFont="1" applyAlignment="1">
      <alignment horizontal="justify" vertical="top"/>
    </xf>
    <xf numFmtId="0" fontId="50" fillId="18" borderId="9" xfId="12" applyFont="1" applyFill="1" applyBorder="1" applyAlignment="1" applyProtection="1">
      <alignment horizontal="center" vertical="center" wrapText="1"/>
      <protection locked="0"/>
    </xf>
    <xf numFmtId="0" fontId="50" fillId="18" borderId="10" xfId="12" applyFont="1" applyFill="1" applyBorder="1" applyAlignment="1" applyProtection="1">
      <alignment horizontal="center" vertical="center" wrapText="1"/>
      <protection locked="0"/>
    </xf>
    <xf numFmtId="0" fontId="50" fillId="18" borderId="13" xfId="12" applyFont="1" applyFill="1" applyBorder="1" applyAlignment="1" applyProtection="1">
      <alignment horizontal="center" vertical="center" wrapText="1"/>
      <protection locked="0"/>
    </xf>
    <xf numFmtId="0" fontId="50" fillId="18" borderId="22" xfId="12" applyFont="1" applyFill="1" applyBorder="1" applyAlignment="1" applyProtection="1">
      <alignment horizontal="center" vertical="center" wrapText="1"/>
      <protection locked="0"/>
    </xf>
    <xf numFmtId="0" fontId="50" fillId="18" borderId="0" xfId="12" applyFont="1" applyFill="1" applyBorder="1" applyAlignment="1" applyProtection="1">
      <alignment horizontal="center" vertical="center" wrapText="1"/>
      <protection locked="0"/>
    </xf>
    <xf numFmtId="0" fontId="50" fillId="18" borderId="83" xfId="12" applyFont="1" applyFill="1" applyBorder="1" applyAlignment="1" applyProtection="1">
      <alignment horizontal="center" vertical="center" wrapText="1"/>
      <protection locked="0"/>
    </xf>
    <xf numFmtId="0" fontId="50" fillId="18" borderId="11" xfId="12" applyFont="1" applyFill="1" applyBorder="1" applyAlignment="1" applyProtection="1">
      <alignment horizontal="center" vertical="center" wrapText="1"/>
      <protection locked="0"/>
    </xf>
    <xf numFmtId="0" fontId="50" fillId="18" borderId="12" xfId="12" applyFont="1" applyFill="1" applyBorder="1" applyAlignment="1" applyProtection="1">
      <alignment horizontal="center" vertical="center" wrapText="1"/>
      <protection locked="0"/>
    </xf>
    <xf numFmtId="0" fontId="50" fillId="18" borderId="18" xfId="12" applyFont="1" applyFill="1" applyBorder="1" applyAlignment="1" applyProtection="1">
      <alignment horizontal="center" vertical="center" wrapText="1"/>
      <protection locked="0"/>
    </xf>
    <xf numFmtId="0" fontId="50" fillId="15" borderId="21" xfId="0" applyFont="1" applyFill="1" applyBorder="1" applyAlignment="1">
      <alignment horizontal="center" vertical="center"/>
    </xf>
    <xf numFmtId="0" fontId="50" fillId="15" borderId="24" xfId="0" applyFont="1" applyFill="1" applyBorder="1" applyAlignment="1">
      <alignment horizontal="center" vertical="center"/>
    </xf>
    <xf numFmtId="0" fontId="50" fillId="15" borderId="56" xfId="0" applyFont="1" applyFill="1" applyBorder="1" applyAlignment="1">
      <alignment horizontal="center" vertical="center" wrapText="1"/>
    </xf>
    <xf numFmtId="0" fontId="50" fillId="15" borderId="23" xfId="0" applyFont="1" applyFill="1" applyBorder="1" applyAlignment="1">
      <alignment horizontal="center" vertical="center" wrapText="1"/>
    </xf>
    <xf numFmtId="0" fontId="50" fillId="15" borderId="4" xfId="0" applyFont="1" applyFill="1" applyBorder="1" applyAlignment="1">
      <alignment horizontal="center" vertical="center" wrapText="1"/>
    </xf>
    <xf numFmtId="0" fontId="104" fillId="15" borderId="23" xfId="0" applyFont="1" applyFill="1" applyBorder="1" applyAlignment="1">
      <alignment horizontal="center" vertical="center" wrapText="1"/>
    </xf>
    <xf numFmtId="0" fontId="50" fillId="3" borderId="0" xfId="2" applyFont="1" applyFill="1" applyAlignment="1" applyProtection="1">
      <alignment horizontal="justify" vertical="center" wrapText="1"/>
    </xf>
    <xf numFmtId="0" fontId="50" fillId="3" borderId="0" xfId="0" quotePrefix="1" applyFont="1" applyFill="1" applyAlignment="1">
      <alignment horizontal="justify" vertical="center"/>
    </xf>
    <xf numFmtId="0" fontId="50" fillId="3" borderId="0" xfId="0" applyFont="1" applyFill="1" applyAlignment="1">
      <alignment horizontal="justify" vertical="center" wrapText="1"/>
    </xf>
    <xf numFmtId="0" fontId="53" fillId="3" borderId="0" xfId="0" quotePrefix="1" applyFont="1" applyFill="1" applyAlignment="1">
      <alignment horizontal="left" vertical="center" wrapText="1"/>
    </xf>
    <xf numFmtId="0" fontId="50" fillId="15" borderId="27" xfId="0" applyFont="1" applyFill="1" applyBorder="1" applyAlignment="1">
      <alignment horizontal="center" vertical="center"/>
    </xf>
    <xf numFmtId="0" fontId="57" fillId="24" borderId="16" xfId="0" applyFont="1" applyFill="1" applyBorder="1" applyAlignment="1" applyProtection="1">
      <alignment horizontal="center" vertical="center" wrapText="1"/>
    </xf>
    <xf numFmtId="0" fontId="57" fillId="24" borderId="3" xfId="0" applyFont="1" applyFill="1" applyBorder="1" applyAlignment="1" applyProtection="1">
      <alignment horizontal="center" vertical="center" wrapText="1"/>
    </xf>
    <xf numFmtId="0" fontId="54" fillId="15" borderId="5" xfId="0" applyFont="1" applyFill="1" applyBorder="1" applyAlignment="1" applyProtection="1">
      <alignment horizontal="center" vertical="center"/>
    </xf>
    <xf numFmtId="0" fontId="54" fillId="15" borderId="6" xfId="0" applyFont="1" applyFill="1" applyBorder="1" applyAlignment="1" applyProtection="1">
      <alignment horizontal="center" vertical="center"/>
    </xf>
    <xf numFmtId="0" fontId="54" fillId="15" borderId="7" xfId="0" applyFont="1" applyFill="1" applyBorder="1" applyAlignment="1" applyProtection="1">
      <alignment horizontal="center" vertical="center"/>
    </xf>
    <xf numFmtId="0" fontId="54" fillId="15" borderId="5" xfId="0" applyFont="1" applyFill="1" applyBorder="1" applyAlignment="1" applyProtection="1">
      <alignment horizontal="center" vertical="center" wrapText="1"/>
    </xf>
    <xf numFmtId="0" fontId="54" fillId="15" borderId="6" xfId="0"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xf>
    <xf numFmtId="0" fontId="13" fillId="29" borderId="1" xfId="0" applyFont="1" applyFill="1" applyBorder="1" applyAlignment="1">
      <alignment horizontal="left" vertical="center"/>
    </xf>
    <xf numFmtId="0" fontId="13" fillId="29" borderId="1" xfId="0" applyFont="1" applyFill="1" applyBorder="1" applyAlignment="1">
      <alignment horizontal="center"/>
    </xf>
    <xf numFmtId="0" fontId="13" fillId="27" borderId="1" xfId="0" applyFont="1" applyFill="1" applyBorder="1" applyAlignment="1">
      <alignment horizontal="left" vertical="center"/>
    </xf>
    <xf numFmtId="0" fontId="13" fillId="27" borderId="1" xfId="0" applyFont="1" applyFill="1" applyBorder="1" applyAlignment="1">
      <alignment horizontal="center"/>
    </xf>
    <xf numFmtId="0" fontId="128" fillId="12" borderId="1" xfId="0" applyFont="1" applyFill="1" applyBorder="1" applyAlignment="1">
      <alignment horizontal="left" vertical="center"/>
    </xf>
    <xf numFmtId="0" fontId="11" fillId="12" borderId="1" xfId="0" applyFont="1" applyFill="1" applyBorder="1" applyAlignment="1">
      <alignment horizontal="left" vertical="center"/>
    </xf>
    <xf numFmtId="0" fontId="11" fillId="12" borderId="5" xfId="0" applyFont="1" applyFill="1" applyBorder="1" applyAlignment="1">
      <alignment horizontal="left"/>
    </xf>
    <xf numFmtId="0" fontId="11" fillId="12" borderId="6" xfId="0" applyFont="1" applyFill="1" applyBorder="1" applyAlignment="1">
      <alignment horizontal="left"/>
    </xf>
    <xf numFmtId="0" fontId="11" fillId="12" borderId="7" xfId="0" applyFont="1" applyFill="1" applyBorder="1" applyAlignment="1">
      <alignment horizontal="left"/>
    </xf>
    <xf numFmtId="0" fontId="128" fillId="12" borderId="5" xfId="0" applyFont="1" applyFill="1" applyBorder="1" applyAlignment="1">
      <alignment horizontal="left" vertical="center" wrapText="1"/>
    </xf>
    <xf numFmtId="0" fontId="128" fillId="12" borderId="6" xfId="0" applyFont="1" applyFill="1" applyBorder="1" applyAlignment="1">
      <alignment horizontal="left" vertical="center" wrapText="1"/>
    </xf>
    <xf numFmtId="0" fontId="128" fillId="12" borderId="7" xfId="0" applyFont="1" applyFill="1" applyBorder="1" applyAlignment="1">
      <alignment horizontal="left" vertical="center" wrapText="1"/>
    </xf>
    <xf numFmtId="0" fontId="13" fillId="36" borderId="1" xfId="0" applyFont="1" applyFill="1" applyBorder="1" applyAlignment="1">
      <alignment horizontal="left" vertical="center"/>
    </xf>
    <xf numFmtId="0" fontId="13" fillId="38" borderId="1" xfId="0" applyFont="1" applyFill="1" applyBorder="1" applyAlignment="1">
      <alignment horizontal="left" vertical="center"/>
    </xf>
    <xf numFmtId="0" fontId="13" fillId="38" borderId="1" xfId="0" applyFont="1" applyFill="1" applyBorder="1" applyAlignment="1">
      <alignment horizontal="center"/>
    </xf>
    <xf numFmtId="0" fontId="11" fillId="12" borderId="1" xfId="0" applyFont="1" applyFill="1" applyBorder="1" applyAlignment="1">
      <alignment horizontal="left" vertical="center" wrapText="1"/>
    </xf>
    <xf numFmtId="0" fontId="11" fillId="12" borderId="5" xfId="0" applyFont="1" applyFill="1" applyBorder="1" applyAlignment="1">
      <alignment horizontal="left" vertical="center"/>
    </xf>
    <xf numFmtId="0" fontId="11" fillId="12" borderId="6" xfId="0" applyFont="1" applyFill="1" applyBorder="1" applyAlignment="1">
      <alignment horizontal="left" vertical="center"/>
    </xf>
    <xf numFmtId="0" fontId="11" fillId="12" borderId="7" xfId="0" applyFont="1" applyFill="1" applyBorder="1" applyAlignment="1">
      <alignment horizontal="left" vertical="center"/>
    </xf>
    <xf numFmtId="0" fontId="130" fillId="12" borderId="4" xfId="0" applyFont="1" applyFill="1" applyBorder="1" applyAlignment="1">
      <alignment horizontal="left" wrapText="1"/>
    </xf>
    <xf numFmtId="0" fontId="13" fillId="12" borderId="0" xfId="0" applyFont="1" applyFill="1" applyAlignment="1">
      <alignment horizontal="left" vertical="center" wrapText="1"/>
    </xf>
    <xf numFmtId="0" fontId="13" fillId="36" borderId="1" xfId="0" applyFont="1" applyFill="1" applyBorder="1" applyAlignment="1">
      <alignment horizontal="center"/>
    </xf>
    <xf numFmtId="0" fontId="13" fillId="36" borderId="1" xfId="0" applyFont="1" applyFill="1" applyBorder="1" applyAlignment="1">
      <alignment horizontal="left"/>
    </xf>
    <xf numFmtId="0" fontId="50" fillId="15" borderId="16" xfId="0" applyFont="1" applyFill="1" applyBorder="1" applyAlignment="1">
      <alignment horizontal="center" vertical="center"/>
    </xf>
    <xf numFmtId="0" fontId="50" fillId="15" borderId="8" xfId="0" applyFont="1" applyFill="1" applyBorder="1" applyAlignment="1">
      <alignment horizontal="center" vertical="center"/>
    </xf>
    <xf numFmtId="0" fontId="50" fillId="15" borderId="3" xfId="0" applyFont="1" applyFill="1" applyBorder="1" applyAlignment="1">
      <alignment horizontal="center" vertical="center"/>
    </xf>
    <xf numFmtId="0" fontId="53" fillId="15" borderId="21" xfId="0" applyFont="1" applyFill="1" applyBorder="1" applyAlignment="1" applyProtection="1">
      <alignment horizontal="left" vertical="center"/>
    </xf>
    <xf numFmtId="0" fontId="53" fillId="15" borderId="27" xfId="0" applyFont="1" applyFill="1" applyBorder="1" applyAlignment="1" applyProtection="1">
      <alignment horizontal="left" vertical="center"/>
    </xf>
    <xf numFmtId="0" fontId="53" fillId="15" borderId="24" xfId="0" applyFont="1" applyFill="1" applyBorder="1" applyAlignment="1" applyProtection="1">
      <alignment horizontal="left" vertical="center"/>
    </xf>
    <xf numFmtId="0" fontId="53" fillId="15" borderId="17" xfId="0" applyFont="1" applyFill="1" applyBorder="1" applyAlignment="1" applyProtection="1">
      <alignment horizontal="left" vertical="center"/>
    </xf>
    <xf numFmtId="0" fontId="53" fillId="15" borderId="0" xfId="0" applyFont="1" applyFill="1" applyBorder="1" applyAlignment="1" applyProtection="1">
      <alignment horizontal="left" vertical="center"/>
    </xf>
    <xf numFmtId="0" fontId="53" fillId="15" borderId="15" xfId="0" applyFont="1" applyFill="1" applyBorder="1" applyAlignment="1" applyProtection="1">
      <alignment horizontal="left" vertical="center"/>
    </xf>
    <xf numFmtId="0" fontId="53" fillId="15" borderId="56" xfId="0" applyFont="1" applyFill="1" applyBorder="1" applyAlignment="1" applyProtection="1">
      <alignment horizontal="left" vertical="center"/>
    </xf>
    <xf numFmtId="0" fontId="53" fillId="15" borderId="4" xfId="0" applyFont="1" applyFill="1" applyBorder="1" applyAlignment="1" applyProtection="1">
      <alignment horizontal="left" vertical="center"/>
    </xf>
    <xf numFmtId="0" fontId="53" fillId="15" borderId="23" xfId="0" applyFont="1" applyFill="1" applyBorder="1" applyAlignment="1" applyProtection="1">
      <alignment horizontal="left" vertical="center"/>
    </xf>
    <xf numFmtId="0" fontId="53" fillId="15" borderId="21" xfId="0" applyFont="1" applyFill="1" applyBorder="1" applyAlignment="1" applyProtection="1">
      <alignment horizontal="center" vertical="center"/>
    </xf>
    <xf numFmtId="0" fontId="53" fillId="15" borderId="27" xfId="0" applyFont="1" applyFill="1" applyBorder="1" applyAlignment="1" applyProtection="1">
      <alignment horizontal="center" vertical="center"/>
    </xf>
    <xf numFmtId="0" fontId="53" fillId="15" borderId="24" xfId="0" applyFont="1" applyFill="1" applyBorder="1" applyAlignment="1" applyProtection="1">
      <alignment horizontal="center" vertical="center"/>
    </xf>
    <xf numFmtId="0" fontId="53" fillId="15" borderId="17" xfId="0" applyFont="1" applyFill="1" applyBorder="1" applyAlignment="1" applyProtection="1">
      <alignment horizontal="center" vertical="center"/>
    </xf>
    <xf numFmtId="0" fontId="53" fillId="15" borderId="0" xfId="0" applyFont="1" applyFill="1" applyBorder="1" applyAlignment="1" applyProtection="1">
      <alignment horizontal="center" vertical="center"/>
    </xf>
    <xf numFmtId="0" fontId="53" fillId="15" borderId="15" xfId="0" applyFont="1" applyFill="1" applyBorder="1" applyAlignment="1" applyProtection="1">
      <alignment horizontal="center" vertical="center"/>
    </xf>
    <xf numFmtId="0" fontId="53" fillId="15" borderId="56" xfId="0" applyFont="1" applyFill="1" applyBorder="1" applyAlignment="1" applyProtection="1">
      <alignment horizontal="center" vertical="center"/>
    </xf>
    <xf numFmtId="0" fontId="53" fillId="15" borderId="4" xfId="0" applyFont="1" applyFill="1" applyBorder="1" applyAlignment="1" applyProtection="1">
      <alignment horizontal="center" vertical="center"/>
    </xf>
    <xf numFmtId="0" fontId="53" fillId="15" borderId="23" xfId="0" applyFont="1" applyFill="1" applyBorder="1" applyAlignment="1" applyProtection="1">
      <alignment horizontal="center" vertical="center"/>
    </xf>
    <xf numFmtId="0" fontId="53" fillId="14" borderId="5" xfId="0" applyFont="1" applyFill="1" applyBorder="1" applyAlignment="1" applyProtection="1">
      <alignment horizontal="center" vertical="center"/>
    </xf>
    <xf numFmtId="0" fontId="53" fillId="14" borderId="6" xfId="0" applyFont="1" applyFill="1" applyBorder="1" applyAlignment="1" applyProtection="1">
      <alignment horizontal="center" vertical="center"/>
    </xf>
    <xf numFmtId="0" fontId="53" fillId="14" borderId="7" xfId="0" applyFont="1" applyFill="1" applyBorder="1" applyAlignment="1" applyProtection="1">
      <alignment horizontal="center" vertical="center"/>
    </xf>
    <xf numFmtId="0" fontId="53" fillId="15" borderId="5" xfId="0" applyFont="1" applyFill="1" applyBorder="1" applyAlignment="1" applyProtection="1">
      <alignment horizontal="center" vertical="center"/>
    </xf>
    <xf numFmtId="0" fontId="53" fillId="15" borderId="6" xfId="0" applyFont="1" applyFill="1" applyBorder="1" applyAlignment="1" applyProtection="1">
      <alignment horizontal="center" vertical="center"/>
    </xf>
    <xf numFmtId="0" fontId="53" fillId="15" borderId="7" xfId="0" applyFont="1" applyFill="1" applyBorder="1" applyAlignment="1" applyProtection="1">
      <alignment horizontal="center" vertical="center"/>
    </xf>
    <xf numFmtId="0" fontId="53" fillId="16" borderId="5" xfId="0" applyFont="1" applyFill="1" applyBorder="1" applyAlignment="1" applyProtection="1">
      <alignment horizontal="center" vertical="center"/>
    </xf>
    <xf numFmtId="0" fontId="53" fillId="16" borderId="6" xfId="0" applyFont="1" applyFill="1" applyBorder="1" applyAlignment="1" applyProtection="1">
      <alignment horizontal="center" vertical="center"/>
    </xf>
    <xf numFmtId="0" fontId="53" fillId="16" borderId="7" xfId="0" applyFont="1" applyFill="1" applyBorder="1" applyAlignment="1" applyProtection="1">
      <alignment horizontal="center" vertical="center"/>
    </xf>
    <xf numFmtId="0" fontId="50" fillId="3" borderId="5" xfId="0" applyFont="1" applyFill="1" applyBorder="1" applyAlignment="1" applyProtection="1">
      <alignment horizontal="center" vertical="center" wrapText="1"/>
    </xf>
    <xf numFmtId="0" fontId="50" fillId="3" borderId="6" xfId="0" applyFont="1" applyFill="1" applyBorder="1" applyAlignment="1" applyProtection="1">
      <alignment horizontal="center" vertical="center" wrapText="1"/>
    </xf>
    <xf numFmtId="0" fontId="50" fillId="3" borderId="7" xfId="0" applyFont="1" applyFill="1" applyBorder="1" applyAlignment="1" applyProtection="1">
      <alignment horizontal="center" vertical="center" wrapText="1"/>
    </xf>
    <xf numFmtId="0" fontId="50" fillId="0" borderId="5" xfId="0" applyFont="1" applyBorder="1" applyAlignment="1">
      <alignment horizontal="left" vertical="center"/>
    </xf>
    <xf numFmtId="0" fontId="50" fillId="0" borderId="6" xfId="0" applyFont="1" applyBorder="1" applyAlignment="1">
      <alignment horizontal="left" vertical="center"/>
    </xf>
    <xf numFmtId="0" fontId="50" fillId="0" borderId="7" xfId="0" applyFont="1" applyBorder="1" applyAlignment="1">
      <alignment horizontal="left" vertical="center"/>
    </xf>
    <xf numFmtId="0" fontId="50" fillId="0" borderId="1" xfId="0" applyFont="1" applyBorder="1" applyAlignment="1">
      <alignment horizontal="left" vertical="center"/>
    </xf>
    <xf numFmtId="0" fontId="50" fillId="3" borderId="1" xfId="0" applyFont="1" applyFill="1" applyBorder="1" applyAlignment="1" applyProtection="1">
      <alignment horizontal="center" vertical="center" wrapText="1"/>
    </xf>
    <xf numFmtId="0" fontId="50" fillId="0" borderId="1" xfId="0" applyFont="1" applyBorder="1" applyAlignment="1">
      <alignment horizontal="left" vertical="center" wrapText="1"/>
    </xf>
    <xf numFmtId="0" fontId="16" fillId="0" borderId="5" xfId="0" applyFont="1" applyBorder="1" applyAlignment="1">
      <alignment horizontal="left" vertical="center"/>
    </xf>
    <xf numFmtId="0" fontId="16" fillId="0" borderId="6" xfId="0" applyFont="1" applyBorder="1" applyAlignment="1">
      <alignment horizontal="left" vertical="center"/>
    </xf>
    <xf numFmtId="0" fontId="16" fillId="0" borderId="7" xfId="0" applyFont="1" applyBorder="1" applyAlignment="1">
      <alignment horizontal="left" vertical="center"/>
    </xf>
    <xf numFmtId="0" fontId="53" fillId="15" borderId="16" xfId="0" applyFont="1" applyFill="1" applyBorder="1" applyAlignment="1" applyProtection="1">
      <alignment horizontal="center" vertical="center"/>
    </xf>
    <xf numFmtId="0" fontId="53" fillId="15" borderId="8" xfId="0" applyFont="1" applyFill="1" applyBorder="1" applyAlignment="1" applyProtection="1">
      <alignment horizontal="center" vertical="center"/>
    </xf>
    <xf numFmtId="0" fontId="53" fillId="15" borderId="3" xfId="0" applyFont="1" applyFill="1" applyBorder="1" applyAlignment="1" applyProtection="1">
      <alignment horizontal="center" vertical="center"/>
    </xf>
    <xf numFmtId="0" fontId="50" fillId="0" borderId="5" xfId="0" quotePrefix="1" applyFont="1" applyBorder="1" applyAlignment="1">
      <alignment horizontal="left" vertical="center"/>
    </xf>
    <xf numFmtId="0" fontId="50" fillId="0" borderId="5" xfId="0" quotePrefix="1" applyFont="1" applyBorder="1" applyAlignment="1">
      <alignment horizontal="left" vertical="center" wrapText="1"/>
    </xf>
    <xf numFmtId="0" fontId="50" fillId="0" borderId="6" xfId="0" applyFont="1" applyBorder="1" applyAlignment="1">
      <alignment horizontal="left" vertical="center" wrapText="1"/>
    </xf>
    <xf numFmtId="0" fontId="50" fillId="0" borderId="7" xfId="0" applyFont="1" applyBorder="1" applyAlignment="1">
      <alignment horizontal="left" vertical="center" wrapText="1"/>
    </xf>
    <xf numFmtId="0" fontId="50" fillId="3" borderId="21" xfId="0" applyFont="1" applyFill="1" applyBorder="1" applyAlignment="1" applyProtection="1">
      <alignment horizontal="center" vertical="center" wrapText="1"/>
    </xf>
    <xf numFmtId="0" fontId="50" fillId="3" borderId="27" xfId="0" applyFont="1" applyFill="1" applyBorder="1" applyAlignment="1" applyProtection="1">
      <alignment horizontal="center" vertical="center" wrapText="1"/>
    </xf>
    <xf numFmtId="0" fontId="50" fillId="3" borderId="24" xfId="0" applyFont="1" applyFill="1" applyBorder="1" applyAlignment="1" applyProtection="1">
      <alignment horizontal="center" vertical="center" wrapText="1"/>
    </xf>
    <xf numFmtId="0" fontId="50" fillId="0" borderId="1" xfId="0" quotePrefix="1" applyFont="1" applyBorder="1" applyAlignment="1">
      <alignment horizontal="left" vertical="center"/>
    </xf>
    <xf numFmtId="0" fontId="50" fillId="0" borderId="70" xfId="0" applyFont="1" applyBorder="1" applyAlignment="1" applyProtection="1">
      <alignment horizontal="left" vertical="center" indent="1"/>
    </xf>
    <xf numFmtId="0" fontId="50" fillId="0" borderId="71" xfId="0" applyFont="1" applyBorder="1" applyAlignment="1" applyProtection="1">
      <alignment horizontal="left" vertical="center" indent="1"/>
    </xf>
    <xf numFmtId="0" fontId="50" fillId="0" borderId="72" xfId="0" applyFont="1" applyBorder="1" applyAlignment="1" applyProtection="1">
      <alignment horizontal="left" vertical="center" indent="1"/>
    </xf>
    <xf numFmtId="0" fontId="50" fillId="0" borderId="16" xfId="0" applyFont="1" applyBorder="1" applyAlignment="1" applyProtection="1">
      <alignment horizontal="left" vertical="center" indent="1"/>
    </xf>
    <xf numFmtId="0" fontId="50" fillId="0" borderId="8" xfId="0" applyFont="1" applyBorder="1" applyAlignment="1" applyProtection="1">
      <alignment horizontal="left" vertical="center" indent="1"/>
    </xf>
    <xf numFmtId="0" fontId="70" fillId="0" borderId="56" xfId="2" applyFont="1" applyBorder="1" applyAlignment="1" applyProtection="1">
      <alignment horizontal="left" vertical="center" indent="1"/>
    </xf>
    <xf numFmtId="0" fontId="50" fillId="0" borderId="4" xfId="0" applyFont="1" applyBorder="1" applyAlignment="1" applyProtection="1">
      <alignment horizontal="left" vertical="center" indent="1"/>
    </xf>
    <xf numFmtId="0" fontId="50" fillId="0" borderId="23" xfId="0" applyFont="1" applyBorder="1" applyAlignment="1" applyProtection="1">
      <alignment horizontal="left" vertical="center" indent="1"/>
    </xf>
    <xf numFmtId="0" fontId="71" fillId="0" borderId="21" xfId="0" applyFont="1" applyBorder="1" applyAlignment="1">
      <alignment horizontal="left" vertical="center" indent="1"/>
    </xf>
    <xf numFmtId="0" fontId="71" fillId="0" borderId="27" xfId="0" applyFont="1" applyBorder="1" applyAlignment="1">
      <alignment horizontal="left" vertical="center" indent="1"/>
    </xf>
    <xf numFmtId="0" fontId="71" fillId="0" borderId="24" xfId="0" applyFont="1" applyBorder="1" applyAlignment="1">
      <alignment horizontal="left" vertical="center" indent="1"/>
    </xf>
    <xf numFmtId="0" fontId="53" fillId="15" borderId="1" xfId="0" applyFont="1" applyFill="1" applyBorder="1" applyAlignment="1" applyProtection="1">
      <alignment horizontal="center" vertical="center"/>
    </xf>
    <xf numFmtId="0" fontId="50" fillId="0" borderId="1" xfId="0" applyFont="1" applyBorder="1" applyAlignment="1">
      <alignment horizontal="left" vertical="center" indent="1"/>
    </xf>
    <xf numFmtId="0" fontId="70" fillId="0" borderId="4" xfId="2" applyFont="1" applyBorder="1" applyAlignment="1" applyProtection="1">
      <alignment horizontal="left" vertical="center" indent="1"/>
    </xf>
    <xf numFmtId="0" fontId="70" fillId="0" borderId="23" xfId="2" applyFont="1" applyBorder="1" applyAlignment="1" applyProtection="1">
      <alignment horizontal="left" vertical="center" indent="1"/>
    </xf>
    <xf numFmtId="0" fontId="118" fillId="12" borderId="16" xfId="0" applyFont="1" applyFill="1" applyBorder="1" applyAlignment="1" applyProtection="1">
      <alignment horizontal="center" vertical="center"/>
    </xf>
    <xf numFmtId="0" fontId="118" fillId="12" borderId="8" xfId="0" applyFont="1" applyFill="1" applyBorder="1" applyAlignment="1" applyProtection="1">
      <alignment horizontal="center" vertical="center"/>
    </xf>
    <xf numFmtId="0" fontId="118" fillId="12" borderId="3" xfId="0" applyFont="1" applyFill="1" applyBorder="1" applyAlignment="1" applyProtection="1">
      <alignment horizontal="center" vertical="center"/>
    </xf>
    <xf numFmtId="0" fontId="50" fillId="0" borderId="21" xfId="0" applyFont="1" applyBorder="1" applyAlignment="1" applyProtection="1">
      <alignment horizontal="left" vertical="center" indent="1"/>
    </xf>
    <xf numFmtId="0" fontId="50" fillId="0" borderId="27" xfId="0" applyFont="1" applyBorder="1" applyAlignment="1" applyProtection="1">
      <alignment horizontal="left" vertical="center" indent="1"/>
    </xf>
    <xf numFmtId="0" fontId="50" fillId="0" borderId="24" xfId="0" applyFont="1" applyBorder="1" applyAlignment="1" applyProtection="1">
      <alignment horizontal="left" vertical="center" indent="1"/>
    </xf>
    <xf numFmtId="0" fontId="71" fillId="3" borderId="56" xfId="0" applyFont="1" applyFill="1" applyBorder="1" applyAlignment="1">
      <alignment horizontal="left" vertical="center" indent="1"/>
    </xf>
    <xf numFmtId="0" fontId="71" fillId="3" borderId="4" xfId="0" applyFont="1" applyFill="1" applyBorder="1" applyAlignment="1">
      <alignment horizontal="left" vertical="center" indent="1"/>
    </xf>
    <xf numFmtId="0" fontId="71" fillId="3" borderId="23" xfId="0" applyFont="1" applyFill="1" applyBorder="1" applyAlignment="1">
      <alignment horizontal="left" vertical="center" indent="1"/>
    </xf>
    <xf numFmtId="0" fontId="21" fillId="3" borderId="70" xfId="2" applyFill="1" applyBorder="1" applyAlignment="1" applyProtection="1">
      <alignment horizontal="left" vertical="center" indent="1"/>
    </xf>
    <xf numFmtId="0" fontId="70" fillId="3" borderId="71" xfId="2" applyFont="1" applyFill="1" applyBorder="1" applyAlignment="1" applyProtection="1">
      <alignment horizontal="left" vertical="center" indent="1"/>
    </xf>
    <xf numFmtId="0" fontId="70" fillId="3" borderId="72" xfId="2" applyFont="1" applyFill="1" applyBorder="1" applyAlignment="1" applyProtection="1">
      <alignment horizontal="left" vertical="center" indent="1"/>
    </xf>
    <xf numFmtId="0" fontId="71" fillId="0" borderId="67" xfId="0" applyFont="1" applyBorder="1" applyAlignment="1">
      <alignment horizontal="left" vertical="center" indent="1"/>
    </xf>
    <xf numFmtId="0" fontId="71" fillId="0" borderId="68" xfId="0" applyFont="1" applyBorder="1" applyAlignment="1">
      <alignment horizontal="left" vertical="center" indent="1"/>
    </xf>
    <xf numFmtId="0" fontId="71" fillId="0" borderId="69" xfId="0" applyFont="1" applyBorder="1" applyAlignment="1">
      <alignment horizontal="left" vertical="center" indent="1"/>
    </xf>
    <xf numFmtId="0" fontId="70" fillId="0" borderId="70" xfId="2" applyFont="1" applyFill="1" applyBorder="1" applyAlignment="1" applyProtection="1">
      <alignment horizontal="left" vertical="center" indent="1"/>
    </xf>
    <xf numFmtId="0" fontId="70" fillId="0" borderId="71" xfId="2" applyFont="1" applyFill="1" applyBorder="1" applyAlignment="1" applyProtection="1">
      <alignment horizontal="left" vertical="center" indent="1"/>
    </xf>
    <xf numFmtId="0" fontId="70" fillId="0" borderId="72" xfId="2" applyFont="1" applyFill="1" applyBorder="1" applyAlignment="1" applyProtection="1">
      <alignment horizontal="left" vertical="center" indent="1"/>
    </xf>
    <xf numFmtId="0" fontId="50" fillId="0" borderId="73" xfId="0" applyFont="1" applyBorder="1" applyAlignment="1" applyProtection="1">
      <alignment horizontal="left" vertical="center" indent="1"/>
    </xf>
    <xf numFmtId="0" fontId="50" fillId="0" borderId="66" xfId="0" applyFont="1" applyBorder="1" applyAlignment="1" applyProtection="1">
      <alignment horizontal="left" vertical="center" indent="1"/>
    </xf>
    <xf numFmtId="0" fontId="50" fillId="0" borderId="74" xfId="0" applyFont="1" applyBorder="1" applyAlignment="1" applyProtection="1">
      <alignment horizontal="left" vertical="center" indent="1"/>
    </xf>
    <xf numFmtId="0" fontId="50" fillId="0" borderId="67" xfId="0" applyFont="1" applyBorder="1" applyAlignment="1" applyProtection="1">
      <alignment horizontal="left" vertical="center" indent="1"/>
    </xf>
    <xf numFmtId="0" fontId="50" fillId="0" borderId="68" xfId="0" applyFont="1" applyBorder="1" applyAlignment="1" applyProtection="1">
      <alignment horizontal="left" vertical="center" indent="1"/>
    </xf>
    <xf numFmtId="0" fontId="50" fillId="0" borderId="69" xfId="0" applyFont="1" applyBorder="1" applyAlignment="1" applyProtection="1">
      <alignment horizontal="left" vertical="center" indent="1"/>
    </xf>
    <xf numFmtId="0" fontId="50" fillId="0" borderId="1" xfId="0" applyFont="1" applyBorder="1" applyAlignment="1" applyProtection="1">
      <alignment horizontal="left" vertical="center" indent="1"/>
    </xf>
    <xf numFmtId="0" fontId="53" fillId="15" borderId="1" xfId="0" applyFont="1" applyFill="1" applyBorder="1" applyAlignment="1" applyProtection="1">
      <alignment horizontal="center" vertical="center" wrapText="1"/>
    </xf>
    <xf numFmtId="0" fontId="53" fillId="15" borderId="21" xfId="0" applyFont="1" applyFill="1" applyBorder="1" applyAlignment="1" applyProtection="1">
      <alignment horizontal="center" vertical="center" wrapText="1"/>
    </xf>
    <xf numFmtId="0" fontId="53" fillId="15" borderId="17" xfId="0" applyFont="1" applyFill="1" applyBorder="1" applyAlignment="1" applyProtection="1">
      <alignment horizontal="center" vertical="center" wrapText="1"/>
    </xf>
    <xf numFmtId="0" fontId="53" fillId="15" borderId="56" xfId="0" applyFont="1" applyFill="1" applyBorder="1" applyAlignment="1" applyProtection="1">
      <alignment horizontal="center" vertical="center" wrapText="1"/>
    </xf>
    <xf numFmtId="0" fontId="53" fillId="15" borderId="16" xfId="0" applyFont="1" applyFill="1" applyBorder="1" applyAlignment="1" applyProtection="1">
      <alignment horizontal="center" vertical="center" wrapText="1"/>
    </xf>
    <xf numFmtId="0" fontId="53" fillId="15" borderId="8" xfId="0" applyFont="1" applyFill="1" applyBorder="1" applyAlignment="1" applyProtection="1">
      <alignment horizontal="center" vertical="center" wrapText="1"/>
    </xf>
    <xf numFmtId="0" fontId="53" fillId="15" borderId="3" xfId="0" applyFont="1" applyFill="1" applyBorder="1" applyAlignment="1" applyProtection="1">
      <alignment horizontal="center" vertical="center" wrapText="1"/>
    </xf>
    <xf numFmtId="0" fontId="53" fillId="18" borderId="16" xfId="0" applyFont="1" applyFill="1" applyBorder="1" applyAlignment="1">
      <alignment horizontal="center" vertical="center"/>
    </xf>
    <xf numFmtId="0" fontId="53" fillId="18" borderId="3" xfId="0" applyFont="1" applyFill="1" applyBorder="1" applyAlignment="1">
      <alignment horizontal="center" vertical="center"/>
    </xf>
    <xf numFmtId="0" fontId="53" fillId="18" borderId="3" xfId="0" applyFont="1" applyFill="1" applyBorder="1" applyAlignment="1" applyProtection="1">
      <alignment horizontal="center" vertical="center" wrapText="1"/>
    </xf>
    <xf numFmtId="0" fontId="53" fillId="18" borderId="1" xfId="0" applyFont="1" applyFill="1" applyBorder="1" applyAlignment="1" applyProtection="1">
      <alignment horizontal="center" vertical="center" wrapText="1"/>
    </xf>
    <xf numFmtId="0" fontId="53" fillId="15" borderId="1" xfId="0" applyFont="1" applyFill="1" applyBorder="1" applyAlignment="1" applyProtection="1">
      <alignment horizontal="left" vertical="center" indent="1"/>
    </xf>
    <xf numFmtId="0" fontId="53" fillId="18" borderId="16" xfId="0" applyFont="1" applyFill="1" applyBorder="1" applyAlignment="1" applyProtection="1">
      <alignment horizontal="center" vertical="center" wrapText="1"/>
    </xf>
    <xf numFmtId="0" fontId="53" fillId="15" borderId="7" xfId="0" applyFont="1" applyFill="1" applyBorder="1" applyAlignment="1" applyProtection="1">
      <alignment horizontal="center" vertical="center" wrapText="1"/>
    </xf>
    <xf numFmtId="0" fontId="53" fillId="15" borderId="24" xfId="0" applyFont="1" applyFill="1" applyBorder="1" applyAlignment="1" applyProtection="1">
      <alignment horizontal="center" vertical="center" wrapText="1"/>
    </xf>
    <xf numFmtId="0" fontId="70" fillId="0" borderId="70" xfId="2" applyFont="1" applyBorder="1" applyAlignment="1" applyProtection="1">
      <alignment horizontal="left" vertical="center" indent="1"/>
    </xf>
    <xf numFmtId="0" fontId="70" fillId="0" borderId="71" xfId="2" applyFont="1" applyBorder="1" applyAlignment="1" applyProtection="1">
      <alignment horizontal="left" vertical="center" indent="1"/>
    </xf>
    <xf numFmtId="0" fontId="70" fillId="0" borderId="72" xfId="2" applyFont="1" applyBorder="1" applyAlignment="1" applyProtection="1">
      <alignment horizontal="left" vertical="center" indent="1"/>
    </xf>
    <xf numFmtId="0" fontId="50" fillId="0" borderId="5" xfId="0" applyFont="1" applyBorder="1" applyAlignment="1">
      <alignment horizontal="center" vertical="center" wrapText="1"/>
    </xf>
    <xf numFmtId="0" fontId="50" fillId="0" borderId="7" xfId="0" applyFont="1" applyBorder="1" applyAlignment="1">
      <alignment horizontal="center" vertical="center" wrapText="1"/>
    </xf>
    <xf numFmtId="0" fontId="50" fillId="3" borderId="61" xfId="0" applyFont="1" applyFill="1" applyBorder="1" applyAlignment="1" applyProtection="1">
      <alignment horizontal="left" vertical="center" wrapText="1"/>
    </xf>
    <xf numFmtId="0" fontId="50" fillId="12" borderId="0" xfId="0" applyFont="1" applyFill="1" applyBorder="1" applyAlignment="1" applyProtection="1">
      <alignment horizontal="left" vertical="center" wrapText="1"/>
    </xf>
    <xf numFmtId="0" fontId="50" fillId="3" borderId="53" xfId="0" applyFont="1" applyFill="1" applyBorder="1" applyAlignment="1" applyProtection="1">
      <alignment horizontal="left" vertical="center" wrapText="1"/>
    </xf>
    <xf numFmtId="0" fontId="50" fillId="0" borderId="1" xfId="0" applyFont="1" applyBorder="1" applyAlignment="1">
      <alignment horizontal="center" vertical="center"/>
    </xf>
    <xf numFmtId="0" fontId="71" fillId="0" borderId="56" xfId="0" applyFont="1" applyBorder="1" applyAlignment="1">
      <alignment horizontal="left" vertical="center" indent="1"/>
    </xf>
    <xf numFmtId="0" fontId="71" fillId="0" borderId="4" xfId="0" applyFont="1" applyBorder="1" applyAlignment="1">
      <alignment horizontal="left" vertical="center" indent="1"/>
    </xf>
    <xf numFmtId="0" fontId="71" fillId="0" borderId="23" xfId="0" applyFont="1" applyBorder="1" applyAlignment="1">
      <alignment horizontal="left" vertical="center" indent="1"/>
    </xf>
    <xf numFmtId="0" fontId="50" fillId="0" borderId="67" xfId="0" applyFont="1" applyBorder="1" applyAlignment="1">
      <alignment horizontal="left" vertical="center" indent="1"/>
    </xf>
    <xf numFmtId="0" fontId="50" fillId="0" borderId="68" xfId="0" applyFont="1" applyBorder="1" applyAlignment="1">
      <alignment horizontal="left" vertical="center" indent="1"/>
    </xf>
    <xf numFmtId="0" fontId="50" fillId="0" borderId="69" xfId="0" applyFont="1" applyBorder="1" applyAlignment="1">
      <alignment horizontal="left" vertical="center" indent="1"/>
    </xf>
    <xf numFmtId="0" fontId="53" fillId="15" borderId="5" xfId="0" applyFont="1" applyFill="1" applyBorder="1" applyAlignment="1" applyProtection="1">
      <alignment horizontal="left" vertical="center" indent="1"/>
    </xf>
    <xf numFmtId="0" fontId="53" fillId="15" borderId="6" xfId="0" applyFont="1" applyFill="1" applyBorder="1" applyAlignment="1" applyProtection="1">
      <alignment horizontal="left" vertical="center" indent="1"/>
    </xf>
    <xf numFmtId="0" fontId="53" fillId="15" borderId="7" xfId="0" applyFont="1" applyFill="1" applyBorder="1" applyAlignment="1" applyProtection="1">
      <alignment horizontal="left" vertical="center" indent="1"/>
    </xf>
    <xf numFmtId="0" fontId="50" fillId="0" borderId="16" xfId="0" applyFont="1" applyBorder="1" applyAlignment="1">
      <alignment horizontal="left" vertical="center"/>
    </xf>
    <xf numFmtId="0" fontId="50" fillId="0" borderId="3" xfId="0" applyFont="1" applyBorder="1" applyAlignment="1">
      <alignment horizontal="left" vertical="center"/>
    </xf>
    <xf numFmtId="0" fontId="118" fillId="12" borderId="1" xfId="0" applyFont="1" applyFill="1" applyBorder="1" applyAlignment="1" applyProtection="1">
      <alignment horizontal="center" vertical="center"/>
    </xf>
    <xf numFmtId="0" fontId="50" fillId="12" borderId="5" xfId="0" applyFont="1" applyFill="1" applyBorder="1" applyAlignment="1" applyProtection="1">
      <alignment horizontal="center" vertical="center"/>
    </xf>
    <xf numFmtId="0" fontId="50" fillId="12" borderId="6" xfId="0" applyFont="1" applyFill="1" applyBorder="1" applyAlignment="1" applyProtection="1">
      <alignment horizontal="center" vertical="center"/>
    </xf>
    <xf numFmtId="0" fontId="50" fillId="12" borderId="7" xfId="0" applyFont="1" applyFill="1" applyBorder="1" applyAlignment="1" applyProtection="1">
      <alignment horizontal="center" vertical="center"/>
    </xf>
    <xf numFmtId="0" fontId="50" fillId="12" borderId="5" xfId="0" applyFont="1" applyFill="1" applyBorder="1" applyAlignment="1" applyProtection="1">
      <alignment horizontal="left" vertical="center"/>
    </xf>
    <xf numFmtId="0" fontId="50" fillId="12" borderId="6" xfId="0" applyFont="1" applyFill="1" applyBorder="1" applyAlignment="1" applyProtection="1">
      <alignment horizontal="left" vertical="center"/>
    </xf>
    <xf numFmtId="0" fontId="50" fillId="12" borderId="7" xfId="0" applyFont="1" applyFill="1" applyBorder="1" applyAlignment="1" applyProtection="1">
      <alignment horizontal="left" vertical="center"/>
    </xf>
    <xf numFmtId="0" fontId="50" fillId="0" borderId="5" xfId="0" applyFont="1" applyBorder="1" applyAlignment="1">
      <alignment horizontal="left" vertical="center" wrapText="1"/>
    </xf>
    <xf numFmtId="0" fontId="16" fillId="0" borderId="5" xfId="0" applyFont="1" applyBorder="1" applyAlignment="1">
      <alignment horizontal="center" vertical="center"/>
    </xf>
    <xf numFmtId="0" fontId="16" fillId="0" borderId="6" xfId="0" applyFont="1" applyBorder="1" applyAlignment="1">
      <alignment horizontal="center" vertical="center"/>
    </xf>
    <xf numFmtId="0" fontId="16" fillId="0" borderId="7" xfId="0" applyFont="1" applyBorder="1" applyAlignment="1">
      <alignment horizontal="center" vertical="center"/>
    </xf>
    <xf numFmtId="0" fontId="56" fillId="2" borderId="1" xfId="0" applyFont="1" applyFill="1" applyBorder="1" applyAlignment="1">
      <alignment horizontal="left" vertical="center" indent="1"/>
    </xf>
    <xf numFmtId="0" fontId="124" fillId="0" borderId="0" xfId="0" applyFont="1" applyAlignment="1">
      <alignment horizontal="center"/>
    </xf>
    <xf numFmtId="0" fontId="4" fillId="0" borderId="0" xfId="0" applyFont="1" applyAlignment="1">
      <alignment horizontal="center"/>
    </xf>
    <xf numFmtId="0" fontId="0" fillId="0" borderId="0" xfId="0" applyFont="1" applyAlignment="1">
      <alignment horizontal="center"/>
    </xf>
  </cellXfs>
  <cellStyles count="80">
    <cellStyle name="2x indented GHG Textfiels" xfId="13"/>
    <cellStyle name="40% - Ênfase3 2" xfId="72"/>
    <cellStyle name="40% - Ênfase3 2 2" xfId="79"/>
    <cellStyle name="40% - Ênfase3 3" xfId="76"/>
    <cellStyle name="5x indented GHG Textfiels" xfId="14"/>
    <cellStyle name="60% - Cor2" xfId="1" builtinId="36"/>
    <cellStyle name="Biomassa" xfId="7"/>
    <cellStyle name="Bold GHG Numbers (0.00)" xfId="15"/>
    <cellStyle name="Comma0" xfId="16"/>
    <cellStyle name="Corner heading" xfId="17"/>
    <cellStyle name="Currency0" xfId="18"/>
    <cellStyle name="Data" xfId="19"/>
    <cellStyle name="Data no deci" xfId="20"/>
    <cellStyle name="Data Superscript" xfId="21"/>
    <cellStyle name="Data_1-1A-Regular" xfId="22"/>
    <cellStyle name="Data-one deci" xfId="23"/>
    <cellStyle name="Date" xfId="24"/>
    <cellStyle name="Editáveis" xfId="5"/>
    <cellStyle name="Escopo 1" xfId="6"/>
    <cellStyle name="Escopo 2" xfId="8"/>
    <cellStyle name="Escopo 3" xfId="9"/>
    <cellStyle name="Escopos somados" xfId="10"/>
    <cellStyle name="Euro" xfId="25"/>
    <cellStyle name="Exemplo" xfId="11"/>
    <cellStyle name="Fixed" xfId="26"/>
    <cellStyle name="Headline" xfId="27"/>
    <cellStyle name="Hed Side" xfId="28"/>
    <cellStyle name="Hed Side bold" xfId="29"/>
    <cellStyle name="Hed Side Indent" xfId="30"/>
    <cellStyle name="Hed Side Regular" xfId="31"/>
    <cellStyle name="Hed Side_1-1A-Regular" xfId="32"/>
    <cellStyle name="Hed Top" xfId="33"/>
    <cellStyle name="Hed Top - SECTION" xfId="34"/>
    <cellStyle name="Hed Top_3-new4" xfId="35"/>
    <cellStyle name="Hiperligação" xfId="2" builtinId="8"/>
    <cellStyle name="Milliers [0]_Annex_comb_guideline_version4-2" xfId="36"/>
    <cellStyle name="Milliers_Annex_comb_guideline_version4-2" xfId="37"/>
    <cellStyle name="Monétaire [0]_Annex comb guideline 4-7" xfId="38"/>
    <cellStyle name="Monétaire_Annex_comb_guideline_version4-2" xfId="39"/>
    <cellStyle name="Normal" xfId="0" builtinId="0"/>
    <cellStyle name="Normal 2" xfId="12"/>
    <cellStyle name="Normal 3" xfId="40"/>
    <cellStyle name="Normal 3 2" xfId="78"/>
    <cellStyle name="Normal 4" xfId="74"/>
    <cellStyle name="Normal GHG Textfiels Bold" xfId="41"/>
    <cellStyle name="Normal GHG whole table" xfId="42"/>
    <cellStyle name="Normal GHG-Shade" xfId="43"/>
    <cellStyle name="Pattern" xfId="44"/>
    <cellStyle name="Percentagem" xfId="3" builtinId="5"/>
    <cellStyle name="Porcentagem 2" xfId="73"/>
    <cellStyle name="Reference" xfId="45"/>
    <cellStyle name="Row heading" xfId="46"/>
    <cellStyle name="Separador de milhares 2" xfId="71"/>
    <cellStyle name="Source Hed" xfId="47"/>
    <cellStyle name="Source Letter" xfId="48"/>
    <cellStyle name="Source Superscript" xfId="49"/>
    <cellStyle name="Source Text" xfId="50"/>
    <cellStyle name="Standard_CRF Inventar" xfId="51"/>
    <cellStyle name="State" xfId="52"/>
    <cellStyle name="Superscript" xfId="53"/>
    <cellStyle name="Superscript- regular" xfId="54"/>
    <cellStyle name="Superscript_1-1A-Regular" xfId="55"/>
    <cellStyle name="Table Data" xfId="56"/>
    <cellStyle name="Table Head Top" xfId="57"/>
    <cellStyle name="Table Hed Side" xfId="58"/>
    <cellStyle name="Table Title" xfId="59"/>
    <cellStyle name="Title Text" xfId="60"/>
    <cellStyle name="Title Text 1" xfId="61"/>
    <cellStyle name="Title Text 2" xfId="62"/>
    <cellStyle name="Title-1" xfId="63"/>
    <cellStyle name="Title-2" xfId="64"/>
    <cellStyle name="Title-3" xfId="65"/>
    <cellStyle name="Vírgula" xfId="4" builtinId="3"/>
    <cellStyle name="Vírgula 2" xfId="75"/>
    <cellStyle name="Vírgula 3" xfId="77"/>
    <cellStyle name="Wrap" xfId="66"/>
    <cellStyle name="Wrap Bold" xfId="67"/>
    <cellStyle name="Wrap Title" xfId="68"/>
    <cellStyle name="Wrap_NTS99-~11" xfId="69"/>
    <cellStyle name="標準_CRF1999" xfId="70"/>
  </cellStyles>
  <dxfs count="11348">
    <dxf>
      <font>
        <color auto="1"/>
      </font>
      <fill>
        <patternFill>
          <fgColor auto="1"/>
          <bgColor rgb="FFFF0000"/>
        </patternFill>
      </fill>
    </dxf>
    <dxf>
      <font>
        <color auto="1"/>
      </font>
      <fill>
        <patternFill>
          <fgColor auto="1"/>
          <bgColor rgb="FFFF0000"/>
        </patternFill>
      </fill>
    </dxf>
    <dxf>
      <font>
        <color auto="1"/>
      </font>
      <fill>
        <patternFill>
          <fgColor auto="1"/>
          <bgColor rgb="FFFF0000"/>
        </patternFill>
      </fill>
    </dxf>
    <dxf>
      <font>
        <color auto="1"/>
      </font>
      <fill>
        <patternFill>
          <fgColor auto="1"/>
          <bgColor rgb="FFFF0000"/>
        </patternFill>
      </fill>
    </dxf>
    <dxf>
      <font>
        <color auto="1"/>
      </font>
      <fill>
        <patternFill>
          <fgColor auto="1"/>
          <bgColor rgb="FFFF0000"/>
        </patternFill>
      </fill>
    </dxf>
    <dxf>
      <font>
        <color auto="1"/>
      </font>
      <fill>
        <patternFill>
          <fgColor auto="1"/>
          <bgColor rgb="FFFF0000"/>
        </patternFill>
      </fill>
    </dxf>
    <dxf>
      <font>
        <color auto="1"/>
      </font>
      <fill>
        <patternFill>
          <fgColor auto="1"/>
          <bgColor rgb="FFFF0000"/>
        </patternFill>
      </fill>
    </dxf>
    <dxf>
      <font>
        <color auto="1"/>
      </font>
      <fill>
        <patternFill>
          <fgColor auto="1"/>
          <bgColor rgb="FFFF0000"/>
        </patternFill>
      </fill>
    </dxf>
    <dxf>
      <font>
        <color auto="1"/>
      </font>
      <fill>
        <patternFill>
          <fgColor auto="1"/>
          <bgColor rgb="FFFF0000"/>
        </patternFill>
      </fill>
    </dxf>
    <dxf>
      <font>
        <color auto="1"/>
      </font>
      <fill>
        <patternFill>
          <fgColor auto="1"/>
          <bgColor rgb="FFFF0000"/>
        </patternFill>
      </fill>
    </dxf>
    <dxf>
      <font>
        <color auto="1"/>
      </font>
      <fill>
        <patternFill>
          <fgColor auto="1"/>
          <bgColor rgb="FFFF0000"/>
        </patternFill>
      </fill>
    </dxf>
    <dxf>
      <font>
        <color auto="1"/>
      </font>
      <fill>
        <patternFill>
          <fgColor auto="1"/>
          <bgColor rgb="FFFF0000"/>
        </patternFill>
      </fill>
    </dxf>
    <dxf>
      <font>
        <color auto="1"/>
      </font>
      <fill>
        <patternFill>
          <fgColor auto="1"/>
          <bgColor rgb="FFFF0000"/>
        </patternFill>
      </fill>
    </dxf>
    <dxf>
      <font>
        <color auto="1"/>
      </font>
      <fill>
        <patternFill>
          <fgColor auto="1"/>
          <bgColor rgb="FFFF0000"/>
        </patternFill>
      </fill>
    </dxf>
    <dxf>
      <font>
        <color auto="1"/>
      </font>
      <fill>
        <patternFill>
          <fgColor auto="1"/>
          <bgColor rgb="FFFF0000"/>
        </patternFill>
      </fill>
    </dxf>
    <dxf>
      <font>
        <color auto="1"/>
      </font>
      <fill>
        <patternFill>
          <fgColor auto="1"/>
          <bgColor rgb="FFFF0000"/>
        </patternFill>
      </fill>
    </dxf>
    <dxf>
      <font>
        <color auto="1"/>
      </font>
      <fill>
        <patternFill>
          <fgColor auto="1"/>
          <bgColor rgb="FFFF0000"/>
        </patternFill>
      </fill>
    </dxf>
    <dxf>
      <font>
        <color auto="1"/>
      </font>
      <fill>
        <patternFill>
          <fgColor auto="1"/>
          <bgColor rgb="FFFF0000"/>
        </patternFill>
      </fill>
    </dxf>
    <dxf>
      <font>
        <color auto="1"/>
      </font>
      <fill>
        <patternFill>
          <fgColor auto="1"/>
          <bgColor rgb="FFFF0000"/>
        </patternFill>
      </fill>
    </dxf>
    <dxf>
      <font>
        <color auto="1"/>
      </font>
      <fill>
        <patternFill>
          <fgColor auto="1"/>
          <bgColor rgb="FFFF0000"/>
        </patternFill>
      </fill>
    </dxf>
    <dxf>
      <font>
        <color auto="1"/>
      </font>
      <fill>
        <patternFill>
          <fgColor auto="1"/>
          <bgColor rgb="FFFF0000"/>
        </patternFill>
      </fill>
    </dxf>
    <dxf>
      <font>
        <color auto="1"/>
      </font>
      <fill>
        <patternFill>
          <fgColor auto="1"/>
          <bgColor rgb="FFFF0000"/>
        </patternFill>
      </fill>
    </dxf>
    <dxf>
      <font>
        <color auto="1"/>
      </font>
      <fill>
        <patternFill>
          <fgColor auto="1"/>
          <bgColor rgb="FFFF0000"/>
        </patternFill>
      </fill>
    </dxf>
    <dxf>
      <font>
        <color auto="1"/>
      </font>
      <fill>
        <patternFill>
          <fgColor auto="1"/>
          <bgColor rgb="FFFF0000"/>
        </patternFill>
      </fill>
    </dxf>
    <dxf>
      <fill>
        <patternFill patternType="lightUp">
          <bgColor theme="9" tint="0.59996337778862885"/>
        </patternFill>
      </fill>
    </dxf>
    <dxf>
      <fill>
        <patternFill>
          <bgColor rgb="FFEA0000"/>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bgColor rgb="FFEA0000"/>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ont>
        <b/>
        <i val="0"/>
        <color auto="1"/>
      </font>
      <fill>
        <patternFill>
          <bgColor indexed="10"/>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bgColor rgb="FFFF0000"/>
        </patternFill>
      </fill>
    </dxf>
    <dxf>
      <fill>
        <patternFill patternType="lightUp">
          <bgColor theme="9" tint="0.39994506668294322"/>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bgColor rgb="FFEA0000"/>
        </patternFill>
      </fill>
    </dxf>
    <dxf>
      <fill>
        <patternFill>
          <bgColor rgb="FFEA0000"/>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bgColor rgb="FFFF0000"/>
        </patternFill>
      </fill>
    </dxf>
    <dxf>
      <fill>
        <patternFill patternType="lightUp">
          <bgColor theme="9" tint="0.39994506668294322"/>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bgColor rgb="FFEA0000"/>
        </patternFill>
      </fill>
    </dxf>
    <dxf>
      <fill>
        <patternFill>
          <bgColor rgb="FFEA0000"/>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ill>
        <patternFill>
          <fgColor auto="1"/>
          <bgColor rgb="FFFF0000"/>
        </patternFill>
      </fill>
    </dxf>
    <dxf>
      <font>
        <b/>
        <i val="0"/>
      </font>
      <fill>
        <patternFill>
          <bgColor rgb="FFFF0000"/>
        </patternFill>
      </fill>
    </dxf>
    <dxf>
      <fill>
        <patternFill patternType="lightUp">
          <fgColor auto="1"/>
          <bgColor theme="0"/>
        </patternFill>
      </fill>
    </dxf>
    <dxf>
      <fill>
        <patternFill patternType="lightUp">
          <fgColor auto="1"/>
          <bgColor auto="1"/>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ont>
        <b/>
        <i val="0"/>
      </font>
      <fill>
        <patternFill>
          <bgColor rgb="FFFF0000"/>
        </patternFill>
      </fill>
    </dxf>
    <dxf>
      <font>
        <b/>
        <i val="0"/>
        <color auto="1"/>
      </font>
      <fill>
        <patternFill>
          <bgColor indexed="10"/>
        </patternFill>
      </fill>
    </dxf>
    <dxf>
      <font>
        <b/>
        <i val="0"/>
        <color auto="1"/>
      </font>
      <fill>
        <patternFill>
          <bgColor rgb="FFFF0000"/>
        </patternFill>
      </fill>
    </dxf>
    <dxf>
      <font>
        <b/>
        <i val="0"/>
      </font>
      <fill>
        <patternFill>
          <bgColor rgb="FFFF0000"/>
        </patternFill>
      </fill>
    </dxf>
    <dxf>
      <font>
        <color auto="1"/>
      </font>
      <fill>
        <patternFill>
          <bgColor rgb="FFFF0000"/>
        </patternFill>
      </fill>
    </dxf>
    <dxf>
      <font>
        <b/>
        <i val="0"/>
        <color auto="1"/>
      </font>
      <fill>
        <patternFill>
          <bgColor indexed="10"/>
        </patternFill>
      </fill>
    </dxf>
    <dxf>
      <fill>
        <patternFill patternType="lightUp">
          <bgColor theme="9" tint="0.59996337778862885"/>
        </patternFill>
      </fill>
    </dxf>
    <dxf>
      <fill>
        <patternFill>
          <bgColor rgb="FFEA0000"/>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bgColor rgb="FFEA0000"/>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ont>
        <b/>
        <i val="0"/>
        <color auto="1"/>
      </font>
      <fill>
        <patternFill>
          <bgColor indexed="10"/>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bgColor rgb="FFFF0000"/>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ont>
        <b/>
        <i val="0"/>
        <color auto="1"/>
      </font>
      <fill>
        <patternFill>
          <bgColor indexed="10"/>
        </patternFill>
      </fill>
    </dxf>
    <dxf>
      <font>
        <b/>
        <i val="0"/>
        <color auto="1"/>
      </font>
      <fill>
        <patternFill>
          <bgColor indexed="10"/>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ont>
        <b/>
        <i val="0"/>
        <color auto="1"/>
      </font>
      <fill>
        <patternFill>
          <bgColor indexed="10"/>
        </patternFill>
      </fill>
    </dxf>
    <dxf>
      <font>
        <b/>
        <i val="0"/>
        <color auto="1"/>
      </font>
      <fill>
        <patternFill>
          <bgColor indexed="10"/>
        </patternFill>
      </fill>
    </dxf>
    <dxf>
      <font>
        <b/>
        <i val="0"/>
      </font>
      <fill>
        <patternFill>
          <bgColor rgb="FFFF0000"/>
        </patternFill>
      </fill>
    </dxf>
    <dxf>
      <font>
        <b/>
        <i val="0"/>
      </font>
      <fill>
        <patternFill>
          <bgColor rgb="FFFF0000"/>
        </patternFill>
      </fill>
    </dxf>
    <dxf>
      <font>
        <b/>
        <i val="0"/>
      </font>
      <fill>
        <patternFill>
          <bgColor rgb="FFFF0000"/>
        </patternFill>
      </fill>
    </dxf>
    <dxf>
      <fill>
        <patternFill>
          <fgColor auto="1"/>
          <bgColor rgb="FFFF0000"/>
        </patternFill>
      </fill>
    </dxf>
    <dxf>
      <font>
        <b/>
        <i val="0"/>
      </font>
      <fill>
        <patternFill>
          <bgColor rgb="FFFF0000"/>
        </patternFill>
      </fill>
    </dxf>
    <dxf>
      <fill>
        <patternFill patternType="lightUp">
          <fgColor auto="1"/>
          <bgColor theme="0"/>
        </patternFill>
      </fill>
    </dxf>
    <dxf>
      <fill>
        <patternFill patternType="lightUp">
          <fgColor auto="1"/>
          <bgColor auto="1"/>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ont>
        <b/>
        <i val="0"/>
      </font>
      <fill>
        <patternFill>
          <bgColor rgb="FFFF0000"/>
        </patternFill>
      </fill>
    </dxf>
    <dxf>
      <font>
        <b/>
        <i val="0"/>
        <color auto="1"/>
      </font>
      <fill>
        <patternFill>
          <bgColor indexed="10"/>
        </patternFill>
      </fill>
    </dxf>
    <dxf>
      <font>
        <b/>
        <i val="0"/>
        <color auto="1"/>
      </font>
      <fill>
        <patternFill>
          <bgColor rgb="FFFF0000"/>
        </patternFill>
      </fill>
    </dxf>
    <dxf>
      <font>
        <b/>
        <i val="0"/>
      </font>
      <fill>
        <patternFill>
          <bgColor rgb="FFFF0000"/>
        </patternFill>
      </fill>
    </dxf>
    <dxf>
      <font>
        <color auto="1"/>
      </font>
      <fill>
        <patternFill>
          <bgColor rgb="FFFF0000"/>
        </patternFill>
      </fill>
    </dxf>
    <dxf>
      <font>
        <b/>
        <i val="0"/>
        <color auto="1"/>
      </font>
      <fill>
        <patternFill>
          <bgColor indexed="10"/>
        </patternFill>
      </fill>
    </dxf>
    <dxf>
      <font>
        <b/>
        <i val="0"/>
        <color auto="1"/>
      </font>
      <fill>
        <patternFill>
          <bgColor indexed="10"/>
        </patternFill>
      </fill>
    </dxf>
    <dxf>
      <font>
        <b/>
        <i val="0"/>
        <color auto="1"/>
      </font>
      <fill>
        <patternFill>
          <bgColor indexed="10"/>
        </patternFill>
      </fill>
      <border>
        <left/>
        <right/>
        <top/>
        <bottom/>
      </border>
    </dxf>
    <dxf>
      <font>
        <b/>
        <i val="0"/>
        <color auto="1"/>
      </font>
      <fill>
        <patternFill>
          <bgColor rgb="FFFF0000"/>
        </patternFill>
      </fill>
    </dxf>
    <dxf>
      <font>
        <b/>
        <i val="0"/>
        <color auto="1"/>
      </font>
      <fill>
        <patternFill>
          <bgColor indexed="10"/>
        </patternFill>
      </fill>
    </dxf>
    <dxf>
      <fill>
        <patternFill patternType="lightUp">
          <bgColor theme="9" tint="0.39994506668294322"/>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bgColor rgb="FFEA0000"/>
        </patternFill>
      </fill>
    </dxf>
    <dxf>
      <fill>
        <patternFill>
          <bgColor rgb="FFEA0000"/>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39994506668294322"/>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patternType="lightUp">
          <bgColor theme="9" tint="0.59996337778862885"/>
        </patternFill>
      </fill>
    </dxf>
    <dxf>
      <fill>
        <patternFill>
          <bgColor rgb="FFFF0000"/>
        </patternFill>
      </fill>
    </dxf>
    <dxf>
      <font>
        <b/>
        <i val="0"/>
        <color auto="1"/>
      </font>
      <fill>
        <patternFill>
          <bgColor indexed="10"/>
        </patternFill>
      </fill>
    </dxf>
    <dxf>
      <fill>
        <patternFill>
          <bgColor rgb="FFFF0000"/>
        </patternFill>
      </fill>
    </dxf>
    <dxf>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AB2A4"/>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CD5B4"/>
      <color rgb="FF99CCFF"/>
      <color rgb="FFFFFF99"/>
      <color rgb="FF0000FF"/>
      <color rgb="FF212FB9"/>
      <color rgb="FF2535D1"/>
      <color rgb="FF20207E"/>
      <color rgb="FFFF6600"/>
      <color rgb="FF92D050"/>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hyperlink" Target="#'Emiss&#245;es Fugitivas'!A1"/><Relationship Id="rId13" Type="http://schemas.openxmlformats.org/officeDocument/2006/relationships/hyperlink" Target="#'Categorias de Ambito 3'!A1"/><Relationship Id="rId18" Type="http://schemas.openxmlformats.org/officeDocument/2006/relationships/hyperlink" Target="#Efluentes!A1"/><Relationship Id="rId3" Type="http://schemas.openxmlformats.org/officeDocument/2006/relationships/hyperlink" Target="#Introdu&#231;&#227;o!A1"/><Relationship Id="rId21" Type="http://schemas.openxmlformats.org/officeDocument/2006/relationships/hyperlink" Target="#'Agr&#237;colas e uso do solo'!A1"/><Relationship Id="rId7" Type="http://schemas.openxmlformats.org/officeDocument/2006/relationships/hyperlink" Target="#'Fatores de Emiss&#227;o'!A1"/><Relationship Id="rId12" Type="http://schemas.openxmlformats.org/officeDocument/2006/relationships/hyperlink" Target="#'Compra de Energia T&#233;rmica'!A1"/><Relationship Id="rId17" Type="http://schemas.openxmlformats.org/officeDocument/2006/relationships/hyperlink" Target="#'Transp.&amp; Distribui&#231;&#227;o(Upstream)'!A1"/><Relationship Id="rId2" Type="http://schemas.openxmlformats.org/officeDocument/2006/relationships/hyperlink" Target="#GRI!A1"/><Relationship Id="rId16" Type="http://schemas.openxmlformats.org/officeDocument/2006/relationships/hyperlink" Target="#'Transp&amp;Distribui&#231;&#227;o(Downstream)'!A1"/><Relationship Id="rId20" Type="http://schemas.openxmlformats.org/officeDocument/2006/relationships/hyperlink" Target="#'Viagens a Neg&#243;cios'!A1"/><Relationship Id="rId1" Type="http://schemas.openxmlformats.org/officeDocument/2006/relationships/image" Target="../media/image5.png"/><Relationship Id="rId6" Type="http://schemas.openxmlformats.org/officeDocument/2006/relationships/hyperlink" Target="#Resumo!A1"/><Relationship Id="rId11" Type="http://schemas.openxmlformats.org/officeDocument/2006/relationships/hyperlink" Target="#'Compra de Energia El&#233;trica'!A1"/><Relationship Id="rId5" Type="http://schemas.openxmlformats.org/officeDocument/2006/relationships/hyperlink" Target="#'Combust&#227;o m&#243;vel'!A1"/><Relationship Id="rId15" Type="http://schemas.openxmlformats.org/officeDocument/2006/relationships/hyperlink" Target="#'Efluentes gerados na opera&#231;&#227;o'!A1"/><Relationship Id="rId10" Type="http://schemas.openxmlformats.org/officeDocument/2006/relationships/hyperlink" Target="#'Res&#237;duos S&#243;lidos'!A1"/><Relationship Id="rId19" Type="http://schemas.openxmlformats.org/officeDocument/2006/relationships/hyperlink" Target="#'Convers&#227;o Unidades'!A1"/><Relationship Id="rId4" Type="http://schemas.openxmlformats.org/officeDocument/2006/relationships/hyperlink" Target="#'Combust&#227;o estacion&#225;ria'!A1"/><Relationship Id="rId9" Type="http://schemas.openxmlformats.org/officeDocument/2006/relationships/hyperlink" Target="#'Processos Industriais'!A1"/><Relationship Id="rId14" Type="http://schemas.openxmlformats.org/officeDocument/2006/relationships/hyperlink" Target="#'Res&#237;duos s&#243;lidos da opera&#231;&#227;o'!A1"/></Relationships>
</file>

<file path=xl/drawings/_rels/drawing11.xml.rels><?xml version="1.0" encoding="UTF-8" standalone="yes"?>
<Relationships xmlns="http://schemas.openxmlformats.org/package/2006/relationships"><Relationship Id="rId8" Type="http://schemas.openxmlformats.org/officeDocument/2006/relationships/hyperlink" Target="#'Emiss&#245;es Fugitivas'!A1"/><Relationship Id="rId13" Type="http://schemas.openxmlformats.org/officeDocument/2006/relationships/hyperlink" Target="#'Categorias de Ambito 3'!A1"/><Relationship Id="rId18" Type="http://schemas.openxmlformats.org/officeDocument/2006/relationships/hyperlink" Target="#Efluentes!A1"/><Relationship Id="rId3" Type="http://schemas.openxmlformats.org/officeDocument/2006/relationships/hyperlink" Target="#Introdu&#231;&#227;o!A1"/><Relationship Id="rId21" Type="http://schemas.openxmlformats.org/officeDocument/2006/relationships/hyperlink" Target="#'Agr&#237;colas e uso do solo'!A1"/><Relationship Id="rId7" Type="http://schemas.openxmlformats.org/officeDocument/2006/relationships/hyperlink" Target="#'Fatores de Emiss&#227;o'!A1"/><Relationship Id="rId12" Type="http://schemas.openxmlformats.org/officeDocument/2006/relationships/hyperlink" Target="#'Compra de Energia T&#233;rmica'!A1"/><Relationship Id="rId17" Type="http://schemas.openxmlformats.org/officeDocument/2006/relationships/hyperlink" Target="#'Transp.&amp; Distribui&#231;&#227;o(Upstream)'!A1"/><Relationship Id="rId2" Type="http://schemas.openxmlformats.org/officeDocument/2006/relationships/hyperlink" Target="#GRI!A1"/><Relationship Id="rId16" Type="http://schemas.openxmlformats.org/officeDocument/2006/relationships/hyperlink" Target="#'Transp&amp;Distribui&#231;&#227;o(Downstream)'!A1"/><Relationship Id="rId20" Type="http://schemas.openxmlformats.org/officeDocument/2006/relationships/hyperlink" Target="#'Viagens a Neg&#243;cios'!A1"/><Relationship Id="rId1" Type="http://schemas.openxmlformats.org/officeDocument/2006/relationships/image" Target="../media/image5.png"/><Relationship Id="rId6" Type="http://schemas.openxmlformats.org/officeDocument/2006/relationships/hyperlink" Target="#Resumo!A1"/><Relationship Id="rId11" Type="http://schemas.openxmlformats.org/officeDocument/2006/relationships/hyperlink" Target="#'Compra de Energia El&#233;trica'!A1"/><Relationship Id="rId5" Type="http://schemas.openxmlformats.org/officeDocument/2006/relationships/hyperlink" Target="#'Combust&#227;o m&#243;vel'!A1"/><Relationship Id="rId15" Type="http://schemas.openxmlformats.org/officeDocument/2006/relationships/hyperlink" Target="#'Efluentes gerados na opera&#231;&#227;o'!A1"/><Relationship Id="rId10" Type="http://schemas.openxmlformats.org/officeDocument/2006/relationships/hyperlink" Target="#'Res&#237;duos S&#243;lidos'!A1"/><Relationship Id="rId19" Type="http://schemas.openxmlformats.org/officeDocument/2006/relationships/hyperlink" Target="#'Convers&#227;o Unidades'!A1"/><Relationship Id="rId4" Type="http://schemas.openxmlformats.org/officeDocument/2006/relationships/hyperlink" Target="#'Combust&#227;o estacion&#225;ria'!A1"/><Relationship Id="rId9" Type="http://schemas.openxmlformats.org/officeDocument/2006/relationships/hyperlink" Target="#'Processos Industriais'!A1"/><Relationship Id="rId14" Type="http://schemas.openxmlformats.org/officeDocument/2006/relationships/hyperlink" Target="#'Res&#237;duos s&#243;lidos da opera&#231;&#227;o'!A1"/></Relationships>
</file>

<file path=xl/drawings/_rels/drawing12.xml.rels><?xml version="1.0" encoding="UTF-8" standalone="yes"?>
<Relationships xmlns="http://schemas.openxmlformats.org/package/2006/relationships"><Relationship Id="rId8" Type="http://schemas.openxmlformats.org/officeDocument/2006/relationships/hyperlink" Target="#'Emiss&#245;es Fugitivas'!A1"/><Relationship Id="rId13" Type="http://schemas.openxmlformats.org/officeDocument/2006/relationships/hyperlink" Target="#'Categorias de Ambito 3'!A1"/><Relationship Id="rId18" Type="http://schemas.openxmlformats.org/officeDocument/2006/relationships/hyperlink" Target="#Efluentes!A1"/><Relationship Id="rId3" Type="http://schemas.openxmlformats.org/officeDocument/2006/relationships/hyperlink" Target="#Introdu&#231;&#227;o!A1"/><Relationship Id="rId21" Type="http://schemas.openxmlformats.org/officeDocument/2006/relationships/hyperlink" Target="#'Agr&#237;colas e uso do solo'!A1"/><Relationship Id="rId7" Type="http://schemas.openxmlformats.org/officeDocument/2006/relationships/hyperlink" Target="#'Fatores de Emiss&#227;o'!A1"/><Relationship Id="rId12" Type="http://schemas.openxmlformats.org/officeDocument/2006/relationships/hyperlink" Target="#'Compra de Energia T&#233;rmica'!A1"/><Relationship Id="rId17" Type="http://schemas.openxmlformats.org/officeDocument/2006/relationships/hyperlink" Target="#'Transp.&amp; Distribui&#231;&#227;o(Upstream)'!A1"/><Relationship Id="rId2" Type="http://schemas.openxmlformats.org/officeDocument/2006/relationships/hyperlink" Target="#GRI!A1"/><Relationship Id="rId16" Type="http://schemas.openxmlformats.org/officeDocument/2006/relationships/hyperlink" Target="#'Transp&amp;Distribui&#231;&#227;o(Downstream)'!A1"/><Relationship Id="rId20" Type="http://schemas.openxmlformats.org/officeDocument/2006/relationships/hyperlink" Target="#'Viagens a Neg&#243;cios'!A1"/><Relationship Id="rId1" Type="http://schemas.openxmlformats.org/officeDocument/2006/relationships/image" Target="../media/image5.png"/><Relationship Id="rId6" Type="http://schemas.openxmlformats.org/officeDocument/2006/relationships/hyperlink" Target="#Resumo!A1"/><Relationship Id="rId11" Type="http://schemas.openxmlformats.org/officeDocument/2006/relationships/hyperlink" Target="#'Compra de Energia El&#233;trica'!A1"/><Relationship Id="rId5" Type="http://schemas.openxmlformats.org/officeDocument/2006/relationships/hyperlink" Target="#'Combust&#227;o m&#243;vel'!A1"/><Relationship Id="rId15" Type="http://schemas.openxmlformats.org/officeDocument/2006/relationships/hyperlink" Target="#'Efluentes gerados na opera&#231;&#227;o'!A1"/><Relationship Id="rId10" Type="http://schemas.openxmlformats.org/officeDocument/2006/relationships/hyperlink" Target="#'Res&#237;duos S&#243;lidos'!A1"/><Relationship Id="rId19" Type="http://schemas.openxmlformats.org/officeDocument/2006/relationships/hyperlink" Target="#'Convers&#227;o Unidades'!A1"/><Relationship Id="rId4" Type="http://schemas.openxmlformats.org/officeDocument/2006/relationships/hyperlink" Target="#'Combust&#227;o estacion&#225;ria'!A1"/><Relationship Id="rId9" Type="http://schemas.openxmlformats.org/officeDocument/2006/relationships/hyperlink" Target="#'Processos Industriais'!A1"/><Relationship Id="rId14" Type="http://schemas.openxmlformats.org/officeDocument/2006/relationships/hyperlink" Target="#'Res&#237;duos s&#243;lidos da opera&#231;&#227;o'!A1"/></Relationships>
</file>

<file path=xl/drawings/_rels/drawing13.xml.rels><?xml version="1.0" encoding="UTF-8" standalone="yes"?>
<Relationships xmlns="http://schemas.openxmlformats.org/package/2006/relationships"><Relationship Id="rId8" Type="http://schemas.openxmlformats.org/officeDocument/2006/relationships/hyperlink" Target="#'Emiss&#245;es Fugitivas'!A1"/><Relationship Id="rId13" Type="http://schemas.openxmlformats.org/officeDocument/2006/relationships/hyperlink" Target="#'Categorias de Ambito 3'!A1"/><Relationship Id="rId18" Type="http://schemas.openxmlformats.org/officeDocument/2006/relationships/hyperlink" Target="#Efluentes!A1"/><Relationship Id="rId3" Type="http://schemas.openxmlformats.org/officeDocument/2006/relationships/hyperlink" Target="#Introdu&#231;&#227;o!A1"/><Relationship Id="rId21" Type="http://schemas.openxmlformats.org/officeDocument/2006/relationships/hyperlink" Target="#'Agr&#237;colas e uso do solo'!A1"/><Relationship Id="rId7" Type="http://schemas.openxmlformats.org/officeDocument/2006/relationships/hyperlink" Target="#'Fatores de Emiss&#227;o'!A1"/><Relationship Id="rId12" Type="http://schemas.openxmlformats.org/officeDocument/2006/relationships/hyperlink" Target="#'Compra de Energia T&#233;rmica'!A1"/><Relationship Id="rId17" Type="http://schemas.openxmlformats.org/officeDocument/2006/relationships/hyperlink" Target="#'Transp.&amp; Distribui&#231;&#227;o(Upstream)'!A1"/><Relationship Id="rId2" Type="http://schemas.openxmlformats.org/officeDocument/2006/relationships/hyperlink" Target="#GRI!A1"/><Relationship Id="rId16" Type="http://schemas.openxmlformats.org/officeDocument/2006/relationships/hyperlink" Target="#'Transp&amp;Distribui&#231;&#227;o(Downstream)'!A1"/><Relationship Id="rId20" Type="http://schemas.openxmlformats.org/officeDocument/2006/relationships/hyperlink" Target="#'Viagens a Neg&#243;cios'!A1"/><Relationship Id="rId1" Type="http://schemas.openxmlformats.org/officeDocument/2006/relationships/image" Target="../media/image5.png"/><Relationship Id="rId6" Type="http://schemas.openxmlformats.org/officeDocument/2006/relationships/hyperlink" Target="#Resumo!A1"/><Relationship Id="rId11" Type="http://schemas.openxmlformats.org/officeDocument/2006/relationships/hyperlink" Target="#'Compra de Energia El&#233;trica'!A1"/><Relationship Id="rId5" Type="http://schemas.openxmlformats.org/officeDocument/2006/relationships/hyperlink" Target="#'Combust&#227;o m&#243;vel'!A1"/><Relationship Id="rId15" Type="http://schemas.openxmlformats.org/officeDocument/2006/relationships/hyperlink" Target="#'Efluentes gerados na opera&#231;&#227;o'!A1"/><Relationship Id="rId10" Type="http://schemas.openxmlformats.org/officeDocument/2006/relationships/hyperlink" Target="#'Res&#237;duos S&#243;lidos'!A1"/><Relationship Id="rId19" Type="http://schemas.openxmlformats.org/officeDocument/2006/relationships/hyperlink" Target="#'Convers&#227;o Unidades'!A1"/><Relationship Id="rId4" Type="http://schemas.openxmlformats.org/officeDocument/2006/relationships/hyperlink" Target="#'Combust&#227;o estacion&#225;ria'!A1"/><Relationship Id="rId9" Type="http://schemas.openxmlformats.org/officeDocument/2006/relationships/hyperlink" Target="#'Processos Industriais'!A1"/><Relationship Id="rId14" Type="http://schemas.openxmlformats.org/officeDocument/2006/relationships/hyperlink" Target="#'Res&#237;duos s&#243;lidos da opera&#231;&#227;o'!A1"/></Relationships>
</file>

<file path=xl/drawings/_rels/drawing14.xml.rels><?xml version="1.0" encoding="UTF-8" standalone="yes"?>
<Relationships xmlns="http://schemas.openxmlformats.org/package/2006/relationships"><Relationship Id="rId8" Type="http://schemas.openxmlformats.org/officeDocument/2006/relationships/hyperlink" Target="#'Emiss&#245;es Fugitivas'!A1"/><Relationship Id="rId13" Type="http://schemas.openxmlformats.org/officeDocument/2006/relationships/hyperlink" Target="#'Categorias de Ambito 3'!A1"/><Relationship Id="rId18" Type="http://schemas.openxmlformats.org/officeDocument/2006/relationships/hyperlink" Target="#Efluentes!A1"/><Relationship Id="rId3" Type="http://schemas.openxmlformats.org/officeDocument/2006/relationships/hyperlink" Target="#Introdu&#231;&#227;o!A1"/><Relationship Id="rId21" Type="http://schemas.openxmlformats.org/officeDocument/2006/relationships/hyperlink" Target="#'Agr&#237;colas e uso do solo'!A1"/><Relationship Id="rId7" Type="http://schemas.openxmlformats.org/officeDocument/2006/relationships/hyperlink" Target="#'Fatores de Emiss&#227;o'!A1"/><Relationship Id="rId12" Type="http://schemas.openxmlformats.org/officeDocument/2006/relationships/hyperlink" Target="#'Compra de Energia T&#233;rmica'!A1"/><Relationship Id="rId17" Type="http://schemas.openxmlformats.org/officeDocument/2006/relationships/hyperlink" Target="#'Transp.&amp; Distribui&#231;&#227;o(Upstream)'!A1"/><Relationship Id="rId2" Type="http://schemas.openxmlformats.org/officeDocument/2006/relationships/hyperlink" Target="#GRI!A1"/><Relationship Id="rId16" Type="http://schemas.openxmlformats.org/officeDocument/2006/relationships/hyperlink" Target="#'Transp&amp;Distribui&#231;&#227;o(Downstream)'!A1"/><Relationship Id="rId20" Type="http://schemas.openxmlformats.org/officeDocument/2006/relationships/hyperlink" Target="#'Viagens a Neg&#243;cios'!A1"/><Relationship Id="rId1" Type="http://schemas.openxmlformats.org/officeDocument/2006/relationships/image" Target="../media/image5.png"/><Relationship Id="rId6" Type="http://schemas.openxmlformats.org/officeDocument/2006/relationships/hyperlink" Target="#Resumo!A1"/><Relationship Id="rId11" Type="http://schemas.openxmlformats.org/officeDocument/2006/relationships/hyperlink" Target="#'Compra de Energia El&#233;trica'!A1"/><Relationship Id="rId5" Type="http://schemas.openxmlformats.org/officeDocument/2006/relationships/hyperlink" Target="#'Combust&#227;o m&#243;vel'!A1"/><Relationship Id="rId15" Type="http://schemas.openxmlformats.org/officeDocument/2006/relationships/hyperlink" Target="#'Efluentes gerados na opera&#231;&#227;o'!A1"/><Relationship Id="rId10" Type="http://schemas.openxmlformats.org/officeDocument/2006/relationships/hyperlink" Target="#'Res&#237;duos S&#243;lidos'!A1"/><Relationship Id="rId19" Type="http://schemas.openxmlformats.org/officeDocument/2006/relationships/hyperlink" Target="#'Convers&#227;o Unidades'!A1"/><Relationship Id="rId4" Type="http://schemas.openxmlformats.org/officeDocument/2006/relationships/hyperlink" Target="#'Combust&#227;o estacion&#225;ria'!A1"/><Relationship Id="rId9" Type="http://schemas.openxmlformats.org/officeDocument/2006/relationships/hyperlink" Target="#'Processos Industriais'!A1"/><Relationship Id="rId14" Type="http://schemas.openxmlformats.org/officeDocument/2006/relationships/hyperlink" Target="#'Res&#237;duos s&#243;lidos da opera&#231;&#227;o'!A1"/></Relationships>
</file>

<file path=xl/drawings/_rels/drawing15.xml.rels><?xml version="1.0" encoding="UTF-8" standalone="yes"?>
<Relationships xmlns="http://schemas.openxmlformats.org/package/2006/relationships"><Relationship Id="rId8" Type="http://schemas.openxmlformats.org/officeDocument/2006/relationships/hyperlink" Target="#'Emiss&#245;es Fugitivas'!A1"/><Relationship Id="rId13" Type="http://schemas.openxmlformats.org/officeDocument/2006/relationships/hyperlink" Target="#'Categorias de Ambito 3'!A1"/><Relationship Id="rId18" Type="http://schemas.openxmlformats.org/officeDocument/2006/relationships/hyperlink" Target="#Efluentes!A1"/><Relationship Id="rId3" Type="http://schemas.openxmlformats.org/officeDocument/2006/relationships/hyperlink" Target="#Introdu&#231;&#227;o!A1"/><Relationship Id="rId21" Type="http://schemas.openxmlformats.org/officeDocument/2006/relationships/hyperlink" Target="#'Agr&#237;colas e uso do solo'!A1"/><Relationship Id="rId7" Type="http://schemas.openxmlformats.org/officeDocument/2006/relationships/hyperlink" Target="#'Fatores de Emiss&#227;o'!A1"/><Relationship Id="rId12" Type="http://schemas.openxmlformats.org/officeDocument/2006/relationships/hyperlink" Target="#'Compra de Energia T&#233;rmica'!A1"/><Relationship Id="rId17" Type="http://schemas.openxmlformats.org/officeDocument/2006/relationships/hyperlink" Target="#'Transp.&amp; Distribui&#231;&#227;o(Upstream)'!A1"/><Relationship Id="rId2" Type="http://schemas.openxmlformats.org/officeDocument/2006/relationships/hyperlink" Target="#GRI!A1"/><Relationship Id="rId16" Type="http://schemas.openxmlformats.org/officeDocument/2006/relationships/hyperlink" Target="#'Transp&amp;Distribui&#231;&#227;o(Downstream)'!A1"/><Relationship Id="rId20" Type="http://schemas.openxmlformats.org/officeDocument/2006/relationships/hyperlink" Target="#'Viagens a Neg&#243;cios'!A1"/><Relationship Id="rId1" Type="http://schemas.openxmlformats.org/officeDocument/2006/relationships/image" Target="../media/image5.png"/><Relationship Id="rId6" Type="http://schemas.openxmlformats.org/officeDocument/2006/relationships/hyperlink" Target="#Resumo!A1"/><Relationship Id="rId11" Type="http://schemas.openxmlformats.org/officeDocument/2006/relationships/hyperlink" Target="#'Compra de Energia El&#233;trica'!A1"/><Relationship Id="rId5" Type="http://schemas.openxmlformats.org/officeDocument/2006/relationships/hyperlink" Target="#'Combust&#227;o m&#243;vel'!A1"/><Relationship Id="rId15" Type="http://schemas.openxmlformats.org/officeDocument/2006/relationships/hyperlink" Target="#'Efluentes gerados na opera&#231;&#227;o'!A1"/><Relationship Id="rId10" Type="http://schemas.openxmlformats.org/officeDocument/2006/relationships/hyperlink" Target="#'Res&#237;duos S&#243;lidos'!A1"/><Relationship Id="rId19" Type="http://schemas.openxmlformats.org/officeDocument/2006/relationships/hyperlink" Target="#'Convers&#227;o Unidades'!A1"/><Relationship Id="rId4" Type="http://schemas.openxmlformats.org/officeDocument/2006/relationships/hyperlink" Target="#'Combust&#227;o estacion&#225;ria'!A1"/><Relationship Id="rId9" Type="http://schemas.openxmlformats.org/officeDocument/2006/relationships/hyperlink" Target="#'Processos Industriais'!A1"/><Relationship Id="rId14" Type="http://schemas.openxmlformats.org/officeDocument/2006/relationships/hyperlink" Target="#'Res&#237;duos s&#243;lidos da opera&#231;&#227;o'!A1"/></Relationships>
</file>

<file path=xl/drawings/_rels/drawing16.xml.rels><?xml version="1.0" encoding="UTF-8" standalone="yes"?>
<Relationships xmlns="http://schemas.openxmlformats.org/package/2006/relationships"><Relationship Id="rId8" Type="http://schemas.openxmlformats.org/officeDocument/2006/relationships/hyperlink" Target="#'Emiss&#245;es Fugitivas'!A1"/><Relationship Id="rId13" Type="http://schemas.openxmlformats.org/officeDocument/2006/relationships/hyperlink" Target="#'Categorias de Ambito 3'!A1"/><Relationship Id="rId18" Type="http://schemas.openxmlformats.org/officeDocument/2006/relationships/hyperlink" Target="#Efluentes!A1"/><Relationship Id="rId3" Type="http://schemas.openxmlformats.org/officeDocument/2006/relationships/hyperlink" Target="#Introdu&#231;&#227;o!A1"/><Relationship Id="rId21" Type="http://schemas.openxmlformats.org/officeDocument/2006/relationships/hyperlink" Target="#'Agr&#237;colas e uso do solo'!A1"/><Relationship Id="rId7" Type="http://schemas.openxmlformats.org/officeDocument/2006/relationships/hyperlink" Target="#'Fatores de Emiss&#227;o'!A1"/><Relationship Id="rId12" Type="http://schemas.openxmlformats.org/officeDocument/2006/relationships/hyperlink" Target="#'Compra de Energia T&#233;rmica'!A1"/><Relationship Id="rId17" Type="http://schemas.openxmlformats.org/officeDocument/2006/relationships/hyperlink" Target="#'Transp.&amp; Distribui&#231;&#227;o(Upstream)'!A1"/><Relationship Id="rId2" Type="http://schemas.openxmlformats.org/officeDocument/2006/relationships/hyperlink" Target="#GRI!A1"/><Relationship Id="rId16" Type="http://schemas.openxmlformats.org/officeDocument/2006/relationships/hyperlink" Target="#'Transp&amp;Distribui&#231;&#227;o(Downstream)'!A1"/><Relationship Id="rId20" Type="http://schemas.openxmlformats.org/officeDocument/2006/relationships/hyperlink" Target="#'Viagens a Neg&#243;cios'!A1"/><Relationship Id="rId1" Type="http://schemas.openxmlformats.org/officeDocument/2006/relationships/image" Target="../media/image5.png"/><Relationship Id="rId6" Type="http://schemas.openxmlformats.org/officeDocument/2006/relationships/hyperlink" Target="#Resumo!A1"/><Relationship Id="rId11" Type="http://schemas.openxmlformats.org/officeDocument/2006/relationships/hyperlink" Target="#'Compra de Energia El&#233;trica'!A1"/><Relationship Id="rId5" Type="http://schemas.openxmlformats.org/officeDocument/2006/relationships/hyperlink" Target="#'Combust&#227;o m&#243;vel'!A1"/><Relationship Id="rId15" Type="http://schemas.openxmlformats.org/officeDocument/2006/relationships/hyperlink" Target="#'Efluentes gerados na opera&#231;&#227;o'!A1"/><Relationship Id="rId10" Type="http://schemas.openxmlformats.org/officeDocument/2006/relationships/hyperlink" Target="#'Res&#237;duos S&#243;lidos'!A1"/><Relationship Id="rId19" Type="http://schemas.openxmlformats.org/officeDocument/2006/relationships/hyperlink" Target="#'Convers&#227;o Unidades'!A1"/><Relationship Id="rId4" Type="http://schemas.openxmlformats.org/officeDocument/2006/relationships/hyperlink" Target="#'Combust&#227;o estacion&#225;ria'!A1"/><Relationship Id="rId9" Type="http://schemas.openxmlformats.org/officeDocument/2006/relationships/hyperlink" Target="#'Processos Industriais'!A1"/><Relationship Id="rId14" Type="http://schemas.openxmlformats.org/officeDocument/2006/relationships/hyperlink" Target="#'Res&#237;duos s&#243;lidos da opera&#231;&#227;o'!A1"/></Relationships>
</file>

<file path=xl/drawings/_rels/drawing17.xml.rels><?xml version="1.0" encoding="UTF-8" standalone="yes"?>
<Relationships xmlns="http://schemas.openxmlformats.org/package/2006/relationships"><Relationship Id="rId8" Type="http://schemas.openxmlformats.org/officeDocument/2006/relationships/hyperlink" Target="#'Processos Industriais'!A1"/><Relationship Id="rId13" Type="http://schemas.openxmlformats.org/officeDocument/2006/relationships/hyperlink" Target="#'Res&#237;duos s&#243;lidos da opera&#231;&#227;o'!A1"/><Relationship Id="rId18" Type="http://schemas.openxmlformats.org/officeDocument/2006/relationships/hyperlink" Target="#'Convers&#227;o Unidades'!A1"/><Relationship Id="rId3" Type="http://schemas.openxmlformats.org/officeDocument/2006/relationships/hyperlink" Target="#'Combust&#227;o estacion&#225;ria'!A1"/><Relationship Id="rId21" Type="http://schemas.openxmlformats.org/officeDocument/2006/relationships/hyperlink" Target="#'Agr&#237;colas e uso do solo'!A1"/><Relationship Id="rId7" Type="http://schemas.openxmlformats.org/officeDocument/2006/relationships/hyperlink" Target="#'Emiss&#245;es Fugitivas'!A1"/><Relationship Id="rId12" Type="http://schemas.openxmlformats.org/officeDocument/2006/relationships/hyperlink" Target="#'Categorias de Ambito 3'!A1"/><Relationship Id="rId17" Type="http://schemas.openxmlformats.org/officeDocument/2006/relationships/hyperlink" Target="#Efluentes!A1"/><Relationship Id="rId2" Type="http://schemas.openxmlformats.org/officeDocument/2006/relationships/hyperlink" Target="#Introdu&#231;&#227;o!A1"/><Relationship Id="rId16" Type="http://schemas.openxmlformats.org/officeDocument/2006/relationships/hyperlink" Target="#'Transp.&amp; Distribui&#231;&#227;o(Upstream)'!A1"/><Relationship Id="rId20" Type="http://schemas.openxmlformats.org/officeDocument/2006/relationships/hyperlink" Target="#GRI!A1"/><Relationship Id="rId1" Type="http://schemas.openxmlformats.org/officeDocument/2006/relationships/image" Target="../media/image5.png"/><Relationship Id="rId6" Type="http://schemas.openxmlformats.org/officeDocument/2006/relationships/hyperlink" Target="#'Fatores de Emiss&#227;o'!A1"/><Relationship Id="rId11" Type="http://schemas.openxmlformats.org/officeDocument/2006/relationships/hyperlink" Target="#'Compra de Energia T&#233;rmica'!A1"/><Relationship Id="rId5" Type="http://schemas.openxmlformats.org/officeDocument/2006/relationships/hyperlink" Target="#Resumo!A1"/><Relationship Id="rId15" Type="http://schemas.openxmlformats.org/officeDocument/2006/relationships/hyperlink" Target="#'Transp&amp;Distribui&#231;&#227;o(Downstream)'!A1"/><Relationship Id="rId10" Type="http://schemas.openxmlformats.org/officeDocument/2006/relationships/hyperlink" Target="#'Compra de Energia El&#233;trica'!A1"/><Relationship Id="rId19" Type="http://schemas.openxmlformats.org/officeDocument/2006/relationships/hyperlink" Target="#'Viagens a Neg&#243;cios'!A1"/><Relationship Id="rId4" Type="http://schemas.openxmlformats.org/officeDocument/2006/relationships/hyperlink" Target="#'Combust&#227;o m&#243;vel'!A1"/><Relationship Id="rId9" Type="http://schemas.openxmlformats.org/officeDocument/2006/relationships/hyperlink" Target="#'Res&#237;duos S&#243;lidos'!A1"/><Relationship Id="rId14" Type="http://schemas.openxmlformats.org/officeDocument/2006/relationships/hyperlink" Target="#'Efluentes gerados na opera&#231;&#227;o'!A1"/></Relationships>
</file>

<file path=xl/drawings/_rels/drawing18.xml.rels><?xml version="1.0" encoding="UTF-8" standalone="yes"?>
<Relationships xmlns="http://schemas.openxmlformats.org/package/2006/relationships"><Relationship Id="rId8" Type="http://schemas.openxmlformats.org/officeDocument/2006/relationships/hyperlink" Target="#'Processos Industriais'!A1"/><Relationship Id="rId13" Type="http://schemas.openxmlformats.org/officeDocument/2006/relationships/hyperlink" Target="#'Res&#237;duos s&#243;lidos da opera&#231;&#227;o'!A1"/><Relationship Id="rId18" Type="http://schemas.openxmlformats.org/officeDocument/2006/relationships/hyperlink" Target="#'Convers&#227;o Unidades'!A1"/><Relationship Id="rId3" Type="http://schemas.openxmlformats.org/officeDocument/2006/relationships/hyperlink" Target="#'Combust&#227;o estacion&#225;ria'!A1"/><Relationship Id="rId21" Type="http://schemas.openxmlformats.org/officeDocument/2006/relationships/hyperlink" Target="#'Agr&#237;colas e uso do solo'!A1"/><Relationship Id="rId7" Type="http://schemas.openxmlformats.org/officeDocument/2006/relationships/hyperlink" Target="#'Emiss&#245;es Fugitivas'!A1"/><Relationship Id="rId12" Type="http://schemas.openxmlformats.org/officeDocument/2006/relationships/hyperlink" Target="#'Categorias de Ambito 3'!A1"/><Relationship Id="rId17" Type="http://schemas.openxmlformats.org/officeDocument/2006/relationships/hyperlink" Target="#Efluentes!A1"/><Relationship Id="rId2" Type="http://schemas.openxmlformats.org/officeDocument/2006/relationships/hyperlink" Target="#Introdu&#231;&#227;o!A1"/><Relationship Id="rId16" Type="http://schemas.openxmlformats.org/officeDocument/2006/relationships/hyperlink" Target="#'Transp.&amp; Distribui&#231;&#227;o(Upstream)'!A1"/><Relationship Id="rId20" Type="http://schemas.openxmlformats.org/officeDocument/2006/relationships/hyperlink" Target="#GRI!A1"/><Relationship Id="rId1" Type="http://schemas.openxmlformats.org/officeDocument/2006/relationships/image" Target="../media/image5.png"/><Relationship Id="rId6" Type="http://schemas.openxmlformats.org/officeDocument/2006/relationships/hyperlink" Target="#'Fatores de Emiss&#227;o'!A1"/><Relationship Id="rId11" Type="http://schemas.openxmlformats.org/officeDocument/2006/relationships/hyperlink" Target="#'Compra de Energia T&#233;rmica'!A1"/><Relationship Id="rId5" Type="http://schemas.openxmlformats.org/officeDocument/2006/relationships/hyperlink" Target="#Resumo!A1"/><Relationship Id="rId15" Type="http://schemas.openxmlformats.org/officeDocument/2006/relationships/hyperlink" Target="#'Transp&amp;Distribui&#231;&#227;o(Downstream)'!A1"/><Relationship Id="rId10" Type="http://schemas.openxmlformats.org/officeDocument/2006/relationships/hyperlink" Target="#'Compra de Energia El&#233;trica'!A1"/><Relationship Id="rId19" Type="http://schemas.openxmlformats.org/officeDocument/2006/relationships/hyperlink" Target="#'Viagens a Neg&#243;cios'!A1"/><Relationship Id="rId4" Type="http://schemas.openxmlformats.org/officeDocument/2006/relationships/hyperlink" Target="#'Combust&#227;o m&#243;vel'!A1"/><Relationship Id="rId9" Type="http://schemas.openxmlformats.org/officeDocument/2006/relationships/hyperlink" Target="#'Res&#237;duos S&#243;lidos'!A1"/><Relationship Id="rId14" Type="http://schemas.openxmlformats.org/officeDocument/2006/relationships/hyperlink" Target="#'Efluentes gerados na opera&#231;&#227;o'!A1"/></Relationships>
</file>

<file path=xl/drawings/_rels/drawing19.xml.rels><?xml version="1.0" encoding="UTF-8" standalone="yes"?>
<Relationships xmlns="http://schemas.openxmlformats.org/package/2006/relationships"><Relationship Id="rId8" Type="http://schemas.openxmlformats.org/officeDocument/2006/relationships/hyperlink" Target="#'Processos Industriais'!A1"/><Relationship Id="rId13" Type="http://schemas.openxmlformats.org/officeDocument/2006/relationships/hyperlink" Target="#'Res&#237;duos s&#243;lidos da opera&#231;&#227;o'!A1"/><Relationship Id="rId18" Type="http://schemas.openxmlformats.org/officeDocument/2006/relationships/hyperlink" Target="#'Convers&#227;o Unidades'!A1"/><Relationship Id="rId3" Type="http://schemas.openxmlformats.org/officeDocument/2006/relationships/hyperlink" Target="#'Combust&#227;o estacion&#225;ria'!A1"/><Relationship Id="rId21" Type="http://schemas.openxmlformats.org/officeDocument/2006/relationships/hyperlink" Target="#'Agr&#237;colas e uso do solo'!A1"/><Relationship Id="rId7" Type="http://schemas.openxmlformats.org/officeDocument/2006/relationships/hyperlink" Target="#'Emiss&#245;es Fugitivas'!A1"/><Relationship Id="rId12" Type="http://schemas.openxmlformats.org/officeDocument/2006/relationships/hyperlink" Target="#'Categorias de Ambito 3'!A1"/><Relationship Id="rId17" Type="http://schemas.openxmlformats.org/officeDocument/2006/relationships/hyperlink" Target="#Efluentes!A1"/><Relationship Id="rId2" Type="http://schemas.openxmlformats.org/officeDocument/2006/relationships/hyperlink" Target="#Introdu&#231;&#227;o!A1"/><Relationship Id="rId16" Type="http://schemas.openxmlformats.org/officeDocument/2006/relationships/hyperlink" Target="#'Transp.&amp; Distribui&#231;&#227;o(Upstream)'!A1"/><Relationship Id="rId20" Type="http://schemas.openxmlformats.org/officeDocument/2006/relationships/hyperlink" Target="#GRI!A1"/><Relationship Id="rId1" Type="http://schemas.openxmlformats.org/officeDocument/2006/relationships/image" Target="../media/image5.png"/><Relationship Id="rId6" Type="http://schemas.openxmlformats.org/officeDocument/2006/relationships/hyperlink" Target="#'Fatores de Emiss&#227;o'!A1"/><Relationship Id="rId11" Type="http://schemas.openxmlformats.org/officeDocument/2006/relationships/hyperlink" Target="#'Compra de Energia T&#233;rmica'!A1"/><Relationship Id="rId5" Type="http://schemas.openxmlformats.org/officeDocument/2006/relationships/hyperlink" Target="#Resumo!A1"/><Relationship Id="rId15" Type="http://schemas.openxmlformats.org/officeDocument/2006/relationships/hyperlink" Target="#'Transp&amp;Distribui&#231;&#227;o(Downstream)'!A1"/><Relationship Id="rId10" Type="http://schemas.openxmlformats.org/officeDocument/2006/relationships/hyperlink" Target="#'Compra de Energia El&#233;trica'!A1"/><Relationship Id="rId19" Type="http://schemas.openxmlformats.org/officeDocument/2006/relationships/hyperlink" Target="#'Viagens a Neg&#243;cios'!A1"/><Relationship Id="rId4" Type="http://schemas.openxmlformats.org/officeDocument/2006/relationships/hyperlink" Target="#'Combust&#227;o m&#243;vel'!A1"/><Relationship Id="rId9" Type="http://schemas.openxmlformats.org/officeDocument/2006/relationships/hyperlink" Target="#'Res&#237;duos S&#243;lidos'!A1"/><Relationship Id="rId14" Type="http://schemas.openxmlformats.org/officeDocument/2006/relationships/hyperlink" Target="#'Efluentes gerados na opera&#231;&#227;o'!A1"/></Relationships>
</file>

<file path=xl/drawings/_rels/drawing2.xml.rels><?xml version="1.0" encoding="UTF-8" standalone="yes"?>
<Relationships xmlns="http://schemas.openxmlformats.org/package/2006/relationships"><Relationship Id="rId8" Type="http://schemas.openxmlformats.org/officeDocument/2006/relationships/hyperlink" Target="#'Emiss&#245;es Fugitivas'!A1"/><Relationship Id="rId13" Type="http://schemas.openxmlformats.org/officeDocument/2006/relationships/hyperlink" Target="#'Categorias de Ambito 3'!A1"/><Relationship Id="rId18" Type="http://schemas.openxmlformats.org/officeDocument/2006/relationships/hyperlink" Target="#Efluentes!A1"/><Relationship Id="rId3" Type="http://schemas.openxmlformats.org/officeDocument/2006/relationships/hyperlink" Target="#Introdu&#231;&#227;o!A1"/><Relationship Id="rId21" Type="http://schemas.openxmlformats.org/officeDocument/2006/relationships/hyperlink" Target="#'Agr&#237;colas e uso do solo'!A1"/><Relationship Id="rId7" Type="http://schemas.openxmlformats.org/officeDocument/2006/relationships/hyperlink" Target="#'Fatores de Emiss&#227;o'!A1"/><Relationship Id="rId12" Type="http://schemas.openxmlformats.org/officeDocument/2006/relationships/hyperlink" Target="#'Compra de Energia T&#233;rmica'!A1"/><Relationship Id="rId17" Type="http://schemas.openxmlformats.org/officeDocument/2006/relationships/hyperlink" Target="#'Transp.&amp; Distribui&#231;&#227;o(Upstream)'!A1"/><Relationship Id="rId2" Type="http://schemas.openxmlformats.org/officeDocument/2006/relationships/image" Target="../media/image4.png"/><Relationship Id="rId16" Type="http://schemas.openxmlformats.org/officeDocument/2006/relationships/hyperlink" Target="#'Transp&amp;Distribui&#231;&#227;o(Downstream)'!A1"/><Relationship Id="rId20" Type="http://schemas.openxmlformats.org/officeDocument/2006/relationships/hyperlink" Target="#'Viagens a Neg&#243;cios'!A1"/><Relationship Id="rId1" Type="http://schemas.openxmlformats.org/officeDocument/2006/relationships/hyperlink" Target="#GRI!A1"/><Relationship Id="rId6" Type="http://schemas.openxmlformats.org/officeDocument/2006/relationships/hyperlink" Target="#Resumo!A1"/><Relationship Id="rId11" Type="http://schemas.openxmlformats.org/officeDocument/2006/relationships/hyperlink" Target="#'Compra de Energia El&#233;trica'!A1"/><Relationship Id="rId5" Type="http://schemas.openxmlformats.org/officeDocument/2006/relationships/hyperlink" Target="#'Combust&#227;o m&#243;vel'!A1"/><Relationship Id="rId15" Type="http://schemas.openxmlformats.org/officeDocument/2006/relationships/hyperlink" Target="#'Efluentes gerados na opera&#231;&#227;o'!A1"/><Relationship Id="rId10" Type="http://schemas.openxmlformats.org/officeDocument/2006/relationships/hyperlink" Target="#'Res&#237;duos S&#243;lidos'!A1"/><Relationship Id="rId19" Type="http://schemas.openxmlformats.org/officeDocument/2006/relationships/hyperlink" Target="#'Convers&#227;o Unidades'!A1"/><Relationship Id="rId4" Type="http://schemas.openxmlformats.org/officeDocument/2006/relationships/hyperlink" Target="#'Combust&#227;o estacion&#225;ria'!A1"/><Relationship Id="rId9" Type="http://schemas.openxmlformats.org/officeDocument/2006/relationships/hyperlink" Target="#'Processos Industriais'!A1"/><Relationship Id="rId14" Type="http://schemas.openxmlformats.org/officeDocument/2006/relationships/hyperlink" Target="#'Res&#237;duos s&#243;lidos da opera&#231;&#227;o'!A1"/></Relationships>
</file>

<file path=xl/drawings/_rels/drawing20.xml.rels><?xml version="1.0" encoding="UTF-8" standalone="yes"?>
<Relationships xmlns="http://schemas.openxmlformats.org/package/2006/relationships"><Relationship Id="rId8" Type="http://schemas.openxmlformats.org/officeDocument/2006/relationships/hyperlink" Target="#'Processos Industriais'!A1"/><Relationship Id="rId13" Type="http://schemas.openxmlformats.org/officeDocument/2006/relationships/hyperlink" Target="#'Res&#237;duos s&#243;lidos da opera&#231;&#227;o'!A1"/><Relationship Id="rId18" Type="http://schemas.openxmlformats.org/officeDocument/2006/relationships/hyperlink" Target="#'Convers&#227;o Unidades'!A1"/><Relationship Id="rId3" Type="http://schemas.openxmlformats.org/officeDocument/2006/relationships/hyperlink" Target="#'Combust&#227;o estacion&#225;ria'!A1"/><Relationship Id="rId21" Type="http://schemas.openxmlformats.org/officeDocument/2006/relationships/hyperlink" Target="#'Agr&#237;colas e uso do solo'!A1"/><Relationship Id="rId7" Type="http://schemas.openxmlformats.org/officeDocument/2006/relationships/hyperlink" Target="#'Emiss&#245;es Fugitivas'!A1"/><Relationship Id="rId12" Type="http://schemas.openxmlformats.org/officeDocument/2006/relationships/hyperlink" Target="#'Categorias de Ambito 3'!A1"/><Relationship Id="rId17" Type="http://schemas.openxmlformats.org/officeDocument/2006/relationships/hyperlink" Target="#Efluentes!A1"/><Relationship Id="rId2" Type="http://schemas.openxmlformats.org/officeDocument/2006/relationships/hyperlink" Target="#Introdu&#231;&#227;o!A1"/><Relationship Id="rId16" Type="http://schemas.openxmlformats.org/officeDocument/2006/relationships/hyperlink" Target="#'Transp.&amp; Distribui&#231;&#227;o(Upstream)'!A1"/><Relationship Id="rId20" Type="http://schemas.openxmlformats.org/officeDocument/2006/relationships/hyperlink" Target="#GRI!A1"/><Relationship Id="rId1" Type="http://schemas.openxmlformats.org/officeDocument/2006/relationships/image" Target="../media/image5.png"/><Relationship Id="rId6" Type="http://schemas.openxmlformats.org/officeDocument/2006/relationships/hyperlink" Target="#'Fatores de Emiss&#227;o'!A1"/><Relationship Id="rId11" Type="http://schemas.openxmlformats.org/officeDocument/2006/relationships/hyperlink" Target="#'Compra de Energia T&#233;rmica'!A1"/><Relationship Id="rId5" Type="http://schemas.openxmlformats.org/officeDocument/2006/relationships/hyperlink" Target="#Resumo!A1"/><Relationship Id="rId15" Type="http://schemas.openxmlformats.org/officeDocument/2006/relationships/hyperlink" Target="#'Transp&amp;Distribui&#231;&#227;o(Downstream)'!A1"/><Relationship Id="rId10" Type="http://schemas.openxmlformats.org/officeDocument/2006/relationships/hyperlink" Target="#'Compra de Energia El&#233;trica'!A1"/><Relationship Id="rId19" Type="http://schemas.openxmlformats.org/officeDocument/2006/relationships/hyperlink" Target="#'Viagens a Neg&#243;cios'!A1"/><Relationship Id="rId4" Type="http://schemas.openxmlformats.org/officeDocument/2006/relationships/hyperlink" Target="#'Combust&#227;o m&#243;vel'!A1"/><Relationship Id="rId9" Type="http://schemas.openxmlformats.org/officeDocument/2006/relationships/hyperlink" Target="#'Res&#237;duos S&#243;lidos'!A1"/><Relationship Id="rId14" Type="http://schemas.openxmlformats.org/officeDocument/2006/relationships/hyperlink" Target="#'Efluentes gerados na opera&#231;&#227;o'!A1"/></Relationships>
</file>

<file path=xl/drawings/_rels/drawing21.xml.rels><?xml version="1.0" encoding="UTF-8" standalone="yes"?>
<Relationships xmlns="http://schemas.openxmlformats.org/package/2006/relationships"><Relationship Id="rId8" Type="http://schemas.openxmlformats.org/officeDocument/2006/relationships/hyperlink" Target="#'Emiss&#245;es Fugitivas'!A1"/><Relationship Id="rId13" Type="http://schemas.openxmlformats.org/officeDocument/2006/relationships/hyperlink" Target="#'Categorias de Ambito 3'!A1"/><Relationship Id="rId18" Type="http://schemas.openxmlformats.org/officeDocument/2006/relationships/hyperlink" Target="#Efluentes!A1"/><Relationship Id="rId3" Type="http://schemas.openxmlformats.org/officeDocument/2006/relationships/hyperlink" Target="#Introdu&#231;&#227;o!A1"/><Relationship Id="rId21" Type="http://schemas.openxmlformats.org/officeDocument/2006/relationships/hyperlink" Target="#GRI!A1"/><Relationship Id="rId7" Type="http://schemas.openxmlformats.org/officeDocument/2006/relationships/hyperlink" Target="#'Fatores de Emiss&#227;o'!A1"/><Relationship Id="rId12" Type="http://schemas.openxmlformats.org/officeDocument/2006/relationships/hyperlink" Target="#'Compra de Energia T&#233;rmica'!A1"/><Relationship Id="rId17" Type="http://schemas.openxmlformats.org/officeDocument/2006/relationships/hyperlink" Target="#'Transp.&amp; Distribui&#231;&#227;o(Upstream)'!A1"/><Relationship Id="rId2" Type="http://schemas.openxmlformats.org/officeDocument/2006/relationships/image" Target="../media/image5.png"/><Relationship Id="rId16" Type="http://schemas.openxmlformats.org/officeDocument/2006/relationships/hyperlink" Target="#'Transp&amp;Distribui&#231;&#227;o(Downstream)'!A1"/><Relationship Id="rId20" Type="http://schemas.openxmlformats.org/officeDocument/2006/relationships/hyperlink" Target="#'Viagens a Neg&#243;cios'!A1"/><Relationship Id="rId1" Type="http://schemas.openxmlformats.org/officeDocument/2006/relationships/hyperlink" Target="#'Fatores de Emiss&#227;o'!X24"/><Relationship Id="rId6" Type="http://schemas.openxmlformats.org/officeDocument/2006/relationships/hyperlink" Target="#Resumo!A1"/><Relationship Id="rId11" Type="http://schemas.openxmlformats.org/officeDocument/2006/relationships/hyperlink" Target="#'Compra de Energia El&#233;trica'!A1"/><Relationship Id="rId5" Type="http://schemas.openxmlformats.org/officeDocument/2006/relationships/hyperlink" Target="#'Combust&#227;o m&#243;vel'!A1"/><Relationship Id="rId15" Type="http://schemas.openxmlformats.org/officeDocument/2006/relationships/hyperlink" Target="#'Efluentes gerados na opera&#231;&#227;o'!A1"/><Relationship Id="rId10" Type="http://schemas.openxmlformats.org/officeDocument/2006/relationships/hyperlink" Target="#'Res&#237;duos S&#243;lidos'!A1"/><Relationship Id="rId19" Type="http://schemas.openxmlformats.org/officeDocument/2006/relationships/hyperlink" Target="#'Convers&#227;o Unidades'!A1"/><Relationship Id="rId4" Type="http://schemas.openxmlformats.org/officeDocument/2006/relationships/hyperlink" Target="#'Combust&#227;o estacion&#225;ria'!A1"/><Relationship Id="rId9" Type="http://schemas.openxmlformats.org/officeDocument/2006/relationships/hyperlink" Target="#'Processos Industriais'!A1"/><Relationship Id="rId14" Type="http://schemas.openxmlformats.org/officeDocument/2006/relationships/hyperlink" Target="#'Res&#237;duos s&#243;lidos da opera&#231;&#227;o'!A1"/><Relationship Id="rId22" Type="http://schemas.openxmlformats.org/officeDocument/2006/relationships/hyperlink" Target="#'Agr&#237;colas e uso do solo'!A1"/></Relationships>
</file>

<file path=xl/drawings/_rels/drawing22.xml.rels><?xml version="1.0" encoding="UTF-8" standalone="yes"?>
<Relationships xmlns="http://schemas.openxmlformats.org/package/2006/relationships"><Relationship Id="rId8" Type="http://schemas.openxmlformats.org/officeDocument/2006/relationships/hyperlink" Target="#'Processos Industriais'!A1"/><Relationship Id="rId13" Type="http://schemas.openxmlformats.org/officeDocument/2006/relationships/hyperlink" Target="#'Res&#237;duos s&#243;lidos da opera&#231;&#227;o'!A1"/><Relationship Id="rId18" Type="http://schemas.openxmlformats.org/officeDocument/2006/relationships/hyperlink" Target="#'Convers&#227;o Unidades'!A1"/><Relationship Id="rId3" Type="http://schemas.openxmlformats.org/officeDocument/2006/relationships/hyperlink" Target="#'Combust&#227;o estacion&#225;ria'!A1"/><Relationship Id="rId21" Type="http://schemas.openxmlformats.org/officeDocument/2006/relationships/hyperlink" Target="#'Agr&#237;colas e uso do solo'!A1"/><Relationship Id="rId7" Type="http://schemas.openxmlformats.org/officeDocument/2006/relationships/hyperlink" Target="#'Emiss&#245;es Fugitivas'!A1"/><Relationship Id="rId12" Type="http://schemas.openxmlformats.org/officeDocument/2006/relationships/hyperlink" Target="#'Categorias de Ambito 3'!A1"/><Relationship Id="rId17" Type="http://schemas.openxmlformats.org/officeDocument/2006/relationships/hyperlink" Target="#Efluentes!A1"/><Relationship Id="rId2" Type="http://schemas.openxmlformats.org/officeDocument/2006/relationships/hyperlink" Target="#Introdu&#231;&#227;o!A1"/><Relationship Id="rId16" Type="http://schemas.openxmlformats.org/officeDocument/2006/relationships/hyperlink" Target="#'Transp.&amp; Distribui&#231;&#227;o(Upstream)'!A1"/><Relationship Id="rId20" Type="http://schemas.openxmlformats.org/officeDocument/2006/relationships/hyperlink" Target="#GRI!A1"/><Relationship Id="rId1" Type="http://schemas.openxmlformats.org/officeDocument/2006/relationships/image" Target="../media/image5.png"/><Relationship Id="rId6" Type="http://schemas.openxmlformats.org/officeDocument/2006/relationships/hyperlink" Target="#'Fatores de Emiss&#227;o'!A1"/><Relationship Id="rId11" Type="http://schemas.openxmlformats.org/officeDocument/2006/relationships/hyperlink" Target="#'Compra de Energia T&#233;rmica'!A1"/><Relationship Id="rId5" Type="http://schemas.openxmlformats.org/officeDocument/2006/relationships/hyperlink" Target="#Resumo!A1"/><Relationship Id="rId15" Type="http://schemas.openxmlformats.org/officeDocument/2006/relationships/hyperlink" Target="#'Transp&amp;Distribui&#231;&#227;o(Downstream)'!A1"/><Relationship Id="rId10" Type="http://schemas.openxmlformats.org/officeDocument/2006/relationships/hyperlink" Target="#'Compra de Energia El&#233;trica'!A1"/><Relationship Id="rId19" Type="http://schemas.openxmlformats.org/officeDocument/2006/relationships/hyperlink" Target="#'Viagens a Neg&#243;cios'!A1"/><Relationship Id="rId4" Type="http://schemas.openxmlformats.org/officeDocument/2006/relationships/hyperlink" Target="#'Combust&#227;o m&#243;vel'!A1"/><Relationship Id="rId9" Type="http://schemas.openxmlformats.org/officeDocument/2006/relationships/hyperlink" Target="#'Res&#237;duos S&#243;lidos'!A1"/><Relationship Id="rId14" Type="http://schemas.openxmlformats.org/officeDocument/2006/relationships/hyperlink" Target="#'Efluentes gerados na opera&#231;&#227;o'!A1"/></Relationships>
</file>

<file path=xl/drawings/_rels/drawing3.xml.rels><?xml version="1.0" encoding="UTF-8" standalone="yes"?>
<Relationships xmlns="http://schemas.openxmlformats.org/package/2006/relationships"><Relationship Id="rId8" Type="http://schemas.openxmlformats.org/officeDocument/2006/relationships/hyperlink" Target="#'Emiss&#245;es Fugitivas'!A1"/><Relationship Id="rId13" Type="http://schemas.openxmlformats.org/officeDocument/2006/relationships/hyperlink" Target="#'Categorias de Ambito 3'!A1"/><Relationship Id="rId18" Type="http://schemas.openxmlformats.org/officeDocument/2006/relationships/hyperlink" Target="#Efluentes!A1"/><Relationship Id="rId3" Type="http://schemas.openxmlformats.org/officeDocument/2006/relationships/hyperlink" Target="#Introdu&#231;&#227;o!A1"/><Relationship Id="rId21" Type="http://schemas.openxmlformats.org/officeDocument/2006/relationships/hyperlink" Target="#'Agr&#237;colas e uso do solo'!A1"/><Relationship Id="rId7" Type="http://schemas.openxmlformats.org/officeDocument/2006/relationships/hyperlink" Target="#'Fatores de Emiss&#227;o'!A1"/><Relationship Id="rId12" Type="http://schemas.openxmlformats.org/officeDocument/2006/relationships/hyperlink" Target="#'Compra de Energia T&#233;rmica'!A1"/><Relationship Id="rId17" Type="http://schemas.openxmlformats.org/officeDocument/2006/relationships/hyperlink" Target="#'Transp.&amp; Distribui&#231;&#227;o(Upstream)'!A1"/><Relationship Id="rId2" Type="http://schemas.openxmlformats.org/officeDocument/2006/relationships/image" Target="../media/image5.png"/><Relationship Id="rId16" Type="http://schemas.openxmlformats.org/officeDocument/2006/relationships/hyperlink" Target="#'Transp&amp;Distribui&#231;&#227;o(Downstream)'!A1"/><Relationship Id="rId20" Type="http://schemas.openxmlformats.org/officeDocument/2006/relationships/hyperlink" Target="#'Viagens a Neg&#243;cios'!A1"/><Relationship Id="rId1" Type="http://schemas.openxmlformats.org/officeDocument/2006/relationships/hyperlink" Target="#GRI!A1"/><Relationship Id="rId6" Type="http://schemas.openxmlformats.org/officeDocument/2006/relationships/hyperlink" Target="#Resumo!A1"/><Relationship Id="rId11" Type="http://schemas.openxmlformats.org/officeDocument/2006/relationships/hyperlink" Target="#'Compra de Energia El&#233;trica'!A1"/><Relationship Id="rId5" Type="http://schemas.openxmlformats.org/officeDocument/2006/relationships/hyperlink" Target="#'Combust&#227;o m&#243;vel'!A1"/><Relationship Id="rId15" Type="http://schemas.openxmlformats.org/officeDocument/2006/relationships/hyperlink" Target="#'Efluentes gerados na opera&#231;&#227;o'!A1"/><Relationship Id="rId10" Type="http://schemas.openxmlformats.org/officeDocument/2006/relationships/hyperlink" Target="#'Res&#237;duos S&#243;lidos'!A1"/><Relationship Id="rId19" Type="http://schemas.openxmlformats.org/officeDocument/2006/relationships/hyperlink" Target="#'Convers&#227;o Unidades'!A1"/><Relationship Id="rId4" Type="http://schemas.openxmlformats.org/officeDocument/2006/relationships/hyperlink" Target="#'Combust&#227;o estacion&#225;ria'!A1"/><Relationship Id="rId9" Type="http://schemas.openxmlformats.org/officeDocument/2006/relationships/hyperlink" Target="#'Processos Industriais'!A1"/><Relationship Id="rId14" Type="http://schemas.openxmlformats.org/officeDocument/2006/relationships/hyperlink" Target="#'Res&#237;duos s&#243;lidos da opera&#231;&#227;o'!A1"/></Relationships>
</file>

<file path=xl/drawings/_rels/drawing4.xml.rels><?xml version="1.0" encoding="UTF-8" standalone="yes"?>
<Relationships xmlns="http://schemas.openxmlformats.org/package/2006/relationships"><Relationship Id="rId8" Type="http://schemas.openxmlformats.org/officeDocument/2006/relationships/hyperlink" Target="#'Emiss&#245;es Fugitivas'!A1"/><Relationship Id="rId13" Type="http://schemas.openxmlformats.org/officeDocument/2006/relationships/hyperlink" Target="#'Categorias de Ambito 3'!A1"/><Relationship Id="rId18" Type="http://schemas.openxmlformats.org/officeDocument/2006/relationships/hyperlink" Target="#Efluentes!A1"/><Relationship Id="rId3" Type="http://schemas.openxmlformats.org/officeDocument/2006/relationships/hyperlink" Target="#Introdu&#231;&#227;o!A1"/><Relationship Id="rId21" Type="http://schemas.openxmlformats.org/officeDocument/2006/relationships/hyperlink" Target="#'Agr&#237;colas e uso do solo'!A1"/><Relationship Id="rId7" Type="http://schemas.openxmlformats.org/officeDocument/2006/relationships/hyperlink" Target="#'Fatores de Emiss&#227;o'!A1"/><Relationship Id="rId12" Type="http://schemas.openxmlformats.org/officeDocument/2006/relationships/hyperlink" Target="#'Compra de Energia T&#233;rmica'!A1"/><Relationship Id="rId17" Type="http://schemas.openxmlformats.org/officeDocument/2006/relationships/hyperlink" Target="#'Transp.&amp; Distribui&#231;&#227;o(Upstream)'!A1"/><Relationship Id="rId2" Type="http://schemas.openxmlformats.org/officeDocument/2006/relationships/hyperlink" Target="#GRI!A1"/><Relationship Id="rId16" Type="http://schemas.openxmlformats.org/officeDocument/2006/relationships/hyperlink" Target="#'Transp&amp;Distribui&#231;&#227;o(Downstream)'!A1"/><Relationship Id="rId20" Type="http://schemas.openxmlformats.org/officeDocument/2006/relationships/hyperlink" Target="#'Viagens a Neg&#243;cios'!A1"/><Relationship Id="rId1" Type="http://schemas.openxmlformats.org/officeDocument/2006/relationships/image" Target="../media/image5.png"/><Relationship Id="rId6" Type="http://schemas.openxmlformats.org/officeDocument/2006/relationships/hyperlink" Target="#Resumo!A1"/><Relationship Id="rId11" Type="http://schemas.openxmlformats.org/officeDocument/2006/relationships/hyperlink" Target="#'Compra de Energia El&#233;trica'!A1"/><Relationship Id="rId5" Type="http://schemas.openxmlformats.org/officeDocument/2006/relationships/hyperlink" Target="#'Combust&#227;o m&#243;vel'!A1"/><Relationship Id="rId15" Type="http://schemas.openxmlformats.org/officeDocument/2006/relationships/hyperlink" Target="#'Efluentes gerados na opera&#231;&#227;o'!A1"/><Relationship Id="rId10" Type="http://schemas.openxmlformats.org/officeDocument/2006/relationships/hyperlink" Target="#'Res&#237;duos S&#243;lidos'!A1"/><Relationship Id="rId19" Type="http://schemas.openxmlformats.org/officeDocument/2006/relationships/hyperlink" Target="#'Convers&#227;o Unidades'!A1"/><Relationship Id="rId4" Type="http://schemas.openxmlformats.org/officeDocument/2006/relationships/hyperlink" Target="#'Combust&#227;o estacion&#225;ria'!A1"/><Relationship Id="rId9" Type="http://schemas.openxmlformats.org/officeDocument/2006/relationships/hyperlink" Target="#'Processos Industriais'!A1"/><Relationship Id="rId14" Type="http://schemas.openxmlformats.org/officeDocument/2006/relationships/hyperlink" Target="#'Res&#237;duos s&#243;lidos da opera&#231;&#227;o'!A1"/></Relationships>
</file>

<file path=xl/drawings/_rels/drawing5.xml.rels><?xml version="1.0" encoding="UTF-8" standalone="yes"?>
<Relationships xmlns="http://schemas.openxmlformats.org/package/2006/relationships"><Relationship Id="rId8" Type="http://schemas.openxmlformats.org/officeDocument/2006/relationships/hyperlink" Target="#'Emiss&#245;es Fugitivas'!A1"/><Relationship Id="rId13" Type="http://schemas.openxmlformats.org/officeDocument/2006/relationships/hyperlink" Target="#'Categorias de Ambito 3'!A1"/><Relationship Id="rId18" Type="http://schemas.openxmlformats.org/officeDocument/2006/relationships/hyperlink" Target="#Efluentes!A1"/><Relationship Id="rId3" Type="http://schemas.openxmlformats.org/officeDocument/2006/relationships/hyperlink" Target="#Introdu&#231;&#227;o!A1"/><Relationship Id="rId21" Type="http://schemas.openxmlformats.org/officeDocument/2006/relationships/hyperlink" Target="#'Agr&#237;colas e uso do solo'!A1"/><Relationship Id="rId7" Type="http://schemas.openxmlformats.org/officeDocument/2006/relationships/hyperlink" Target="#'Fatores de Emiss&#227;o'!A1"/><Relationship Id="rId12" Type="http://schemas.openxmlformats.org/officeDocument/2006/relationships/hyperlink" Target="#'Compra de Energia T&#233;rmica'!A1"/><Relationship Id="rId17" Type="http://schemas.openxmlformats.org/officeDocument/2006/relationships/hyperlink" Target="#'Transp.&amp; Distribui&#231;&#227;o(Upstream)'!A1"/><Relationship Id="rId2" Type="http://schemas.openxmlformats.org/officeDocument/2006/relationships/hyperlink" Target="#GRI!A1"/><Relationship Id="rId16" Type="http://schemas.openxmlformats.org/officeDocument/2006/relationships/hyperlink" Target="#'Transp&amp;Distribui&#231;&#227;o(Downstream)'!A1"/><Relationship Id="rId20" Type="http://schemas.openxmlformats.org/officeDocument/2006/relationships/hyperlink" Target="#'Viagens a Neg&#243;cios'!A1"/><Relationship Id="rId1" Type="http://schemas.openxmlformats.org/officeDocument/2006/relationships/image" Target="../media/image5.png"/><Relationship Id="rId6" Type="http://schemas.openxmlformats.org/officeDocument/2006/relationships/hyperlink" Target="#Resumo!A1"/><Relationship Id="rId11" Type="http://schemas.openxmlformats.org/officeDocument/2006/relationships/hyperlink" Target="#'Compra de Energia El&#233;trica'!A1"/><Relationship Id="rId5" Type="http://schemas.openxmlformats.org/officeDocument/2006/relationships/hyperlink" Target="#'Combust&#227;o m&#243;vel'!A1"/><Relationship Id="rId15" Type="http://schemas.openxmlformats.org/officeDocument/2006/relationships/hyperlink" Target="#'Efluentes gerados na opera&#231;&#227;o'!A1"/><Relationship Id="rId10" Type="http://schemas.openxmlformats.org/officeDocument/2006/relationships/hyperlink" Target="#'Res&#237;duos S&#243;lidos'!A1"/><Relationship Id="rId19" Type="http://schemas.openxmlformats.org/officeDocument/2006/relationships/hyperlink" Target="#'Convers&#227;o Unidades'!A1"/><Relationship Id="rId4" Type="http://schemas.openxmlformats.org/officeDocument/2006/relationships/hyperlink" Target="#'Combust&#227;o estacion&#225;ria'!A1"/><Relationship Id="rId9" Type="http://schemas.openxmlformats.org/officeDocument/2006/relationships/hyperlink" Target="#'Processos Industriais'!A1"/><Relationship Id="rId14" Type="http://schemas.openxmlformats.org/officeDocument/2006/relationships/hyperlink" Target="#'Res&#237;duos s&#243;lidos da opera&#231;&#227;o'!A1"/></Relationships>
</file>

<file path=xl/drawings/_rels/drawing6.xml.rels><?xml version="1.0" encoding="UTF-8" standalone="yes"?>
<Relationships xmlns="http://schemas.openxmlformats.org/package/2006/relationships"><Relationship Id="rId8" Type="http://schemas.openxmlformats.org/officeDocument/2006/relationships/hyperlink" Target="#'Emiss&#245;es Fugitivas'!A1"/><Relationship Id="rId13" Type="http://schemas.openxmlformats.org/officeDocument/2006/relationships/hyperlink" Target="#'Categorias de Ambito 3'!A1"/><Relationship Id="rId18" Type="http://schemas.openxmlformats.org/officeDocument/2006/relationships/hyperlink" Target="#Efluentes!A1"/><Relationship Id="rId3" Type="http://schemas.openxmlformats.org/officeDocument/2006/relationships/hyperlink" Target="#Introdu&#231;&#227;o!A1"/><Relationship Id="rId21" Type="http://schemas.openxmlformats.org/officeDocument/2006/relationships/hyperlink" Target="#'Agr&#237;colas e uso do solo'!A1"/><Relationship Id="rId7" Type="http://schemas.openxmlformats.org/officeDocument/2006/relationships/hyperlink" Target="#'Fatores de Emiss&#227;o'!A1"/><Relationship Id="rId12" Type="http://schemas.openxmlformats.org/officeDocument/2006/relationships/hyperlink" Target="#'Compra de Energia T&#233;rmica'!A1"/><Relationship Id="rId17" Type="http://schemas.openxmlformats.org/officeDocument/2006/relationships/hyperlink" Target="#'Transp.&amp; Distribui&#231;&#227;o(Upstream)'!A1"/><Relationship Id="rId2" Type="http://schemas.openxmlformats.org/officeDocument/2006/relationships/hyperlink" Target="#GRI!A1"/><Relationship Id="rId16" Type="http://schemas.openxmlformats.org/officeDocument/2006/relationships/hyperlink" Target="#'Transp&amp;Distribui&#231;&#227;o(Downstream)'!A1"/><Relationship Id="rId20" Type="http://schemas.openxmlformats.org/officeDocument/2006/relationships/hyperlink" Target="#'Viagens a Neg&#243;cios'!A1"/><Relationship Id="rId1" Type="http://schemas.openxmlformats.org/officeDocument/2006/relationships/image" Target="../media/image5.png"/><Relationship Id="rId6" Type="http://schemas.openxmlformats.org/officeDocument/2006/relationships/hyperlink" Target="#Resumo!A1"/><Relationship Id="rId11" Type="http://schemas.openxmlformats.org/officeDocument/2006/relationships/hyperlink" Target="#'Compra de Energia El&#233;trica'!A1"/><Relationship Id="rId5" Type="http://schemas.openxmlformats.org/officeDocument/2006/relationships/hyperlink" Target="#'Combust&#227;o m&#243;vel'!A1"/><Relationship Id="rId15" Type="http://schemas.openxmlformats.org/officeDocument/2006/relationships/hyperlink" Target="#'Efluentes gerados na opera&#231;&#227;o'!A1"/><Relationship Id="rId10" Type="http://schemas.openxmlformats.org/officeDocument/2006/relationships/hyperlink" Target="#'Res&#237;duos S&#243;lidos'!A1"/><Relationship Id="rId19" Type="http://schemas.openxmlformats.org/officeDocument/2006/relationships/hyperlink" Target="#'Convers&#227;o Unidades'!A1"/><Relationship Id="rId4" Type="http://schemas.openxmlformats.org/officeDocument/2006/relationships/hyperlink" Target="#'Combust&#227;o estacion&#225;ria'!A1"/><Relationship Id="rId9" Type="http://schemas.openxmlformats.org/officeDocument/2006/relationships/hyperlink" Target="#'Processos Industriais'!A1"/><Relationship Id="rId14" Type="http://schemas.openxmlformats.org/officeDocument/2006/relationships/hyperlink" Target="#'Res&#237;duos s&#243;lidos da opera&#231;&#227;o'!A1"/></Relationships>
</file>

<file path=xl/drawings/_rels/drawing7.xml.rels><?xml version="1.0" encoding="UTF-8" standalone="yes"?>
<Relationships xmlns="http://schemas.openxmlformats.org/package/2006/relationships"><Relationship Id="rId8" Type="http://schemas.openxmlformats.org/officeDocument/2006/relationships/hyperlink" Target="#'Emiss&#245;es Fugitivas'!A1"/><Relationship Id="rId13" Type="http://schemas.openxmlformats.org/officeDocument/2006/relationships/hyperlink" Target="#'Categorias de Ambito 3'!A1"/><Relationship Id="rId18" Type="http://schemas.openxmlformats.org/officeDocument/2006/relationships/hyperlink" Target="#Efluentes!A1"/><Relationship Id="rId3" Type="http://schemas.openxmlformats.org/officeDocument/2006/relationships/hyperlink" Target="#Introdu&#231;&#227;o!A1"/><Relationship Id="rId21" Type="http://schemas.openxmlformats.org/officeDocument/2006/relationships/hyperlink" Target="#'Agr&#237;colas e uso do solo'!A1"/><Relationship Id="rId7" Type="http://schemas.openxmlformats.org/officeDocument/2006/relationships/hyperlink" Target="#'Fatores de Emiss&#227;o'!A1"/><Relationship Id="rId12" Type="http://schemas.openxmlformats.org/officeDocument/2006/relationships/hyperlink" Target="#'Compra de Energia T&#233;rmica'!A1"/><Relationship Id="rId17" Type="http://schemas.openxmlformats.org/officeDocument/2006/relationships/hyperlink" Target="#'Transp.&amp; Distribui&#231;&#227;o(Upstream)'!A1"/><Relationship Id="rId2" Type="http://schemas.openxmlformats.org/officeDocument/2006/relationships/hyperlink" Target="#GRI!A1"/><Relationship Id="rId16" Type="http://schemas.openxmlformats.org/officeDocument/2006/relationships/hyperlink" Target="#'Transp&amp;Distribui&#231;&#227;o(Downstream)'!A1"/><Relationship Id="rId20" Type="http://schemas.openxmlformats.org/officeDocument/2006/relationships/hyperlink" Target="#'Viagens a Neg&#243;cios'!A1"/><Relationship Id="rId1" Type="http://schemas.openxmlformats.org/officeDocument/2006/relationships/image" Target="../media/image5.png"/><Relationship Id="rId6" Type="http://schemas.openxmlformats.org/officeDocument/2006/relationships/hyperlink" Target="#Resumo!A1"/><Relationship Id="rId11" Type="http://schemas.openxmlformats.org/officeDocument/2006/relationships/hyperlink" Target="#'Compra de Energia El&#233;trica'!A1"/><Relationship Id="rId5" Type="http://schemas.openxmlformats.org/officeDocument/2006/relationships/hyperlink" Target="#'Combust&#227;o m&#243;vel'!A1"/><Relationship Id="rId15" Type="http://schemas.openxmlformats.org/officeDocument/2006/relationships/hyperlink" Target="#'Efluentes gerados na opera&#231;&#227;o'!A1"/><Relationship Id="rId10" Type="http://schemas.openxmlformats.org/officeDocument/2006/relationships/hyperlink" Target="#'Res&#237;duos S&#243;lidos'!A1"/><Relationship Id="rId19" Type="http://schemas.openxmlformats.org/officeDocument/2006/relationships/hyperlink" Target="#'Convers&#227;o Unidades'!A1"/><Relationship Id="rId4" Type="http://schemas.openxmlformats.org/officeDocument/2006/relationships/hyperlink" Target="#'Combust&#227;o estacion&#225;ria'!A1"/><Relationship Id="rId9" Type="http://schemas.openxmlformats.org/officeDocument/2006/relationships/hyperlink" Target="#'Processos Industriais'!A1"/><Relationship Id="rId14" Type="http://schemas.openxmlformats.org/officeDocument/2006/relationships/hyperlink" Target="#'Res&#237;duos s&#243;lidos da opera&#231;&#227;o'!A1"/></Relationships>
</file>

<file path=xl/drawings/_rels/drawing8.xml.rels><?xml version="1.0" encoding="UTF-8" standalone="yes"?>
<Relationships xmlns="http://schemas.openxmlformats.org/package/2006/relationships"><Relationship Id="rId8" Type="http://schemas.openxmlformats.org/officeDocument/2006/relationships/hyperlink" Target="#'Emiss&#245;es Fugitivas'!A1"/><Relationship Id="rId13" Type="http://schemas.openxmlformats.org/officeDocument/2006/relationships/hyperlink" Target="#'Categorias de Ambito 3'!A1"/><Relationship Id="rId18" Type="http://schemas.openxmlformats.org/officeDocument/2006/relationships/hyperlink" Target="#Efluentes!A1"/><Relationship Id="rId3" Type="http://schemas.openxmlformats.org/officeDocument/2006/relationships/hyperlink" Target="#Introdu&#231;&#227;o!A1"/><Relationship Id="rId21" Type="http://schemas.openxmlformats.org/officeDocument/2006/relationships/hyperlink" Target="#'Agr&#237;colas e uso do solo'!A1"/><Relationship Id="rId7" Type="http://schemas.openxmlformats.org/officeDocument/2006/relationships/hyperlink" Target="#'Fatores de Emiss&#227;o'!A1"/><Relationship Id="rId12" Type="http://schemas.openxmlformats.org/officeDocument/2006/relationships/hyperlink" Target="#'Compra de Energia T&#233;rmica'!A1"/><Relationship Id="rId17" Type="http://schemas.openxmlformats.org/officeDocument/2006/relationships/hyperlink" Target="#'Transp.&amp; Distribui&#231;&#227;o(Upstream)'!A1"/><Relationship Id="rId2" Type="http://schemas.openxmlformats.org/officeDocument/2006/relationships/hyperlink" Target="#GRI!A1"/><Relationship Id="rId16" Type="http://schemas.openxmlformats.org/officeDocument/2006/relationships/hyperlink" Target="#'Transp&amp;Distribui&#231;&#227;o(Downstream)'!A1"/><Relationship Id="rId20" Type="http://schemas.openxmlformats.org/officeDocument/2006/relationships/hyperlink" Target="#'Viagens a Neg&#243;cios'!A1"/><Relationship Id="rId1" Type="http://schemas.openxmlformats.org/officeDocument/2006/relationships/image" Target="../media/image5.png"/><Relationship Id="rId6" Type="http://schemas.openxmlformats.org/officeDocument/2006/relationships/hyperlink" Target="#Resumo!A1"/><Relationship Id="rId11" Type="http://schemas.openxmlformats.org/officeDocument/2006/relationships/hyperlink" Target="#'Compra de Energia El&#233;trica'!A1"/><Relationship Id="rId5" Type="http://schemas.openxmlformats.org/officeDocument/2006/relationships/hyperlink" Target="#'Combust&#227;o m&#243;vel'!A1"/><Relationship Id="rId15" Type="http://schemas.openxmlformats.org/officeDocument/2006/relationships/hyperlink" Target="#'Efluentes gerados na opera&#231;&#227;o'!A1"/><Relationship Id="rId10" Type="http://schemas.openxmlformats.org/officeDocument/2006/relationships/hyperlink" Target="#'Res&#237;duos S&#243;lidos'!A1"/><Relationship Id="rId19" Type="http://schemas.openxmlformats.org/officeDocument/2006/relationships/hyperlink" Target="#'Convers&#227;o Unidades'!A1"/><Relationship Id="rId4" Type="http://schemas.openxmlformats.org/officeDocument/2006/relationships/hyperlink" Target="#'Combust&#227;o estacion&#225;ria'!A1"/><Relationship Id="rId9" Type="http://schemas.openxmlformats.org/officeDocument/2006/relationships/hyperlink" Target="#'Processos Industriais'!A1"/><Relationship Id="rId14" Type="http://schemas.openxmlformats.org/officeDocument/2006/relationships/hyperlink" Target="#'Res&#237;duos s&#243;lidos da opera&#231;&#227;o'!A1"/></Relationships>
</file>

<file path=xl/drawings/_rels/drawing9.xml.rels><?xml version="1.0" encoding="UTF-8" standalone="yes"?>
<Relationships xmlns="http://schemas.openxmlformats.org/package/2006/relationships"><Relationship Id="rId8" Type="http://schemas.openxmlformats.org/officeDocument/2006/relationships/hyperlink" Target="#'Emiss&#245;es Fugitivas'!A1"/><Relationship Id="rId13" Type="http://schemas.openxmlformats.org/officeDocument/2006/relationships/hyperlink" Target="#'Categorias de Ambito 3'!A1"/><Relationship Id="rId18" Type="http://schemas.openxmlformats.org/officeDocument/2006/relationships/hyperlink" Target="#Efluentes!A1"/><Relationship Id="rId3" Type="http://schemas.openxmlformats.org/officeDocument/2006/relationships/hyperlink" Target="#Introdu&#231;&#227;o!A1"/><Relationship Id="rId21" Type="http://schemas.openxmlformats.org/officeDocument/2006/relationships/hyperlink" Target="#'Agr&#237;colas e uso do solo'!A1"/><Relationship Id="rId7" Type="http://schemas.openxmlformats.org/officeDocument/2006/relationships/hyperlink" Target="#'Fatores de Emiss&#227;o'!A1"/><Relationship Id="rId12" Type="http://schemas.openxmlformats.org/officeDocument/2006/relationships/hyperlink" Target="#'Compra de Energia T&#233;rmica'!A1"/><Relationship Id="rId17" Type="http://schemas.openxmlformats.org/officeDocument/2006/relationships/hyperlink" Target="#'Transp.&amp; Distribui&#231;&#227;o(Upstream)'!A1"/><Relationship Id="rId2" Type="http://schemas.openxmlformats.org/officeDocument/2006/relationships/hyperlink" Target="#GRI!A1"/><Relationship Id="rId16" Type="http://schemas.openxmlformats.org/officeDocument/2006/relationships/hyperlink" Target="#'Transp&amp;Distribui&#231;&#227;o(Downstream)'!A1"/><Relationship Id="rId20" Type="http://schemas.openxmlformats.org/officeDocument/2006/relationships/hyperlink" Target="#'Viagens a Neg&#243;cios'!A1"/><Relationship Id="rId1" Type="http://schemas.openxmlformats.org/officeDocument/2006/relationships/image" Target="../media/image5.png"/><Relationship Id="rId6" Type="http://schemas.openxmlformats.org/officeDocument/2006/relationships/hyperlink" Target="#Resumo!A1"/><Relationship Id="rId11" Type="http://schemas.openxmlformats.org/officeDocument/2006/relationships/hyperlink" Target="#'Compra de Energia El&#233;trica'!A1"/><Relationship Id="rId5" Type="http://schemas.openxmlformats.org/officeDocument/2006/relationships/hyperlink" Target="#'Combust&#227;o m&#243;vel'!A1"/><Relationship Id="rId15" Type="http://schemas.openxmlformats.org/officeDocument/2006/relationships/hyperlink" Target="#'Efluentes gerados na opera&#231;&#227;o'!A1"/><Relationship Id="rId10" Type="http://schemas.openxmlformats.org/officeDocument/2006/relationships/hyperlink" Target="#'Res&#237;duos S&#243;lidos'!A1"/><Relationship Id="rId19" Type="http://schemas.openxmlformats.org/officeDocument/2006/relationships/hyperlink" Target="#'Convers&#227;o Unidades'!A1"/><Relationship Id="rId4" Type="http://schemas.openxmlformats.org/officeDocument/2006/relationships/hyperlink" Target="#'Combust&#227;o estacion&#225;ria'!A1"/><Relationship Id="rId9" Type="http://schemas.openxmlformats.org/officeDocument/2006/relationships/hyperlink" Target="#'Processos Industriais'!A1"/><Relationship Id="rId14" Type="http://schemas.openxmlformats.org/officeDocument/2006/relationships/hyperlink" Target="#'Res&#237;duos s&#243;lidos da opera&#231;&#227;o'!A1"/></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38</xdr:row>
      <xdr:rowOff>114301</xdr:rowOff>
    </xdr:from>
    <xdr:to>
      <xdr:col>7</xdr:col>
      <xdr:colOff>256319</xdr:colOff>
      <xdr:row>41</xdr:row>
      <xdr:rowOff>133350</xdr:rowOff>
    </xdr:to>
    <xdr:pic>
      <xdr:nvPicPr>
        <xdr:cNvPr id="2" name="Imagem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2950" y="6267451"/>
          <a:ext cx="3780569" cy="504824"/>
        </a:xfrm>
        <a:prstGeom prst="rect">
          <a:avLst/>
        </a:prstGeom>
      </xdr:spPr>
    </xdr:pic>
    <xdr:clientData/>
  </xdr:twoCellAnchor>
  <xdr:twoCellAnchor editAs="oneCell">
    <xdr:from>
      <xdr:col>0</xdr:col>
      <xdr:colOff>9525</xdr:colOff>
      <xdr:row>0</xdr:row>
      <xdr:rowOff>28575</xdr:rowOff>
    </xdr:from>
    <xdr:to>
      <xdr:col>2</xdr:col>
      <xdr:colOff>266409</xdr:colOff>
      <xdr:row>3</xdr:row>
      <xdr:rowOff>114300</xdr:rowOff>
    </xdr:to>
    <xdr:pic>
      <xdr:nvPicPr>
        <xdr:cNvPr id="3" name="Imagem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 y="28575"/>
          <a:ext cx="1476084" cy="571500"/>
        </a:xfrm>
        <a:prstGeom prst="rect">
          <a:avLst/>
        </a:prstGeom>
      </xdr:spPr>
    </xdr:pic>
    <xdr:clientData/>
  </xdr:twoCellAnchor>
  <xdr:twoCellAnchor>
    <xdr:from>
      <xdr:col>0</xdr:col>
      <xdr:colOff>228600</xdr:colOff>
      <xdr:row>5</xdr:row>
      <xdr:rowOff>85725</xdr:rowOff>
    </xdr:from>
    <xdr:to>
      <xdr:col>8</xdr:col>
      <xdr:colOff>428625</xdr:colOff>
      <xdr:row>34</xdr:row>
      <xdr:rowOff>0</xdr:rowOff>
    </xdr:to>
    <xdr:sp macro="" textlink="">
      <xdr:nvSpPr>
        <xdr:cNvPr id="5" name="CaixaDeTexto 4">
          <a:extLst>
            <a:ext uri="{FF2B5EF4-FFF2-40B4-BE49-F238E27FC236}">
              <a16:creationId xmlns="" xmlns:a16="http://schemas.microsoft.com/office/drawing/2014/main" id="{00000000-0008-0000-0000-000005000000}"/>
            </a:ext>
          </a:extLst>
        </xdr:cNvPr>
        <xdr:cNvSpPr txBox="1"/>
      </xdr:nvSpPr>
      <xdr:spPr>
        <a:xfrm>
          <a:off x="228600" y="895350"/>
          <a:ext cx="5076825" cy="461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 Projeto PME Sustentável visa dotar micro, pequenas e médias empresas (PMEs) portuguesas com capacidade de realizar inventários de emissões de Gases com Efeito de Estufa (GEE) através da adaptação do </a:t>
          </a:r>
          <a:r>
            <a:rPr lang="en-US" sz="1100" i="1"/>
            <a:t>GHG Protocol </a:t>
          </a:r>
          <a:r>
            <a:rPr lang="en-US" sz="1100"/>
            <a:t>à realidade portuguesa</a:t>
          </a:r>
          <a:r>
            <a:rPr lang="en-US" sz="1100" baseline="0"/>
            <a:t> e às necessidades das PMEs.</a:t>
          </a:r>
        </a:p>
        <a:p>
          <a:endParaRPr lang="en-US" sz="1100" baseline="0"/>
        </a:p>
        <a:p>
          <a:r>
            <a:rPr lang="pt-PT" sz="1100">
              <a:solidFill>
                <a:schemeClr val="dk1"/>
              </a:solidFill>
              <a:effectLst/>
              <a:latin typeface="+mn-lt"/>
              <a:ea typeface="+mn-ea"/>
              <a:cs typeface="+mn-cs"/>
            </a:rPr>
            <a:t>Para auxiliar no cumprimento deste objetivo, foi desenvolvida a presente ferramenta</a:t>
          </a:r>
          <a:r>
            <a:rPr lang="en-US" sz="1100" baseline="0"/>
            <a:t>.</a:t>
          </a:r>
        </a:p>
        <a:p>
          <a:endParaRPr lang="en-US" sz="1100" baseline="0"/>
        </a:p>
        <a:p>
          <a:r>
            <a:rPr lang="en-US" sz="1100" baseline="0"/>
            <a:t>Os fatores de emissão apresentados nesta ferramenta são baseados em publicações nacional ou internacionalmente aceites, como os métodos IPCC, estatísticas nacionais, estudos técnicos e científicos, entre outros. Alguns valores sugeridos pela ferramenta referem-se a valores padrão e devem ser utilizados apenas quando não existe um valor mais específico pois estes valores padrão podem não corresponder necessariamente à realidade. Adicionalmente, tais fatores estão em constante evolução. O usuário pode editar os fatores de emissão específicos para a sua organização. Cabe assim ao usuário a responsabilidade pela utilização dos mesmos. </a:t>
          </a:r>
        </a:p>
        <a:p>
          <a:endParaRPr lang="en-US" sz="1100" baseline="0"/>
        </a:p>
        <a:p>
          <a:r>
            <a:rPr lang="en-US" sz="1100" baseline="0"/>
            <a:t>A utilização de fatores de emissão específicos para uma organização deve ser claramente informada no inventário de emissões da organização.</a:t>
          </a:r>
        </a:p>
        <a:p>
          <a:endParaRPr lang="en-US" sz="1100" baseline="0"/>
        </a:p>
        <a:p>
          <a:r>
            <a:rPr lang="en-US" sz="1100" baseline="0"/>
            <a:t>A equipa de desenvolvimento da ferramenta não se responsabiliza por adaptações realizadas por usuários nem pelos resultados decorrentes de tais adaptações. Desta forma, a utilização da ferramenta com alterações introduzidas pelo usuário deve ser explicitamente informada a terceiros. </a:t>
          </a:r>
        </a:p>
        <a:p>
          <a:endParaRPr lang="en-US" sz="1100" baseline="0"/>
        </a:p>
        <a:p>
          <a:r>
            <a:rPr lang="en-US" sz="1100" baseline="0"/>
            <a:t>Esta Ferramenta foi elaborada para usos sem fins comerciais. </a:t>
          </a:r>
        </a:p>
        <a:p>
          <a:endParaRPr lang="en-US" sz="1100" baseline="0"/>
        </a:p>
        <a:p>
          <a:endParaRPr lang="en-US" sz="1100"/>
        </a:p>
      </xdr:txBody>
    </xdr:sp>
    <xdr:clientData/>
  </xdr:twoCellAnchor>
  <xdr:twoCellAnchor editAs="oneCell">
    <xdr:from>
      <xdr:col>7</xdr:col>
      <xdr:colOff>50490</xdr:colOff>
      <xdr:row>0</xdr:row>
      <xdr:rowOff>114300</xdr:rowOff>
    </xdr:from>
    <xdr:to>
      <xdr:col>8</xdr:col>
      <xdr:colOff>440774</xdr:colOff>
      <xdr:row>3</xdr:row>
      <xdr:rowOff>85873</xdr:rowOff>
    </xdr:to>
    <xdr:pic>
      <xdr:nvPicPr>
        <xdr:cNvPr id="4" name="Imagem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17690" y="114300"/>
          <a:ext cx="999884" cy="45734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52917</xdr:colOff>
      <xdr:row>0</xdr:row>
      <xdr:rowOff>63500</xdr:rowOff>
    </xdr:from>
    <xdr:to>
      <xdr:col>2</xdr:col>
      <xdr:colOff>973667</xdr:colOff>
      <xdr:row>5</xdr:row>
      <xdr:rowOff>123457</xdr:rowOff>
    </xdr:to>
    <xdr:pic>
      <xdr:nvPicPr>
        <xdr:cNvPr id="28" name="Imagem 27">
          <a:extLst>
            <a:ext uri="{FF2B5EF4-FFF2-40B4-BE49-F238E27FC236}">
              <a16:creationId xmlns="" xmlns:a16="http://schemas.microsoft.com/office/drawing/2014/main" id="{00000000-0008-0000-09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917" y="63500"/>
          <a:ext cx="2762250" cy="1065374"/>
        </a:xfrm>
        <a:prstGeom prst="rect">
          <a:avLst/>
        </a:prstGeom>
      </xdr:spPr>
    </xdr:pic>
    <xdr:clientData/>
  </xdr:twoCellAnchor>
  <xdr:twoCellAnchor>
    <xdr:from>
      <xdr:col>2</xdr:col>
      <xdr:colOff>2624666</xdr:colOff>
      <xdr:row>0</xdr:row>
      <xdr:rowOff>95250</xdr:rowOff>
    </xdr:from>
    <xdr:to>
      <xdr:col>3</xdr:col>
      <xdr:colOff>662574</xdr:colOff>
      <xdr:row>2</xdr:row>
      <xdr:rowOff>18171</xdr:rowOff>
    </xdr:to>
    <xdr:sp macro="" textlink="">
      <xdr:nvSpPr>
        <xdr:cNvPr id="29" name="Retângulo de cantos arredondados 37">
          <a:hlinkClick xmlns:r="http://schemas.openxmlformats.org/officeDocument/2006/relationships" r:id="rId2"/>
          <a:extLst>
            <a:ext uri="{FF2B5EF4-FFF2-40B4-BE49-F238E27FC236}">
              <a16:creationId xmlns="" xmlns:a16="http://schemas.microsoft.com/office/drawing/2014/main" id="{00000000-0008-0000-0900-00001D000000}"/>
            </a:ext>
          </a:extLst>
        </xdr:cNvPr>
        <xdr:cNvSpPr/>
      </xdr:nvSpPr>
      <xdr:spPr bwMode="auto">
        <a:xfrm>
          <a:off x="4466166" y="95250"/>
          <a:ext cx="757825" cy="32508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clientData/>
  </xdr:twoCellAnchor>
  <xdr:twoCellAnchor>
    <xdr:from>
      <xdr:col>2</xdr:col>
      <xdr:colOff>1121834</xdr:colOff>
      <xdr:row>0</xdr:row>
      <xdr:rowOff>31750</xdr:rowOff>
    </xdr:from>
    <xdr:to>
      <xdr:col>9</xdr:col>
      <xdr:colOff>2615</xdr:colOff>
      <xdr:row>8</xdr:row>
      <xdr:rowOff>184293</xdr:rowOff>
    </xdr:to>
    <xdr:grpSp>
      <xdr:nvGrpSpPr>
        <xdr:cNvPr id="30" name="Grupo 29">
          <a:extLst>
            <a:ext uri="{FF2B5EF4-FFF2-40B4-BE49-F238E27FC236}">
              <a16:creationId xmlns="" xmlns:a16="http://schemas.microsoft.com/office/drawing/2014/main" id="{00000000-0008-0000-0900-00001E000000}"/>
            </a:ext>
          </a:extLst>
        </xdr:cNvPr>
        <xdr:cNvGrpSpPr/>
      </xdr:nvGrpSpPr>
      <xdr:grpSpPr>
        <a:xfrm>
          <a:off x="2955397" y="31750"/>
          <a:ext cx="7262781" cy="1759887"/>
          <a:chOff x="3069167" y="114300"/>
          <a:chExt cx="7283948" cy="1549543"/>
        </a:xfrm>
      </xdr:grpSpPr>
      <xdr:grpSp>
        <xdr:nvGrpSpPr>
          <xdr:cNvPr id="34" name="Group 32">
            <a:extLst>
              <a:ext uri="{FF2B5EF4-FFF2-40B4-BE49-F238E27FC236}">
                <a16:creationId xmlns="" xmlns:a16="http://schemas.microsoft.com/office/drawing/2014/main" id="{00000000-0008-0000-0900-000022000000}"/>
              </a:ext>
            </a:extLst>
          </xdr:cNvPr>
          <xdr:cNvGrpSpPr/>
        </xdr:nvGrpSpPr>
        <xdr:grpSpPr>
          <a:xfrm>
            <a:off x="3069167" y="114300"/>
            <a:ext cx="7283948" cy="1549543"/>
            <a:chOff x="3514726" y="52774"/>
            <a:chExt cx="7219950" cy="1576001"/>
          </a:xfrm>
        </xdr:grpSpPr>
        <xdr:sp macro="" textlink="">
          <xdr:nvSpPr>
            <xdr:cNvPr id="37" name="Fluxograma: Processo 60">
              <a:extLst>
                <a:ext uri="{FF2B5EF4-FFF2-40B4-BE49-F238E27FC236}">
                  <a16:creationId xmlns="" xmlns:a16="http://schemas.microsoft.com/office/drawing/2014/main" id="{00000000-0008-0000-0900-000025000000}"/>
                </a:ext>
              </a:extLst>
            </xdr:cNvPr>
            <xdr:cNvSpPr>
              <a:spLocks noChangeArrowheads="1"/>
            </xdr:cNvSpPr>
          </xdr:nvSpPr>
          <xdr:spPr bwMode="auto">
            <a:xfrm>
              <a:off x="3514726" y="52774"/>
              <a:ext cx="7219950" cy="1576001"/>
            </a:xfrm>
            <a:prstGeom prst="flowChartProcess">
              <a:avLst/>
            </a:prstGeom>
            <a:solidFill>
              <a:schemeClr val="accent1">
                <a:lumMod val="20000"/>
                <a:lumOff val="80000"/>
              </a:schemeClr>
            </a:solidFill>
            <a:ln w="19050" algn="ctr">
              <a:solidFill>
                <a:schemeClr val="accent1"/>
              </a:solidFill>
              <a:round/>
              <a:headEnd/>
              <a:tailEnd/>
            </a:ln>
            <a:effectLst/>
          </xdr:spPr>
          <xdr:txBody>
            <a:bodyPr/>
            <a:lstStyle/>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r>
                <a:rPr lang="pt-BR" sz="1400" b="1">
                  <a:latin typeface="Calibri Light" panose="020F0302020204030204" pitchFamily="34" charset="0"/>
                </a:rPr>
                <a:t>Menu de </a:t>
              </a:r>
            </a:p>
            <a:p>
              <a:pPr algn="r"/>
              <a:r>
                <a:rPr lang="pt-BR" sz="1400" b="1">
                  <a:latin typeface="Calibri Light" panose="020F0302020204030204" pitchFamily="34" charset="0"/>
                </a:rPr>
                <a:t>navegação</a:t>
              </a:r>
            </a:p>
          </xdr:txBody>
        </xdr:sp>
        <xdr:sp macro="" textlink="">
          <xdr:nvSpPr>
            <xdr:cNvPr id="38" name="Retângulo de cantos arredondados 34">
              <a:hlinkClick xmlns:r="http://schemas.openxmlformats.org/officeDocument/2006/relationships" r:id="rId3"/>
              <a:extLst>
                <a:ext uri="{FF2B5EF4-FFF2-40B4-BE49-F238E27FC236}">
                  <a16:creationId xmlns="" xmlns:a16="http://schemas.microsoft.com/office/drawing/2014/main" id="{00000000-0008-0000-0900-000026000000}"/>
                </a:ext>
              </a:extLst>
            </xdr:cNvPr>
            <xdr:cNvSpPr/>
          </xdr:nvSpPr>
          <xdr:spPr bwMode="auto">
            <a:xfrm>
              <a:off x="4333251"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Introdução</a:t>
              </a:r>
            </a:p>
          </xdr:txBody>
        </xdr:sp>
        <xdr:sp macro="" textlink="">
          <xdr:nvSpPr>
            <xdr:cNvPr id="39" name="Retângulo de cantos arredondados 35">
              <a:hlinkClick xmlns:r="http://schemas.openxmlformats.org/officeDocument/2006/relationships" r:id="rId4"/>
              <a:extLst>
                <a:ext uri="{FF2B5EF4-FFF2-40B4-BE49-F238E27FC236}">
                  <a16:creationId xmlns="" xmlns:a16="http://schemas.microsoft.com/office/drawing/2014/main" id="{00000000-0008-0000-0900-000027000000}"/>
                </a:ext>
              </a:extLst>
            </xdr:cNvPr>
            <xdr:cNvSpPr/>
          </xdr:nvSpPr>
          <xdr:spPr bwMode="auto">
            <a:xfrm>
              <a:off x="4333251"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lnSpc>
                  <a:spcPct val="80000"/>
                </a:lnSpc>
              </a:pPr>
              <a:r>
                <a:rPr lang="pt-BR" sz="900" b="0">
                  <a:solidFill>
                    <a:schemeClr val="bg1"/>
                  </a:solidFill>
                  <a:latin typeface="Calibri Light" panose="020F0302020204030204" pitchFamily="34" charset="0"/>
                  <a:cs typeface="Arial" pitchFamily="34" charset="0"/>
                </a:rPr>
                <a:t>Combustão</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estacionária</a:t>
              </a:r>
            </a:p>
          </xdr:txBody>
        </xdr:sp>
        <xdr:sp macro="" textlink="">
          <xdr:nvSpPr>
            <xdr:cNvPr id="40" name="Retângulo de cantos arredondados 36">
              <a:hlinkClick xmlns:r="http://schemas.openxmlformats.org/officeDocument/2006/relationships" r:id="rId5"/>
              <a:extLst>
                <a:ext uri="{FF2B5EF4-FFF2-40B4-BE49-F238E27FC236}">
                  <a16:creationId xmlns="" xmlns:a16="http://schemas.microsoft.com/office/drawing/2014/main" id="{00000000-0008-0000-0900-000028000000}"/>
                </a:ext>
              </a:extLst>
            </xdr:cNvPr>
            <xdr:cNvSpPr/>
          </xdr:nvSpPr>
          <xdr:spPr bwMode="auto">
            <a:xfrm>
              <a:off x="5130292"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Combustão </a:t>
              </a:r>
            </a:p>
            <a:p>
              <a:pPr algn="ctr"/>
              <a:r>
                <a:rPr lang="pt-BR" sz="900" b="0">
                  <a:solidFill>
                    <a:schemeClr val="bg1"/>
                  </a:solidFill>
                  <a:latin typeface="Calibri Light" panose="020F0302020204030204" pitchFamily="34" charset="0"/>
                  <a:cs typeface="Arial" pitchFamily="34" charset="0"/>
                </a:rPr>
                <a:t>móvel</a:t>
              </a:r>
            </a:p>
          </xdr:txBody>
        </xdr:sp>
        <xdr:sp macro="" textlink="">
          <xdr:nvSpPr>
            <xdr:cNvPr id="41" name="Retângulo de cantos arredondados 37">
              <a:hlinkClick xmlns:r="http://schemas.openxmlformats.org/officeDocument/2006/relationships" r:id="rId6"/>
              <a:extLst>
                <a:ext uri="{FF2B5EF4-FFF2-40B4-BE49-F238E27FC236}">
                  <a16:creationId xmlns="" xmlns:a16="http://schemas.microsoft.com/office/drawing/2014/main" id="{00000000-0008-0000-0900-000029000000}"/>
                </a:ext>
              </a:extLst>
            </xdr:cNvPr>
            <xdr:cNvSpPr/>
          </xdr:nvSpPr>
          <xdr:spPr bwMode="auto">
            <a:xfrm>
              <a:off x="5932663"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Resumo</a:t>
              </a:r>
            </a:p>
          </xdr:txBody>
        </xdr:sp>
        <xdr:sp macro="" textlink="">
          <xdr:nvSpPr>
            <xdr:cNvPr id="42" name="Retângulo de cantos arredondados 38">
              <a:hlinkClick xmlns:r="http://schemas.openxmlformats.org/officeDocument/2006/relationships" r:id="rId7"/>
              <a:extLst>
                <a:ext uri="{FF2B5EF4-FFF2-40B4-BE49-F238E27FC236}">
                  <a16:creationId xmlns="" xmlns:a16="http://schemas.microsoft.com/office/drawing/2014/main" id="{00000000-0008-0000-0900-00002A000000}"/>
                </a:ext>
              </a:extLst>
            </xdr:cNvPr>
            <xdr:cNvSpPr/>
          </xdr:nvSpPr>
          <xdr:spPr bwMode="auto">
            <a:xfrm>
              <a:off x="6719145"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Fatores </a:t>
              </a:r>
            </a:p>
            <a:p>
              <a:pPr algn="ctr"/>
              <a:r>
                <a:rPr lang="pt-BR" sz="900" b="0">
                  <a:latin typeface="Calibri Light" panose="020F0302020204030204" pitchFamily="34" charset="0"/>
                  <a:cs typeface="Arial" pitchFamily="34" charset="0"/>
                </a:rPr>
                <a:t>de emissão</a:t>
              </a:r>
            </a:p>
          </xdr:txBody>
        </xdr:sp>
        <xdr:sp macro="" textlink="">
          <xdr:nvSpPr>
            <xdr:cNvPr id="43" name="Fluxograma: Processo 42">
              <a:extLst>
                <a:ext uri="{FF2B5EF4-FFF2-40B4-BE49-F238E27FC236}">
                  <a16:creationId xmlns="" xmlns:a16="http://schemas.microsoft.com/office/drawing/2014/main" id="{00000000-0008-0000-0900-00002B000000}"/>
                </a:ext>
              </a:extLst>
            </xdr:cNvPr>
            <xdr:cNvSpPr/>
          </xdr:nvSpPr>
          <xdr:spPr bwMode="auto">
            <a:xfrm>
              <a:off x="3604863" y="528178"/>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1</a:t>
              </a:r>
            </a:p>
          </xdr:txBody>
        </xdr:sp>
        <xdr:sp macro="" textlink="">
          <xdr:nvSpPr>
            <xdr:cNvPr id="44" name="Retângulo de cantos arredondados 40">
              <a:hlinkClick xmlns:r="http://schemas.openxmlformats.org/officeDocument/2006/relationships" r:id="rId8"/>
              <a:extLst>
                <a:ext uri="{FF2B5EF4-FFF2-40B4-BE49-F238E27FC236}">
                  <a16:creationId xmlns="" xmlns:a16="http://schemas.microsoft.com/office/drawing/2014/main" id="{00000000-0008-0000-0900-00002C000000}"/>
                </a:ext>
              </a:extLst>
            </xdr:cNvPr>
            <xdr:cNvSpPr/>
          </xdr:nvSpPr>
          <xdr:spPr bwMode="auto">
            <a:xfrm>
              <a:off x="5927333"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00" b="0">
                  <a:solidFill>
                    <a:schemeClr val="bg1"/>
                  </a:solidFill>
                  <a:latin typeface="Calibri Light" panose="020F0302020204030204" pitchFamily="34" charset="0"/>
                  <a:cs typeface="Arial" pitchFamily="34" charset="0"/>
                </a:rPr>
                <a:t>Emissões </a:t>
              </a:r>
            </a:p>
            <a:p>
              <a:pPr algn="ctr"/>
              <a:r>
                <a:rPr lang="pt-BR" sz="800" b="0">
                  <a:solidFill>
                    <a:schemeClr val="bg1"/>
                  </a:solidFill>
                  <a:latin typeface="Calibri Light" panose="020F0302020204030204" pitchFamily="34" charset="0"/>
                  <a:cs typeface="Arial" pitchFamily="34" charset="0"/>
                </a:rPr>
                <a:t>fugitivas</a:t>
              </a:r>
            </a:p>
          </xdr:txBody>
        </xdr:sp>
        <xdr:sp macro="" textlink="">
          <xdr:nvSpPr>
            <xdr:cNvPr id="45" name="Retângulo de cantos arredondados 41">
              <a:hlinkClick xmlns:r="http://schemas.openxmlformats.org/officeDocument/2006/relationships" r:id="rId9"/>
              <a:extLst>
                <a:ext uri="{FF2B5EF4-FFF2-40B4-BE49-F238E27FC236}">
                  <a16:creationId xmlns="" xmlns:a16="http://schemas.microsoft.com/office/drawing/2014/main" id="{00000000-0008-0000-0900-00002D000000}"/>
                </a:ext>
              </a:extLst>
            </xdr:cNvPr>
            <xdr:cNvSpPr/>
          </xdr:nvSpPr>
          <xdr:spPr bwMode="auto">
            <a:xfrm>
              <a:off x="6724374"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Processos</a:t>
              </a:r>
              <a:r>
                <a:rPr lang="pt-BR" sz="900" b="0" baseline="0">
                  <a:solidFill>
                    <a:schemeClr val="bg1"/>
                  </a:solidFill>
                  <a:latin typeface="Calibri Light" panose="020F0302020204030204" pitchFamily="34" charset="0"/>
                  <a:cs typeface="Arial" pitchFamily="34" charset="0"/>
                </a:rPr>
                <a:t> industriais</a:t>
              </a:r>
              <a:endParaRPr lang="pt-BR" sz="900" b="0">
                <a:solidFill>
                  <a:schemeClr val="bg1"/>
                </a:solidFill>
                <a:latin typeface="Calibri Light" panose="020F0302020204030204" pitchFamily="34" charset="0"/>
                <a:cs typeface="Arial" pitchFamily="34" charset="0"/>
              </a:endParaRPr>
            </a:p>
          </xdr:txBody>
        </xdr:sp>
        <xdr:sp macro="" textlink="">
          <xdr:nvSpPr>
            <xdr:cNvPr id="46" name="Retângulo de cantos arredondados 43">
              <a:hlinkClick xmlns:r="http://schemas.openxmlformats.org/officeDocument/2006/relationships" r:id="rId10"/>
              <a:extLst>
                <a:ext uri="{FF2B5EF4-FFF2-40B4-BE49-F238E27FC236}">
                  <a16:creationId xmlns="" xmlns:a16="http://schemas.microsoft.com/office/drawing/2014/main" id="{00000000-0008-0000-0900-00002E000000}"/>
                </a:ext>
              </a:extLst>
            </xdr:cNvPr>
            <xdr:cNvSpPr/>
          </xdr:nvSpPr>
          <xdr:spPr bwMode="auto">
            <a:xfrm>
              <a:off x="8318456"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Resíduos</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sólidos</a:t>
              </a:r>
            </a:p>
          </xdr:txBody>
        </xdr:sp>
        <xdr:sp macro="" textlink="">
          <xdr:nvSpPr>
            <xdr:cNvPr id="47" name="Retângulo de cantos arredondados 44">
              <a:hlinkClick xmlns:r="http://schemas.openxmlformats.org/officeDocument/2006/relationships" r:id="rId11"/>
              <a:extLst>
                <a:ext uri="{FF2B5EF4-FFF2-40B4-BE49-F238E27FC236}">
                  <a16:creationId xmlns="" xmlns:a16="http://schemas.microsoft.com/office/drawing/2014/main" id="{00000000-0008-0000-0900-00002F000000}"/>
                </a:ext>
              </a:extLst>
            </xdr:cNvPr>
            <xdr:cNvSpPr/>
          </xdr:nvSpPr>
          <xdr:spPr bwMode="auto">
            <a:xfrm>
              <a:off x="433325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lnSpc>
                  <a:spcPct val="80000"/>
                </a:lnSpc>
              </a:pPr>
              <a:r>
                <a:rPr lang="pt-BR" sz="900" b="0">
                  <a:latin typeface="Calibri Light" panose="020F0302020204030204" pitchFamily="34" charset="0"/>
                  <a:cs typeface="Arial" pitchFamily="34" charset="0"/>
                </a:rPr>
                <a:t>Compra de Energia</a:t>
              </a:r>
              <a:r>
                <a:rPr lang="pt-BR" sz="900" b="0" baseline="0">
                  <a:latin typeface="Calibri Light" panose="020F0302020204030204" pitchFamily="34" charset="0"/>
                  <a:cs typeface="Arial" pitchFamily="34" charset="0"/>
                </a:rPr>
                <a:t> Elétrica</a:t>
              </a:r>
            </a:p>
          </xdr:txBody>
        </xdr:sp>
        <xdr:sp macro="" textlink="">
          <xdr:nvSpPr>
            <xdr:cNvPr id="48" name="Retângulo de cantos arredondados 45">
              <a:hlinkClick xmlns:r="http://schemas.openxmlformats.org/officeDocument/2006/relationships" r:id="rId12"/>
              <a:extLst>
                <a:ext uri="{FF2B5EF4-FFF2-40B4-BE49-F238E27FC236}">
                  <a16:creationId xmlns="" xmlns:a16="http://schemas.microsoft.com/office/drawing/2014/main" id="{00000000-0008-0000-0900-000030000000}"/>
                </a:ext>
              </a:extLst>
            </xdr:cNvPr>
            <xdr:cNvSpPr/>
          </xdr:nvSpPr>
          <xdr:spPr bwMode="auto">
            <a:xfrm>
              <a:off x="513371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Compra de</a:t>
              </a:r>
              <a:r>
                <a:rPr lang="pt-BR" sz="900" b="0" baseline="0">
                  <a:latin typeface="Calibri Light" panose="020F0302020204030204" pitchFamily="34" charset="0"/>
                  <a:cs typeface="Arial" pitchFamily="34" charset="0"/>
                </a:rPr>
                <a:t> Energia Térmica</a:t>
              </a:r>
            </a:p>
          </xdr:txBody>
        </xdr:sp>
        <xdr:sp macro="" textlink="">
          <xdr:nvSpPr>
            <xdr:cNvPr id="49" name="Fluxograma: Processo 48">
              <a:extLst>
                <a:ext uri="{FF2B5EF4-FFF2-40B4-BE49-F238E27FC236}">
                  <a16:creationId xmlns="" xmlns:a16="http://schemas.microsoft.com/office/drawing/2014/main" id="{00000000-0008-0000-0900-000031000000}"/>
                </a:ext>
              </a:extLst>
            </xdr:cNvPr>
            <xdr:cNvSpPr/>
          </xdr:nvSpPr>
          <xdr:spPr bwMode="auto">
            <a:xfrm>
              <a:off x="3604863" y="909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2</a:t>
              </a:r>
            </a:p>
          </xdr:txBody>
        </xdr:sp>
        <xdr:sp macro="" textlink="">
          <xdr:nvSpPr>
            <xdr:cNvPr id="50" name="Fluxograma: Processo 49">
              <a:extLst>
                <a:ext uri="{FF2B5EF4-FFF2-40B4-BE49-F238E27FC236}">
                  <a16:creationId xmlns="" xmlns:a16="http://schemas.microsoft.com/office/drawing/2014/main" id="{00000000-0008-0000-0900-000032000000}"/>
                </a:ext>
              </a:extLst>
            </xdr:cNvPr>
            <xdr:cNvSpPr/>
          </xdr:nvSpPr>
          <xdr:spPr bwMode="auto">
            <a:xfrm>
              <a:off x="3604863" y="1290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3</a:t>
              </a:r>
            </a:p>
          </xdr:txBody>
        </xdr:sp>
        <xdr:sp macro="" textlink="">
          <xdr:nvSpPr>
            <xdr:cNvPr id="51" name="Retângulo de cantos arredondados 48">
              <a:hlinkClick xmlns:r="http://schemas.openxmlformats.org/officeDocument/2006/relationships" r:id="rId13"/>
              <a:extLst>
                <a:ext uri="{FF2B5EF4-FFF2-40B4-BE49-F238E27FC236}">
                  <a16:creationId xmlns="" xmlns:a16="http://schemas.microsoft.com/office/drawing/2014/main" id="{00000000-0008-0000-0900-000033000000}"/>
                </a:ext>
              </a:extLst>
            </xdr:cNvPr>
            <xdr:cNvSpPr/>
          </xdr:nvSpPr>
          <xdr:spPr bwMode="auto">
            <a:xfrm>
              <a:off x="433325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lnSpc>
                  <a:spcPct val="80000"/>
                </a:lnSpc>
              </a:pPr>
              <a:r>
                <a:rPr lang="pt-BR" sz="900" b="0">
                  <a:solidFill>
                    <a:schemeClr val="bg1">
                      <a:lumMod val="50000"/>
                    </a:schemeClr>
                  </a:solidFill>
                  <a:latin typeface="Calibri Light" panose="020F0302020204030204" pitchFamily="34" charset="0"/>
                  <a:cs typeface="Arial" pitchFamily="34" charset="0"/>
                </a:rPr>
                <a:t>Categorias de Âmbito 3</a:t>
              </a:r>
              <a:endParaRPr lang="pt-BR" sz="900" b="0" baseline="0">
                <a:solidFill>
                  <a:schemeClr val="bg1">
                    <a:lumMod val="50000"/>
                  </a:schemeClr>
                </a:solidFill>
                <a:latin typeface="Calibri Light" panose="020F0302020204030204" pitchFamily="34" charset="0"/>
                <a:cs typeface="Arial" pitchFamily="34" charset="0"/>
              </a:endParaRPr>
            </a:p>
          </xdr:txBody>
        </xdr:sp>
        <xdr:sp macro="" textlink="">
          <xdr:nvSpPr>
            <xdr:cNvPr id="52" name="Retângulo de cantos arredondados 49">
              <a:hlinkClick xmlns:r="http://schemas.openxmlformats.org/officeDocument/2006/relationships" r:id="rId14"/>
              <a:extLst>
                <a:ext uri="{FF2B5EF4-FFF2-40B4-BE49-F238E27FC236}">
                  <a16:creationId xmlns="" xmlns:a16="http://schemas.microsoft.com/office/drawing/2014/main" id="{00000000-0008-0000-0900-000034000000}"/>
                </a:ext>
              </a:extLst>
            </xdr:cNvPr>
            <xdr:cNvSpPr/>
          </xdr:nvSpPr>
          <xdr:spPr bwMode="auto">
            <a:xfrm>
              <a:off x="5925918"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Resíduos sólidos gerados na operação</a:t>
              </a:r>
            </a:p>
          </xdr:txBody>
        </xdr:sp>
        <xdr:sp macro="" textlink="">
          <xdr:nvSpPr>
            <xdr:cNvPr id="53" name="Retângulo de cantos arredondados 50">
              <a:hlinkClick xmlns:r="http://schemas.openxmlformats.org/officeDocument/2006/relationships" r:id="rId15"/>
              <a:extLst>
                <a:ext uri="{FF2B5EF4-FFF2-40B4-BE49-F238E27FC236}">
                  <a16:creationId xmlns="" xmlns:a16="http://schemas.microsoft.com/office/drawing/2014/main" id="{00000000-0008-0000-0900-000035000000}"/>
                </a:ext>
              </a:extLst>
            </xdr:cNvPr>
            <xdr:cNvSpPr/>
          </xdr:nvSpPr>
          <xdr:spPr bwMode="auto">
            <a:xfrm>
              <a:off x="6722959"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Efluentes gerados na operação</a:t>
              </a:r>
            </a:p>
          </xdr:txBody>
        </xdr:sp>
        <xdr:sp macro="" textlink="">
          <xdr:nvSpPr>
            <xdr:cNvPr id="54" name="Retângulo de cantos arredondados 51">
              <a:hlinkClick xmlns:r="http://schemas.openxmlformats.org/officeDocument/2006/relationships" r:id="rId16"/>
              <a:extLst>
                <a:ext uri="{FF2B5EF4-FFF2-40B4-BE49-F238E27FC236}">
                  <a16:creationId xmlns="" xmlns:a16="http://schemas.microsoft.com/office/drawing/2014/main" id="{00000000-0008-0000-0900-000036000000}"/>
                </a:ext>
              </a:extLst>
            </xdr:cNvPr>
            <xdr:cNvSpPr/>
          </xdr:nvSpPr>
          <xdr:spPr bwMode="auto">
            <a:xfrm>
              <a:off x="831704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(downstream)</a:t>
              </a:r>
            </a:p>
          </xdr:txBody>
        </xdr:sp>
        <xdr:sp macro="" textlink="">
          <xdr:nvSpPr>
            <xdr:cNvPr id="55" name="Retângulo de cantos arredondados 52">
              <a:hlinkClick xmlns:r="http://schemas.openxmlformats.org/officeDocument/2006/relationships" r:id="rId17"/>
              <a:extLst>
                <a:ext uri="{FF2B5EF4-FFF2-40B4-BE49-F238E27FC236}">
                  <a16:creationId xmlns="" xmlns:a16="http://schemas.microsoft.com/office/drawing/2014/main" id="{00000000-0008-0000-0900-000037000000}"/>
                </a:ext>
              </a:extLst>
            </xdr:cNvPr>
            <xdr:cNvSpPr/>
          </xdr:nvSpPr>
          <xdr:spPr bwMode="auto">
            <a:xfrm>
              <a:off x="5135994" y="1228723"/>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(upstream)</a:t>
              </a:r>
            </a:p>
          </xdr:txBody>
        </xdr:sp>
        <xdr:sp macro="" textlink="">
          <xdr:nvSpPr>
            <xdr:cNvPr id="56" name="Retângulo de cantos arredondados 54">
              <a:hlinkClick xmlns:r="http://schemas.openxmlformats.org/officeDocument/2006/relationships" r:id="rId18"/>
              <a:extLst>
                <a:ext uri="{FF2B5EF4-FFF2-40B4-BE49-F238E27FC236}">
                  <a16:creationId xmlns="" xmlns:a16="http://schemas.microsoft.com/office/drawing/2014/main" id="{00000000-0008-0000-0900-000038000000}"/>
                </a:ext>
              </a:extLst>
            </xdr:cNvPr>
            <xdr:cNvSpPr/>
          </xdr:nvSpPr>
          <xdr:spPr bwMode="auto">
            <a:xfrm>
              <a:off x="9115497"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Efluentes</a:t>
              </a:r>
            </a:p>
          </xdr:txBody>
        </xdr:sp>
        <xdr:sp macro="" textlink="">
          <xdr:nvSpPr>
            <xdr:cNvPr id="57" name="Retângulo de cantos arredondados 56">
              <a:hlinkClick xmlns:r="http://schemas.openxmlformats.org/officeDocument/2006/relationships" r:id="rId19"/>
              <a:extLst>
                <a:ext uri="{FF2B5EF4-FFF2-40B4-BE49-F238E27FC236}">
                  <a16:creationId xmlns="" xmlns:a16="http://schemas.microsoft.com/office/drawing/2014/main" id="{00000000-0008-0000-0900-000039000000}"/>
                </a:ext>
              </a:extLst>
            </xdr:cNvPr>
            <xdr:cNvSpPr/>
          </xdr:nvSpPr>
          <xdr:spPr bwMode="auto">
            <a:xfrm>
              <a:off x="7526519"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Conversão de unidades</a:t>
              </a:r>
            </a:p>
          </xdr:txBody>
        </xdr:sp>
        <xdr:sp macro="" textlink="">
          <xdr:nvSpPr>
            <xdr:cNvPr id="58" name="Retângulo de cantos arredondados 58">
              <a:hlinkClick xmlns:r="http://schemas.openxmlformats.org/officeDocument/2006/relationships" r:id="rId20"/>
              <a:extLst>
                <a:ext uri="{FF2B5EF4-FFF2-40B4-BE49-F238E27FC236}">
                  <a16:creationId xmlns="" xmlns:a16="http://schemas.microsoft.com/office/drawing/2014/main" id="{00000000-0008-0000-0900-00003A000000}"/>
                </a:ext>
              </a:extLst>
            </xdr:cNvPr>
            <xdr:cNvSpPr/>
          </xdr:nvSpPr>
          <xdr:spPr bwMode="auto">
            <a:xfrm>
              <a:off x="7520000"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r>
                <a:rPr lang="pt-BR" sz="900" b="0">
                  <a:solidFill>
                    <a:schemeClr val="bg1">
                      <a:lumMod val="50000"/>
                    </a:schemeClr>
                  </a:solidFill>
                  <a:latin typeface="Calibri Light" panose="020F0302020204030204" pitchFamily="34" charset="0"/>
                  <a:cs typeface="Arial" pitchFamily="34" charset="0"/>
                </a:rPr>
                <a:t>Viagens a negócios</a:t>
              </a:r>
            </a:p>
          </xdr:txBody>
        </xdr:sp>
        <xdr:sp macro="" textlink="">
          <xdr:nvSpPr>
            <xdr:cNvPr id="82" name="Fluxograma: Processo 59">
              <a:extLst>
                <a:ext uri="{FF2B5EF4-FFF2-40B4-BE49-F238E27FC236}">
                  <a16:creationId xmlns="" xmlns:a16="http://schemas.microsoft.com/office/drawing/2014/main" id="{00000000-0008-0000-0900-000052000000}"/>
                </a:ext>
              </a:extLst>
            </xdr:cNvPr>
            <xdr:cNvSpPr/>
          </xdr:nvSpPr>
          <xdr:spPr bwMode="auto">
            <a:xfrm>
              <a:off x="3604863" y="156702"/>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Geral</a:t>
              </a:r>
            </a:p>
          </xdr:txBody>
        </xdr:sp>
      </xdr:grpSp>
      <xdr:sp macro="" textlink="">
        <xdr:nvSpPr>
          <xdr:cNvPr id="35" name="Retângulo de cantos arredondados 37">
            <a:hlinkClick xmlns:r="http://schemas.openxmlformats.org/officeDocument/2006/relationships" r:id="rId2"/>
            <a:extLst>
              <a:ext uri="{FF2B5EF4-FFF2-40B4-BE49-F238E27FC236}">
                <a16:creationId xmlns="" xmlns:a16="http://schemas.microsoft.com/office/drawing/2014/main" id="{00000000-0008-0000-0900-000023000000}"/>
              </a:ext>
            </a:extLst>
          </xdr:cNvPr>
          <xdr:cNvSpPr/>
        </xdr:nvSpPr>
        <xdr:spPr bwMode="auto">
          <a:xfrm>
            <a:off x="4696884" y="162983"/>
            <a:ext cx="774700" cy="31873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sp macro="" textlink="">
        <xdr:nvSpPr>
          <xdr:cNvPr id="36" name="Retângulo de cantos arredondados 42">
            <a:hlinkClick xmlns:r="http://schemas.openxmlformats.org/officeDocument/2006/relationships" r:id="rId21"/>
            <a:extLst>
              <a:ext uri="{FF2B5EF4-FFF2-40B4-BE49-F238E27FC236}">
                <a16:creationId xmlns="" xmlns:a16="http://schemas.microsoft.com/office/drawing/2014/main" id="{00000000-0008-0000-0900-000024000000}"/>
              </a:ext>
            </a:extLst>
          </xdr:cNvPr>
          <xdr:cNvSpPr/>
        </xdr:nvSpPr>
        <xdr:spPr bwMode="auto">
          <a:xfrm>
            <a:off x="7125758" y="522817"/>
            <a:ext cx="758825" cy="318738"/>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50" b="0">
                <a:solidFill>
                  <a:schemeClr val="bg1"/>
                </a:solidFill>
                <a:latin typeface="Calibri Light" panose="020F0302020204030204" pitchFamily="34" charset="0"/>
                <a:cs typeface="Arial" pitchFamily="34" charset="0"/>
              </a:rPr>
              <a:t>Agrícolas e alt. do uso do solo</a:t>
            </a:r>
            <a:endParaRPr lang="pt-BR" sz="850" b="0" baseline="0">
              <a:solidFill>
                <a:schemeClr val="bg1"/>
              </a:solidFill>
              <a:latin typeface="Calibri Light" panose="020F0302020204030204" pitchFamily="34" charset="0"/>
              <a:cs typeface="Arial" pitchFamily="34" charset="0"/>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84667</xdr:colOff>
      <xdr:row>0</xdr:row>
      <xdr:rowOff>0</xdr:rowOff>
    </xdr:from>
    <xdr:to>
      <xdr:col>2</xdr:col>
      <xdr:colOff>1005417</xdr:colOff>
      <xdr:row>5</xdr:row>
      <xdr:rowOff>59957</xdr:rowOff>
    </xdr:to>
    <xdr:pic>
      <xdr:nvPicPr>
        <xdr:cNvPr id="28" name="Imagem 27">
          <a:extLst>
            <a:ext uri="{FF2B5EF4-FFF2-40B4-BE49-F238E27FC236}">
              <a16:creationId xmlns="" xmlns:a16="http://schemas.microsoft.com/office/drawing/2014/main" id="{00000000-0008-0000-0A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67" y="0"/>
          <a:ext cx="2762250" cy="1065374"/>
        </a:xfrm>
        <a:prstGeom prst="rect">
          <a:avLst/>
        </a:prstGeom>
      </xdr:spPr>
    </xdr:pic>
    <xdr:clientData/>
  </xdr:twoCellAnchor>
  <xdr:twoCellAnchor>
    <xdr:from>
      <xdr:col>2</xdr:col>
      <xdr:colOff>2635250</xdr:colOff>
      <xdr:row>0</xdr:row>
      <xdr:rowOff>95249</xdr:rowOff>
    </xdr:from>
    <xdr:to>
      <xdr:col>3</xdr:col>
      <xdr:colOff>673158</xdr:colOff>
      <xdr:row>2</xdr:row>
      <xdr:rowOff>18170</xdr:rowOff>
    </xdr:to>
    <xdr:sp macro="" textlink="">
      <xdr:nvSpPr>
        <xdr:cNvPr id="29" name="Retângulo de cantos arredondados 37">
          <a:hlinkClick xmlns:r="http://schemas.openxmlformats.org/officeDocument/2006/relationships" r:id="rId2"/>
          <a:extLst>
            <a:ext uri="{FF2B5EF4-FFF2-40B4-BE49-F238E27FC236}">
              <a16:creationId xmlns="" xmlns:a16="http://schemas.microsoft.com/office/drawing/2014/main" id="{00000000-0008-0000-0A00-00001D000000}"/>
            </a:ext>
          </a:extLst>
        </xdr:cNvPr>
        <xdr:cNvSpPr/>
      </xdr:nvSpPr>
      <xdr:spPr bwMode="auto">
        <a:xfrm>
          <a:off x="4476750" y="95249"/>
          <a:ext cx="757825" cy="32508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clientData/>
  </xdr:twoCellAnchor>
  <xdr:twoCellAnchor>
    <xdr:from>
      <xdr:col>2</xdr:col>
      <xdr:colOff>1132417</xdr:colOff>
      <xdr:row>0</xdr:row>
      <xdr:rowOff>42333</xdr:rowOff>
    </xdr:from>
    <xdr:to>
      <xdr:col>9</xdr:col>
      <xdr:colOff>13198</xdr:colOff>
      <xdr:row>9</xdr:row>
      <xdr:rowOff>4376</xdr:rowOff>
    </xdr:to>
    <xdr:grpSp>
      <xdr:nvGrpSpPr>
        <xdr:cNvPr id="30" name="Grupo 29">
          <a:extLst>
            <a:ext uri="{FF2B5EF4-FFF2-40B4-BE49-F238E27FC236}">
              <a16:creationId xmlns="" xmlns:a16="http://schemas.microsoft.com/office/drawing/2014/main" id="{00000000-0008-0000-0A00-00001E000000}"/>
            </a:ext>
          </a:extLst>
        </xdr:cNvPr>
        <xdr:cNvGrpSpPr/>
      </xdr:nvGrpSpPr>
      <xdr:grpSpPr>
        <a:xfrm>
          <a:off x="2973917" y="42333"/>
          <a:ext cx="7283948" cy="1750626"/>
          <a:chOff x="3069167" y="114300"/>
          <a:chExt cx="7283948" cy="1549543"/>
        </a:xfrm>
      </xdr:grpSpPr>
      <xdr:grpSp>
        <xdr:nvGrpSpPr>
          <xdr:cNvPr id="31" name="Group 32">
            <a:extLst>
              <a:ext uri="{FF2B5EF4-FFF2-40B4-BE49-F238E27FC236}">
                <a16:creationId xmlns="" xmlns:a16="http://schemas.microsoft.com/office/drawing/2014/main" id="{00000000-0008-0000-0A00-00001F000000}"/>
              </a:ext>
            </a:extLst>
          </xdr:cNvPr>
          <xdr:cNvGrpSpPr/>
        </xdr:nvGrpSpPr>
        <xdr:grpSpPr>
          <a:xfrm>
            <a:off x="3069167" y="114300"/>
            <a:ext cx="7283948" cy="1549543"/>
            <a:chOff x="3514726" y="52774"/>
            <a:chExt cx="7219950" cy="1576001"/>
          </a:xfrm>
        </xdr:grpSpPr>
        <xdr:sp macro="" textlink="">
          <xdr:nvSpPr>
            <xdr:cNvPr id="34" name="Fluxograma: Processo 60">
              <a:extLst>
                <a:ext uri="{FF2B5EF4-FFF2-40B4-BE49-F238E27FC236}">
                  <a16:creationId xmlns="" xmlns:a16="http://schemas.microsoft.com/office/drawing/2014/main" id="{00000000-0008-0000-0A00-000022000000}"/>
                </a:ext>
              </a:extLst>
            </xdr:cNvPr>
            <xdr:cNvSpPr>
              <a:spLocks noChangeArrowheads="1"/>
            </xdr:cNvSpPr>
          </xdr:nvSpPr>
          <xdr:spPr bwMode="auto">
            <a:xfrm>
              <a:off x="3514726" y="52774"/>
              <a:ext cx="7219950" cy="1576001"/>
            </a:xfrm>
            <a:prstGeom prst="flowChartProcess">
              <a:avLst/>
            </a:prstGeom>
            <a:solidFill>
              <a:schemeClr val="accent1">
                <a:lumMod val="20000"/>
                <a:lumOff val="80000"/>
              </a:schemeClr>
            </a:solidFill>
            <a:ln w="19050" algn="ctr">
              <a:solidFill>
                <a:schemeClr val="accent1"/>
              </a:solidFill>
              <a:round/>
              <a:headEnd/>
              <a:tailEnd/>
            </a:ln>
            <a:effectLst/>
          </xdr:spPr>
          <xdr:txBody>
            <a:bodyPr/>
            <a:lstStyle/>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r>
                <a:rPr lang="pt-BR" sz="1400" b="1">
                  <a:latin typeface="Calibri Light" panose="020F0302020204030204" pitchFamily="34" charset="0"/>
                </a:rPr>
                <a:t>Menu de </a:t>
              </a:r>
            </a:p>
            <a:p>
              <a:pPr algn="r"/>
              <a:r>
                <a:rPr lang="pt-BR" sz="1400" b="1">
                  <a:latin typeface="Calibri Light" panose="020F0302020204030204" pitchFamily="34" charset="0"/>
                </a:rPr>
                <a:t>navegação</a:t>
              </a:r>
            </a:p>
          </xdr:txBody>
        </xdr:sp>
        <xdr:sp macro="" textlink="">
          <xdr:nvSpPr>
            <xdr:cNvPr id="35" name="Retângulo de cantos arredondados 34">
              <a:hlinkClick xmlns:r="http://schemas.openxmlformats.org/officeDocument/2006/relationships" r:id="rId3"/>
              <a:extLst>
                <a:ext uri="{FF2B5EF4-FFF2-40B4-BE49-F238E27FC236}">
                  <a16:creationId xmlns="" xmlns:a16="http://schemas.microsoft.com/office/drawing/2014/main" id="{00000000-0008-0000-0A00-000023000000}"/>
                </a:ext>
              </a:extLst>
            </xdr:cNvPr>
            <xdr:cNvSpPr/>
          </xdr:nvSpPr>
          <xdr:spPr bwMode="auto">
            <a:xfrm>
              <a:off x="4333251"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Introdução</a:t>
              </a:r>
            </a:p>
          </xdr:txBody>
        </xdr:sp>
        <xdr:sp macro="" textlink="">
          <xdr:nvSpPr>
            <xdr:cNvPr id="36" name="Retângulo de cantos arredondados 35">
              <a:hlinkClick xmlns:r="http://schemas.openxmlformats.org/officeDocument/2006/relationships" r:id="rId4"/>
              <a:extLst>
                <a:ext uri="{FF2B5EF4-FFF2-40B4-BE49-F238E27FC236}">
                  <a16:creationId xmlns="" xmlns:a16="http://schemas.microsoft.com/office/drawing/2014/main" id="{00000000-0008-0000-0A00-000024000000}"/>
                </a:ext>
              </a:extLst>
            </xdr:cNvPr>
            <xdr:cNvSpPr/>
          </xdr:nvSpPr>
          <xdr:spPr bwMode="auto">
            <a:xfrm>
              <a:off x="4333251"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lnSpc>
                  <a:spcPct val="80000"/>
                </a:lnSpc>
              </a:pPr>
              <a:r>
                <a:rPr lang="pt-BR" sz="900" b="0">
                  <a:solidFill>
                    <a:schemeClr val="bg1"/>
                  </a:solidFill>
                  <a:latin typeface="Calibri Light" panose="020F0302020204030204" pitchFamily="34" charset="0"/>
                  <a:cs typeface="Arial" pitchFamily="34" charset="0"/>
                </a:rPr>
                <a:t>Combustão</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estacionária</a:t>
              </a:r>
            </a:p>
          </xdr:txBody>
        </xdr:sp>
        <xdr:sp macro="" textlink="">
          <xdr:nvSpPr>
            <xdr:cNvPr id="37" name="Retângulo de cantos arredondados 36">
              <a:hlinkClick xmlns:r="http://schemas.openxmlformats.org/officeDocument/2006/relationships" r:id="rId5"/>
              <a:extLst>
                <a:ext uri="{FF2B5EF4-FFF2-40B4-BE49-F238E27FC236}">
                  <a16:creationId xmlns="" xmlns:a16="http://schemas.microsoft.com/office/drawing/2014/main" id="{00000000-0008-0000-0A00-000025000000}"/>
                </a:ext>
              </a:extLst>
            </xdr:cNvPr>
            <xdr:cNvSpPr/>
          </xdr:nvSpPr>
          <xdr:spPr bwMode="auto">
            <a:xfrm>
              <a:off x="5130292"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Combustão </a:t>
              </a:r>
            </a:p>
            <a:p>
              <a:pPr algn="ctr"/>
              <a:r>
                <a:rPr lang="pt-BR" sz="900" b="0">
                  <a:solidFill>
                    <a:schemeClr val="bg1"/>
                  </a:solidFill>
                  <a:latin typeface="Calibri Light" panose="020F0302020204030204" pitchFamily="34" charset="0"/>
                  <a:cs typeface="Arial" pitchFamily="34" charset="0"/>
                </a:rPr>
                <a:t>móvel</a:t>
              </a:r>
            </a:p>
          </xdr:txBody>
        </xdr:sp>
        <xdr:sp macro="" textlink="">
          <xdr:nvSpPr>
            <xdr:cNvPr id="38" name="Retângulo de cantos arredondados 37">
              <a:hlinkClick xmlns:r="http://schemas.openxmlformats.org/officeDocument/2006/relationships" r:id="rId6"/>
              <a:extLst>
                <a:ext uri="{FF2B5EF4-FFF2-40B4-BE49-F238E27FC236}">
                  <a16:creationId xmlns="" xmlns:a16="http://schemas.microsoft.com/office/drawing/2014/main" id="{00000000-0008-0000-0A00-000026000000}"/>
                </a:ext>
              </a:extLst>
            </xdr:cNvPr>
            <xdr:cNvSpPr/>
          </xdr:nvSpPr>
          <xdr:spPr bwMode="auto">
            <a:xfrm>
              <a:off x="5932663"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Resumo</a:t>
              </a:r>
            </a:p>
          </xdr:txBody>
        </xdr:sp>
        <xdr:sp macro="" textlink="">
          <xdr:nvSpPr>
            <xdr:cNvPr id="39" name="Retângulo de cantos arredondados 38">
              <a:hlinkClick xmlns:r="http://schemas.openxmlformats.org/officeDocument/2006/relationships" r:id="rId7"/>
              <a:extLst>
                <a:ext uri="{FF2B5EF4-FFF2-40B4-BE49-F238E27FC236}">
                  <a16:creationId xmlns="" xmlns:a16="http://schemas.microsoft.com/office/drawing/2014/main" id="{00000000-0008-0000-0A00-000027000000}"/>
                </a:ext>
              </a:extLst>
            </xdr:cNvPr>
            <xdr:cNvSpPr/>
          </xdr:nvSpPr>
          <xdr:spPr bwMode="auto">
            <a:xfrm>
              <a:off x="6719145"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Fatores </a:t>
              </a:r>
            </a:p>
            <a:p>
              <a:pPr algn="ctr"/>
              <a:r>
                <a:rPr lang="pt-BR" sz="900" b="0">
                  <a:latin typeface="Calibri Light" panose="020F0302020204030204" pitchFamily="34" charset="0"/>
                  <a:cs typeface="Arial" pitchFamily="34" charset="0"/>
                </a:rPr>
                <a:t>de emissão</a:t>
              </a:r>
            </a:p>
          </xdr:txBody>
        </xdr:sp>
        <xdr:sp macro="" textlink="">
          <xdr:nvSpPr>
            <xdr:cNvPr id="40" name="Fluxograma: Processo 39">
              <a:extLst>
                <a:ext uri="{FF2B5EF4-FFF2-40B4-BE49-F238E27FC236}">
                  <a16:creationId xmlns="" xmlns:a16="http://schemas.microsoft.com/office/drawing/2014/main" id="{00000000-0008-0000-0A00-000028000000}"/>
                </a:ext>
              </a:extLst>
            </xdr:cNvPr>
            <xdr:cNvSpPr/>
          </xdr:nvSpPr>
          <xdr:spPr bwMode="auto">
            <a:xfrm>
              <a:off x="3604863" y="528178"/>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1</a:t>
              </a:r>
            </a:p>
          </xdr:txBody>
        </xdr:sp>
        <xdr:sp macro="" textlink="">
          <xdr:nvSpPr>
            <xdr:cNvPr id="41" name="Retângulo de cantos arredondados 40">
              <a:hlinkClick xmlns:r="http://schemas.openxmlformats.org/officeDocument/2006/relationships" r:id="rId8"/>
              <a:extLst>
                <a:ext uri="{FF2B5EF4-FFF2-40B4-BE49-F238E27FC236}">
                  <a16:creationId xmlns="" xmlns:a16="http://schemas.microsoft.com/office/drawing/2014/main" id="{00000000-0008-0000-0A00-000029000000}"/>
                </a:ext>
              </a:extLst>
            </xdr:cNvPr>
            <xdr:cNvSpPr/>
          </xdr:nvSpPr>
          <xdr:spPr bwMode="auto">
            <a:xfrm>
              <a:off x="5927333"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00" b="0">
                  <a:solidFill>
                    <a:schemeClr val="bg1"/>
                  </a:solidFill>
                  <a:latin typeface="Calibri Light" panose="020F0302020204030204" pitchFamily="34" charset="0"/>
                  <a:cs typeface="Arial" pitchFamily="34" charset="0"/>
                </a:rPr>
                <a:t>Emissões </a:t>
              </a:r>
            </a:p>
            <a:p>
              <a:pPr algn="ctr"/>
              <a:r>
                <a:rPr lang="pt-BR" sz="800" b="0">
                  <a:solidFill>
                    <a:schemeClr val="bg1"/>
                  </a:solidFill>
                  <a:latin typeface="Calibri Light" panose="020F0302020204030204" pitchFamily="34" charset="0"/>
                  <a:cs typeface="Arial" pitchFamily="34" charset="0"/>
                </a:rPr>
                <a:t>fugitivas</a:t>
              </a:r>
            </a:p>
          </xdr:txBody>
        </xdr:sp>
        <xdr:sp macro="" textlink="">
          <xdr:nvSpPr>
            <xdr:cNvPr id="42" name="Retângulo de cantos arredondados 41">
              <a:hlinkClick xmlns:r="http://schemas.openxmlformats.org/officeDocument/2006/relationships" r:id="rId9"/>
              <a:extLst>
                <a:ext uri="{FF2B5EF4-FFF2-40B4-BE49-F238E27FC236}">
                  <a16:creationId xmlns="" xmlns:a16="http://schemas.microsoft.com/office/drawing/2014/main" id="{00000000-0008-0000-0A00-00002A000000}"/>
                </a:ext>
              </a:extLst>
            </xdr:cNvPr>
            <xdr:cNvSpPr/>
          </xdr:nvSpPr>
          <xdr:spPr bwMode="auto">
            <a:xfrm>
              <a:off x="6724374"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Processos</a:t>
              </a:r>
              <a:r>
                <a:rPr lang="pt-BR" sz="900" b="0" baseline="0">
                  <a:solidFill>
                    <a:schemeClr val="bg1"/>
                  </a:solidFill>
                  <a:latin typeface="Calibri Light" panose="020F0302020204030204" pitchFamily="34" charset="0"/>
                  <a:cs typeface="Arial" pitchFamily="34" charset="0"/>
                </a:rPr>
                <a:t> industriais</a:t>
              </a:r>
              <a:endParaRPr lang="pt-BR" sz="900" b="0">
                <a:solidFill>
                  <a:schemeClr val="bg1"/>
                </a:solidFill>
                <a:latin typeface="Calibri Light" panose="020F0302020204030204" pitchFamily="34" charset="0"/>
                <a:cs typeface="Arial" pitchFamily="34" charset="0"/>
              </a:endParaRPr>
            </a:p>
          </xdr:txBody>
        </xdr:sp>
        <xdr:sp macro="" textlink="">
          <xdr:nvSpPr>
            <xdr:cNvPr id="43" name="Retângulo de cantos arredondados 43">
              <a:hlinkClick xmlns:r="http://schemas.openxmlformats.org/officeDocument/2006/relationships" r:id="rId10"/>
              <a:extLst>
                <a:ext uri="{FF2B5EF4-FFF2-40B4-BE49-F238E27FC236}">
                  <a16:creationId xmlns="" xmlns:a16="http://schemas.microsoft.com/office/drawing/2014/main" id="{00000000-0008-0000-0A00-00002B000000}"/>
                </a:ext>
              </a:extLst>
            </xdr:cNvPr>
            <xdr:cNvSpPr/>
          </xdr:nvSpPr>
          <xdr:spPr bwMode="auto">
            <a:xfrm>
              <a:off x="8318456"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Resíduos</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sólidos</a:t>
              </a:r>
            </a:p>
          </xdr:txBody>
        </xdr:sp>
        <xdr:sp macro="" textlink="">
          <xdr:nvSpPr>
            <xdr:cNvPr id="44" name="Retângulo de cantos arredondados 44">
              <a:hlinkClick xmlns:r="http://schemas.openxmlformats.org/officeDocument/2006/relationships" r:id="rId11"/>
              <a:extLst>
                <a:ext uri="{FF2B5EF4-FFF2-40B4-BE49-F238E27FC236}">
                  <a16:creationId xmlns="" xmlns:a16="http://schemas.microsoft.com/office/drawing/2014/main" id="{00000000-0008-0000-0A00-00002C000000}"/>
                </a:ext>
              </a:extLst>
            </xdr:cNvPr>
            <xdr:cNvSpPr/>
          </xdr:nvSpPr>
          <xdr:spPr bwMode="auto">
            <a:xfrm>
              <a:off x="433325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lnSpc>
                  <a:spcPct val="80000"/>
                </a:lnSpc>
              </a:pPr>
              <a:r>
                <a:rPr lang="pt-BR" sz="900" b="0">
                  <a:latin typeface="Calibri Light" panose="020F0302020204030204" pitchFamily="34" charset="0"/>
                  <a:cs typeface="Arial" pitchFamily="34" charset="0"/>
                </a:rPr>
                <a:t>Compra de Energia</a:t>
              </a:r>
              <a:r>
                <a:rPr lang="pt-BR" sz="900" b="0" baseline="0">
                  <a:latin typeface="Calibri Light" panose="020F0302020204030204" pitchFamily="34" charset="0"/>
                  <a:cs typeface="Arial" pitchFamily="34" charset="0"/>
                </a:rPr>
                <a:t> Elétrica</a:t>
              </a:r>
            </a:p>
          </xdr:txBody>
        </xdr:sp>
        <xdr:sp macro="" textlink="">
          <xdr:nvSpPr>
            <xdr:cNvPr id="45" name="Retângulo de cantos arredondados 45">
              <a:hlinkClick xmlns:r="http://schemas.openxmlformats.org/officeDocument/2006/relationships" r:id="rId12"/>
              <a:extLst>
                <a:ext uri="{FF2B5EF4-FFF2-40B4-BE49-F238E27FC236}">
                  <a16:creationId xmlns="" xmlns:a16="http://schemas.microsoft.com/office/drawing/2014/main" id="{00000000-0008-0000-0A00-00002D000000}"/>
                </a:ext>
              </a:extLst>
            </xdr:cNvPr>
            <xdr:cNvSpPr/>
          </xdr:nvSpPr>
          <xdr:spPr bwMode="auto">
            <a:xfrm>
              <a:off x="513371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Compra de</a:t>
              </a:r>
              <a:r>
                <a:rPr lang="pt-BR" sz="900" b="0" baseline="0">
                  <a:latin typeface="Calibri Light" panose="020F0302020204030204" pitchFamily="34" charset="0"/>
                  <a:cs typeface="Arial" pitchFamily="34" charset="0"/>
                </a:rPr>
                <a:t> Energia Térmica</a:t>
              </a:r>
            </a:p>
          </xdr:txBody>
        </xdr:sp>
        <xdr:sp macro="" textlink="">
          <xdr:nvSpPr>
            <xdr:cNvPr id="46" name="Fluxograma: Processo 45">
              <a:extLst>
                <a:ext uri="{FF2B5EF4-FFF2-40B4-BE49-F238E27FC236}">
                  <a16:creationId xmlns="" xmlns:a16="http://schemas.microsoft.com/office/drawing/2014/main" id="{00000000-0008-0000-0A00-00002E000000}"/>
                </a:ext>
              </a:extLst>
            </xdr:cNvPr>
            <xdr:cNvSpPr/>
          </xdr:nvSpPr>
          <xdr:spPr bwMode="auto">
            <a:xfrm>
              <a:off x="3604863" y="909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2</a:t>
              </a:r>
            </a:p>
          </xdr:txBody>
        </xdr:sp>
        <xdr:sp macro="" textlink="">
          <xdr:nvSpPr>
            <xdr:cNvPr id="47" name="Fluxograma: Processo 46">
              <a:extLst>
                <a:ext uri="{FF2B5EF4-FFF2-40B4-BE49-F238E27FC236}">
                  <a16:creationId xmlns="" xmlns:a16="http://schemas.microsoft.com/office/drawing/2014/main" id="{00000000-0008-0000-0A00-00002F000000}"/>
                </a:ext>
              </a:extLst>
            </xdr:cNvPr>
            <xdr:cNvSpPr/>
          </xdr:nvSpPr>
          <xdr:spPr bwMode="auto">
            <a:xfrm>
              <a:off x="3604863" y="1290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3</a:t>
              </a:r>
            </a:p>
          </xdr:txBody>
        </xdr:sp>
        <xdr:sp macro="" textlink="">
          <xdr:nvSpPr>
            <xdr:cNvPr id="48" name="Retângulo de cantos arredondados 48">
              <a:hlinkClick xmlns:r="http://schemas.openxmlformats.org/officeDocument/2006/relationships" r:id="rId13"/>
              <a:extLst>
                <a:ext uri="{FF2B5EF4-FFF2-40B4-BE49-F238E27FC236}">
                  <a16:creationId xmlns="" xmlns:a16="http://schemas.microsoft.com/office/drawing/2014/main" id="{00000000-0008-0000-0A00-000030000000}"/>
                </a:ext>
              </a:extLst>
            </xdr:cNvPr>
            <xdr:cNvSpPr/>
          </xdr:nvSpPr>
          <xdr:spPr bwMode="auto">
            <a:xfrm>
              <a:off x="433325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lnSpc>
                  <a:spcPct val="80000"/>
                </a:lnSpc>
              </a:pPr>
              <a:r>
                <a:rPr lang="pt-BR" sz="900" b="0">
                  <a:solidFill>
                    <a:schemeClr val="bg1">
                      <a:lumMod val="50000"/>
                    </a:schemeClr>
                  </a:solidFill>
                  <a:latin typeface="Calibri Light" panose="020F0302020204030204" pitchFamily="34" charset="0"/>
                  <a:cs typeface="Arial" pitchFamily="34" charset="0"/>
                </a:rPr>
                <a:t>Categorias de Âmbito 3</a:t>
              </a:r>
              <a:endParaRPr lang="pt-BR" sz="900" b="0" baseline="0">
                <a:solidFill>
                  <a:schemeClr val="bg1">
                    <a:lumMod val="50000"/>
                  </a:schemeClr>
                </a:solidFill>
                <a:latin typeface="Calibri Light" panose="020F0302020204030204" pitchFamily="34" charset="0"/>
                <a:cs typeface="Arial" pitchFamily="34" charset="0"/>
              </a:endParaRPr>
            </a:p>
          </xdr:txBody>
        </xdr:sp>
        <xdr:sp macro="" textlink="">
          <xdr:nvSpPr>
            <xdr:cNvPr id="49" name="Retângulo de cantos arredondados 49">
              <a:hlinkClick xmlns:r="http://schemas.openxmlformats.org/officeDocument/2006/relationships" r:id="rId14"/>
              <a:extLst>
                <a:ext uri="{FF2B5EF4-FFF2-40B4-BE49-F238E27FC236}">
                  <a16:creationId xmlns="" xmlns:a16="http://schemas.microsoft.com/office/drawing/2014/main" id="{00000000-0008-0000-0A00-000031000000}"/>
                </a:ext>
              </a:extLst>
            </xdr:cNvPr>
            <xdr:cNvSpPr/>
          </xdr:nvSpPr>
          <xdr:spPr bwMode="auto">
            <a:xfrm>
              <a:off x="5925918"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Resíduos sólidos gerados na operação</a:t>
              </a:r>
            </a:p>
          </xdr:txBody>
        </xdr:sp>
        <xdr:sp macro="" textlink="">
          <xdr:nvSpPr>
            <xdr:cNvPr id="50" name="Retângulo de cantos arredondados 50">
              <a:hlinkClick xmlns:r="http://schemas.openxmlformats.org/officeDocument/2006/relationships" r:id="rId15"/>
              <a:extLst>
                <a:ext uri="{FF2B5EF4-FFF2-40B4-BE49-F238E27FC236}">
                  <a16:creationId xmlns="" xmlns:a16="http://schemas.microsoft.com/office/drawing/2014/main" id="{00000000-0008-0000-0A00-000032000000}"/>
                </a:ext>
              </a:extLst>
            </xdr:cNvPr>
            <xdr:cNvSpPr/>
          </xdr:nvSpPr>
          <xdr:spPr bwMode="auto">
            <a:xfrm>
              <a:off x="6722959"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Efluentes gerados na operação</a:t>
              </a:r>
            </a:p>
          </xdr:txBody>
        </xdr:sp>
        <xdr:sp macro="" textlink="">
          <xdr:nvSpPr>
            <xdr:cNvPr id="51" name="Retângulo de cantos arredondados 51">
              <a:hlinkClick xmlns:r="http://schemas.openxmlformats.org/officeDocument/2006/relationships" r:id="rId16"/>
              <a:extLst>
                <a:ext uri="{FF2B5EF4-FFF2-40B4-BE49-F238E27FC236}">
                  <a16:creationId xmlns="" xmlns:a16="http://schemas.microsoft.com/office/drawing/2014/main" id="{00000000-0008-0000-0A00-000033000000}"/>
                </a:ext>
              </a:extLst>
            </xdr:cNvPr>
            <xdr:cNvSpPr/>
          </xdr:nvSpPr>
          <xdr:spPr bwMode="auto">
            <a:xfrm>
              <a:off x="831704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(downstream)</a:t>
              </a:r>
            </a:p>
          </xdr:txBody>
        </xdr:sp>
        <xdr:sp macro="" textlink="">
          <xdr:nvSpPr>
            <xdr:cNvPr id="52" name="Retângulo de cantos arredondados 52">
              <a:hlinkClick xmlns:r="http://schemas.openxmlformats.org/officeDocument/2006/relationships" r:id="rId17"/>
              <a:extLst>
                <a:ext uri="{FF2B5EF4-FFF2-40B4-BE49-F238E27FC236}">
                  <a16:creationId xmlns="" xmlns:a16="http://schemas.microsoft.com/office/drawing/2014/main" id="{00000000-0008-0000-0A00-000034000000}"/>
                </a:ext>
              </a:extLst>
            </xdr:cNvPr>
            <xdr:cNvSpPr/>
          </xdr:nvSpPr>
          <xdr:spPr bwMode="auto">
            <a:xfrm>
              <a:off x="5135994" y="1228723"/>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(upstream)</a:t>
              </a:r>
            </a:p>
          </xdr:txBody>
        </xdr:sp>
        <xdr:sp macro="" textlink="">
          <xdr:nvSpPr>
            <xdr:cNvPr id="53" name="Retângulo de cantos arredondados 54">
              <a:hlinkClick xmlns:r="http://schemas.openxmlformats.org/officeDocument/2006/relationships" r:id="rId18"/>
              <a:extLst>
                <a:ext uri="{FF2B5EF4-FFF2-40B4-BE49-F238E27FC236}">
                  <a16:creationId xmlns="" xmlns:a16="http://schemas.microsoft.com/office/drawing/2014/main" id="{00000000-0008-0000-0A00-000035000000}"/>
                </a:ext>
              </a:extLst>
            </xdr:cNvPr>
            <xdr:cNvSpPr/>
          </xdr:nvSpPr>
          <xdr:spPr bwMode="auto">
            <a:xfrm>
              <a:off x="9115497"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Efluentes</a:t>
              </a:r>
            </a:p>
          </xdr:txBody>
        </xdr:sp>
        <xdr:sp macro="" textlink="">
          <xdr:nvSpPr>
            <xdr:cNvPr id="54" name="Retângulo de cantos arredondados 56">
              <a:hlinkClick xmlns:r="http://schemas.openxmlformats.org/officeDocument/2006/relationships" r:id="rId19"/>
              <a:extLst>
                <a:ext uri="{FF2B5EF4-FFF2-40B4-BE49-F238E27FC236}">
                  <a16:creationId xmlns="" xmlns:a16="http://schemas.microsoft.com/office/drawing/2014/main" id="{00000000-0008-0000-0A00-000036000000}"/>
                </a:ext>
              </a:extLst>
            </xdr:cNvPr>
            <xdr:cNvSpPr/>
          </xdr:nvSpPr>
          <xdr:spPr bwMode="auto">
            <a:xfrm>
              <a:off x="7526519"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Conversão de unidades</a:t>
              </a:r>
            </a:p>
          </xdr:txBody>
        </xdr:sp>
        <xdr:sp macro="" textlink="">
          <xdr:nvSpPr>
            <xdr:cNvPr id="55" name="Retângulo de cantos arredondados 58">
              <a:hlinkClick xmlns:r="http://schemas.openxmlformats.org/officeDocument/2006/relationships" r:id="rId20"/>
              <a:extLst>
                <a:ext uri="{FF2B5EF4-FFF2-40B4-BE49-F238E27FC236}">
                  <a16:creationId xmlns="" xmlns:a16="http://schemas.microsoft.com/office/drawing/2014/main" id="{00000000-0008-0000-0A00-000037000000}"/>
                </a:ext>
              </a:extLst>
            </xdr:cNvPr>
            <xdr:cNvSpPr/>
          </xdr:nvSpPr>
          <xdr:spPr bwMode="auto">
            <a:xfrm>
              <a:off x="7520000"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r>
                <a:rPr lang="pt-BR" sz="900" b="0">
                  <a:solidFill>
                    <a:schemeClr val="bg1">
                      <a:lumMod val="50000"/>
                    </a:schemeClr>
                  </a:solidFill>
                  <a:latin typeface="Calibri Light" panose="020F0302020204030204" pitchFamily="34" charset="0"/>
                  <a:cs typeface="Arial" pitchFamily="34" charset="0"/>
                </a:rPr>
                <a:t>Viagens a negócios</a:t>
              </a:r>
            </a:p>
          </xdr:txBody>
        </xdr:sp>
        <xdr:sp macro="" textlink="">
          <xdr:nvSpPr>
            <xdr:cNvPr id="56" name="Fluxograma: Processo 59">
              <a:extLst>
                <a:ext uri="{FF2B5EF4-FFF2-40B4-BE49-F238E27FC236}">
                  <a16:creationId xmlns="" xmlns:a16="http://schemas.microsoft.com/office/drawing/2014/main" id="{00000000-0008-0000-0A00-000038000000}"/>
                </a:ext>
              </a:extLst>
            </xdr:cNvPr>
            <xdr:cNvSpPr/>
          </xdr:nvSpPr>
          <xdr:spPr bwMode="auto">
            <a:xfrm>
              <a:off x="3604863" y="156702"/>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Geral</a:t>
              </a:r>
            </a:p>
          </xdr:txBody>
        </xdr:sp>
      </xdr:grpSp>
      <xdr:sp macro="" textlink="">
        <xdr:nvSpPr>
          <xdr:cNvPr id="32" name="Retângulo de cantos arredondados 37">
            <a:hlinkClick xmlns:r="http://schemas.openxmlformats.org/officeDocument/2006/relationships" r:id="rId2"/>
            <a:extLst>
              <a:ext uri="{FF2B5EF4-FFF2-40B4-BE49-F238E27FC236}">
                <a16:creationId xmlns="" xmlns:a16="http://schemas.microsoft.com/office/drawing/2014/main" id="{00000000-0008-0000-0A00-000020000000}"/>
              </a:ext>
            </a:extLst>
          </xdr:cNvPr>
          <xdr:cNvSpPr/>
        </xdr:nvSpPr>
        <xdr:spPr bwMode="auto">
          <a:xfrm>
            <a:off x="4696884" y="162983"/>
            <a:ext cx="774700" cy="31873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sp macro="" textlink="">
        <xdr:nvSpPr>
          <xdr:cNvPr id="33" name="Retângulo de cantos arredondados 42">
            <a:hlinkClick xmlns:r="http://schemas.openxmlformats.org/officeDocument/2006/relationships" r:id="rId21"/>
            <a:extLst>
              <a:ext uri="{FF2B5EF4-FFF2-40B4-BE49-F238E27FC236}">
                <a16:creationId xmlns="" xmlns:a16="http://schemas.microsoft.com/office/drawing/2014/main" id="{00000000-0008-0000-0A00-000021000000}"/>
              </a:ext>
            </a:extLst>
          </xdr:cNvPr>
          <xdr:cNvSpPr/>
        </xdr:nvSpPr>
        <xdr:spPr bwMode="auto">
          <a:xfrm>
            <a:off x="7125758" y="522817"/>
            <a:ext cx="758825" cy="318738"/>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50" b="0">
                <a:solidFill>
                  <a:schemeClr val="bg1"/>
                </a:solidFill>
                <a:latin typeface="Calibri Light" panose="020F0302020204030204" pitchFamily="34" charset="0"/>
                <a:cs typeface="Arial" pitchFamily="34" charset="0"/>
              </a:rPr>
              <a:t>Agrícolas e alt. do uso do solo</a:t>
            </a:r>
            <a:endParaRPr lang="pt-BR" sz="850" b="0" baseline="0">
              <a:solidFill>
                <a:schemeClr val="bg1"/>
              </a:solidFill>
              <a:latin typeface="Calibri Light" panose="020F0302020204030204" pitchFamily="34" charset="0"/>
              <a:cs typeface="Arial" pitchFamily="34" charset="0"/>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52917</xdr:rowOff>
    </xdr:from>
    <xdr:to>
      <xdr:col>2</xdr:col>
      <xdr:colOff>1016000</xdr:colOff>
      <xdr:row>6</xdr:row>
      <xdr:rowOff>28208</xdr:rowOff>
    </xdr:to>
    <xdr:pic>
      <xdr:nvPicPr>
        <xdr:cNvPr id="28" name="Imagem 27">
          <a:extLst>
            <a:ext uri="{FF2B5EF4-FFF2-40B4-BE49-F238E27FC236}">
              <a16:creationId xmlns="" xmlns:a16="http://schemas.microsoft.com/office/drawing/2014/main" id="{00000000-0008-0000-0B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2917"/>
          <a:ext cx="2762250" cy="1065374"/>
        </a:xfrm>
        <a:prstGeom prst="rect">
          <a:avLst/>
        </a:prstGeom>
      </xdr:spPr>
    </xdr:pic>
    <xdr:clientData/>
  </xdr:twoCellAnchor>
  <xdr:twoCellAnchor>
    <xdr:from>
      <xdr:col>3</xdr:col>
      <xdr:colOff>973667</xdr:colOff>
      <xdr:row>0</xdr:row>
      <xdr:rowOff>105834</xdr:rowOff>
    </xdr:from>
    <xdr:to>
      <xdr:col>3</xdr:col>
      <xdr:colOff>1731492</xdr:colOff>
      <xdr:row>2</xdr:row>
      <xdr:rowOff>113422</xdr:rowOff>
    </xdr:to>
    <xdr:sp macro="" textlink="">
      <xdr:nvSpPr>
        <xdr:cNvPr id="55" name="Retângulo de cantos arredondados 37">
          <a:hlinkClick xmlns:r="http://schemas.openxmlformats.org/officeDocument/2006/relationships" r:id="rId2"/>
          <a:extLst>
            <a:ext uri="{FF2B5EF4-FFF2-40B4-BE49-F238E27FC236}">
              <a16:creationId xmlns="" xmlns:a16="http://schemas.microsoft.com/office/drawing/2014/main" id="{00000000-0008-0000-0B00-000037000000}"/>
            </a:ext>
          </a:extLst>
        </xdr:cNvPr>
        <xdr:cNvSpPr/>
      </xdr:nvSpPr>
      <xdr:spPr bwMode="auto">
        <a:xfrm>
          <a:off x="4286250" y="105834"/>
          <a:ext cx="757825" cy="32508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clientData/>
  </xdr:twoCellAnchor>
  <xdr:twoCellAnchor>
    <xdr:from>
      <xdr:col>2</xdr:col>
      <xdr:colOff>1534583</xdr:colOff>
      <xdr:row>0</xdr:row>
      <xdr:rowOff>42333</xdr:rowOff>
    </xdr:from>
    <xdr:to>
      <xdr:col>6</xdr:col>
      <xdr:colOff>510614</xdr:colOff>
      <xdr:row>9</xdr:row>
      <xdr:rowOff>120792</xdr:rowOff>
    </xdr:to>
    <xdr:grpSp>
      <xdr:nvGrpSpPr>
        <xdr:cNvPr id="56" name="Grupo 55">
          <a:extLst>
            <a:ext uri="{FF2B5EF4-FFF2-40B4-BE49-F238E27FC236}">
              <a16:creationId xmlns="" xmlns:a16="http://schemas.microsoft.com/office/drawing/2014/main" id="{00000000-0008-0000-0B00-000038000000}"/>
            </a:ext>
          </a:extLst>
        </xdr:cNvPr>
        <xdr:cNvGrpSpPr/>
      </xdr:nvGrpSpPr>
      <xdr:grpSpPr>
        <a:xfrm>
          <a:off x="3280833" y="42333"/>
          <a:ext cx="7283948" cy="1750626"/>
          <a:chOff x="3069167" y="114300"/>
          <a:chExt cx="7283948" cy="1549543"/>
        </a:xfrm>
      </xdr:grpSpPr>
      <xdr:grpSp>
        <xdr:nvGrpSpPr>
          <xdr:cNvPr id="57" name="Group 32">
            <a:extLst>
              <a:ext uri="{FF2B5EF4-FFF2-40B4-BE49-F238E27FC236}">
                <a16:creationId xmlns="" xmlns:a16="http://schemas.microsoft.com/office/drawing/2014/main" id="{00000000-0008-0000-0B00-000039000000}"/>
              </a:ext>
            </a:extLst>
          </xdr:cNvPr>
          <xdr:cNvGrpSpPr/>
        </xdr:nvGrpSpPr>
        <xdr:grpSpPr>
          <a:xfrm>
            <a:off x="3069167" y="114300"/>
            <a:ext cx="7283948" cy="1549543"/>
            <a:chOff x="3514726" y="52774"/>
            <a:chExt cx="7219950" cy="1576001"/>
          </a:xfrm>
        </xdr:grpSpPr>
        <xdr:sp macro="" textlink="">
          <xdr:nvSpPr>
            <xdr:cNvPr id="60" name="Fluxograma: Processo 60">
              <a:extLst>
                <a:ext uri="{FF2B5EF4-FFF2-40B4-BE49-F238E27FC236}">
                  <a16:creationId xmlns="" xmlns:a16="http://schemas.microsoft.com/office/drawing/2014/main" id="{00000000-0008-0000-0B00-00003C000000}"/>
                </a:ext>
              </a:extLst>
            </xdr:cNvPr>
            <xdr:cNvSpPr>
              <a:spLocks noChangeArrowheads="1"/>
            </xdr:cNvSpPr>
          </xdr:nvSpPr>
          <xdr:spPr bwMode="auto">
            <a:xfrm>
              <a:off x="3514726" y="52774"/>
              <a:ext cx="7219950" cy="1576001"/>
            </a:xfrm>
            <a:prstGeom prst="flowChartProcess">
              <a:avLst/>
            </a:prstGeom>
            <a:solidFill>
              <a:schemeClr val="accent1">
                <a:lumMod val="20000"/>
                <a:lumOff val="80000"/>
              </a:schemeClr>
            </a:solidFill>
            <a:ln w="19050" algn="ctr">
              <a:solidFill>
                <a:schemeClr val="accent1"/>
              </a:solidFill>
              <a:round/>
              <a:headEnd/>
              <a:tailEnd/>
            </a:ln>
            <a:effectLst/>
          </xdr:spPr>
          <xdr:txBody>
            <a:bodyPr/>
            <a:lstStyle/>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r>
                <a:rPr lang="pt-BR" sz="1400" b="1">
                  <a:latin typeface="Calibri Light" panose="020F0302020204030204" pitchFamily="34" charset="0"/>
                </a:rPr>
                <a:t>Menu de </a:t>
              </a:r>
            </a:p>
            <a:p>
              <a:pPr algn="r"/>
              <a:r>
                <a:rPr lang="pt-BR" sz="1400" b="1">
                  <a:latin typeface="Calibri Light" panose="020F0302020204030204" pitchFamily="34" charset="0"/>
                </a:rPr>
                <a:t>navegação</a:t>
              </a:r>
            </a:p>
          </xdr:txBody>
        </xdr:sp>
        <xdr:sp macro="" textlink="">
          <xdr:nvSpPr>
            <xdr:cNvPr id="61" name="Retângulo de cantos arredondados 34">
              <a:hlinkClick xmlns:r="http://schemas.openxmlformats.org/officeDocument/2006/relationships" r:id="rId3"/>
              <a:extLst>
                <a:ext uri="{FF2B5EF4-FFF2-40B4-BE49-F238E27FC236}">
                  <a16:creationId xmlns="" xmlns:a16="http://schemas.microsoft.com/office/drawing/2014/main" id="{00000000-0008-0000-0B00-00003D000000}"/>
                </a:ext>
              </a:extLst>
            </xdr:cNvPr>
            <xdr:cNvSpPr/>
          </xdr:nvSpPr>
          <xdr:spPr bwMode="auto">
            <a:xfrm>
              <a:off x="4333251"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Introdução</a:t>
              </a:r>
            </a:p>
          </xdr:txBody>
        </xdr:sp>
        <xdr:sp macro="" textlink="">
          <xdr:nvSpPr>
            <xdr:cNvPr id="62" name="Retângulo de cantos arredondados 35">
              <a:hlinkClick xmlns:r="http://schemas.openxmlformats.org/officeDocument/2006/relationships" r:id="rId4"/>
              <a:extLst>
                <a:ext uri="{FF2B5EF4-FFF2-40B4-BE49-F238E27FC236}">
                  <a16:creationId xmlns="" xmlns:a16="http://schemas.microsoft.com/office/drawing/2014/main" id="{00000000-0008-0000-0B00-00003E000000}"/>
                </a:ext>
              </a:extLst>
            </xdr:cNvPr>
            <xdr:cNvSpPr/>
          </xdr:nvSpPr>
          <xdr:spPr bwMode="auto">
            <a:xfrm>
              <a:off x="4333251"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lnSpc>
                  <a:spcPct val="80000"/>
                </a:lnSpc>
              </a:pPr>
              <a:r>
                <a:rPr lang="pt-BR" sz="900" b="0">
                  <a:solidFill>
                    <a:schemeClr val="bg1"/>
                  </a:solidFill>
                  <a:latin typeface="Calibri Light" panose="020F0302020204030204" pitchFamily="34" charset="0"/>
                  <a:cs typeface="Arial" pitchFamily="34" charset="0"/>
                </a:rPr>
                <a:t>Combustão</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estacionária</a:t>
              </a:r>
            </a:p>
          </xdr:txBody>
        </xdr:sp>
        <xdr:sp macro="" textlink="">
          <xdr:nvSpPr>
            <xdr:cNvPr id="63" name="Retângulo de cantos arredondados 36">
              <a:hlinkClick xmlns:r="http://schemas.openxmlformats.org/officeDocument/2006/relationships" r:id="rId5"/>
              <a:extLst>
                <a:ext uri="{FF2B5EF4-FFF2-40B4-BE49-F238E27FC236}">
                  <a16:creationId xmlns="" xmlns:a16="http://schemas.microsoft.com/office/drawing/2014/main" id="{00000000-0008-0000-0B00-00003F000000}"/>
                </a:ext>
              </a:extLst>
            </xdr:cNvPr>
            <xdr:cNvSpPr/>
          </xdr:nvSpPr>
          <xdr:spPr bwMode="auto">
            <a:xfrm>
              <a:off x="5130292"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Combustão </a:t>
              </a:r>
            </a:p>
            <a:p>
              <a:pPr algn="ctr"/>
              <a:r>
                <a:rPr lang="pt-BR" sz="900" b="0">
                  <a:solidFill>
                    <a:schemeClr val="bg1"/>
                  </a:solidFill>
                  <a:latin typeface="Calibri Light" panose="020F0302020204030204" pitchFamily="34" charset="0"/>
                  <a:cs typeface="Arial" pitchFamily="34" charset="0"/>
                </a:rPr>
                <a:t>móvel</a:t>
              </a:r>
            </a:p>
          </xdr:txBody>
        </xdr:sp>
        <xdr:sp macro="" textlink="">
          <xdr:nvSpPr>
            <xdr:cNvPr id="64" name="Retângulo de cantos arredondados 37">
              <a:hlinkClick xmlns:r="http://schemas.openxmlformats.org/officeDocument/2006/relationships" r:id="rId6"/>
              <a:extLst>
                <a:ext uri="{FF2B5EF4-FFF2-40B4-BE49-F238E27FC236}">
                  <a16:creationId xmlns="" xmlns:a16="http://schemas.microsoft.com/office/drawing/2014/main" id="{00000000-0008-0000-0B00-000040000000}"/>
                </a:ext>
              </a:extLst>
            </xdr:cNvPr>
            <xdr:cNvSpPr/>
          </xdr:nvSpPr>
          <xdr:spPr bwMode="auto">
            <a:xfrm>
              <a:off x="5932663"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Resumo</a:t>
              </a:r>
            </a:p>
          </xdr:txBody>
        </xdr:sp>
        <xdr:sp macro="" textlink="">
          <xdr:nvSpPr>
            <xdr:cNvPr id="65" name="Retângulo de cantos arredondados 38">
              <a:hlinkClick xmlns:r="http://schemas.openxmlformats.org/officeDocument/2006/relationships" r:id="rId7"/>
              <a:extLst>
                <a:ext uri="{FF2B5EF4-FFF2-40B4-BE49-F238E27FC236}">
                  <a16:creationId xmlns="" xmlns:a16="http://schemas.microsoft.com/office/drawing/2014/main" id="{00000000-0008-0000-0B00-000041000000}"/>
                </a:ext>
              </a:extLst>
            </xdr:cNvPr>
            <xdr:cNvSpPr/>
          </xdr:nvSpPr>
          <xdr:spPr bwMode="auto">
            <a:xfrm>
              <a:off x="6719145"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Fatores </a:t>
              </a:r>
            </a:p>
            <a:p>
              <a:pPr algn="ctr"/>
              <a:r>
                <a:rPr lang="pt-BR" sz="900" b="0">
                  <a:latin typeface="Calibri Light" panose="020F0302020204030204" pitchFamily="34" charset="0"/>
                  <a:cs typeface="Arial" pitchFamily="34" charset="0"/>
                </a:rPr>
                <a:t>de emissão</a:t>
              </a:r>
            </a:p>
          </xdr:txBody>
        </xdr:sp>
        <xdr:sp macro="" textlink="">
          <xdr:nvSpPr>
            <xdr:cNvPr id="66" name="Fluxograma: Processo 65">
              <a:extLst>
                <a:ext uri="{FF2B5EF4-FFF2-40B4-BE49-F238E27FC236}">
                  <a16:creationId xmlns="" xmlns:a16="http://schemas.microsoft.com/office/drawing/2014/main" id="{00000000-0008-0000-0B00-000042000000}"/>
                </a:ext>
              </a:extLst>
            </xdr:cNvPr>
            <xdr:cNvSpPr/>
          </xdr:nvSpPr>
          <xdr:spPr bwMode="auto">
            <a:xfrm>
              <a:off x="3604863" y="528178"/>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1</a:t>
              </a:r>
            </a:p>
          </xdr:txBody>
        </xdr:sp>
        <xdr:sp macro="" textlink="">
          <xdr:nvSpPr>
            <xdr:cNvPr id="67" name="Retângulo de cantos arredondados 40">
              <a:hlinkClick xmlns:r="http://schemas.openxmlformats.org/officeDocument/2006/relationships" r:id="rId8"/>
              <a:extLst>
                <a:ext uri="{FF2B5EF4-FFF2-40B4-BE49-F238E27FC236}">
                  <a16:creationId xmlns="" xmlns:a16="http://schemas.microsoft.com/office/drawing/2014/main" id="{00000000-0008-0000-0B00-000043000000}"/>
                </a:ext>
              </a:extLst>
            </xdr:cNvPr>
            <xdr:cNvSpPr/>
          </xdr:nvSpPr>
          <xdr:spPr bwMode="auto">
            <a:xfrm>
              <a:off x="5927333"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00" b="0">
                  <a:solidFill>
                    <a:schemeClr val="bg1"/>
                  </a:solidFill>
                  <a:latin typeface="Calibri Light" panose="020F0302020204030204" pitchFamily="34" charset="0"/>
                  <a:cs typeface="Arial" pitchFamily="34" charset="0"/>
                </a:rPr>
                <a:t>Emissões </a:t>
              </a:r>
            </a:p>
            <a:p>
              <a:pPr algn="ctr"/>
              <a:r>
                <a:rPr lang="pt-BR" sz="800" b="0">
                  <a:solidFill>
                    <a:schemeClr val="bg1"/>
                  </a:solidFill>
                  <a:latin typeface="Calibri Light" panose="020F0302020204030204" pitchFamily="34" charset="0"/>
                  <a:cs typeface="Arial" pitchFamily="34" charset="0"/>
                </a:rPr>
                <a:t>fugitivas</a:t>
              </a:r>
            </a:p>
          </xdr:txBody>
        </xdr:sp>
        <xdr:sp macro="" textlink="">
          <xdr:nvSpPr>
            <xdr:cNvPr id="68" name="Retângulo de cantos arredondados 41">
              <a:hlinkClick xmlns:r="http://schemas.openxmlformats.org/officeDocument/2006/relationships" r:id="rId9"/>
              <a:extLst>
                <a:ext uri="{FF2B5EF4-FFF2-40B4-BE49-F238E27FC236}">
                  <a16:creationId xmlns="" xmlns:a16="http://schemas.microsoft.com/office/drawing/2014/main" id="{00000000-0008-0000-0B00-000044000000}"/>
                </a:ext>
              </a:extLst>
            </xdr:cNvPr>
            <xdr:cNvSpPr/>
          </xdr:nvSpPr>
          <xdr:spPr bwMode="auto">
            <a:xfrm>
              <a:off x="6724374"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Processos</a:t>
              </a:r>
              <a:r>
                <a:rPr lang="pt-BR" sz="900" b="0" baseline="0">
                  <a:solidFill>
                    <a:schemeClr val="bg1"/>
                  </a:solidFill>
                  <a:latin typeface="Calibri Light" panose="020F0302020204030204" pitchFamily="34" charset="0"/>
                  <a:cs typeface="Arial" pitchFamily="34" charset="0"/>
                </a:rPr>
                <a:t> industriais</a:t>
              </a:r>
              <a:endParaRPr lang="pt-BR" sz="900" b="0">
                <a:solidFill>
                  <a:schemeClr val="bg1"/>
                </a:solidFill>
                <a:latin typeface="Calibri Light" panose="020F0302020204030204" pitchFamily="34" charset="0"/>
                <a:cs typeface="Arial" pitchFamily="34" charset="0"/>
              </a:endParaRPr>
            </a:p>
          </xdr:txBody>
        </xdr:sp>
        <xdr:sp macro="" textlink="">
          <xdr:nvSpPr>
            <xdr:cNvPr id="69" name="Retângulo de cantos arredondados 43">
              <a:hlinkClick xmlns:r="http://schemas.openxmlformats.org/officeDocument/2006/relationships" r:id="rId10"/>
              <a:extLst>
                <a:ext uri="{FF2B5EF4-FFF2-40B4-BE49-F238E27FC236}">
                  <a16:creationId xmlns="" xmlns:a16="http://schemas.microsoft.com/office/drawing/2014/main" id="{00000000-0008-0000-0B00-000045000000}"/>
                </a:ext>
              </a:extLst>
            </xdr:cNvPr>
            <xdr:cNvSpPr/>
          </xdr:nvSpPr>
          <xdr:spPr bwMode="auto">
            <a:xfrm>
              <a:off x="8318456"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Resíduos</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sólidos</a:t>
              </a:r>
            </a:p>
          </xdr:txBody>
        </xdr:sp>
        <xdr:sp macro="" textlink="">
          <xdr:nvSpPr>
            <xdr:cNvPr id="70" name="Retângulo de cantos arredondados 44">
              <a:hlinkClick xmlns:r="http://schemas.openxmlformats.org/officeDocument/2006/relationships" r:id="rId11"/>
              <a:extLst>
                <a:ext uri="{FF2B5EF4-FFF2-40B4-BE49-F238E27FC236}">
                  <a16:creationId xmlns="" xmlns:a16="http://schemas.microsoft.com/office/drawing/2014/main" id="{00000000-0008-0000-0B00-000046000000}"/>
                </a:ext>
              </a:extLst>
            </xdr:cNvPr>
            <xdr:cNvSpPr/>
          </xdr:nvSpPr>
          <xdr:spPr bwMode="auto">
            <a:xfrm>
              <a:off x="433325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lnSpc>
                  <a:spcPct val="80000"/>
                </a:lnSpc>
              </a:pPr>
              <a:r>
                <a:rPr lang="pt-BR" sz="900" b="0">
                  <a:latin typeface="Calibri Light" panose="020F0302020204030204" pitchFamily="34" charset="0"/>
                  <a:cs typeface="Arial" pitchFamily="34" charset="0"/>
                </a:rPr>
                <a:t>Compra de Energia</a:t>
              </a:r>
              <a:r>
                <a:rPr lang="pt-BR" sz="900" b="0" baseline="0">
                  <a:latin typeface="Calibri Light" panose="020F0302020204030204" pitchFamily="34" charset="0"/>
                  <a:cs typeface="Arial" pitchFamily="34" charset="0"/>
                </a:rPr>
                <a:t> Elétrica</a:t>
              </a:r>
            </a:p>
          </xdr:txBody>
        </xdr:sp>
        <xdr:sp macro="" textlink="">
          <xdr:nvSpPr>
            <xdr:cNvPr id="71" name="Retângulo de cantos arredondados 45">
              <a:hlinkClick xmlns:r="http://schemas.openxmlformats.org/officeDocument/2006/relationships" r:id="rId12"/>
              <a:extLst>
                <a:ext uri="{FF2B5EF4-FFF2-40B4-BE49-F238E27FC236}">
                  <a16:creationId xmlns="" xmlns:a16="http://schemas.microsoft.com/office/drawing/2014/main" id="{00000000-0008-0000-0B00-000047000000}"/>
                </a:ext>
              </a:extLst>
            </xdr:cNvPr>
            <xdr:cNvSpPr/>
          </xdr:nvSpPr>
          <xdr:spPr bwMode="auto">
            <a:xfrm>
              <a:off x="513371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Compra de</a:t>
              </a:r>
              <a:r>
                <a:rPr lang="pt-BR" sz="900" b="0" baseline="0">
                  <a:latin typeface="Calibri Light" panose="020F0302020204030204" pitchFamily="34" charset="0"/>
                  <a:cs typeface="Arial" pitchFamily="34" charset="0"/>
                </a:rPr>
                <a:t> Energia Térmica</a:t>
              </a:r>
            </a:p>
          </xdr:txBody>
        </xdr:sp>
        <xdr:sp macro="" textlink="">
          <xdr:nvSpPr>
            <xdr:cNvPr id="72" name="Fluxograma: Processo 71">
              <a:extLst>
                <a:ext uri="{FF2B5EF4-FFF2-40B4-BE49-F238E27FC236}">
                  <a16:creationId xmlns="" xmlns:a16="http://schemas.microsoft.com/office/drawing/2014/main" id="{00000000-0008-0000-0B00-000048000000}"/>
                </a:ext>
              </a:extLst>
            </xdr:cNvPr>
            <xdr:cNvSpPr/>
          </xdr:nvSpPr>
          <xdr:spPr bwMode="auto">
            <a:xfrm>
              <a:off x="3604863" y="909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2</a:t>
              </a:r>
            </a:p>
          </xdr:txBody>
        </xdr:sp>
        <xdr:sp macro="" textlink="">
          <xdr:nvSpPr>
            <xdr:cNvPr id="73" name="Fluxograma: Processo 72">
              <a:extLst>
                <a:ext uri="{FF2B5EF4-FFF2-40B4-BE49-F238E27FC236}">
                  <a16:creationId xmlns="" xmlns:a16="http://schemas.microsoft.com/office/drawing/2014/main" id="{00000000-0008-0000-0B00-000049000000}"/>
                </a:ext>
              </a:extLst>
            </xdr:cNvPr>
            <xdr:cNvSpPr/>
          </xdr:nvSpPr>
          <xdr:spPr bwMode="auto">
            <a:xfrm>
              <a:off x="3604863" y="1290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3</a:t>
              </a:r>
            </a:p>
          </xdr:txBody>
        </xdr:sp>
        <xdr:sp macro="" textlink="">
          <xdr:nvSpPr>
            <xdr:cNvPr id="74" name="Retângulo de cantos arredondados 48">
              <a:hlinkClick xmlns:r="http://schemas.openxmlformats.org/officeDocument/2006/relationships" r:id="rId13"/>
              <a:extLst>
                <a:ext uri="{FF2B5EF4-FFF2-40B4-BE49-F238E27FC236}">
                  <a16:creationId xmlns="" xmlns:a16="http://schemas.microsoft.com/office/drawing/2014/main" id="{00000000-0008-0000-0B00-00004A000000}"/>
                </a:ext>
              </a:extLst>
            </xdr:cNvPr>
            <xdr:cNvSpPr/>
          </xdr:nvSpPr>
          <xdr:spPr bwMode="auto">
            <a:xfrm>
              <a:off x="433325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lnSpc>
                  <a:spcPct val="80000"/>
                </a:lnSpc>
              </a:pPr>
              <a:r>
                <a:rPr lang="pt-BR" sz="900" b="0">
                  <a:solidFill>
                    <a:schemeClr val="bg1">
                      <a:lumMod val="50000"/>
                    </a:schemeClr>
                  </a:solidFill>
                  <a:latin typeface="Calibri Light" panose="020F0302020204030204" pitchFamily="34" charset="0"/>
                  <a:cs typeface="Arial" pitchFamily="34" charset="0"/>
                </a:rPr>
                <a:t>Categorias de Âmbito 3</a:t>
              </a:r>
              <a:endParaRPr lang="pt-BR" sz="900" b="0" baseline="0">
                <a:solidFill>
                  <a:schemeClr val="bg1">
                    <a:lumMod val="50000"/>
                  </a:schemeClr>
                </a:solidFill>
                <a:latin typeface="Calibri Light" panose="020F0302020204030204" pitchFamily="34" charset="0"/>
                <a:cs typeface="Arial" pitchFamily="34" charset="0"/>
              </a:endParaRPr>
            </a:p>
          </xdr:txBody>
        </xdr:sp>
        <xdr:sp macro="" textlink="">
          <xdr:nvSpPr>
            <xdr:cNvPr id="75" name="Retângulo de cantos arredondados 49">
              <a:hlinkClick xmlns:r="http://schemas.openxmlformats.org/officeDocument/2006/relationships" r:id="rId14"/>
              <a:extLst>
                <a:ext uri="{FF2B5EF4-FFF2-40B4-BE49-F238E27FC236}">
                  <a16:creationId xmlns="" xmlns:a16="http://schemas.microsoft.com/office/drawing/2014/main" id="{00000000-0008-0000-0B00-00004B000000}"/>
                </a:ext>
              </a:extLst>
            </xdr:cNvPr>
            <xdr:cNvSpPr/>
          </xdr:nvSpPr>
          <xdr:spPr bwMode="auto">
            <a:xfrm>
              <a:off x="5925918"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Resíduos sólidos gerados na operação</a:t>
              </a:r>
            </a:p>
          </xdr:txBody>
        </xdr:sp>
        <xdr:sp macro="" textlink="">
          <xdr:nvSpPr>
            <xdr:cNvPr id="76" name="Retângulo de cantos arredondados 50">
              <a:hlinkClick xmlns:r="http://schemas.openxmlformats.org/officeDocument/2006/relationships" r:id="rId15"/>
              <a:extLst>
                <a:ext uri="{FF2B5EF4-FFF2-40B4-BE49-F238E27FC236}">
                  <a16:creationId xmlns="" xmlns:a16="http://schemas.microsoft.com/office/drawing/2014/main" id="{00000000-0008-0000-0B00-00004C000000}"/>
                </a:ext>
              </a:extLst>
            </xdr:cNvPr>
            <xdr:cNvSpPr/>
          </xdr:nvSpPr>
          <xdr:spPr bwMode="auto">
            <a:xfrm>
              <a:off x="6722959"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Efluentes gerados na operação</a:t>
              </a:r>
            </a:p>
          </xdr:txBody>
        </xdr:sp>
        <xdr:sp macro="" textlink="">
          <xdr:nvSpPr>
            <xdr:cNvPr id="77" name="Retângulo de cantos arredondados 51">
              <a:hlinkClick xmlns:r="http://schemas.openxmlformats.org/officeDocument/2006/relationships" r:id="rId16"/>
              <a:extLst>
                <a:ext uri="{FF2B5EF4-FFF2-40B4-BE49-F238E27FC236}">
                  <a16:creationId xmlns="" xmlns:a16="http://schemas.microsoft.com/office/drawing/2014/main" id="{00000000-0008-0000-0B00-00004D000000}"/>
                </a:ext>
              </a:extLst>
            </xdr:cNvPr>
            <xdr:cNvSpPr/>
          </xdr:nvSpPr>
          <xdr:spPr bwMode="auto">
            <a:xfrm>
              <a:off x="831704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(downstream)</a:t>
              </a:r>
            </a:p>
          </xdr:txBody>
        </xdr:sp>
        <xdr:sp macro="" textlink="">
          <xdr:nvSpPr>
            <xdr:cNvPr id="78" name="Retângulo de cantos arredondados 52">
              <a:hlinkClick xmlns:r="http://schemas.openxmlformats.org/officeDocument/2006/relationships" r:id="rId17"/>
              <a:extLst>
                <a:ext uri="{FF2B5EF4-FFF2-40B4-BE49-F238E27FC236}">
                  <a16:creationId xmlns="" xmlns:a16="http://schemas.microsoft.com/office/drawing/2014/main" id="{00000000-0008-0000-0B00-00004E000000}"/>
                </a:ext>
              </a:extLst>
            </xdr:cNvPr>
            <xdr:cNvSpPr/>
          </xdr:nvSpPr>
          <xdr:spPr bwMode="auto">
            <a:xfrm>
              <a:off x="5135994" y="1228723"/>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(upstream)</a:t>
              </a:r>
            </a:p>
          </xdr:txBody>
        </xdr:sp>
        <xdr:sp macro="" textlink="">
          <xdr:nvSpPr>
            <xdr:cNvPr id="79" name="Retângulo de cantos arredondados 54">
              <a:hlinkClick xmlns:r="http://schemas.openxmlformats.org/officeDocument/2006/relationships" r:id="rId18"/>
              <a:extLst>
                <a:ext uri="{FF2B5EF4-FFF2-40B4-BE49-F238E27FC236}">
                  <a16:creationId xmlns="" xmlns:a16="http://schemas.microsoft.com/office/drawing/2014/main" id="{00000000-0008-0000-0B00-00004F000000}"/>
                </a:ext>
              </a:extLst>
            </xdr:cNvPr>
            <xdr:cNvSpPr/>
          </xdr:nvSpPr>
          <xdr:spPr bwMode="auto">
            <a:xfrm>
              <a:off x="9115497"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Efluentes</a:t>
              </a:r>
            </a:p>
          </xdr:txBody>
        </xdr:sp>
        <xdr:sp macro="" textlink="">
          <xdr:nvSpPr>
            <xdr:cNvPr id="80" name="Retângulo de cantos arredondados 56">
              <a:hlinkClick xmlns:r="http://schemas.openxmlformats.org/officeDocument/2006/relationships" r:id="rId19"/>
              <a:extLst>
                <a:ext uri="{FF2B5EF4-FFF2-40B4-BE49-F238E27FC236}">
                  <a16:creationId xmlns="" xmlns:a16="http://schemas.microsoft.com/office/drawing/2014/main" id="{00000000-0008-0000-0B00-000050000000}"/>
                </a:ext>
              </a:extLst>
            </xdr:cNvPr>
            <xdr:cNvSpPr/>
          </xdr:nvSpPr>
          <xdr:spPr bwMode="auto">
            <a:xfrm>
              <a:off x="7526519"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Conversão de unidades</a:t>
              </a:r>
            </a:p>
          </xdr:txBody>
        </xdr:sp>
        <xdr:sp macro="" textlink="">
          <xdr:nvSpPr>
            <xdr:cNvPr id="81" name="Retângulo de cantos arredondados 58">
              <a:hlinkClick xmlns:r="http://schemas.openxmlformats.org/officeDocument/2006/relationships" r:id="rId20"/>
              <a:extLst>
                <a:ext uri="{FF2B5EF4-FFF2-40B4-BE49-F238E27FC236}">
                  <a16:creationId xmlns="" xmlns:a16="http://schemas.microsoft.com/office/drawing/2014/main" id="{00000000-0008-0000-0B00-000051000000}"/>
                </a:ext>
              </a:extLst>
            </xdr:cNvPr>
            <xdr:cNvSpPr/>
          </xdr:nvSpPr>
          <xdr:spPr bwMode="auto">
            <a:xfrm>
              <a:off x="7520000"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r>
                <a:rPr lang="pt-BR" sz="900" b="0">
                  <a:solidFill>
                    <a:schemeClr val="bg1">
                      <a:lumMod val="50000"/>
                    </a:schemeClr>
                  </a:solidFill>
                  <a:latin typeface="Calibri Light" panose="020F0302020204030204" pitchFamily="34" charset="0"/>
                  <a:cs typeface="Arial" pitchFamily="34" charset="0"/>
                </a:rPr>
                <a:t>Viagens a negócios</a:t>
              </a:r>
            </a:p>
          </xdr:txBody>
        </xdr:sp>
        <xdr:sp macro="" textlink="">
          <xdr:nvSpPr>
            <xdr:cNvPr id="82" name="Fluxograma: Processo 59">
              <a:extLst>
                <a:ext uri="{FF2B5EF4-FFF2-40B4-BE49-F238E27FC236}">
                  <a16:creationId xmlns="" xmlns:a16="http://schemas.microsoft.com/office/drawing/2014/main" id="{00000000-0008-0000-0B00-000052000000}"/>
                </a:ext>
              </a:extLst>
            </xdr:cNvPr>
            <xdr:cNvSpPr/>
          </xdr:nvSpPr>
          <xdr:spPr bwMode="auto">
            <a:xfrm>
              <a:off x="3604863" y="156702"/>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Geral</a:t>
              </a:r>
            </a:p>
          </xdr:txBody>
        </xdr:sp>
      </xdr:grpSp>
      <xdr:sp macro="" textlink="">
        <xdr:nvSpPr>
          <xdr:cNvPr id="58" name="Retângulo de cantos arredondados 37">
            <a:hlinkClick xmlns:r="http://schemas.openxmlformats.org/officeDocument/2006/relationships" r:id="rId2"/>
            <a:extLst>
              <a:ext uri="{FF2B5EF4-FFF2-40B4-BE49-F238E27FC236}">
                <a16:creationId xmlns="" xmlns:a16="http://schemas.microsoft.com/office/drawing/2014/main" id="{00000000-0008-0000-0B00-00003A000000}"/>
              </a:ext>
            </a:extLst>
          </xdr:cNvPr>
          <xdr:cNvSpPr/>
        </xdr:nvSpPr>
        <xdr:spPr bwMode="auto">
          <a:xfrm>
            <a:off x="4696884" y="162983"/>
            <a:ext cx="774700" cy="31873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sp macro="" textlink="">
        <xdr:nvSpPr>
          <xdr:cNvPr id="59" name="Retângulo de cantos arredondados 42">
            <a:hlinkClick xmlns:r="http://schemas.openxmlformats.org/officeDocument/2006/relationships" r:id="rId21"/>
            <a:extLst>
              <a:ext uri="{FF2B5EF4-FFF2-40B4-BE49-F238E27FC236}">
                <a16:creationId xmlns="" xmlns:a16="http://schemas.microsoft.com/office/drawing/2014/main" id="{00000000-0008-0000-0B00-00003B000000}"/>
              </a:ext>
            </a:extLst>
          </xdr:cNvPr>
          <xdr:cNvSpPr/>
        </xdr:nvSpPr>
        <xdr:spPr bwMode="auto">
          <a:xfrm>
            <a:off x="7125758" y="522817"/>
            <a:ext cx="758825" cy="318738"/>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50" b="0">
                <a:solidFill>
                  <a:schemeClr val="bg1"/>
                </a:solidFill>
                <a:latin typeface="Calibri Light" panose="020F0302020204030204" pitchFamily="34" charset="0"/>
                <a:cs typeface="Arial" pitchFamily="34" charset="0"/>
              </a:rPr>
              <a:t>Agrícolas e alt. do uso do solo</a:t>
            </a:r>
            <a:endParaRPr lang="pt-BR" sz="850" b="0" baseline="0">
              <a:solidFill>
                <a:schemeClr val="bg1"/>
              </a:solidFill>
              <a:latin typeface="Calibri Light" panose="020F0302020204030204" pitchFamily="34" charset="0"/>
              <a:cs typeface="Arial" pitchFamily="34" charset="0"/>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1979083</xdr:colOff>
      <xdr:row>5</xdr:row>
      <xdr:rowOff>102291</xdr:rowOff>
    </xdr:to>
    <xdr:pic>
      <xdr:nvPicPr>
        <xdr:cNvPr id="28" name="Imagem 27">
          <a:extLst>
            <a:ext uri="{FF2B5EF4-FFF2-40B4-BE49-F238E27FC236}">
              <a16:creationId xmlns="" xmlns:a16="http://schemas.microsoft.com/office/drawing/2014/main" id="{00000000-0008-0000-0C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62250" cy="1065374"/>
        </a:xfrm>
        <a:prstGeom prst="rect">
          <a:avLst/>
        </a:prstGeom>
      </xdr:spPr>
    </xdr:pic>
    <xdr:clientData/>
  </xdr:twoCellAnchor>
  <xdr:twoCellAnchor>
    <xdr:from>
      <xdr:col>2</xdr:col>
      <xdr:colOff>3672417</xdr:colOff>
      <xdr:row>0</xdr:row>
      <xdr:rowOff>74083</xdr:rowOff>
    </xdr:from>
    <xdr:to>
      <xdr:col>3</xdr:col>
      <xdr:colOff>571500</xdr:colOff>
      <xdr:row>2</xdr:row>
      <xdr:rowOff>7588</xdr:rowOff>
    </xdr:to>
    <xdr:sp macro="" textlink="">
      <xdr:nvSpPr>
        <xdr:cNvPr id="29" name="Retângulo de cantos arredondados 37">
          <a:hlinkClick xmlns:r="http://schemas.openxmlformats.org/officeDocument/2006/relationships" r:id="rId2"/>
          <a:extLst>
            <a:ext uri="{FF2B5EF4-FFF2-40B4-BE49-F238E27FC236}">
              <a16:creationId xmlns="" xmlns:a16="http://schemas.microsoft.com/office/drawing/2014/main" id="{00000000-0008-0000-0C00-00001D000000}"/>
            </a:ext>
          </a:extLst>
        </xdr:cNvPr>
        <xdr:cNvSpPr/>
      </xdr:nvSpPr>
      <xdr:spPr bwMode="auto">
        <a:xfrm>
          <a:off x="4455584" y="74083"/>
          <a:ext cx="761999" cy="32508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clientData/>
  </xdr:twoCellAnchor>
  <xdr:twoCellAnchor>
    <xdr:from>
      <xdr:col>2</xdr:col>
      <xdr:colOff>2381249</xdr:colOff>
      <xdr:row>0</xdr:row>
      <xdr:rowOff>0</xdr:rowOff>
    </xdr:from>
    <xdr:to>
      <xdr:col>9</xdr:col>
      <xdr:colOff>13197</xdr:colOff>
      <xdr:row>9</xdr:row>
      <xdr:rowOff>25543</xdr:rowOff>
    </xdr:to>
    <xdr:grpSp>
      <xdr:nvGrpSpPr>
        <xdr:cNvPr id="30" name="Grupo 29">
          <a:extLst>
            <a:ext uri="{FF2B5EF4-FFF2-40B4-BE49-F238E27FC236}">
              <a16:creationId xmlns="" xmlns:a16="http://schemas.microsoft.com/office/drawing/2014/main" id="{00000000-0008-0000-0C00-00001E000000}"/>
            </a:ext>
          </a:extLst>
        </xdr:cNvPr>
        <xdr:cNvGrpSpPr/>
      </xdr:nvGrpSpPr>
      <xdr:grpSpPr>
        <a:xfrm>
          <a:off x="3164416" y="0"/>
          <a:ext cx="7283948" cy="1750626"/>
          <a:chOff x="3069167" y="114300"/>
          <a:chExt cx="7283948" cy="1549543"/>
        </a:xfrm>
      </xdr:grpSpPr>
      <xdr:grpSp>
        <xdr:nvGrpSpPr>
          <xdr:cNvPr id="31" name="Group 32">
            <a:extLst>
              <a:ext uri="{FF2B5EF4-FFF2-40B4-BE49-F238E27FC236}">
                <a16:creationId xmlns="" xmlns:a16="http://schemas.microsoft.com/office/drawing/2014/main" id="{00000000-0008-0000-0C00-00001F000000}"/>
              </a:ext>
            </a:extLst>
          </xdr:cNvPr>
          <xdr:cNvGrpSpPr/>
        </xdr:nvGrpSpPr>
        <xdr:grpSpPr>
          <a:xfrm>
            <a:off x="3069167" y="114300"/>
            <a:ext cx="7283948" cy="1549543"/>
            <a:chOff x="3514726" y="52774"/>
            <a:chExt cx="7219950" cy="1576001"/>
          </a:xfrm>
        </xdr:grpSpPr>
        <xdr:sp macro="" textlink="">
          <xdr:nvSpPr>
            <xdr:cNvPr id="34" name="Fluxograma: Processo 60">
              <a:extLst>
                <a:ext uri="{FF2B5EF4-FFF2-40B4-BE49-F238E27FC236}">
                  <a16:creationId xmlns="" xmlns:a16="http://schemas.microsoft.com/office/drawing/2014/main" id="{00000000-0008-0000-0C00-000022000000}"/>
                </a:ext>
              </a:extLst>
            </xdr:cNvPr>
            <xdr:cNvSpPr>
              <a:spLocks noChangeArrowheads="1"/>
            </xdr:cNvSpPr>
          </xdr:nvSpPr>
          <xdr:spPr bwMode="auto">
            <a:xfrm>
              <a:off x="3514726" y="52774"/>
              <a:ext cx="7219950" cy="1576001"/>
            </a:xfrm>
            <a:prstGeom prst="flowChartProcess">
              <a:avLst/>
            </a:prstGeom>
            <a:solidFill>
              <a:schemeClr val="accent1">
                <a:lumMod val="20000"/>
                <a:lumOff val="80000"/>
              </a:schemeClr>
            </a:solidFill>
            <a:ln w="19050" algn="ctr">
              <a:solidFill>
                <a:schemeClr val="accent1"/>
              </a:solidFill>
              <a:round/>
              <a:headEnd/>
              <a:tailEnd/>
            </a:ln>
            <a:effectLst/>
          </xdr:spPr>
          <xdr:txBody>
            <a:bodyPr/>
            <a:lstStyle/>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r>
                <a:rPr lang="pt-BR" sz="1400" b="1">
                  <a:latin typeface="Calibri Light" panose="020F0302020204030204" pitchFamily="34" charset="0"/>
                </a:rPr>
                <a:t>Menu de </a:t>
              </a:r>
            </a:p>
            <a:p>
              <a:pPr algn="r"/>
              <a:r>
                <a:rPr lang="pt-BR" sz="1400" b="1">
                  <a:latin typeface="Calibri Light" panose="020F0302020204030204" pitchFamily="34" charset="0"/>
                </a:rPr>
                <a:t>navegação</a:t>
              </a:r>
            </a:p>
          </xdr:txBody>
        </xdr:sp>
        <xdr:sp macro="" textlink="">
          <xdr:nvSpPr>
            <xdr:cNvPr id="35" name="Retângulo de cantos arredondados 34">
              <a:hlinkClick xmlns:r="http://schemas.openxmlformats.org/officeDocument/2006/relationships" r:id="rId3"/>
              <a:extLst>
                <a:ext uri="{FF2B5EF4-FFF2-40B4-BE49-F238E27FC236}">
                  <a16:creationId xmlns="" xmlns:a16="http://schemas.microsoft.com/office/drawing/2014/main" id="{00000000-0008-0000-0C00-000023000000}"/>
                </a:ext>
              </a:extLst>
            </xdr:cNvPr>
            <xdr:cNvSpPr/>
          </xdr:nvSpPr>
          <xdr:spPr bwMode="auto">
            <a:xfrm>
              <a:off x="4333251"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Introdução</a:t>
              </a:r>
            </a:p>
          </xdr:txBody>
        </xdr:sp>
        <xdr:sp macro="" textlink="">
          <xdr:nvSpPr>
            <xdr:cNvPr id="36" name="Retângulo de cantos arredondados 35">
              <a:hlinkClick xmlns:r="http://schemas.openxmlformats.org/officeDocument/2006/relationships" r:id="rId4"/>
              <a:extLst>
                <a:ext uri="{FF2B5EF4-FFF2-40B4-BE49-F238E27FC236}">
                  <a16:creationId xmlns="" xmlns:a16="http://schemas.microsoft.com/office/drawing/2014/main" id="{00000000-0008-0000-0C00-000024000000}"/>
                </a:ext>
              </a:extLst>
            </xdr:cNvPr>
            <xdr:cNvSpPr/>
          </xdr:nvSpPr>
          <xdr:spPr bwMode="auto">
            <a:xfrm>
              <a:off x="4333251"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lnSpc>
                  <a:spcPct val="80000"/>
                </a:lnSpc>
              </a:pPr>
              <a:r>
                <a:rPr lang="pt-BR" sz="900" b="0">
                  <a:solidFill>
                    <a:schemeClr val="bg1"/>
                  </a:solidFill>
                  <a:latin typeface="Calibri Light" panose="020F0302020204030204" pitchFamily="34" charset="0"/>
                  <a:cs typeface="Arial" pitchFamily="34" charset="0"/>
                </a:rPr>
                <a:t>Combustão</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estacionária</a:t>
              </a:r>
            </a:p>
          </xdr:txBody>
        </xdr:sp>
        <xdr:sp macro="" textlink="">
          <xdr:nvSpPr>
            <xdr:cNvPr id="37" name="Retângulo de cantos arredondados 36">
              <a:hlinkClick xmlns:r="http://schemas.openxmlformats.org/officeDocument/2006/relationships" r:id="rId5"/>
              <a:extLst>
                <a:ext uri="{FF2B5EF4-FFF2-40B4-BE49-F238E27FC236}">
                  <a16:creationId xmlns="" xmlns:a16="http://schemas.microsoft.com/office/drawing/2014/main" id="{00000000-0008-0000-0C00-000025000000}"/>
                </a:ext>
              </a:extLst>
            </xdr:cNvPr>
            <xdr:cNvSpPr/>
          </xdr:nvSpPr>
          <xdr:spPr bwMode="auto">
            <a:xfrm>
              <a:off x="5130292"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Combustão </a:t>
              </a:r>
            </a:p>
            <a:p>
              <a:pPr algn="ctr"/>
              <a:r>
                <a:rPr lang="pt-BR" sz="900" b="0">
                  <a:solidFill>
                    <a:schemeClr val="bg1"/>
                  </a:solidFill>
                  <a:latin typeface="Calibri Light" panose="020F0302020204030204" pitchFamily="34" charset="0"/>
                  <a:cs typeface="Arial" pitchFamily="34" charset="0"/>
                </a:rPr>
                <a:t>móvel</a:t>
              </a:r>
            </a:p>
          </xdr:txBody>
        </xdr:sp>
        <xdr:sp macro="" textlink="">
          <xdr:nvSpPr>
            <xdr:cNvPr id="38" name="Retângulo de cantos arredondados 37">
              <a:hlinkClick xmlns:r="http://schemas.openxmlformats.org/officeDocument/2006/relationships" r:id="rId6"/>
              <a:extLst>
                <a:ext uri="{FF2B5EF4-FFF2-40B4-BE49-F238E27FC236}">
                  <a16:creationId xmlns="" xmlns:a16="http://schemas.microsoft.com/office/drawing/2014/main" id="{00000000-0008-0000-0C00-000026000000}"/>
                </a:ext>
              </a:extLst>
            </xdr:cNvPr>
            <xdr:cNvSpPr/>
          </xdr:nvSpPr>
          <xdr:spPr bwMode="auto">
            <a:xfrm>
              <a:off x="5932663"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Resumo</a:t>
              </a:r>
            </a:p>
          </xdr:txBody>
        </xdr:sp>
        <xdr:sp macro="" textlink="">
          <xdr:nvSpPr>
            <xdr:cNvPr id="39" name="Retângulo de cantos arredondados 38">
              <a:hlinkClick xmlns:r="http://schemas.openxmlformats.org/officeDocument/2006/relationships" r:id="rId7"/>
              <a:extLst>
                <a:ext uri="{FF2B5EF4-FFF2-40B4-BE49-F238E27FC236}">
                  <a16:creationId xmlns="" xmlns:a16="http://schemas.microsoft.com/office/drawing/2014/main" id="{00000000-0008-0000-0C00-000027000000}"/>
                </a:ext>
              </a:extLst>
            </xdr:cNvPr>
            <xdr:cNvSpPr/>
          </xdr:nvSpPr>
          <xdr:spPr bwMode="auto">
            <a:xfrm>
              <a:off x="6719145"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Fatores </a:t>
              </a:r>
            </a:p>
            <a:p>
              <a:pPr algn="ctr"/>
              <a:r>
                <a:rPr lang="pt-BR" sz="900" b="0">
                  <a:latin typeface="Calibri Light" panose="020F0302020204030204" pitchFamily="34" charset="0"/>
                  <a:cs typeface="Arial" pitchFamily="34" charset="0"/>
                </a:rPr>
                <a:t>de emissão</a:t>
              </a:r>
            </a:p>
          </xdr:txBody>
        </xdr:sp>
        <xdr:sp macro="" textlink="">
          <xdr:nvSpPr>
            <xdr:cNvPr id="40" name="Fluxograma: Processo 39">
              <a:extLst>
                <a:ext uri="{FF2B5EF4-FFF2-40B4-BE49-F238E27FC236}">
                  <a16:creationId xmlns="" xmlns:a16="http://schemas.microsoft.com/office/drawing/2014/main" id="{00000000-0008-0000-0C00-000028000000}"/>
                </a:ext>
              </a:extLst>
            </xdr:cNvPr>
            <xdr:cNvSpPr/>
          </xdr:nvSpPr>
          <xdr:spPr bwMode="auto">
            <a:xfrm>
              <a:off x="3604863" y="528178"/>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1</a:t>
              </a:r>
            </a:p>
          </xdr:txBody>
        </xdr:sp>
        <xdr:sp macro="" textlink="">
          <xdr:nvSpPr>
            <xdr:cNvPr id="41" name="Retângulo de cantos arredondados 40">
              <a:hlinkClick xmlns:r="http://schemas.openxmlformats.org/officeDocument/2006/relationships" r:id="rId8"/>
              <a:extLst>
                <a:ext uri="{FF2B5EF4-FFF2-40B4-BE49-F238E27FC236}">
                  <a16:creationId xmlns="" xmlns:a16="http://schemas.microsoft.com/office/drawing/2014/main" id="{00000000-0008-0000-0C00-000029000000}"/>
                </a:ext>
              </a:extLst>
            </xdr:cNvPr>
            <xdr:cNvSpPr/>
          </xdr:nvSpPr>
          <xdr:spPr bwMode="auto">
            <a:xfrm>
              <a:off x="5927333"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00" b="0">
                  <a:solidFill>
                    <a:schemeClr val="bg1"/>
                  </a:solidFill>
                  <a:latin typeface="Calibri Light" panose="020F0302020204030204" pitchFamily="34" charset="0"/>
                  <a:cs typeface="Arial" pitchFamily="34" charset="0"/>
                </a:rPr>
                <a:t>Emissões </a:t>
              </a:r>
            </a:p>
            <a:p>
              <a:pPr algn="ctr"/>
              <a:r>
                <a:rPr lang="pt-BR" sz="800" b="0">
                  <a:solidFill>
                    <a:schemeClr val="bg1"/>
                  </a:solidFill>
                  <a:latin typeface="Calibri Light" panose="020F0302020204030204" pitchFamily="34" charset="0"/>
                  <a:cs typeface="Arial" pitchFamily="34" charset="0"/>
                </a:rPr>
                <a:t>fugitivas</a:t>
              </a:r>
            </a:p>
          </xdr:txBody>
        </xdr:sp>
        <xdr:sp macro="" textlink="">
          <xdr:nvSpPr>
            <xdr:cNvPr id="42" name="Retângulo de cantos arredondados 41">
              <a:hlinkClick xmlns:r="http://schemas.openxmlformats.org/officeDocument/2006/relationships" r:id="rId9"/>
              <a:extLst>
                <a:ext uri="{FF2B5EF4-FFF2-40B4-BE49-F238E27FC236}">
                  <a16:creationId xmlns="" xmlns:a16="http://schemas.microsoft.com/office/drawing/2014/main" id="{00000000-0008-0000-0C00-00002A000000}"/>
                </a:ext>
              </a:extLst>
            </xdr:cNvPr>
            <xdr:cNvSpPr/>
          </xdr:nvSpPr>
          <xdr:spPr bwMode="auto">
            <a:xfrm>
              <a:off x="6724374"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Processos</a:t>
              </a:r>
              <a:r>
                <a:rPr lang="pt-BR" sz="900" b="0" baseline="0">
                  <a:solidFill>
                    <a:schemeClr val="bg1"/>
                  </a:solidFill>
                  <a:latin typeface="Calibri Light" panose="020F0302020204030204" pitchFamily="34" charset="0"/>
                  <a:cs typeface="Arial" pitchFamily="34" charset="0"/>
                </a:rPr>
                <a:t> industriais</a:t>
              </a:r>
              <a:endParaRPr lang="pt-BR" sz="900" b="0">
                <a:solidFill>
                  <a:schemeClr val="bg1"/>
                </a:solidFill>
                <a:latin typeface="Calibri Light" panose="020F0302020204030204" pitchFamily="34" charset="0"/>
                <a:cs typeface="Arial" pitchFamily="34" charset="0"/>
              </a:endParaRPr>
            </a:p>
          </xdr:txBody>
        </xdr:sp>
        <xdr:sp macro="" textlink="">
          <xdr:nvSpPr>
            <xdr:cNvPr id="43" name="Retângulo de cantos arredondados 43">
              <a:hlinkClick xmlns:r="http://schemas.openxmlformats.org/officeDocument/2006/relationships" r:id="rId10"/>
              <a:extLst>
                <a:ext uri="{FF2B5EF4-FFF2-40B4-BE49-F238E27FC236}">
                  <a16:creationId xmlns="" xmlns:a16="http://schemas.microsoft.com/office/drawing/2014/main" id="{00000000-0008-0000-0C00-00002B000000}"/>
                </a:ext>
              </a:extLst>
            </xdr:cNvPr>
            <xdr:cNvSpPr/>
          </xdr:nvSpPr>
          <xdr:spPr bwMode="auto">
            <a:xfrm>
              <a:off x="8318456"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Resíduos</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sólidos</a:t>
              </a:r>
            </a:p>
          </xdr:txBody>
        </xdr:sp>
        <xdr:sp macro="" textlink="">
          <xdr:nvSpPr>
            <xdr:cNvPr id="44" name="Retângulo de cantos arredondados 44">
              <a:hlinkClick xmlns:r="http://schemas.openxmlformats.org/officeDocument/2006/relationships" r:id="rId11"/>
              <a:extLst>
                <a:ext uri="{FF2B5EF4-FFF2-40B4-BE49-F238E27FC236}">
                  <a16:creationId xmlns="" xmlns:a16="http://schemas.microsoft.com/office/drawing/2014/main" id="{00000000-0008-0000-0C00-00002C000000}"/>
                </a:ext>
              </a:extLst>
            </xdr:cNvPr>
            <xdr:cNvSpPr/>
          </xdr:nvSpPr>
          <xdr:spPr bwMode="auto">
            <a:xfrm>
              <a:off x="433325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lnSpc>
                  <a:spcPct val="80000"/>
                </a:lnSpc>
              </a:pPr>
              <a:r>
                <a:rPr lang="pt-BR" sz="900" b="0">
                  <a:latin typeface="Calibri Light" panose="020F0302020204030204" pitchFamily="34" charset="0"/>
                  <a:cs typeface="Arial" pitchFamily="34" charset="0"/>
                </a:rPr>
                <a:t>Compra de Energia</a:t>
              </a:r>
              <a:r>
                <a:rPr lang="pt-BR" sz="900" b="0" baseline="0">
                  <a:latin typeface="Calibri Light" panose="020F0302020204030204" pitchFamily="34" charset="0"/>
                  <a:cs typeface="Arial" pitchFamily="34" charset="0"/>
                </a:rPr>
                <a:t> Elétrica</a:t>
              </a:r>
            </a:p>
          </xdr:txBody>
        </xdr:sp>
        <xdr:sp macro="" textlink="">
          <xdr:nvSpPr>
            <xdr:cNvPr id="45" name="Retângulo de cantos arredondados 45">
              <a:hlinkClick xmlns:r="http://schemas.openxmlformats.org/officeDocument/2006/relationships" r:id="rId12"/>
              <a:extLst>
                <a:ext uri="{FF2B5EF4-FFF2-40B4-BE49-F238E27FC236}">
                  <a16:creationId xmlns="" xmlns:a16="http://schemas.microsoft.com/office/drawing/2014/main" id="{00000000-0008-0000-0C00-00002D000000}"/>
                </a:ext>
              </a:extLst>
            </xdr:cNvPr>
            <xdr:cNvSpPr/>
          </xdr:nvSpPr>
          <xdr:spPr bwMode="auto">
            <a:xfrm>
              <a:off x="513371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Compra de</a:t>
              </a:r>
              <a:r>
                <a:rPr lang="pt-BR" sz="900" b="0" baseline="0">
                  <a:latin typeface="Calibri Light" panose="020F0302020204030204" pitchFamily="34" charset="0"/>
                  <a:cs typeface="Arial" pitchFamily="34" charset="0"/>
                </a:rPr>
                <a:t> Energia Térmica</a:t>
              </a:r>
            </a:p>
          </xdr:txBody>
        </xdr:sp>
        <xdr:sp macro="" textlink="">
          <xdr:nvSpPr>
            <xdr:cNvPr id="46" name="Fluxograma: Processo 45">
              <a:extLst>
                <a:ext uri="{FF2B5EF4-FFF2-40B4-BE49-F238E27FC236}">
                  <a16:creationId xmlns="" xmlns:a16="http://schemas.microsoft.com/office/drawing/2014/main" id="{00000000-0008-0000-0C00-00002E000000}"/>
                </a:ext>
              </a:extLst>
            </xdr:cNvPr>
            <xdr:cNvSpPr/>
          </xdr:nvSpPr>
          <xdr:spPr bwMode="auto">
            <a:xfrm>
              <a:off x="3604863" y="909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2</a:t>
              </a:r>
            </a:p>
          </xdr:txBody>
        </xdr:sp>
        <xdr:sp macro="" textlink="">
          <xdr:nvSpPr>
            <xdr:cNvPr id="47" name="Fluxograma: Processo 46">
              <a:extLst>
                <a:ext uri="{FF2B5EF4-FFF2-40B4-BE49-F238E27FC236}">
                  <a16:creationId xmlns="" xmlns:a16="http://schemas.microsoft.com/office/drawing/2014/main" id="{00000000-0008-0000-0C00-00002F000000}"/>
                </a:ext>
              </a:extLst>
            </xdr:cNvPr>
            <xdr:cNvSpPr/>
          </xdr:nvSpPr>
          <xdr:spPr bwMode="auto">
            <a:xfrm>
              <a:off x="3604863" y="1290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3</a:t>
              </a:r>
            </a:p>
          </xdr:txBody>
        </xdr:sp>
        <xdr:sp macro="" textlink="">
          <xdr:nvSpPr>
            <xdr:cNvPr id="48" name="Retângulo de cantos arredondados 48">
              <a:hlinkClick xmlns:r="http://schemas.openxmlformats.org/officeDocument/2006/relationships" r:id="rId13"/>
              <a:extLst>
                <a:ext uri="{FF2B5EF4-FFF2-40B4-BE49-F238E27FC236}">
                  <a16:creationId xmlns="" xmlns:a16="http://schemas.microsoft.com/office/drawing/2014/main" id="{00000000-0008-0000-0C00-000030000000}"/>
                </a:ext>
              </a:extLst>
            </xdr:cNvPr>
            <xdr:cNvSpPr/>
          </xdr:nvSpPr>
          <xdr:spPr bwMode="auto">
            <a:xfrm>
              <a:off x="433325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lnSpc>
                  <a:spcPct val="80000"/>
                </a:lnSpc>
              </a:pPr>
              <a:r>
                <a:rPr lang="pt-BR" sz="900" b="0">
                  <a:solidFill>
                    <a:schemeClr val="bg1">
                      <a:lumMod val="50000"/>
                    </a:schemeClr>
                  </a:solidFill>
                  <a:latin typeface="Calibri Light" panose="020F0302020204030204" pitchFamily="34" charset="0"/>
                  <a:cs typeface="Arial" pitchFamily="34" charset="0"/>
                </a:rPr>
                <a:t>Categorias de Âmbito 3</a:t>
              </a:r>
              <a:endParaRPr lang="pt-BR" sz="900" b="0" baseline="0">
                <a:solidFill>
                  <a:schemeClr val="bg1">
                    <a:lumMod val="50000"/>
                  </a:schemeClr>
                </a:solidFill>
                <a:latin typeface="Calibri Light" panose="020F0302020204030204" pitchFamily="34" charset="0"/>
                <a:cs typeface="Arial" pitchFamily="34" charset="0"/>
              </a:endParaRPr>
            </a:p>
          </xdr:txBody>
        </xdr:sp>
        <xdr:sp macro="" textlink="">
          <xdr:nvSpPr>
            <xdr:cNvPr id="49" name="Retângulo de cantos arredondados 49">
              <a:hlinkClick xmlns:r="http://schemas.openxmlformats.org/officeDocument/2006/relationships" r:id="rId14"/>
              <a:extLst>
                <a:ext uri="{FF2B5EF4-FFF2-40B4-BE49-F238E27FC236}">
                  <a16:creationId xmlns="" xmlns:a16="http://schemas.microsoft.com/office/drawing/2014/main" id="{00000000-0008-0000-0C00-000031000000}"/>
                </a:ext>
              </a:extLst>
            </xdr:cNvPr>
            <xdr:cNvSpPr/>
          </xdr:nvSpPr>
          <xdr:spPr bwMode="auto">
            <a:xfrm>
              <a:off x="5925918"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Resíduos sólidos gerados na operação</a:t>
              </a:r>
            </a:p>
          </xdr:txBody>
        </xdr:sp>
        <xdr:sp macro="" textlink="">
          <xdr:nvSpPr>
            <xdr:cNvPr id="50" name="Retângulo de cantos arredondados 50">
              <a:hlinkClick xmlns:r="http://schemas.openxmlformats.org/officeDocument/2006/relationships" r:id="rId15"/>
              <a:extLst>
                <a:ext uri="{FF2B5EF4-FFF2-40B4-BE49-F238E27FC236}">
                  <a16:creationId xmlns="" xmlns:a16="http://schemas.microsoft.com/office/drawing/2014/main" id="{00000000-0008-0000-0C00-000032000000}"/>
                </a:ext>
              </a:extLst>
            </xdr:cNvPr>
            <xdr:cNvSpPr/>
          </xdr:nvSpPr>
          <xdr:spPr bwMode="auto">
            <a:xfrm>
              <a:off x="6722959"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Efluentes gerados na operação</a:t>
              </a:r>
            </a:p>
          </xdr:txBody>
        </xdr:sp>
        <xdr:sp macro="" textlink="">
          <xdr:nvSpPr>
            <xdr:cNvPr id="51" name="Retângulo de cantos arredondados 51">
              <a:hlinkClick xmlns:r="http://schemas.openxmlformats.org/officeDocument/2006/relationships" r:id="rId16"/>
              <a:extLst>
                <a:ext uri="{FF2B5EF4-FFF2-40B4-BE49-F238E27FC236}">
                  <a16:creationId xmlns="" xmlns:a16="http://schemas.microsoft.com/office/drawing/2014/main" id="{00000000-0008-0000-0C00-000033000000}"/>
                </a:ext>
              </a:extLst>
            </xdr:cNvPr>
            <xdr:cNvSpPr/>
          </xdr:nvSpPr>
          <xdr:spPr bwMode="auto">
            <a:xfrm>
              <a:off x="831704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(downstream)</a:t>
              </a:r>
            </a:p>
          </xdr:txBody>
        </xdr:sp>
        <xdr:sp macro="" textlink="">
          <xdr:nvSpPr>
            <xdr:cNvPr id="52" name="Retângulo de cantos arredondados 52">
              <a:hlinkClick xmlns:r="http://schemas.openxmlformats.org/officeDocument/2006/relationships" r:id="rId17"/>
              <a:extLst>
                <a:ext uri="{FF2B5EF4-FFF2-40B4-BE49-F238E27FC236}">
                  <a16:creationId xmlns="" xmlns:a16="http://schemas.microsoft.com/office/drawing/2014/main" id="{00000000-0008-0000-0C00-000034000000}"/>
                </a:ext>
              </a:extLst>
            </xdr:cNvPr>
            <xdr:cNvSpPr/>
          </xdr:nvSpPr>
          <xdr:spPr bwMode="auto">
            <a:xfrm>
              <a:off x="5135994" y="1228723"/>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(upstream)</a:t>
              </a:r>
            </a:p>
          </xdr:txBody>
        </xdr:sp>
        <xdr:sp macro="" textlink="">
          <xdr:nvSpPr>
            <xdr:cNvPr id="53" name="Retângulo de cantos arredondados 54">
              <a:hlinkClick xmlns:r="http://schemas.openxmlformats.org/officeDocument/2006/relationships" r:id="rId18"/>
              <a:extLst>
                <a:ext uri="{FF2B5EF4-FFF2-40B4-BE49-F238E27FC236}">
                  <a16:creationId xmlns="" xmlns:a16="http://schemas.microsoft.com/office/drawing/2014/main" id="{00000000-0008-0000-0C00-000035000000}"/>
                </a:ext>
              </a:extLst>
            </xdr:cNvPr>
            <xdr:cNvSpPr/>
          </xdr:nvSpPr>
          <xdr:spPr bwMode="auto">
            <a:xfrm>
              <a:off x="9115497"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Efluentes</a:t>
              </a:r>
            </a:p>
          </xdr:txBody>
        </xdr:sp>
        <xdr:sp macro="" textlink="">
          <xdr:nvSpPr>
            <xdr:cNvPr id="54" name="Retângulo de cantos arredondados 56">
              <a:hlinkClick xmlns:r="http://schemas.openxmlformats.org/officeDocument/2006/relationships" r:id="rId19"/>
              <a:extLst>
                <a:ext uri="{FF2B5EF4-FFF2-40B4-BE49-F238E27FC236}">
                  <a16:creationId xmlns="" xmlns:a16="http://schemas.microsoft.com/office/drawing/2014/main" id="{00000000-0008-0000-0C00-000036000000}"/>
                </a:ext>
              </a:extLst>
            </xdr:cNvPr>
            <xdr:cNvSpPr/>
          </xdr:nvSpPr>
          <xdr:spPr bwMode="auto">
            <a:xfrm>
              <a:off x="7526519"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Conversão de unidades</a:t>
              </a:r>
            </a:p>
          </xdr:txBody>
        </xdr:sp>
        <xdr:sp macro="" textlink="">
          <xdr:nvSpPr>
            <xdr:cNvPr id="55" name="Retângulo de cantos arredondados 58">
              <a:hlinkClick xmlns:r="http://schemas.openxmlformats.org/officeDocument/2006/relationships" r:id="rId20"/>
              <a:extLst>
                <a:ext uri="{FF2B5EF4-FFF2-40B4-BE49-F238E27FC236}">
                  <a16:creationId xmlns="" xmlns:a16="http://schemas.microsoft.com/office/drawing/2014/main" id="{00000000-0008-0000-0C00-000037000000}"/>
                </a:ext>
              </a:extLst>
            </xdr:cNvPr>
            <xdr:cNvSpPr/>
          </xdr:nvSpPr>
          <xdr:spPr bwMode="auto">
            <a:xfrm>
              <a:off x="7520000"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r>
                <a:rPr lang="pt-BR" sz="900" b="0">
                  <a:solidFill>
                    <a:schemeClr val="bg1">
                      <a:lumMod val="50000"/>
                    </a:schemeClr>
                  </a:solidFill>
                  <a:latin typeface="Calibri Light" panose="020F0302020204030204" pitchFamily="34" charset="0"/>
                  <a:cs typeface="Arial" pitchFamily="34" charset="0"/>
                </a:rPr>
                <a:t>Viagens a negócios</a:t>
              </a:r>
            </a:p>
          </xdr:txBody>
        </xdr:sp>
        <xdr:sp macro="" textlink="">
          <xdr:nvSpPr>
            <xdr:cNvPr id="56" name="Fluxograma: Processo 59">
              <a:extLst>
                <a:ext uri="{FF2B5EF4-FFF2-40B4-BE49-F238E27FC236}">
                  <a16:creationId xmlns="" xmlns:a16="http://schemas.microsoft.com/office/drawing/2014/main" id="{00000000-0008-0000-0C00-000038000000}"/>
                </a:ext>
              </a:extLst>
            </xdr:cNvPr>
            <xdr:cNvSpPr/>
          </xdr:nvSpPr>
          <xdr:spPr bwMode="auto">
            <a:xfrm>
              <a:off x="3604863" y="156702"/>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Geral</a:t>
              </a:r>
            </a:p>
          </xdr:txBody>
        </xdr:sp>
      </xdr:grpSp>
      <xdr:sp macro="" textlink="">
        <xdr:nvSpPr>
          <xdr:cNvPr id="32" name="Retângulo de cantos arredondados 37">
            <a:hlinkClick xmlns:r="http://schemas.openxmlformats.org/officeDocument/2006/relationships" r:id="rId2"/>
            <a:extLst>
              <a:ext uri="{FF2B5EF4-FFF2-40B4-BE49-F238E27FC236}">
                <a16:creationId xmlns="" xmlns:a16="http://schemas.microsoft.com/office/drawing/2014/main" id="{00000000-0008-0000-0C00-000020000000}"/>
              </a:ext>
            </a:extLst>
          </xdr:cNvPr>
          <xdr:cNvSpPr/>
        </xdr:nvSpPr>
        <xdr:spPr bwMode="auto">
          <a:xfrm>
            <a:off x="4696884" y="162983"/>
            <a:ext cx="774700" cy="31873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sp macro="" textlink="">
        <xdr:nvSpPr>
          <xdr:cNvPr id="33" name="Retângulo de cantos arredondados 42">
            <a:hlinkClick xmlns:r="http://schemas.openxmlformats.org/officeDocument/2006/relationships" r:id="rId21"/>
            <a:extLst>
              <a:ext uri="{FF2B5EF4-FFF2-40B4-BE49-F238E27FC236}">
                <a16:creationId xmlns="" xmlns:a16="http://schemas.microsoft.com/office/drawing/2014/main" id="{00000000-0008-0000-0C00-000021000000}"/>
              </a:ext>
            </a:extLst>
          </xdr:cNvPr>
          <xdr:cNvSpPr/>
        </xdr:nvSpPr>
        <xdr:spPr bwMode="auto">
          <a:xfrm>
            <a:off x="7125758" y="522817"/>
            <a:ext cx="758825" cy="318738"/>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50" b="0">
                <a:solidFill>
                  <a:schemeClr val="bg1"/>
                </a:solidFill>
                <a:latin typeface="Calibri Light" panose="020F0302020204030204" pitchFamily="34" charset="0"/>
                <a:cs typeface="Arial" pitchFamily="34" charset="0"/>
              </a:rPr>
              <a:t>Agrícolas e alt. do uso do solo</a:t>
            </a:r>
            <a:endParaRPr lang="pt-BR" sz="850" b="0" baseline="0">
              <a:solidFill>
                <a:schemeClr val="bg1"/>
              </a:solidFill>
              <a:latin typeface="Calibri Light" panose="020F0302020204030204" pitchFamily="34" charset="0"/>
              <a:cs typeface="Arial" pitchFamily="34" charset="0"/>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1767417</xdr:colOff>
      <xdr:row>5</xdr:row>
      <xdr:rowOff>59957</xdr:rowOff>
    </xdr:to>
    <xdr:pic>
      <xdr:nvPicPr>
        <xdr:cNvPr id="28" name="Imagem 27">
          <a:extLst>
            <a:ext uri="{FF2B5EF4-FFF2-40B4-BE49-F238E27FC236}">
              <a16:creationId xmlns="" xmlns:a16="http://schemas.microsoft.com/office/drawing/2014/main" id="{00000000-0008-0000-0D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62250" cy="1065374"/>
        </a:xfrm>
        <a:prstGeom prst="rect">
          <a:avLst/>
        </a:prstGeom>
      </xdr:spPr>
    </xdr:pic>
    <xdr:clientData/>
  </xdr:twoCellAnchor>
  <xdr:twoCellAnchor>
    <xdr:from>
      <xdr:col>2</xdr:col>
      <xdr:colOff>3460750</xdr:colOff>
      <xdr:row>0</xdr:row>
      <xdr:rowOff>95250</xdr:rowOff>
    </xdr:from>
    <xdr:to>
      <xdr:col>2</xdr:col>
      <xdr:colOff>4222749</xdr:colOff>
      <xdr:row>2</xdr:row>
      <xdr:rowOff>18171</xdr:rowOff>
    </xdr:to>
    <xdr:sp macro="" textlink="">
      <xdr:nvSpPr>
        <xdr:cNvPr id="29" name="Retângulo de cantos arredondados 37">
          <a:hlinkClick xmlns:r="http://schemas.openxmlformats.org/officeDocument/2006/relationships" r:id="rId2"/>
          <a:extLst>
            <a:ext uri="{FF2B5EF4-FFF2-40B4-BE49-F238E27FC236}">
              <a16:creationId xmlns="" xmlns:a16="http://schemas.microsoft.com/office/drawing/2014/main" id="{00000000-0008-0000-0D00-00001D000000}"/>
            </a:ext>
          </a:extLst>
        </xdr:cNvPr>
        <xdr:cNvSpPr/>
      </xdr:nvSpPr>
      <xdr:spPr bwMode="auto">
        <a:xfrm>
          <a:off x="4455583" y="95250"/>
          <a:ext cx="761999" cy="32508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clientData/>
  </xdr:twoCellAnchor>
  <xdr:twoCellAnchor>
    <xdr:from>
      <xdr:col>2</xdr:col>
      <xdr:colOff>1672167</xdr:colOff>
      <xdr:row>0</xdr:row>
      <xdr:rowOff>31750</xdr:rowOff>
    </xdr:from>
    <xdr:to>
      <xdr:col>7</xdr:col>
      <xdr:colOff>23781</xdr:colOff>
      <xdr:row>8</xdr:row>
      <xdr:rowOff>173709</xdr:rowOff>
    </xdr:to>
    <xdr:grpSp>
      <xdr:nvGrpSpPr>
        <xdr:cNvPr id="30" name="Grupo 29">
          <a:extLst>
            <a:ext uri="{FF2B5EF4-FFF2-40B4-BE49-F238E27FC236}">
              <a16:creationId xmlns="" xmlns:a16="http://schemas.microsoft.com/office/drawing/2014/main" id="{00000000-0008-0000-0D00-00001E000000}"/>
            </a:ext>
          </a:extLst>
        </xdr:cNvPr>
        <xdr:cNvGrpSpPr/>
      </xdr:nvGrpSpPr>
      <xdr:grpSpPr>
        <a:xfrm>
          <a:off x="2667000" y="31750"/>
          <a:ext cx="7283948" cy="1750626"/>
          <a:chOff x="3069167" y="114300"/>
          <a:chExt cx="7283948" cy="1549543"/>
        </a:xfrm>
      </xdr:grpSpPr>
      <xdr:grpSp>
        <xdr:nvGrpSpPr>
          <xdr:cNvPr id="31" name="Group 32">
            <a:extLst>
              <a:ext uri="{FF2B5EF4-FFF2-40B4-BE49-F238E27FC236}">
                <a16:creationId xmlns="" xmlns:a16="http://schemas.microsoft.com/office/drawing/2014/main" id="{00000000-0008-0000-0D00-00001F000000}"/>
              </a:ext>
            </a:extLst>
          </xdr:cNvPr>
          <xdr:cNvGrpSpPr/>
        </xdr:nvGrpSpPr>
        <xdr:grpSpPr>
          <a:xfrm>
            <a:off x="3069167" y="114300"/>
            <a:ext cx="7283948" cy="1549543"/>
            <a:chOff x="3514726" y="52774"/>
            <a:chExt cx="7219950" cy="1576001"/>
          </a:xfrm>
        </xdr:grpSpPr>
        <xdr:sp macro="" textlink="">
          <xdr:nvSpPr>
            <xdr:cNvPr id="34" name="Fluxograma: Processo 60">
              <a:extLst>
                <a:ext uri="{FF2B5EF4-FFF2-40B4-BE49-F238E27FC236}">
                  <a16:creationId xmlns="" xmlns:a16="http://schemas.microsoft.com/office/drawing/2014/main" id="{00000000-0008-0000-0D00-000022000000}"/>
                </a:ext>
              </a:extLst>
            </xdr:cNvPr>
            <xdr:cNvSpPr>
              <a:spLocks noChangeArrowheads="1"/>
            </xdr:cNvSpPr>
          </xdr:nvSpPr>
          <xdr:spPr bwMode="auto">
            <a:xfrm>
              <a:off x="3514726" y="52774"/>
              <a:ext cx="7219950" cy="1576001"/>
            </a:xfrm>
            <a:prstGeom prst="flowChartProcess">
              <a:avLst/>
            </a:prstGeom>
            <a:solidFill>
              <a:schemeClr val="accent1">
                <a:lumMod val="20000"/>
                <a:lumOff val="80000"/>
              </a:schemeClr>
            </a:solidFill>
            <a:ln w="19050" algn="ctr">
              <a:solidFill>
                <a:schemeClr val="accent1"/>
              </a:solidFill>
              <a:round/>
              <a:headEnd/>
              <a:tailEnd/>
            </a:ln>
            <a:effectLst/>
          </xdr:spPr>
          <xdr:txBody>
            <a:bodyPr/>
            <a:lstStyle/>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r>
                <a:rPr lang="pt-BR" sz="1400" b="1">
                  <a:latin typeface="Calibri Light" panose="020F0302020204030204" pitchFamily="34" charset="0"/>
                </a:rPr>
                <a:t>Menu de </a:t>
              </a:r>
            </a:p>
            <a:p>
              <a:pPr algn="r"/>
              <a:r>
                <a:rPr lang="pt-BR" sz="1400" b="1">
                  <a:latin typeface="Calibri Light" panose="020F0302020204030204" pitchFamily="34" charset="0"/>
                </a:rPr>
                <a:t>navegação</a:t>
              </a:r>
            </a:p>
          </xdr:txBody>
        </xdr:sp>
        <xdr:sp macro="" textlink="">
          <xdr:nvSpPr>
            <xdr:cNvPr id="35" name="Retângulo de cantos arredondados 34">
              <a:hlinkClick xmlns:r="http://schemas.openxmlformats.org/officeDocument/2006/relationships" r:id="rId3"/>
              <a:extLst>
                <a:ext uri="{FF2B5EF4-FFF2-40B4-BE49-F238E27FC236}">
                  <a16:creationId xmlns="" xmlns:a16="http://schemas.microsoft.com/office/drawing/2014/main" id="{00000000-0008-0000-0D00-000023000000}"/>
                </a:ext>
              </a:extLst>
            </xdr:cNvPr>
            <xdr:cNvSpPr/>
          </xdr:nvSpPr>
          <xdr:spPr bwMode="auto">
            <a:xfrm>
              <a:off x="4333251"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Introdução</a:t>
              </a:r>
            </a:p>
          </xdr:txBody>
        </xdr:sp>
        <xdr:sp macro="" textlink="">
          <xdr:nvSpPr>
            <xdr:cNvPr id="36" name="Retângulo de cantos arredondados 35">
              <a:hlinkClick xmlns:r="http://schemas.openxmlformats.org/officeDocument/2006/relationships" r:id="rId4"/>
              <a:extLst>
                <a:ext uri="{FF2B5EF4-FFF2-40B4-BE49-F238E27FC236}">
                  <a16:creationId xmlns="" xmlns:a16="http://schemas.microsoft.com/office/drawing/2014/main" id="{00000000-0008-0000-0D00-000024000000}"/>
                </a:ext>
              </a:extLst>
            </xdr:cNvPr>
            <xdr:cNvSpPr/>
          </xdr:nvSpPr>
          <xdr:spPr bwMode="auto">
            <a:xfrm>
              <a:off x="4333251"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lnSpc>
                  <a:spcPct val="80000"/>
                </a:lnSpc>
              </a:pPr>
              <a:r>
                <a:rPr lang="pt-BR" sz="900" b="0">
                  <a:solidFill>
                    <a:schemeClr val="bg1"/>
                  </a:solidFill>
                  <a:latin typeface="Calibri Light" panose="020F0302020204030204" pitchFamily="34" charset="0"/>
                  <a:cs typeface="Arial" pitchFamily="34" charset="0"/>
                </a:rPr>
                <a:t>Combustão</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estacionária</a:t>
              </a:r>
            </a:p>
          </xdr:txBody>
        </xdr:sp>
        <xdr:sp macro="" textlink="">
          <xdr:nvSpPr>
            <xdr:cNvPr id="37" name="Retângulo de cantos arredondados 36">
              <a:hlinkClick xmlns:r="http://schemas.openxmlformats.org/officeDocument/2006/relationships" r:id="rId5"/>
              <a:extLst>
                <a:ext uri="{FF2B5EF4-FFF2-40B4-BE49-F238E27FC236}">
                  <a16:creationId xmlns="" xmlns:a16="http://schemas.microsoft.com/office/drawing/2014/main" id="{00000000-0008-0000-0D00-000025000000}"/>
                </a:ext>
              </a:extLst>
            </xdr:cNvPr>
            <xdr:cNvSpPr/>
          </xdr:nvSpPr>
          <xdr:spPr bwMode="auto">
            <a:xfrm>
              <a:off x="5130292"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Combustão </a:t>
              </a:r>
            </a:p>
            <a:p>
              <a:pPr algn="ctr"/>
              <a:r>
                <a:rPr lang="pt-BR" sz="900" b="0">
                  <a:solidFill>
                    <a:schemeClr val="bg1"/>
                  </a:solidFill>
                  <a:latin typeface="Calibri Light" panose="020F0302020204030204" pitchFamily="34" charset="0"/>
                  <a:cs typeface="Arial" pitchFamily="34" charset="0"/>
                </a:rPr>
                <a:t>móvel</a:t>
              </a:r>
            </a:p>
          </xdr:txBody>
        </xdr:sp>
        <xdr:sp macro="" textlink="">
          <xdr:nvSpPr>
            <xdr:cNvPr id="38" name="Retângulo de cantos arredondados 37">
              <a:hlinkClick xmlns:r="http://schemas.openxmlformats.org/officeDocument/2006/relationships" r:id="rId6"/>
              <a:extLst>
                <a:ext uri="{FF2B5EF4-FFF2-40B4-BE49-F238E27FC236}">
                  <a16:creationId xmlns="" xmlns:a16="http://schemas.microsoft.com/office/drawing/2014/main" id="{00000000-0008-0000-0D00-000026000000}"/>
                </a:ext>
              </a:extLst>
            </xdr:cNvPr>
            <xdr:cNvSpPr/>
          </xdr:nvSpPr>
          <xdr:spPr bwMode="auto">
            <a:xfrm>
              <a:off x="5932663"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Resumo</a:t>
              </a:r>
            </a:p>
          </xdr:txBody>
        </xdr:sp>
        <xdr:sp macro="" textlink="">
          <xdr:nvSpPr>
            <xdr:cNvPr id="39" name="Retângulo de cantos arredondados 38">
              <a:hlinkClick xmlns:r="http://schemas.openxmlformats.org/officeDocument/2006/relationships" r:id="rId7"/>
              <a:extLst>
                <a:ext uri="{FF2B5EF4-FFF2-40B4-BE49-F238E27FC236}">
                  <a16:creationId xmlns="" xmlns:a16="http://schemas.microsoft.com/office/drawing/2014/main" id="{00000000-0008-0000-0D00-000027000000}"/>
                </a:ext>
              </a:extLst>
            </xdr:cNvPr>
            <xdr:cNvSpPr/>
          </xdr:nvSpPr>
          <xdr:spPr bwMode="auto">
            <a:xfrm>
              <a:off x="6719145"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Fatores </a:t>
              </a:r>
            </a:p>
            <a:p>
              <a:pPr algn="ctr"/>
              <a:r>
                <a:rPr lang="pt-BR" sz="900" b="0">
                  <a:latin typeface="Calibri Light" panose="020F0302020204030204" pitchFamily="34" charset="0"/>
                  <a:cs typeface="Arial" pitchFamily="34" charset="0"/>
                </a:rPr>
                <a:t>de emissão</a:t>
              </a:r>
            </a:p>
          </xdr:txBody>
        </xdr:sp>
        <xdr:sp macro="" textlink="">
          <xdr:nvSpPr>
            <xdr:cNvPr id="40" name="Fluxograma: Processo 39">
              <a:extLst>
                <a:ext uri="{FF2B5EF4-FFF2-40B4-BE49-F238E27FC236}">
                  <a16:creationId xmlns="" xmlns:a16="http://schemas.microsoft.com/office/drawing/2014/main" id="{00000000-0008-0000-0D00-000028000000}"/>
                </a:ext>
              </a:extLst>
            </xdr:cNvPr>
            <xdr:cNvSpPr/>
          </xdr:nvSpPr>
          <xdr:spPr bwMode="auto">
            <a:xfrm>
              <a:off x="3604863" y="528178"/>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1</a:t>
              </a:r>
            </a:p>
          </xdr:txBody>
        </xdr:sp>
        <xdr:sp macro="" textlink="">
          <xdr:nvSpPr>
            <xdr:cNvPr id="41" name="Retângulo de cantos arredondados 40">
              <a:hlinkClick xmlns:r="http://schemas.openxmlformats.org/officeDocument/2006/relationships" r:id="rId8"/>
              <a:extLst>
                <a:ext uri="{FF2B5EF4-FFF2-40B4-BE49-F238E27FC236}">
                  <a16:creationId xmlns="" xmlns:a16="http://schemas.microsoft.com/office/drawing/2014/main" id="{00000000-0008-0000-0D00-000029000000}"/>
                </a:ext>
              </a:extLst>
            </xdr:cNvPr>
            <xdr:cNvSpPr/>
          </xdr:nvSpPr>
          <xdr:spPr bwMode="auto">
            <a:xfrm>
              <a:off x="5927333"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00" b="0">
                  <a:solidFill>
                    <a:schemeClr val="bg1"/>
                  </a:solidFill>
                  <a:latin typeface="Calibri Light" panose="020F0302020204030204" pitchFamily="34" charset="0"/>
                  <a:cs typeface="Arial" pitchFamily="34" charset="0"/>
                </a:rPr>
                <a:t>Emissões </a:t>
              </a:r>
            </a:p>
            <a:p>
              <a:pPr algn="ctr"/>
              <a:r>
                <a:rPr lang="pt-BR" sz="800" b="0">
                  <a:solidFill>
                    <a:schemeClr val="bg1"/>
                  </a:solidFill>
                  <a:latin typeface="Calibri Light" panose="020F0302020204030204" pitchFamily="34" charset="0"/>
                  <a:cs typeface="Arial" pitchFamily="34" charset="0"/>
                </a:rPr>
                <a:t>fugitivas</a:t>
              </a:r>
            </a:p>
          </xdr:txBody>
        </xdr:sp>
        <xdr:sp macro="" textlink="">
          <xdr:nvSpPr>
            <xdr:cNvPr id="42" name="Retângulo de cantos arredondados 41">
              <a:hlinkClick xmlns:r="http://schemas.openxmlformats.org/officeDocument/2006/relationships" r:id="rId9"/>
              <a:extLst>
                <a:ext uri="{FF2B5EF4-FFF2-40B4-BE49-F238E27FC236}">
                  <a16:creationId xmlns="" xmlns:a16="http://schemas.microsoft.com/office/drawing/2014/main" id="{00000000-0008-0000-0D00-00002A000000}"/>
                </a:ext>
              </a:extLst>
            </xdr:cNvPr>
            <xdr:cNvSpPr/>
          </xdr:nvSpPr>
          <xdr:spPr bwMode="auto">
            <a:xfrm>
              <a:off x="6724374"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Processos</a:t>
              </a:r>
              <a:r>
                <a:rPr lang="pt-BR" sz="900" b="0" baseline="0">
                  <a:solidFill>
                    <a:schemeClr val="bg1"/>
                  </a:solidFill>
                  <a:latin typeface="Calibri Light" panose="020F0302020204030204" pitchFamily="34" charset="0"/>
                  <a:cs typeface="Arial" pitchFamily="34" charset="0"/>
                </a:rPr>
                <a:t> industriais</a:t>
              </a:r>
              <a:endParaRPr lang="pt-BR" sz="900" b="0">
                <a:solidFill>
                  <a:schemeClr val="bg1"/>
                </a:solidFill>
                <a:latin typeface="Calibri Light" panose="020F0302020204030204" pitchFamily="34" charset="0"/>
                <a:cs typeface="Arial" pitchFamily="34" charset="0"/>
              </a:endParaRPr>
            </a:p>
          </xdr:txBody>
        </xdr:sp>
        <xdr:sp macro="" textlink="">
          <xdr:nvSpPr>
            <xdr:cNvPr id="43" name="Retângulo de cantos arredondados 43">
              <a:hlinkClick xmlns:r="http://schemas.openxmlformats.org/officeDocument/2006/relationships" r:id="rId10"/>
              <a:extLst>
                <a:ext uri="{FF2B5EF4-FFF2-40B4-BE49-F238E27FC236}">
                  <a16:creationId xmlns="" xmlns:a16="http://schemas.microsoft.com/office/drawing/2014/main" id="{00000000-0008-0000-0D00-00002B000000}"/>
                </a:ext>
              </a:extLst>
            </xdr:cNvPr>
            <xdr:cNvSpPr/>
          </xdr:nvSpPr>
          <xdr:spPr bwMode="auto">
            <a:xfrm>
              <a:off x="8318456"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Resíduos</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sólidos</a:t>
              </a:r>
            </a:p>
          </xdr:txBody>
        </xdr:sp>
        <xdr:sp macro="" textlink="">
          <xdr:nvSpPr>
            <xdr:cNvPr id="44" name="Retângulo de cantos arredondados 44">
              <a:hlinkClick xmlns:r="http://schemas.openxmlformats.org/officeDocument/2006/relationships" r:id="rId11"/>
              <a:extLst>
                <a:ext uri="{FF2B5EF4-FFF2-40B4-BE49-F238E27FC236}">
                  <a16:creationId xmlns="" xmlns:a16="http://schemas.microsoft.com/office/drawing/2014/main" id="{00000000-0008-0000-0D00-00002C000000}"/>
                </a:ext>
              </a:extLst>
            </xdr:cNvPr>
            <xdr:cNvSpPr/>
          </xdr:nvSpPr>
          <xdr:spPr bwMode="auto">
            <a:xfrm>
              <a:off x="433325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lnSpc>
                  <a:spcPct val="80000"/>
                </a:lnSpc>
              </a:pPr>
              <a:r>
                <a:rPr lang="pt-BR" sz="900" b="0">
                  <a:latin typeface="Calibri Light" panose="020F0302020204030204" pitchFamily="34" charset="0"/>
                  <a:cs typeface="Arial" pitchFamily="34" charset="0"/>
                </a:rPr>
                <a:t>Compra de Energia</a:t>
              </a:r>
              <a:r>
                <a:rPr lang="pt-BR" sz="900" b="0" baseline="0">
                  <a:latin typeface="Calibri Light" panose="020F0302020204030204" pitchFamily="34" charset="0"/>
                  <a:cs typeface="Arial" pitchFamily="34" charset="0"/>
                </a:rPr>
                <a:t> Elétrica</a:t>
              </a:r>
            </a:p>
          </xdr:txBody>
        </xdr:sp>
        <xdr:sp macro="" textlink="">
          <xdr:nvSpPr>
            <xdr:cNvPr id="45" name="Retângulo de cantos arredondados 45">
              <a:hlinkClick xmlns:r="http://schemas.openxmlformats.org/officeDocument/2006/relationships" r:id="rId12"/>
              <a:extLst>
                <a:ext uri="{FF2B5EF4-FFF2-40B4-BE49-F238E27FC236}">
                  <a16:creationId xmlns="" xmlns:a16="http://schemas.microsoft.com/office/drawing/2014/main" id="{00000000-0008-0000-0D00-00002D000000}"/>
                </a:ext>
              </a:extLst>
            </xdr:cNvPr>
            <xdr:cNvSpPr/>
          </xdr:nvSpPr>
          <xdr:spPr bwMode="auto">
            <a:xfrm>
              <a:off x="513371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Compra de</a:t>
              </a:r>
              <a:r>
                <a:rPr lang="pt-BR" sz="900" b="0" baseline="0">
                  <a:latin typeface="Calibri Light" panose="020F0302020204030204" pitchFamily="34" charset="0"/>
                  <a:cs typeface="Arial" pitchFamily="34" charset="0"/>
                </a:rPr>
                <a:t> Energia Térmica</a:t>
              </a:r>
            </a:p>
          </xdr:txBody>
        </xdr:sp>
        <xdr:sp macro="" textlink="">
          <xdr:nvSpPr>
            <xdr:cNvPr id="46" name="Fluxograma: Processo 45">
              <a:extLst>
                <a:ext uri="{FF2B5EF4-FFF2-40B4-BE49-F238E27FC236}">
                  <a16:creationId xmlns="" xmlns:a16="http://schemas.microsoft.com/office/drawing/2014/main" id="{00000000-0008-0000-0D00-00002E000000}"/>
                </a:ext>
              </a:extLst>
            </xdr:cNvPr>
            <xdr:cNvSpPr/>
          </xdr:nvSpPr>
          <xdr:spPr bwMode="auto">
            <a:xfrm>
              <a:off x="3604863" y="909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2</a:t>
              </a:r>
            </a:p>
          </xdr:txBody>
        </xdr:sp>
        <xdr:sp macro="" textlink="">
          <xdr:nvSpPr>
            <xdr:cNvPr id="47" name="Fluxograma: Processo 46">
              <a:extLst>
                <a:ext uri="{FF2B5EF4-FFF2-40B4-BE49-F238E27FC236}">
                  <a16:creationId xmlns="" xmlns:a16="http://schemas.microsoft.com/office/drawing/2014/main" id="{00000000-0008-0000-0D00-00002F000000}"/>
                </a:ext>
              </a:extLst>
            </xdr:cNvPr>
            <xdr:cNvSpPr/>
          </xdr:nvSpPr>
          <xdr:spPr bwMode="auto">
            <a:xfrm>
              <a:off x="3604863" y="1290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3</a:t>
              </a:r>
            </a:p>
          </xdr:txBody>
        </xdr:sp>
        <xdr:sp macro="" textlink="">
          <xdr:nvSpPr>
            <xdr:cNvPr id="48" name="Retângulo de cantos arredondados 48">
              <a:hlinkClick xmlns:r="http://schemas.openxmlformats.org/officeDocument/2006/relationships" r:id="rId13"/>
              <a:extLst>
                <a:ext uri="{FF2B5EF4-FFF2-40B4-BE49-F238E27FC236}">
                  <a16:creationId xmlns="" xmlns:a16="http://schemas.microsoft.com/office/drawing/2014/main" id="{00000000-0008-0000-0D00-000030000000}"/>
                </a:ext>
              </a:extLst>
            </xdr:cNvPr>
            <xdr:cNvSpPr/>
          </xdr:nvSpPr>
          <xdr:spPr bwMode="auto">
            <a:xfrm>
              <a:off x="433325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lnSpc>
                  <a:spcPct val="80000"/>
                </a:lnSpc>
              </a:pPr>
              <a:r>
                <a:rPr lang="pt-BR" sz="900" b="0">
                  <a:solidFill>
                    <a:schemeClr val="bg1">
                      <a:lumMod val="50000"/>
                    </a:schemeClr>
                  </a:solidFill>
                  <a:latin typeface="Calibri Light" panose="020F0302020204030204" pitchFamily="34" charset="0"/>
                  <a:cs typeface="Arial" pitchFamily="34" charset="0"/>
                </a:rPr>
                <a:t>Categorias de Âmbito 3</a:t>
              </a:r>
              <a:endParaRPr lang="pt-BR" sz="900" b="0" baseline="0">
                <a:solidFill>
                  <a:schemeClr val="bg1">
                    <a:lumMod val="50000"/>
                  </a:schemeClr>
                </a:solidFill>
                <a:latin typeface="Calibri Light" panose="020F0302020204030204" pitchFamily="34" charset="0"/>
                <a:cs typeface="Arial" pitchFamily="34" charset="0"/>
              </a:endParaRPr>
            </a:p>
          </xdr:txBody>
        </xdr:sp>
        <xdr:sp macro="" textlink="">
          <xdr:nvSpPr>
            <xdr:cNvPr id="49" name="Retângulo de cantos arredondados 49">
              <a:hlinkClick xmlns:r="http://schemas.openxmlformats.org/officeDocument/2006/relationships" r:id="rId14"/>
              <a:extLst>
                <a:ext uri="{FF2B5EF4-FFF2-40B4-BE49-F238E27FC236}">
                  <a16:creationId xmlns="" xmlns:a16="http://schemas.microsoft.com/office/drawing/2014/main" id="{00000000-0008-0000-0D00-000031000000}"/>
                </a:ext>
              </a:extLst>
            </xdr:cNvPr>
            <xdr:cNvSpPr/>
          </xdr:nvSpPr>
          <xdr:spPr bwMode="auto">
            <a:xfrm>
              <a:off x="5925918"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Resíduos sólidos gerados na operação</a:t>
              </a:r>
            </a:p>
          </xdr:txBody>
        </xdr:sp>
        <xdr:sp macro="" textlink="">
          <xdr:nvSpPr>
            <xdr:cNvPr id="50" name="Retângulo de cantos arredondados 50">
              <a:hlinkClick xmlns:r="http://schemas.openxmlformats.org/officeDocument/2006/relationships" r:id="rId15"/>
              <a:extLst>
                <a:ext uri="{FF2B5EF4-FFF2-40B4-BE49-F238E27FC236}">
                  <a16:creationId xmlns="" xmlns:a16="http://schemas.microsoft.com/office/drawing/2014/main" id="{00000000-0008-0000-0D00-000032000000}"/>
                </a:ext>
              </a:extLst>
            </xdr:cNvPr>
            <xdr:cNvSpPr/>
          </xdr:nvSpPr>
          <xdr:spPr bwMode="auto">
            <a:xfrm>
              <a:off x="6722959"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Efluentes gerados na operação</a:t>
              </a:r>
            </a:p>
          </xdr:txBody>
        </xdr:sp>
        <xdr:sp macro="" textlink="">
          <xdr:nvSpPr>
            <xdr:cNvPr id="51" name="Retângulo de cantos arredondados 51">
              <a:hlinkClick xmlns:r="http://schemas.openxmlformats.org/officeDocument/2006/relationships" r:id="rId16"/>
              <a:extLst>
                <a:ext uri="{FF2B5EF4-FFF2-40B4-BE49-F238E27FC236}">
                  <a16:creationId xmlns="" xmlns:a16="http://schemas.microsoft.com/office/drawing/2014/main" id="{00000000-0008-0000-0D00-000033000000}"/>
                </a:ext>
              </a:extLst>
            </xdr:cNvPr>
            <xdr:cNvSpPr/>
          </xdr:nvSpPr>
          <xdr:spPr bwMode="auto">
            <a:xfrm>
              <a:off x="831704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(downstream)</a:t>
              </a:r>
            </a:p>
          </xdr:txBody>
        </xdr:sp>
        <xdr:sp macro="" textlink="">
          <xdr:nvSpPr>
            <xdr:cNvPr id="52" name="Retângulo de cantos arredondados 52">
              <a:hlinkClick xmlns:r="http://schemas.openxmlformats.org/officeDocument/2006/relationships" r:id="rId17"/>
              <a:extLst>
                <a:ext uri="{FF2B5EF4-FFF2-40B4-BE49-F238E27FC236}">
                  <a16:creationId xmlns="" xmlns:a16="http://schemas.microsoft.com/office/drawing/2014/main" id="{00000000-0008-0000-0D00-000034000000}"/>
                </a:ext>
              </a:extLst>
            </xdr:cNvPr>
            <xdr:cNvSpPr/>
          </xdr:nvSpPr>
          <xdr:spPr bwMode="auto">
            <a:xfrm>
              <a:off x="5135994" y="1228723"/>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(upstream)</a:t>
              </a:r>
            </a:p>
          </xdr:txBody>
        </xdr:sp>
        <xdr:sp macro="" textlink="">
          <xdr:nvSpPr>
            <xdr:cNvPr id="53" name="Retângulo de cantos arredondados 54">
              <a:hlinkClick xmlns:r="http://schemas.openxmlformats.org/officeDocument/2006/relationships" r:id="rId18"/>
              <a:extLst>
                <a:ext uri="{FF2B5EF4-FFF2-40B4-BE49-F238E27FC236}">
                  <a16:creationId xmlns="" xmlns:a16="http://schemas.microsoft.com/office/drawing/2014/main" id="{00000000-0008-0000-0D00-000035000000}"/>
                </a:ext>
              </a:extLst>
            </xdr:cNvPr>
            <xdr:cNvSpPr/>
          </xdr:nvSpPr>
          <xdr:spPr bwMode="auto">
            <a:xfrm>
              <a:off x="9115497"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Efluentes</a:t>
              </a:r>
            </a:p>
          </xdr:txBody>
        </xdr:sp>
        <xdr:sp macro="" textlink="">
          <xdr:nvSpPr>
            <xdr:cNvPr id="54" name="Retângulo de cantos arredondados 56">
              <a:hlinkClick xmlns:r="http://schemas.openxmlformats.org/officeDocument/2006/relationships" r:id="rId19"/>
              <a:extLst>
                <a:ext uri="{FF2B5EF4-FFF2-40B4-BE49-F238E27FC236}">
                  <a16:creationId xmlns="" xmlns:a16="http://schemas.microsoft.com/office/drawing/2014/main" id="{00000000-0008-0000-0D00-000036000000}"/>
                </a:ext>
              </a:extLst>
            </xdr:cNvPr>
            <xdr:cNvSpPr/>
          </xdr:nvSpPr>
          <xdr:spPr bwMode="auto">
            <a:xfrm>
              <a:off x="7526519"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Conversão de unidades</a:t>
              </a:r>
            </a:p>
          </xdr:txBody>
        </xdr:sp>
        <xdr:sp macro="" textlink="">
          <xdr:nvSpPr>
            <xdr:cNvPr id="55" name="Retângulo de cantos arredondados 58">
              <a:hlinkClick xmlns:r="http://schemas.openxmlformats.org/officeDocument/2006/relationships" r:id="rId20"/>
              <a:extLst>
                <a:ext uri="{FF2B5EF4-FFF2-40B4-BE49-F238E27FC236}">
                  <a16:creationId xmlns="" xmlns:a16="http://schemas.microsoft.com/office/drawing/2014/main" id="{00000000-0008-0000-0D00-000037000000}"/>
                </a:ext>
              </a:extLst>
            </xdr:cNvPr>
            <xdr:cNvSpPr/>
          </xdr:nvSpPr>
          <xdr:spPr bwMode="auto">
            <a:xfrm>
              <a:off x="7520000"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r>
                <a:rPr lang="pt-BR" sz="900" b="0">
                  <a:solidFill>
                    <a:schemeClr val="bg1">
                      <a:lumMod val="50000"/>
                    </a:schemeClr>
                  </a:solidFill>
                  <a:latin typeface="Calibri Light" panose="020F0302020204030204" pitchFamily="34" charset="0"/>
                  <a:cs typeface="Arial" pitchFamily="34" charset="0"/>
                </a:rPr>
                <a:t>Viagens a negócios</a:t>
              </a:r>
            </a:p>
          </xdr:txBody>
        </xdr:sp>
        <xdr:sp macro="" textlink="">
          <xdr:nvSpPr>
            <xdr:cNvPr id="56" name="Fluxograma: Processo 59">
              <a:extLst>
                <a:ext uri="{FF2B5EF4-FFF2-40B4-BE49-F238E27FC236}">
                  <a16:creationId xmlns="" xmlns:a16="http://schemas.microsoft.com/office/drawing/2014/main" id="{00000000-0008-0000-0D00-000038000000}"/>
                </a:ext>
              </a:extLst>
            </xdr:cNvPr>
            <xdr:cNvSpPr/>
          </xdr:nvSpPr>
          <xdr:spPr bwMode="auto">
            <a:xfrm>
              <a:off x="3604863" y="156702"/>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Geral</a:t>
              </a:r>
            </a:p>
          </xdr:txBody>
        </xdr:sp>
      </xdr:grpSp>
      <xdr:sp macro="" textlink="">
        <xdr:nvSpPr>
          <xdr:cNvPr id="32" name="Retângulo de cantos arredondados 37">
            <a:hlinkClick xmlns:r="http://schemas.openxmlformats.org/officeDocument/2006/relationships" r:id="rId2"/>
            <a:extLst>
              <a:ext uri="{FF2B5EF4-FFF2-40B4-BE49-F238E27FC236}">
                <a16:creationId xmlns="" xmlns:a16="http://schemas.microsoft.com/office/drawing/2014/main" id="{00000000-0008-0000-0D00-000020000000}"/>
              </a:ext>
            </a:extLst>
          </xdr:cNvPr>
          <xdr:cNvSpPr/>
        </xdr:nvSpPr>
        <xdr:spPr bwMode="auto">
          <a:xfrm>
            <a:off x="4696884" y="162983"/>
            <a:ext cx="774700" cy="31873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sp macro="" textlink="">
        <xdr:nvSpPr>
          <xdr:cNvPr id="33" name="Retângulo de cantos arredondados 42">
            <a:hlinkClick xmlns:r="http://schemas.openxmlformats.org/officeDocument/2006/relationships" r:id="rId21"/>
            <a:extLst>
              <a:ext uri="{FF2B5EF4-FFF2-40B4-BE49-F238E27FC236}">
                <a16:creationId xmlns="" xmlns:a16="http://schemas.microsoft.com/office/drawing/2014/main" id="{00000000-0008-0000-0D00-000021000000}"/>
              </a:ext>
            </a:extLst>
          </xdr:cNvPr>
          <xdr:cNvSpPr/>
        </xdr:nvSpPr>
        <xdr:spPr bwMode="auto">
          <a:xfrm>
            <a:off x="7125758" y="522817"/>
            <a:ext cx="758825" cy="318738"/>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50" b="0">
                <a:solidFill>
                  <a:schemeClr val="bg1"/>
                </a:solidFill>
                <a:latin typeface="Calibri Light" panose="020F0302020204030204" pitchFamily="34" charset="0"/>
                <a:cs typeface="Arial" pitchFamily="34" charset="0"/>
              </a:rPr>
              <a:t>Agrícolas e alt. do uso do solo</a:t>
            </a:r>
            <a:endParaRPr lang="pt-BR" sz="850" b="0" baseline="0">
              <a:solidFill>
                <a:schemeClr val="bg1"/>
              </a:solidFill>
              <a:latin typeface="Calibri Light" panose="020F0302020204030204" pitchFamily="34" charset="0"/>
              <a:cs typeface="Arial" pitchFamily="34" charset="0"/>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889000</xdr:colOff>
      <xdr:row>5</xdr:row>
      <xdr:rowOff>127391</xdr:rowOff>
    </xdr:to>
    <xdr:pic>
      <xdr:nvPicPr>
        <xdr:cNvPr id="28" name="Imagem 27">
          <a:extLst>
            <a:ext uri="{FF2B5EF4-FFF2-40B4-BE49-F238E27FC236}">
              <a16:creationId xmlns="" xmlns:a16="http://schemas.microsoft.com/office/drawing/2014/main" id="{00000000-0008-0000-0E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635250" cy="1016391"/>
        </a:xfrm>
        <a:prstGeom prst="rect">
          <a:avLst/>
        </a:prstGeom>
      </xdr:spPr>
    </xdr:pic>
    <xdr:clientData/>
  </xdr:twoCellAnchor>
  <xdr:twoCellAnchor>
    <xdr:from>
      <xdr:col>3</xdr:col>
      <xdr:colOff>973667</xdr:colOff>
      <xdr:row>0</xdr:row>
      <xdr:rowOff>95258</xdr:rowOff>
    </xdr:from>
    <xdr:to>
      <xdr:col>3</xdr:col>
      <xdr:colOff>1735666</xdr:colOff>
      <xdr:row>2</xdr:row>
      <xdr:rowOff>102846</xdr:rowOff>
    </xdr:to>
    <xdr:sp macro="" textlink="">
      <xdr:nvSpPr>
        <xdr:cNvPr id="29" name="Retângulo de cantos arredondados 37">
          <a:hlinkClick xmlns:r="http://schemas.openxmlformats.org/officeDocument/2006/relationships" r:id="rId2"/>
          <a:extLst>
            <a:ext uri="{FF2B5EF4-FFF2-40B4-BE49-F238E27FC236}">
              <a16:creationId xmlns="" xmlns:a16="http://schemas.microsoft.com/office/drawing/2014/main" id="{00000000-0008-0000-0E00-00001D000000}"/>
            </a:ext>
          </a:extLst>
        </xdr:cNvPr>
        <xdr:cNvSpPr/>
      </xdr:nvSpPr>
      <xdr:spPr bwMode="auto">
        <a:xfrm>
          <a:off x="4286250" y="95258"/>
          <a:ext cx="761999" cy="32508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clientData/>
  </xdr:twoCellAnchor>
  <xdr:twoCellAnchor>
    <xdr:from>
      <xdr:col>3</xdr:col>
      <xdr:colOff>0</xdr:colOff>
      <xdr:row>0</xdr:row>
      <xdr:rowOff>63500</xdr:rowOff>
    </xdr:from>
    <xdr:to>
      <xdr:col>6</xdr:col>
      <xdr:colOff>679948</xdr:colOff>
      <xdr:row>9</xdr:row>
      <xdr:rowOff>141959</xdr:rowOff>
    </xdr:to>
    <xdr:grpSp>
      <xdr:nvGrpSpPr>
        <xdr:cNvPr id="30" name="Grupo 29">
          <a:extLst>
            <a:ext uri="{FF2B5EF4-FFF2-40B4-BE49-F238E27FC236}">
              <a16:creationId xmlns="" xmlns:a16="http://schemas.microsoft.com/office/drawing/2014/main" id="{00000000-0008-0000-0E00-00001E000000}"/>
            </a:ext>
          </a:extLst>
        </xdr:cNvPr>
        <xdr:cNvGrpSpPr/>
      </xdr:nvGrpSpPr>
      <xdr:grpSpPr>
        <a:xfrm>
          <a:off x="3298031" y="63500"/>
          <a:ext cx="7287917" cy="1769147"/>
          <a:chOff x="3069167" y="114300"/>
          <a:chExt cx="7283948" cy="1549543"/>
        </a:xfrm>
      </xdr:grpSpPr>
      <xdr:grpSp>
        <xdr:nvGrpSpPr>
          <xdr:cNvPr id="31" name="Group 32">
            <a:extLst>
              <a:ext uri="{FF2B5EF4-FFF2-40B4-BE49-F238E27FC236}">
                <a16:creationId xmlns="" xmlns:a16="http://schemas.microsoft.com/office/drawing/2014/main" id="{00000000-0008-0000-0E00-00001F000000}"/>
              </a:ext>
            </a:extLst>
          </xdr:cNvPr>
          <xdr:cNvGrpSpPr/>
        </xdr:nvGrpSpPr>
        <xdr:grpSpPr>
          <a:xfrm>
            <a:off x="3069167" y="114300"/>
            <a:ext cx="7283948" cy="1549543"/>
            <a:chOff x="3514726" y="52774"/>
            <a:chExt cx="7219950" cy="1576001"/>
          </a:xfrm>
        </xdr:grpSpPr>
        <xdr:sp macro="" textlink="">
          <xdr:nvSpPr>
            <xdr:cNvPr id="34" name="Fluxograma: Processo 60">
              <a:extLst>
                <a:ext uri="{FF2B5EF4-FFF2-40B4-BE49-F238E27FC236}">
                  <a16:creationId xmlns="" xmlns:a16="http://schemas.microsoft.com/office/drawing/2014/main" id="{00000000-0008-0000-0E00-000022000000}"/>
                </a:ext>
              </a:extLst>
            </xdr:cNvPr>
            <xdr:cNvSpPr>
              <a:spLocks noChangeArrowheads="1"/>
            </xdr:cNvSpPr>
          </xdr:nvSpPr>
          <xdr:spPr bwMode="auto">
            <a:xfrm>
              <a:off x="3514726" y="52774"/>
              <a:ext cx="7219950" cy="1576001"/>
            </a:xfrm>
            <a:prstGeom prst="flowChartProcess">
              <a:avLst/>
            </a:prstGeom>
            <a:solidFill>
              <a:schemeClr val="accent1">
                <a:lumMod val="20000"/>
                <a:lumOff val="80000"/>
              </a:schemeClr>
            </a:solidFill>
            <a:ln w="19050" algn="ctr">
              <a:solidFill>
                <a:schemeClr val="accent1"/>
              </a:solidFill>
              <a:round/>
              <a:headEnd/>
              <a:tailEnd/>
            </a:ln>
            <a:effectLst/>
          </xdr:spPr>
          <xdr:txBody>
            <a:bodyPr/>
            <a:lstStyle/>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r>
                <a:rPr lang="pt-BR" sz="1400" b="1">
                  <a:latin typeface="Calibri Light" panose="020F0302020204030204" pitchFamily="34" charset="0"/>
                </a:rPr>
                <a:t>Menu de </a:t>
              </a:r>
            </a:p>
            <a:p>
              <a:pPr algn="r"/>
              <a:r>
                <a:rPr lang="pt-BR" sz="1400" b="1">
                  <a:latin typeface="Calibri Light" panose="020F0302020204030204" pitchFamily="34" charset="0"/>
                </a:rPr>
                <a:t>navegação</a:t>
              </a:r>
            </a:p>
          </xdr:txBody>
        </xdr:sp>
        <xdr:sp macro="" textlink="">
          <xdr:nvSpPr>
            <xdr:cNvPr id="35" name="Retângulo de cantos arredondados 34">
              <a:hlinkClick xmlns:r="http://schemas.openxmlformats.org/officeDocument/2006/relationships" r:id="rId3"/>
              <a:extLst>
                <a:ext uri="{FF2B5EF4-FFF2-40B4-BE49-F238E27FC236}">
                  <a16:creationId xmlns="" xmlns:a16="http://schemas.microsoft.com/office/drawing/2014/main" id="{00000000-0008-0000-0E00-000023000000}"/>
                </a:ext>
              </a:extLst>
            </xdr:cNvPr>
            <xdr:cNvSpPr/>
          </xdr:nvSpPr>
          <xdr:spPr bwMode="auto">
            <a:xfrm>
              <a:off x="4333251"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Introdução</a:t>
              </a:r>
            </a:p>
          </xdr:txBody>
        </xdr:sp>
        <xdr:sp macro="" textlink="">
          <xdr:nvSpPr>
            <xdr:cNvPr id="36" name="Retângulo de cantos arredondados 35">
              <a:hlinkClick xmlns:r="http://schemas.openxmlformats.org/officeDocument/2006/relationships" r:id="rId4"/>
              <a:extLst>
                <a:ext uri="{FF2B5EF4-FFF2-40B4-BE49-F238E27FC236}">
                  <a16:creationId xmlns="" xmlns:a16="http://schemas.microsoft.com/office/drawing/2014/main" id="{00000000-0008-0000-0E00-000024000000}"/>
                </a:ext>
              </a:extLst>
            </xdr:cNvPr>
            <xdr:cNvSpPr/>
          </xdr:nvSpPr>
          <xdr:spPr bwMode="auto">
            <a:xfrm>
              <a:off x="4333251"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lnSpc>
                  <a:spcPct val="80000"/>
                </a:lnSpc>
              </a:pPr>
              <a:r>
                <a:rPr lang="pt-BR" sz="900" b="0">
                  <a:solidFill>
                    <a:schemeClr val="bg1"/>
                  </a:solidFill>
                  <a:latin typeface="Calibri Light" panose="020F0302020204030204" pitchFamily="34" charset="0"/>
                  <a:cs typeface="Arial" pitchFamily="34" charset="0"/>
                </a:rPr>
                <a:t>Combustão</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estacionária</a:t>
              </a:r>
            </a:p>
          </xdr:txBody>
        </xdr:sp>
        <xdr:sp macro="" textlink="">
          <xdr:nvSpPr>
            <xdr:cNvPr id="37" name="Retângulo de cantos arredondados 36">
              <a:hlinkClick xmlns:r="http://schemas.openxmlformats.org/officeDocument/2006/relationships" r:id="rId5"/>
              <a:extLst>
                <a:ext uri="{FF2B5EF4-FFF2-40B4-BE49-F238E27FC236}">
                  <a16:creationId xmlns="" xmlns:a16="http://schemas.microsoft.com/office/drawing/2014/main" id="{00000000-0008-0000-0E00-000025000000}"/>
                </a:ext>
              </a:extLst>
            </xdr:cNvPr>
            <xdr:cNvSpPr/>
          </xdr:nvSpPr>
          <xdr:spPr bwMode="auto">
            <a:xfrm>
              <a:off x="5130292"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Combustão </a:t>
              </a:r>
            </a:p>
            <a:p>
              <a:pPr algn="ctr"/>
              <a:r>
                <a:rPr lang="pt-BR" sz="900" b="0">
                  <a:solidFill>
                    <a:schemeClr val="bg1"/>
                  </a:solidFill>
                  <a:latin typeface="Calibri Light" panose="020F0302020204030204" pitchFamily="34" charset="0"/>
                  <a:cs typeface="Arial" pitchFamily="34" charset="0"/>
                </a:rPr>
                <a:t>móvel</a:t>
              </a:r>
            </a:p>
          </xdr:txBody>
        </xdr:sp>
        <xdr:sp macro="" textlink="">
          <xdr:nvSpPr>
            <xdr:cNvPr id="38" name="Retângulo de cantos arredondados 37">
              <a:hlinkClick xmlns:r="http://schemas.openxmlformats.org/officeDocument/2006/relationships" r:id="rId6"/>
              <a:extLst>
                <a:ext uri="{FF2B5EF4-FFF2-40B4-BE49-F238E27FC236}">
                  <a16:creationId xmlns="" xmlns:a16="http://schemas.microsoft.com/office/drawing/2014/main" id="{00000000-0008-0000-0E00-000026000000}"/>
                </a:ext>
              </a:extLst>
            </xdr:cNvPr>
            <xdr:cNvSpPr/>
          </xdr:nvSpPr>
          <xdr:spPr bwMode="auto">
            <a:xfrm>
              <a:off x="5932663"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Resumo</a:t>
              </a:r>
            </a:p>
          </xdr:txBody>
        </xdr:sp>
        <xdr:sp macro="" textlink="">
          <xdr:nvSpPr>
            <xdr:cNvPr id="39" name="Retângulo de cantos arredondados 38">
              <a:hlinkClick xmlns:r="http://schemas.openxmlformats.org/officeDocument/2006/relationships" r:id="rId7"/>
              <a:extLst>
                <a:ext uri="{FF2B5EF4-FFF2-40B4-BE49-F238E27FC236}">
                  <a16:creationId xmlns="" xmlns:a16="http://schemas.microsoft.com/office/drawing/2014/main" id="{00000000-0008-0000-0E00-000027000000}"/>
                </a:ext>
              </a:extLst>
            </xdr:cNvPr>
            <xdr:cNvSpPr/>
          </xdr:nvSpPr>
          <xdr:spPr bwMode="auto">
            <a:xfrm>
              <a:off x="6719145"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Fatores </a:t>
              </a:r>
            </a:p>
            <a:p>
              <a:pPr algn="ctr"/>
              <a:r>
                <a:rPr lang="pt-BR" sz="900" b="0">
                  <a:latin typeface="Calibri Light" panose="020F0302020204030204" pitchFamily="34" charset="0"/>
                  <a:cs typeface="Arial" pitchFamily="34" charset="0"/>
                </a:rPr>
                <a:t>de emissão</a:t>
              </a:r>
            </a:p>
          </xdr:txBody>
        </xdr:sp>
        <xdr:sp macro="" textlink="">
          <xdr:nvSpPr>
            <xdr:cNvPr id="40" name="Fluxograma: Processo 39">
              <a:extLst>
                <a:ext uri="{FF2B5EF4-FFF2-40B4-BE49-F238E27FC236}">
                  <a16:creationId xmlns="" xmlns:a16="http://schemas.microsoft.com/office/drawing/2014/main" id="{00000000-0008-0000-0E00-000028000000}"/>
                </a:ext>
              </a:extLst>
            </xdr:cNvPr>
            <xdr:cNvSpPr/>
          </xdr:nvSpPr>
          <xdr:spPr bwMode="auto">
            <a:xfrm>
              <a:off x="3604863" y="528178"/>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1</a:t>
              </a:r>
            </a:p>
          </xdr:txBody>
        </xdr:sp>
        <xdr:sp macro="" textlink="">
          <xdr:nvSpPr>
            <xdr:cNvPr id="41" name="Retângulo de cantos arredondados 40">
              <a:hlinkClick xmlns:r="http://schemas.openxmlformats.org/officeDocument/2006/relationships" r:id="rId8"/>
              <a:extLst>
                <a:ext uri="{FF2B5EF4-FFF2-40B4-BE49-F238E27FC236}">
                  <a16:creationId xmlns="" xmlns:a16="http://schemas.microsoft.com/office/drawing/2014/main" id="{00000000-0008-0000-0E00-000029000000}"/>
                </a:ext>
              </a:extLst>
            </xdr:cNvPr>
            <xdr:cNvSpPr/>
          </xdr:nvSpPr>
          <xdr:spPr bwMode="auto">
            <a:xfrm>
              <a:off x="5927333"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00" b="0">
                  <a:solidFill>
                    <a:schemeClr val="bg1"/>
                  </a:solidFill>
                  <a:latin typeface="Calibri Light" panose="020F0302020204030204" pitchFamily="34" charset="0"/>
                  <a:cs typeface="Arial" pitchFamily="34" charset="0"/>
                </a:rPr>
                <a:t>Emissões </a:t>
              </a:r>
            </a:p>
            <a:p>
              <a:pPr algn="ctr"/>
              <a:r>
                <a:rPr lang="pt-BR" sz="800" b="0">
                  <a:solidFill>
                    <a:schemeClr val="bg1"/>
                  </a:solidFill>
                  <a:latin typeface="Calibri Light" panose="020F0302020204030204" pitchFamily="34" charset="0"/>
                  <a:cs typeface="Arial" pitchFamily="34" charset="0"/>
                </a:rPr>
                <a:t>fugitivas</a:t>
              </a:r>
            </a:p>
          </xdr:txBody>
        </xdr:sp>
        <xdr:sp macro="" textlink="">
          <xdr:nvSpPr>
            <xdr:cNvPr id="42" name="Retângulo de cantos arredondados 41">
              <a:hlinkClick xmlns:r="http://schemas.openxmlformats.org/officeDocument/2006/relationships" r:id="rId9"/>
              <a:extLst>
                <a:ext uri="{FF2B5EF4-FFF2-40B4-BE49-F238E27FC236}">
                  <a16:creationId xmlns="" xmlns:a16="http://schemas.microsoft.com/office/drawing/2014/main" id="{00000000-0008-0000-0E00-00002A000000}"/>
                </a:ext>
              </a:extLst>
            </xdr:cNvPr>
            <xdr:cNvSpPr/>
          </xdr:nvSpPr>
          <xdr:spPr bwMode="auto">
            <a:xfrm>
              <a:off x="6724374"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Processos</a:t>
              </a:r>
              <a:r>
                <a:rPr lang="pt-BR" sz="900" b="0" baseline="0">
                  <a:solidFill>
                    <a:schemeClr val="bg1"/>
                  </a:solidFill>
                  <a:latin typeface="Calibri Light" panose="020F0302020204030204" pitchFamily="34" charset="0"/>
                  <a:cs typeface="Arial" pitchFamily="34" charset="0"/>
                </a:rPr>
                <a:t> industriais</a:t>
              </a:r>
              <a:endParaRPr lang="pt-BR" sz="900" b="0">
                <a:solidFill>
                  <a:schemeClr val="bg1"/>
                </a:solidFill>
                <a:latin typeface="Calibri Light" panose="020F0302020204030204" pitchFamily="34" charset="0"/>
                <a:cs typeface="Arial" pitchFamily="34" charset="0"/>
              </a:endParaRPr>
            </a:p>
          </xdr:txBody>
        </xdr:sp>
        <xdr:sp macro="" textlink="">
          <xdr:nvSpPr>
            <xdr:cNvPr id="43" name="Retângulo de cantos arredondados 43">
              <a:hlinkClick xmlns:r="http://schemas.openxmlformats.org/officeDocument/2006/relationships" r:id="rId10"/>
              <a:extLst>
                <a:ext uri="{FF2B5EF4-FFF2-40B4-BE49-F238E27FC236}">
                  <a16:creationId xmlns="" xmlns:a16="http://schemas.microsoft.com/office/drawing/2014/main" id="{00000000-0008-0000-0E00-00002B000000}"/>
                </a:ext>
              </a:extLst>
            </xdr:cNvPr>
            <xdr:cNvSpPr/>
          </xdr:nvSpPr>
          <xdr:spPr bwMode="auto">
            <a:xfrm>
              <a:off x="8318456"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Resíduos</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sólidos</a:t>
              </a:r>
            </a:p>
          </xdr:txBody>
        </xdr:sp>
        <xdr:sp macro="" textlink="">
          <xdr:nvSpPr>
            <xdr:cNvPr id="44" name="Retângulo de cantos arredondados 44">
              <a:hlinkClick xmlns:r="http://schemas.openxmlformats.org/officeDocument/2006/relationships" r:id="rId11"/>
              <a:extLst>
                <a:ext uri="{FF2B5EF4-FFF2-40B4-BE49-F238E27FC236}">
                  <a16:creationId xmlns="" xmlns:a16="http://schemas.microsoft.com/office/drawing/2014/main" id="{00000000-0008-0000-0E00-00002C000000}"/>
                </a:ext>
              </a:extLst>
            </xdr:cNvPr>
            <xdr:cNvSpPr/>
          </xdr:nvSpPr>
          <xdr:spPr bwMode="auto">
            <a:xfrm>
              <a:off x="433325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lnSpc>
                  <a:spcPct val="80000"/>
                </a:lnSpc>
              </a:pPr>
              <a:r>
                <a:rPr lang="pt-BR" sz="900" b="0">
                  <a:latin typeface="Calibri Light" panose="020F0302020204030204" pitchFamily="34" charset="0"/>
                  <a:cs typeface="Arial" pitchFamily="34" charset="0"/>
                </a:rPr>
                <a:t>Compra de Energia</a:t>
              </a:r>
              <a:r>
                <a:rPr lang="pt-BR" sz="900" b="0" baseline="0">
                  <a:latin typeface="Calibri Light" panose="020F0302020204030204" pitchFamily="34" charset="0"/>
                  <a:cs typeface="Arial" pitchFamily="34" charset="0"/>
                </a:rPr>
                <a:t> Elétrica</a:t>
              </a:r>
            </a:p>
          </xdr:txBody>
        </xdr:sp>
        <xdr:sp macro="" textlink="">
          <xdr:nvSpPr>
            <xdr:cNvPr id="45" name="Retângulo de cantos arredondados 45">
              <a:hlinkClick xmlns:r="http://schemas.openxmlformats.org/officeDocument/2006/relationships" r:id="rId12"/>
              <a:extLst>
                <a:ext uri="{FF2B5EF4-FFF2-40B4-BE49-F238E27FC236}">
                  <a16:creationId xmlns="" xmlns:a16="http://schemas.microsoft.com/office/drawing/2014/main" id="{00000000-0008-0000-0E00-00002D000000}"/>
                </a:ext>
              </a:extLst>
            </xdr:cNvPr>
            <xdr:cNvSpPr/>
          </xdr:nvSpPr>
          <xdr:spPr bwMode="auto">
            <a:xfrm>
              <a:off x="513371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Compra de</a:t>
              </a:r>
              <a:r>
                <a:rPr lang="pt-BR" sz="900" b="0" baseline="0">
                  <a:latin typeface="Calibri Light" panose="020F0302020204030204" pitchFamily="34" charset="0"/>
                  <a:cs typeface="Arial" pitchFamily="34" charset="0"/>
                </a:rPr>
                <a:t> Energia Térmica</a:t>
              </a:r>
            </a:p>
          </xdr:txBody>
        </xdr:sp>
        <xdr:sp macro="" textlink="">
          <xdr:nvSpPr>
            <xdr:cNvPr id="46" name="Fluxograma: Processo 45">
              <a:extLst>
                <a:ext uri="{FF2B5EF4-FFF2-40B4-BE49-F238E27FC236}">
                  <a16:creationId xmlns="" xmlns:a16="http://schemas.microsoft.com/office/drawing/2014/main" id="{00000000-0008-0000-0E00-00002E000000}"/>
                </a:ext>
              </a:extLst>
            </xdr:cNvPr>
            <xdr:cNvSpPr/>
          </xdr:nvSpPr>
          <xdr:spPr bwMode="auto">
            <a:xfrm>
              <a:off x="3604863" y="909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2</a:t>
              </a:r>
            </a:p>
          </xdr:txBody>
        </xdr:sp>
        <xdr:sp macro="" textlink="">
          <xdr:nvSpPr>
            <xdr:cNvPr id="47" name="Fluxograma: Processo 46">
              <a:extLst>
                <a:ext uri="{FF2B5EF4-FFF2-40B4-BE49-F238E27FC236}">
                  <a16:creationId xmlns="" xmlns:a16="http://schemas.microsoft.com/office/drawing/2014/main" id="{00000000-0008-0000-0E00-00002F000000}"/>
                </a:ext>
              </a:extLst>
            </xdr:cNvPr>
            <xdr:cNvSpPr/>
          </xdr:nvSpPr>
          <xdr:spPr bwMode="auto">
            <a:xfrm>
              <a:off x="3604863" y="1290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3</a:t>
              </a:r>
            </a:p>
          </xdr:txBody>
        </xdr:sp>
        <xdr:sp macro="" textlink="">
          <xdr:nvSpPr>
            <xdr:cNvPr id="48" name="Retângulo de cantos arredondados 48">
              <a:hlinkClick xmlns:r="http://schemas.openxmlformats.org/officeDocument/2006/relationships" r:id="rId13"/>
              <a:extLst>
                <a:ext uri="{FF2B5EF4-FFF2-40B4-BE49-F238E27FC236}">
                  <a16:creationId xmlns="" xmlns:a16="http://schemas.microsoft.com/office/drawing/2014/main" id="{00000000-0008-0000-0E00-000030000000}"/>
                </a:ext>
              </a:extLst>
            </xdr:cNvPr>
            <xdr:cNvSpPr/>
          </xdr:nvSpPr>
          <xdr:spPr bwMode="auto">
            <a:xfrm>
              <a:off x="433325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lnSpc>
                  <a:spcPct val="80000"/>
                </a:lnSpc>
              </a:pPr>
              <a:r>
                <a:rPr lang="pt-BR" sz="900" b="0">
                  <a:solidFill>
                    <a:schemeClr val="bg1">
                      <a:lumMod val="50000"/>
                    </a:schemeClr>
                  </a:solidFill>
                  <a:latin typeface="Calibri Light" panose="020F0302020204030204" pitchFamily="34" charset="0"/>
                  <a:cs typeface="Arial" pitchFamily="34" charset="0"/>
                </a:rPr>
                <a:t>Categorias de Âmbito 3</a:t>
              </a:r>
              <a:endParaRPr lang="pt-BR" sz="900" b="0" baseline="0">
                <a:solidFill>
                  <a:schemeClr val="bg1">
                    <a:lumMod val="50000"/>
                  </a:schemeClr>
                </a:solidFill>
                <a:latin typeface="Calibri Light" panose="020F0302020204030204" pitchFamily="34" charset="0"/>
                <a:cs typeface="Arial" pitchFamily="34" charset="0"/>
              </a:endParaRPr>
            </a:p>
          </xdr:txBody>
        </xdr:sp>
        <xdr:sp macro="" textlink="">
          <xdr:nvSpPr>
            <xdr:cNvPr id="49" name="Retângulo de cantos arredondados 49">
              <a:hlinkClick xmlns:r="http://schemas.openxmlformats.org/officeDocument/2006/relationships" r:id="rId14"/>
              <a:extLst>
                <a:ext uri="{FF2B5EF4-FFF2-40B4-BE49-F238E27FC236}">
                  <a16:creationId xmlns="" xmlns:a16="http://schemas.microsoft.com/office/drawing/2014/main" id="{00000000-0008-0000-0E00-000031000000}"/>
                </a:ext>
              </a:extLst>
            </xdr:cNvPr>
            <xdr:cNvSpPr/>
          </xdr:nvSpPr>
          <xdr:spPr bwMode="auto">
            <a:xfrm>
              <a:off x="5925918"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Resíduos sólidos gerados na operação</a:t>
              </a:r>
            </a:p>
          </xdr:txBody>
        </xdr:sp>
        <xdr:sp macro="" textlink="">
          <xdr:nvSpPr>
            <xdr:cNvPr id="50" name="Retângulo de cantos arredondados 50">
              <a:hlinkClick xmlns:r="http://schemas.openxmlformats.org/officeDocument/2006/relationships" r:id="rId15"/>
              <a:extLst>
                <a:ext uri="{FF2B5EF4-FFF2-40B4-BE49-F238E27FC236}">
                  <a16:creationId xmlns="" xmlns:a16="http://schemas.microsoft.com/office/drawing/2014/main" id="{00000000-0008-0000-0E00-000032000000}"/>
                </a:ext>
              </a:extLst>
            </xdr:cNvPr>
            <xdr:cNvSpPr/>
          </xdr:nvSpPr>
          <xdr:spPr bwMode="auto">
            <a:xfrm>
              <a:off x="6722959"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Efluentes gerados na operação</a:t>
              </a:r>
            </a:p>
          </xdr:txBody>
        </xdr:sp>
        <xdr:sp macro="" textlink="">
          <xdr:nvSpPr>
            <xdr:cNvPr id="51" name="Retângulo de cantos arredondados 51">
              <a:hlinkClick xmlns:r="http://schemas.openxmlformats.org/officeDocument/2006/relationships" r:id="rId16"/>
              <a:extLst>
                <a:ext uri="{FF2B5EF4-FFF2-40B4-BE49-F238E27FC236}">
                  <a16:creationId xmlns="" xmlns:a16="http://schemas.microsoft.com/office/drawing/2014/main" id="{00000000-0008-0000-0E00-000033000000}"/>
                </a:ext>
              </a:extLst>
            </xdr:cNvPr>
            <xdr:cNvSpPr/>
          </xdr:nvSpPr>
          <xdr:spPr bwMode="auto">
            <a:xfrm>
              <a:off x="831704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(downstream)</a:t>
              </a:r>
            </a:p>
          </xdr:txBody>
        </xdr:sp>
        <xdr:sp macro="" textlink="">
          <xdr:nvSpPr>
            <xdr:cNvPr id="52" name="Retângulo de cantos arredondados 52">
              <a:hlinkClick xmlns:r="http://schemas.openxmlformats.org/officeDocument/2006/relationships" r:id="rId17"/>
              <a:extLst>
                <a:ext uri="{FF2B5EF4-FFF2-40B4-BE49-F238E27FC236}">
                  <a16:creationId xmlns="" xmlns:a16="http://schemas.microsoft.com/office/drawing/2014/main" id="{00000000-0008-0000-0E00-000034000000}"/>
                </a:ext>
              </a:extLst>
            </xdr:cNvPr>
            <xdr:cNvSpPr/>
          </xdr:nvSpPr>
          <xdr:spPr bwMode="auto">
            <a:xfrm>
              <a:off x="5135994" y="1228723"/>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(upstream)</a:t>
              </a:r>
            </a:p>
          </xdr:txBody>
        </xdr:sp>
        <xdr:sp macro="" textlink="">
          <xdr:nvSpPr>
            <xdr:cNvPr id="53" name="Retângulo de cantos arredondados 54">
              <a:hlinkClick xmlns:r="http://schemas.openxmlformats.org/officeDocument/2006/relationships" r:id="rId18"/>
              <a:extLst>
                <a:ext uri="{FF2B5EF4-FFF2-40B4-BE49-F238E27FC236}">
                  <a16:creationId xmlns="" xmlns:a16="http://schemas.microsoft.com/office/drawing/2014/main" id="{00000000-0008-0000-0E00-000035000000}"/>
                </a:ext>
              </a:extLst>
            </xdr:cNvPr>
            <xdr:cNvSpPr/>
          </xdr:nvSpPr>
          <xdr:spPr bwMode="auto">
            <a:xfrm>
              <a:off x="9115497"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Efluentes</a:t>
              </a:r>
            </a:p>
          </xdr:txBody>
        </xdr:sp>
        <xdr:sp macro="" textlink="">
          <xdr:nvSpPr>
            <xdr:cNvPr id="54" name="Retângulo de cantos arredondados 56">
              <a:hlinkClick xmlns:r="http://schemas.openxmlformats.org/officeDocument/2006/relationships" r:id="rId19"/>
              <a:extLst>
                <a:ext uri="{FF2B5EF4-FFF2-40B4-BE49-F238E27FC236}">
                  <a16:creationId xmlns="" xmlns:a16="http://schemas.microsoft.com/office/drawing/2014/main" id="{00000000-0008-0000-0E00-000036000000}"/>
                </a:ext>
              </a:extLst>
            </xdr:cNvPr>
            <xdr:cNvSpPr/>
          </xdr:nvSpPr>
          <xdr:spPr bwMode="auto">
            <a:xfrm>
              <a:off x="7526519"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Conversão de unidades</a:t>
              </a:r>
            </a:p>
          </xdr:txBody>
        </xdr:sp>
        <xdr:sp macro="" textlink="">
          <xdr:nvSpPr>
            <xdr:cNvPr id="55" name="Retângulo de cantos arredondados 58">
              <a:hlinkClick xmlns:r="http://schemas.openxmlformats.org/officeDocument/2006/relationships" r:id="rId20"/>
              <a:extLst>
                <a:ext uri="{FF2B5EF4-FFF2-40B4-BE49-F238E27FC236}">
                  <a16:creationId xmlns="" xmlns:a16="http://schemas.microsoft.com/office/drawing/2014/main" id="{00000000-0008-0000-0E00-000037000000}"/>
                </a:ext>
              </a:extLst>
            </xdr:cNvPr>
            <xdr:cNvSpPr/>
          </xdr:nvSpPr>
          <xdr:spPr bwMode="auto">
            <a:xfrm>
              <a:off x="7520000"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r>
                <a:rPr lang="pt-BR" sz="900" b="0">
                  <a:solidFill>
                    <a:schemeClr val="bg1">
                      <a:lumMod val="50000"/>
                    </a:schemeClr>
                  </a:solidFill>
                  <a:latin typeface="Calibri Light" panose="020F0302020204030204" pitchFamily="34" charset="0"/>
                  <a:cs typeface="Arial" pitchFamily="34" charset="0"/>
                </a:rPr>
                <a:t>Viagens a negócios</a:t>
              </a:r>
            </a:p>
          </xdr:txBody>
        </xdr:sp>
        <xdr:sp macro="" textlink="">
          <xdr:nvSpPr>
            <xdr:cNvPr id="56" name="Fluxograma: Processo 59">
              <a:extLst>
                <a:ext uri="{FF2B5EF4-FFF2-40B4-BE49-F238E27FC236}">
                  <a16:creationId xmlns="" xmlns:a16="http://schemas.microsoft.com/office/drawing/2014/main" id="{00000000-0008-0000-0E00-000038000000}"/>
                </a:ext>
              </a:extLst>
            </xdr:cNvPr>
            <xdr:cNvSpPr/>
          </xdr:nvSpPr>
          <xdr:spPr bwMode="auto">
            <a:xfrm>
              <a:off x="3604863" y="156702"/>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Geral</a:t>
              </a:r>
            </a:p>
          </xdr:txBody>
        </xdr:sp>
      </xdr:grpSp>
      <xdr:sp macro="" textlink="">
        <xdr:nvSpPr>
          <xdr:cNvPr id="32" name="Retângulo de cantos arredondados 37">
            <a:hlinkClick xmlns:r="http://schemas.openxmlformats.org/officeDocument/2006/relationships" r:id="rId2"/>
            <a:extLst>
              <a:ext uri="{FF2B5EF4-FFF2-40B4-BE49-F238E27FC236}">
                <a16:creationId xmlns="" xmlns:a16="http://schemas.microsoft.com/office/drawing/2014/main" id="{00000000-0008-0000-0E00-000020000000}"/>
              </a:ext>
            </a:extLst>
          </xdr:cNvPr>
          <xdr:cNvSpPr/>
        </xdr:nvSpPr>
        <xdr:spPr bwMode="auto">
          <a:xfrm>
            <a:off x="4696884" y="162983"/>
            <a:ext cx="774700" cy="31873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sp macro="" textlink="">
        <xdr:nvSpPr>
          <xdr:cNvPr id="33" name="Retângulo de cantos arredondados 42">
            <a:hlinkClick xmlns:r="http://schemas.openxmlformats.org/officeDocument/2006/relationships" r:id="rId21"/>
            <a:extLst>
              <a:ext uri="{FF2B5EF4-FFF2-40B4-BE49-F238E27FC236}">
                <a16:creationId xmlns="" xmlns:a16="http://schemas.microsoft.com/office/drawing/2014/main" id="{00000000-0008-0000-0E00-000021000000}"/>
              </a:ext>
            </a:extLst>
          </xdr:cNvPr>
          <xdr:cNvSpPr/>
        </xdr:nvSpPr>
        <xdr:spPr bwMode="auto">
          <a:xfrm>
            <a:off x="7125758" y="522817"/>
            <a:ext cx="758825" cy="318738"/>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50" b="0">
                <a:solidFill>
                  <a:schemeClr val="bg1"/>
                </a:solidFill>
                <a:latin typeface="Calibri Light" panose="020F0302020204030204" pitchFamily="34" charset="0"/>
                <a:cs typeface="Arial" pitchFamily="34" charset="0"/>
              </a:rPr>
              <a:t>Agrícolas e alt. do uso do solo</a:t>
            </a:r>
            <a:endParaRPr lang="pt-BR" sz="850" b="0" baseline="0">
              <a:solidFill>
                <a:schemeClr val="bg1"/>
              </a:solidFill>
              <a:latin typeface="Calibri Light" panose="020F0302020204030204" pitchFamily="34" charset="0"/>
              <a:cs typeface="Arial" pitchFamily="34" charset="0"/>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889000</xdr:colOff>
      <xdr:row>5</xdr:row>
      <xdr:rowOff>127391</xdr:rowOff>
    </xdr:to>
    <xdr:pic>
      <xdr:nvPicPr>
        <xdr:cNvPr id="28" name="Imagem 27">
          <a:extLst>
            <a:ext uri="{FF2B5EF4-FFF2-40B4-BE49-F238E27FC236}">
              <a16:creationId xmlns="" xmlns:a16="http://schemas.microsoft.com/office/drawing/2014/main" id="{00000000-0008-0000-0F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635250" cy="1016391"/>
        </a:xfrm>
        <a:prstGeom prst="rect">
          <a:avLst/>
        </a:prstGeom>
      </xdr:spPr>
    </xdr:pic>
    <xdr:clientData/>
  </xdr:twoCellAnchor>
  <xdr:twoCellAnchor>
    <xdr:from>
      <xdr:col>3</xdr:col>
      <xdr:colOff>973667</xdr:colOff>
      <xdr:row>0</xdr:row>
      <xdr:rowOff>95258</xdr:rowOff>
    </xdr:from>
    <xdr:to>
      <xdr:col>3</xdr:col>
      <xdr:colOff>1735666</xdr:colOff>
      <xdr:row>2</xdr:row>
      <xdr:rowOff>102846</xdr:rowOff>
    </xdr:to>
    <xdr:sp macro="" textlink="">
      <xdr:nvSpPr>
        <xdr:cNvPr id="29" name="Retângulo de cantos arredondados 37">
          <a:hlinkClick xmlns:r="http://schemas.openxmlformats.org/officeDocument/2006/relationships" r:id="rId2"/>
          <a:extLst>
            <a:ext uri="{FF2B5EF4-FFF2-40B4-BE49-F238E27FC236}">
              <a16:creationId xmlns="" xmlns:a16="http://schemas.microsoft.com/office/drawing/2014/main" id="{00000000-0008-0000-0F00-00001D000000}"/>
            </a:ext>
          </a:extLst>
        </xdr:cNvPr>
        <xdr:cNvSpPr/>
      </xdr:nvSpPr>
      <xdr:spPr bwMode="auto">
        <a:xfrm>
          <a:off x="4286250" y="95258"/>
          <a:ext cx="761999" cy="32508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clientData/>
  </xdr:twoCellAnchor>
  <xdr:twoCellAnchor>
    <xdr:from>
      <xdr:col>2</xdr:col>
      <xdr:colOff>1534583</xdr:colOff>
      <xdr:row>0</xdr:row>
      <xdr:rowOff>31750</xdr:rowOff>
    </xdr:from>
    <xdr:to>
      <xdr:col>6</xdr:col>
      <xdr:colOff>648198</xdr:colOff>
      <xdr:row>9</xdr:row>
      <xdr:rowOff>110209</xdr:rowOff>
    </xdr:to>
    <xdr:grpSp>
      <xdr:nvGrpSpPr>
        <xdr:cNvPr id="30" name="Grupo 29">
          <a:extLst>
            <a:ext uri="{FF2B5EF4-FFF2-40B4-BE49-F238E27FC236}">
              <a16:creationId xmlns="" xmlns:a16="http://schemas.microsoft.com/office/drawing/2014/main" id="{00000000-0008-0000-0F00-00001E000000}"/>
            </a:ext>
          </a:extLst>
        </xdr:cNvPr>
        <xdr:cNvGrpSpPr/>
      </xdr:nvGrpSpPr>
      <xdr:grpSpPr>
        <a:xfrm>
          <a:off x="3280833" y="31750"/>
          <a:ext cx="7283948" cy="1750626"/>
          <a:chOff x="3069167" y="114300"/>
          <a:chExt cx="7283948" cy="1549543"/>
        </a:xfrm>
      </xdr:grpSpPr>
      <xdr:grpSp>
        <xdr:nvGrpSpPr>
          <xdr:cNvPr id="31" name="Group 32">
            <a:extLst>
              <a:ext uri="{FF2B5EF4-FFF2-40B4-BE49-F238E27FC236}">
                <a16:creationId xmlns="" xmlns:a16="http://schemas.microsoft.com/office/drawing/2014/main" id="{00000000-0008-0000-0F00-00001F000000}"/>
              </a:ext>
            </a:extLst>
          </xdr:cNvPr>
          <xdr:cNvGrpSpPr/>
        </xdr:nvGrpSpPr>
        <xdr:grpSpPr>
          <a:xfrm>
            <a:off x="3069167" y="114300"/>
            <a:ext cx="7283948" cy="1549543"/>
            <a:chOff x="3514726" y="52774"/>
            <a:chExt cx="7219950" cy="1576001"/>
          </a:xfrm>
        </xdr:grpSpPr>
        <xdr:sp macro="" textlink="">
          <xdr:nvSpPr>
            <xdr:cNvPr id="34" name="Fluxograma: Processo 60">
              <a:extLst>
                <a:ext uri="{FF2B5EF4-FFF2-40B4-BE49-F238E27FC236}">
                  <a16:creationId xmlns="" xmlns:a16="http://schemas.microsoft.com/office/drawing/2014/main" id="{00000000-0008-0000-0F00-000022000000}"/>
                </a:ext>
              </a:extLst>
            </xdr:cNvPr>
            <xdr:cNvSpPr>
              <a:spLocks noChangeArrowheads="1"/>
            </xdr:cNvSpPr>
          </xdr:nvSpPr>
          <xdr:spPr bwMode="auto">
            <a:xfrm>
              <a:off x="3514726" y="52774"/>
              <a:ext cx="7219950" cy="1576001"/>
            </a:xfrm>
            <a:prstGeom prst="flowChartProcess">
              <a:avLst/>
            </a:prstGeom>
            <a:solidFill>
              <a:schemeClr val="accent1">
                <a:lumMod val="20000"/>
                <a:lumOff val="80000"/>
              </a:schemeClr>
            </a:solidFill>
            <a:ln w="19050" algn="ctr">
              <a:solidFill>
                <a:schemeClr val="accent1"/>
              </a:solidFill>
              <a:round/>
              <a:headEnd/>
              <a:tailEnd/>
            </a:ln>
            <a:effectLst/>
          </xdr:spPr>
          <xdr:txBody>
            <a:bodyPr/>
            <a:lstStyle/>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r>
                <a:rPr lang="pt-BR" sz="1400" b="1">
                  <a:latin typeface="Calibri Light" panose="020F0302020204030204" pitchFamily="34" charset="0"/>
                </a:rPr>
                <a:t>Menu de </a:t>
              </a:r>
            </a:p>
            <a:p>
              <a:pPr algn="r"/>
              <a:r>
                <a:rPr lang="pt-BR" sz="1400" b="1">
                  <a:latin typeface="Calibri Light" panose="020F0302020204030204" pitchFamily="34" charset="0"/>
                </a:rPr>
                <a:t>navegação</a:t>
              </a:r>
            </a:p>
          </xdr:txBody>
        </xdr:sp>
        <xdr:sp macro="" textlink="">
          <xdr:nvSpPr>
            <xdr:cNvPr id="35" name="Retângulo de cantos arredondados 34">
              <a:hlinkClick xmlns:r="http://schemas.openxmlformats.org/officeDocument/2006/relationships" r:id="rId3"/>
              <a:extLst>
                <a:ext uri="{FF2B5EF4-FFF2-40B4-BE49-F238E27FC236}">
                  <a16:creationId xmlns="" xmlns:a16="http://schemas.microsoft.com/office/drawing/2014/main" id="{00000000-0008-0000-0F00-000023000000}"/>
                </a:ext>
              </a:extLst>
            </xdr:cNvPr>
            <xdr:cNvSpPr/>
          </xdr:nvSpPr>
          <xdr:spPr bwMode="auto">
            <a:xfrm>
              <a:off x="4333251"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Introdução</a:t>
              </a:r>
            </a:p>
          </xdr:txBody>
        </xdr:sp>
        <xdr:sp macro="" textlink="">
          <xdr:nvSpPr>
            <xdr:cNvPr id="36" name="Retângulo de cantos arredondados 35">
              <a:hlinkClick xmlns:r="http://schemas.openxmlformats.org/officeDocument/2006/relationships" r:id="rId4"/>
              <a:extLst>
                <a:ext uri="{FF2B5EF4-FFF2-40B4-BE49-F238E27FC236}">
                  <a16:creationId xmlns="" xmlns:a16="http://schemas.microsoft.com/office/drawing/2014/main" id="{00000000-0008-0000-0F00-000024000000}"/>
                </a:ext>
              </a:extLst>
            </xdr:cNvPr>
            <xdr:cNvSpPr/>
          </xdr:nvSpPr>
          <xdr:spPr bwMode="auto">
            <a:xfrm>
              <a:off x="4333251"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lnSpc>
                  <a:spcPct val="80000"/>
                </a:lnSpc>
              </a:pPr>
              <a:r>
                <a:rPr lang="pt-BR" sz="900" b="0">
                  <a:solidFill>
                    <a:schemeClr val="bg1"/>
                  </a:solidFill>
                  <a:latin typeface="Calibri Light" panose="020F0302020204030204" pitchFamily="34" charset="0"/>
                  <a:cs typeface="Arial" pitchFamily="34" charset="0"/>
                </a:rPr>
                <a:t>Combustão</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estacionária</a:t>
              </a:r>
            </a:p>
          </xdr:txBody>
        </xdr:sp>
        <xdr:sp macro="" textlink="">
          <xdr:nvSpPr>
            <xdr:cNvPr id="37" name="Retângulo de cantos arredondados 36">
              <a:hlinkClick xmlns:r="http://schemas.openxmlformats.org/officeDocument/2006/relationships" r:id="rId5"/>
              <a:extLst>
                <a:ext uri="{FF2B5EF4-FFF2-40B4-BE49-F238E27FC236}">
                  <a16:creationId xmlns="" xmlns:a16="http://schemas.microsoft.com/office/drawing/2014/main" id="{00000000-0008-0000-0F00-000025000000}"/>
                </a:ext>
              </a:extLst>
            </xdr:cNvPr>
            <xdr:cNvSpPr/>
          </xdr:nvSpPr>
          <xdr:spPr bwMode="auto">
            <a:xfrm>
              <a:off x="5130292"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Combustão </a:t>
              </a:r>
            </a:p>
            <a:p>
              <a:pPr algn="ctr"/>
              <a:r>
                <a:rPr lang="pt-BR" sz="900" b="0">
                  <a:solidFill>
                    <a:schemeClr val="bg1"/>
                  </a:solidFill>
                  <a:latin typeface="Calibri Light" panose="020F0302020204030204" pitchFamily="34" charset="0"/>
                  <a:cs typeface="Arial" pitchFamily="34" charset="0"/>
                </a:rPr>
                <a:t>móvel</a:t>
              </a:r>
            </a:p>
          </xdr:txBody>
        </xdr:sp>
        <xdr:sp macro="" textlink="">
          <xdr:nvSpPr>
            <xdr:cNvPr id="38" name="Retângulo de cantos arredondados 37">
              <a:hlinkClick xmlns:r="http://schemas.openxmlformats.org/officeDocument/2006/relationships" r:id="rId6"/>
              <a:extLst>
                <a:ext uri="{FF2B5EF4-FFF2-40B4-BE49-F238E27FC236}">
                  <a16:creationId xmlns="" xmlns:a16="http://schemas.microsoft.com/office/drawing/2014/main" id="{00000000-0008-0000-0F00-000026000000}"/>
                </a:ext>
              </a:extLst>
            </xdr:cNvPr>
            <xdr:cNvSpPr/>
          </xdr:nvSpPr>
          <xdr:spPr bwMode="auto">
            <a:xfrm>
              <a:off x="5932663"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Resumo</a:t>
              </a:r>
            </a:p>
          </xdr:txBody>
        </xdr:sp>
        <xdr:sp macro="" textlink="">
          <xdr:nvSpPr>
            <xdr:cNvPr id="39" name="Retângulo de cantos arredondados 38">
              <a:hlinkClick xmlns:r="http://schemas.openxmlformats.org/officeDocument/2006/relationships" r:id="rId7"/>
              <a:extLst>
                <a:ext uri="{FF2B5EF4-FFF2-40B4-BE49-F238E27FC236}">
                  <a16:creationId xmlns="" xmlns:a16="http://schemas.microsoft.com/office/drawing/2014/main" id="{00000000-0008-0000-0F00-000027000000}"/>
                </a:ext>
              </a:extLst>
            </xdr:cNvPr>
            <xdr:cNvSpPr/>
          </xdr:nvSpPr>
          <xdr:spPr bwMode="auto">
            <a:xfrm>
              <a:off x="6719145"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Fatores </a:t>
              </a:r>
            </a:p>
            <a:p>
              <a:pPr algn="ctr"/>
              <a:r>
                <a:rPr lang="pt-BR" sz="900" b="0">
                  <a:latin typeface="Calibri Light" panose="020F0302020204030204" pitchFamily="34" charset="0"/>
                  <a:cs typeface="Arial" pitchFamily="34" charset="0"/>
                </a:rPr>
                <a:t>de emissão</a:t>
              </a:r>
            </a:p>
          </xdr:txBody>
        </xdr:sp>
        <xdr:sp macro="" textlink="">
          <xdr:nvSpPr>
            <xdr:cNvPr id="40" name="Fluxograma: Processo 39">
              <a:extLst>
                <a:ext uri="{FF2B5EF4-FFF2-40B4-BE49-F238E27FC236}">
                  <a16:creationId xmlns="" xmlns:a16="http://schemas.microsoft.com/office/drawing/2014/main" id="{00000000-0008-0000-0F00-000028000000}"/>
                </a:ext>
              </a:extLst>
            </xdr:cNvPr>
            <xdr:cNvSpPr/>
          </xdr:nvSpPr>
          <xdr:spPr bwMode="auto">
            <a:xfrm>
              <a:off x="3604863" y="528178"/>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1</a:t>
              </a:r>
            </a:p>
          </xdr:txBody>
        </xdr:sp>
        <xdr:sp macro="" textlink="">
          <xdr:nvSpPr>
            <xdr:cNvPr id="41" name="Retângulo de cantos arredondados 40">
              <a:hlinkClick xmlns:r="http://schemas.openxmlformats.org/officeDocument/2006/relationships" r:id="rId8"/>
              <a:extLst>
                <a:ext uri="{FF2B5EF4-FFF2-40B4-BE49-F238E27FC236}">
                  <a16:creationId xmlns="" xmlns:a16="http://schemas.microsoft.com/office/drawing/2014/main" id="{00000000-0008-0000-0F00-000029000000}"/>
                </a:ext>
              </a:extLst>
            </xdr:cNvPr>
            <xdr:cNvSpPr/>
          </xdr:nvSpPr>
          <xdr:spPr bwMode="auto">
            <a:xfrm>
              <a:off x="5927333"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00" b="0">
                  <a:solidFill>
                    <a:schemeClr val="bg1"/>
                  </a:solidFill>
                  <a:latin typeface="Calibri Light" panose="020F0302020204030204" pitchFamily="34" charset="0"/>
                  <a:cs typeface="Arial" pitchFamily="34" charset="0"/>
                </a:rPr>
                <a:t>Emissões </a:t>
              </a:r>
            </a:p>
            <a:p>
              <a:pPr algn="ctr"/>
              <a:r>
                <a:rPr lang="pt-BR" sz="800" b="0">
                  <a:solidFill>
                    <a:schemeClr val="bg1"/>
                  </a:solidFill>
                  <a:latin typeface="Calibri Light" panose="020F0302020204030204" pitchFamily="34" charset="0"/>
                  <a:cs typeface="Arial" pitchFamily="34" charset="0"/>
                </a:rPr>
                <a:t>fugitivas</a:t>
              </a:r>
            </a:p>
          </xdr:txBody>
        </xdr:sp>
        <xdr:sp macro="" textlink="">
          <xdr:nvSpPr>
            <xdr:cNvPr id="42" name="Retângulo de cantos arredondados 41">
              <a:hlinkClick xmlns:r="http://schemas.openxmlformats.org/officeDocument/2006/relationships" r:id="rId9"/>
              <a:extLst>
                <a:ext uri="{FF2B5EF4-FFF2-40B4-BE49-F238E27FC236}">
                  <a16:creationId xmlns="" xmlns:a16="http://schemas.microsoft.com/office/drawing/2014/main" id="{00000000-0008-0000-0F00-00002A000000}"/>
                </a:ext>
              </a:extLst>
            </xdr:cNvPr>
            <xdr:cNvSpPr/>
          </xdr:nvSpPr>
          <xdr:spPr bwMode="auto">
            <a:xfrm>
              <a:off x="6724374"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Processos</a:t>
              </a:r>
              <a:r>
                <a:rPr lang="pt-BR" sz="900" b="0" baseline="0">
                  <a:solidFill>
                    <a:schemeClr val="bg1"/>
                  </a:solidFill>
                  <a:latin typeface="Calibri Light" panose="020F0302020204030204" pitchFamily="34" charset="0"/>
                  <a:cs typeface="Arial" pitchFamily="34" charset="0"/>
                </a:rPr>
                <a:t> industriais</a:t>
              </a:r>
              <a:endParaRPr lang="pt-BR" sz="900" b="0">
                <a:solidFill>
                  <a:schemeClr val="bg1"/>
                </a:solidFill>
                <a:latin typeface="Calibri Light" panose="020F0302020204030204" pitchFamily="34" charset="0"/>
                <a:cs typeface="Arial" pitchFamily="34" charset="0"/>
              </a:endParaRPr>
            </a:p>
          </xdr:txBody>
        </xdr:sp>
        <xdr:sp macro="" textlink="">
          <xdr:nvSpPr>
            <xdr:cNvPr id="43" name="Retângulo de cantos arredondados 43">
              <a:hlinkClick xmlns:r="http://schemas.openxmlformats.org/officeDocument/2006/relationships" r:id="rId10"/>
              <a:extLst>
                <a:ext uri="{FF2B5EF4-FFF2-40B4-BE49-F238E27FC236}">
                  <a16:creationId xmlns="" xmlns:a16="http://schemas.microsoft.com/office/drawing/2014/main" id="{00000000-0008-0000-0F00-00002B000000}"/>
                </a:ext>
              </a:extLst>
            </xdr:cNvPr>
            <xdr:cNvSpPr/>
          </xdr:nvSpPr>
          <xdr:spPr bwMode="auto">
            <a:xfrm>
              <a:off x="8318456"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Resíduos</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sólidos</a:t>
              </a:r>
            </a:p>
          </xdr:txBody>
        </xdr:sp>
        <xdr:sp macro="" textlink="">
          <xdr:nvSpPr>
            <xdr:cNvPr id="44" name="Retângulo de cantos arredondados 44">
              <a:hlinkClick xmlns:r="http://schemas.openxmlformats.org/officeDocument/2006/relationships" r:id="rId11"/>
              <a:extLst>
                <a:ext uri="{FF2B5EF4-FFF2-40B4-BE49-F238E27FC236}">
                  <a16:creationId xmlns="" xmlns:a16="http://schemas.microsoft.com/office/drawing/2014/main" id="{00000000-0008-0000-0F00-00002C000000}"/>
                </a:ext>
              </a:extLst>
            </xdr:cNvPr>
            <xdr:cNvSpPr/>
          </xdr:nvSpPr>
          <xdr:spPr bwMode="auto">
            <a:xfrm>
              <a:off x="433325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lnSpc>
                  <a:spcPct val="80000"/>
                </a:lnSpc>
              </a:pPr>
              <a:r>
                <a:rPr lang="pt-BR" sz="900" b="0">
                  <a:latin typeface="Calibri Light" panose="020F0302020204030204" pitchFamily="34" charset="0"/>
                  <a:cs typeface="Arial" pitchFamily="34" charset="0"/>
                </a:rPr>
                <a:t>Compra de Energia</a:t>
              </a:r>
              <a:r>
                <a:rPr lang="pt-BR" sz="900" b="0" baseline="0">
                  <a:latin typeface="Calibri Light" panose="020F0302020204030204" pitchFamily="34" charset="0"/>
                  <a:cs typeface="Arial" pitchFamily="34" charset="0"/>
                </a:rPr>
                <a:t> Elétrica</a:t>
              </a:r>
            </a:p>
          </xdr:txBody>
        </xdr:sp>
        <xdr:sp macro="" textlink="">
          <xdr:nvSpPr>
            <xdr:cNvPr id="45" name="Retângulo de cantos arredondados 45">
              <a:hlinkClick xmlns:r="http://schemas.openxmlformats.org/officeDocument/2006/relationships" r:id="rId12"/>
              <a:extLst>
                <a:ext uri="{FF2B5EF4-FFF2-40B4-BE49-F238E27FC236}">
                  <a16:creationId xmlns="" xmlns:a16="http://schemas.microsoft.com/office/drawing/2014/main" id="{00000000-0008-0000-0F00-00002D000000}"/>
                </a:ext>
              </a:extLst>
            </xdr:cNvPr>
            <xdr:cNvSpPr/>
          </xdr:nvSpPr>
          <xdr:spPr bwMode="auto">
            <a:xfrm>
              <a:off x="513371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Compra de</a:t>
              </a:r>
              <a:r>
                <a:rPr lang="pt-BR" sz="900" b="0" baseline="0">
                  <a:latin typeface="Calibri Light" panose="020F0302020204030204" pitchFamily="34" charset="0"/>
                  <a:cs typeface="Arial" pitchFamily="34" charset="0"/>
                </a:rPr>
                <a:t> Energia Térmica</a:t>
              </a:r>
            </a:p>
          </xdr:txBody>
        </xdr:sp>
        <xdr:sp macro="" textlink="">
          <xdr:nvSpPr>
            <xdr:cNvPr id="46" name="Fluxograma: Processo 45">
              <a:extLst>
                <a:ext uri="{FF2B5EF4-FFF2-40B4-BE49-F238E27FC236}">
                  <a16:creationId xmlns="" xmlns:a16="http://schemas.microsoft.com/office/drawing/2014/main" id="{00000000-0008-0000-0F00-00002E000000}"/>
                </a:ext>
              </a:extLst>
            </xdr:cNvPr>
            <xdr:cNvSpPr/>
          </xdr:nvSpPr>
          <xdr:spPr bwMode="auto">
            <a:xfrm>
              <a:off x="3604863" y="909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2</a:t>
              </a:r>
            </a:p>
          </xdr:txBody>
        </xdr:sp>
        <xdr:sp macro="" textlink="">
          <xdr:nvSpPr>
            <xdr:cNvPr id="47" name="Fluxograma: Processo 46">
              <a:extLst>
                <a:ext uri="{FF2B5EF4-FFF2-40B4-BE49-F238E27FC236}">
                  <a16:creationId xmlns="" xmlns:a16="http://schemas.microsoft.com/office/drawing/2014/main" id="{00000000-0008-0000-0F00-00002F000000}"/>
                </a:ext>
              </a:extLst>
            </xdr:cNvPr>
            <xdr:cNvSpPr/>
          </xdr:nvSpPr>
          <xdr:spPr bwMode="auto">
            <a:xfrm>
              <a:off x="3604863" y="1290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3</a:t>
              </a:r>
            </a:p>
          </xdr:txBody>
        </xdr:sp>
        <xdr:sp macro="" textlink="">
          <xdr:nvSpPr>
            <xdr:cNvPr id="48" name="Retângulo de cantos arredondados 48">
              <a:hlinkClick xmlns:r="http://schemas.openxmlformats.org/officeDocument/2006/relationships" r:id="rId13"/>
              <a:extLst>
                <a:ext uri="{FF2B5EF4-FFF2-40B4-BE49-F238E27FC236}">
                  <a16:creationId xmlns="" xmlns:a16="http://schemas.microsoft.com/office/drawing/2014/main" id="{00000000-0008-0000-0F00-000030000000}"/>
                </a:ext>
              </a:extLst>
            </xdr:cNvPr>
            <xdr:cNvSpPr/>
          </xdr:nvSpPr>
          <xdr:spPr bwMode="auto">
            <a:xfrm>
              <a:off x="433325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lnSpc>
                  <a:spcPct val="80000"/>
                </a:lnSpc>
              </a:pPr>
              <a:r>
                <a:rPr lang="pt-BR" sz="900" b="0">
                  <a:solidFill>
                    <a:schemeClr val="bg1">
                      <a:lumMod val="50000"/>
                    </a:schemeClr>
                  </a:solidFill>
                  <a:latin typeface="Calibri Light" panose="020F0302020204030204" pitchFamily="34" charset="0"/>
                  <a:cs typeface="Arial" pitchFamily="34" charset="0"/>
                </a:rPr>
                <a:t>Categorias de Âmbito 3</a:t>
              </a:r>
              <a:endParaRPr lang="pt-BR" sz="900" b="0" baseline="0">
                <a:solidFill>
                  <a:schemeClr val="bg1">
                    <a:lumMod val="50000"/>
                  </a:schemeClr>
                </a:solidFill>
                <a:latin typeface="Calibri Light" panose="020F0302020204030204" pitchFamily="34" charset="0"/>
                <a:cs typeface="Arial" pitchFamily="34" charset="0"/>
              </a:endParaRPr>
            </a:p>
          </xdr:txBody>
        </xdr:sp>
        <xdr:sp macro="" textlink="">
          <xdr:nvSpPr>
            <xdr:cNvPr id="49" name="Retângulo de cantos arredondados 49">
              <a:hlinkClick xmlns:r="http://schemas.openxmlformats.org/officeDocument/2006/relationships" r:id="rId14"/>
              <a:extLst>
                <a:ext uri="{FF2B5EF4-FFF2-40B4-BE49-F238E27FC236}">
                  <a16:creationId xmlns="" xmlns:a16="http://schemas.microsoft.com/office/drawing/2014/main" id="{00000000-0008-0000-0F00-000031000000}"/>
                </a:ext>
              </a:extLst>
            </xdr:cNvPr>
            <xdr:cNvSpPr/>
          </xdr:nvSpPr>
          <xdr:spPr bwMode="auto">
            <a:xfrm>
              <a:off x="5925918"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Resíduos sólidos gerados na operação</a:t>
              </a:r>
            </a:p>
          </xdr:txBody>
        </xdr:sp>
        <xdr:sp macro="" textlink="">
          <xdr:nvSpPr>
            <xdr:cNvPr id="50" name="Retângulo de cantos arredondados 50">
              <a:hlinkClick xmlns:r="http://schemas.openxmlformats.org/officeDocument/2006/relationships" r:id="rId15"/>
              <a:extLst>
                <a:ext uri="{FF2B5EF4-FFF2-40B4-BE49-F238E27FC236}">
                  <a16:creationId xmlns="" xmlns:a16="http://schemas.microsoft.com/office/drawing/2014/main" id="{00000000-0008-0000-0F00-000032000000}"/>
                </a:ext>
              </a:extLst>
            </xdr:cNvPr>
            <xdr:cNvSpPr/>
          </xdr:nvSpPr>
          <xdr:spPr bwMode="auto">
            <a:xfrm>
              <a:off x="6722959"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Efluentes gerados na operação</a:t>
              </a:r>
            </a:p>
          </xdr:txBody>
        </xdr:sp>
        <xdr:sp macro="" textlink="">
          <xdr:nvSpPr>
            <xdr:cNvPr id="51" name="Retângulo de cantos arredondados 51">
              <a:hlinkClick xmlns:r="http://schemas.openxmlformats.org/officeDocument/2006/relationships" r:id="rId16"/>
              <a:extLst>
                <a:ext uri="{FF2B5EF4-FFF2-40B4-BE49-F238E27FC236}">
                  <a16:creationId xmlns="" xmlns:a16="http://schemas.microsoft.com/office/drawing/2014/main" id="{00000000-0008-0000-0F00-000033000000}"/>
                </a:ext>
              </a:extLst>
            </xdr:cNvPr>
            <xdr:cNvSpPr/>
          </xdr:nvSpPr>
          <xdr:spPr bwMode="auto">
            <a:xfrm>
              <a:off x="831704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(downstream)</a:t>
              </a:r>
            </a:p>
          </xdr:txBody>
        </xdr:sp>
        <xdr:sp macro="" textlink="">
          <xdr:nvSpPr>
            <xdr:cNvPr id="52" name="Retângulo de cantos arredondados 52">
              <a:hlinkClick xmlns:r="http://schemas.openxmlformats.org/officeDocument/2006/relationships" r:id="rId17"/>
              <a:extLst>
                <a:ext uri="{FF2B5EF4-FFF2-40B4-BE49-F238E27FC236}">
                  <a16:creationId xmlns="" xmlns:a16="http://schemas.microsoft.com/office/drawing/2014/main" id="{00000000-0008-0000-0F00-000034000000}"/>
                </a:ext>
              </a:extLst>
            </xdr:cNvPr>
            <xdr:cNvSpPr/>
          </xdr:nvSpPr>
          <xdr:spPr bwMode="auto">
            <a:xfrm>
              <a:off x="5135994" y="1228723"/>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(upstream)</a:t>
              </a:r>
            </a:p>
          </xdr:txBody>
        </xdr:sp>
        <xdr:sp macro="" textlink="">
          <xdr:nvSpPr>
            <xdr:cNvPr id="53" name="Retângulo de cantos arredondados 54">
              <a:hlinkClick xmlns:r="http://schemas.openxmlformats.org/officeDocument/2006/relationships" r:id="rId18"/>
              <a:extLst>
                <a:ext uri="{FF2B5EF4-FFF2-40B4-BE49-F238E27FC236}">
                  <a16:creationId xmlns="" xmlns:a16="http://schemas.microsoft.com/office/drawing/2014/main" id="{00000000-0008-0000-0F00-000035000000}"/>
                </a:ext>
              </a:extLst>
            </xdr:cNvPr>
            <xdr:cNvSpPr/>
          </xdr:nvSpPr>
          <xdr:spPr bwMode="auto">
            <a:xfrm>
              <a:off x="9115497"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Efluentes</a:t>
              </a:r>
            </a:p>
          </xdr:txBody>
        </xdr:sp>
        <xdr:sp macro="" textlink="">
          <xdr:nvSpPr>
            <xdr:cNvPr id="54" name="Retângulo de cantos arredondados 56">
              <a:hlinkClick xmlns:r="http://schemas.openxmlformats.org/officeDocument/2006/relationships" r:id="rId19"/>
              <a:extLst>
                <a:ext uri="{FF2B5EF4-FFF2-40B4-BE49-F238E27FC236}">
                  <a16:creationId xmlns="" xmlns:a16="http://schemas.microsoft.com/office/drawing/2014/main" id="{00000000-0008-0000-0F00-000036000000}"/>
                </a:ext>
              </a:extLst>
            </xdr:cNvPr>
            <xdr:cNvSpPr/>
          </xdr:nvSpPr>
          <xdr:spPr bwMode="auto">
            <a:xfrm>
              <a:off x="7526519"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Conversão de unidades</a:t>
              </a:r>
            </a:p>
          </xdr:txBody>
        </xdr:sp>
        <xdr:sp macro="" textlink="">
          <xdr:nvSpPr>
            <xdr:cNvPr id="55" name="Retângulo de cantos arredondados 58">
              <a:hlinkClick xmlns:r="http://schemas.openxmlformats.org/officeDocument/2006/relationships" r:id="rId20"/>
              <a:extLst>
                <a:ext uri="{FF2B5EF4-FFF2-40B4-BE49-F238E27FC236}">
                  <a16:creationId xmlns="" xmlns:a16="http://schemas.microsoft.com/office/drawing/2014/main" id="{00000000-0008-0000-0F00-000037000000}"/>
                </a:ext>
              </a:extLst>
            </xdr:cNvPr>
            <xdr:cNvSpPr/>
          </xdr:nvSpPr>
          <xdr:spPr bwMode="auto">
            <a:xfrm>
              <a:off x="7520000"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r>
                <a:rPr lang="pt-BR" sz="900" b="0">
                  <a:solidFill>
                    <a:schemeClr val="bg1">
                      <a:lumMod val="50000"/>
                    </a:schemeClr>
                  </a:solidFill>
                  <a:latin typeface="Calibri Light" panose="020F0302020204030204" pitchFamily="34" charset="0"/>
                  <a:cs typeface="Arial" pitchFamily="34" charset="0"/>
                </a:rPr>
                <a:t>Viagens a negócios</a:t>
              </a:r>
            </a:p>
          </xdr:txBody>
        </xdr:sp>
        <xdr:sp macro="" textlink="">
          <xdr:nvSpPr>
            <xdr:cNvPr id="56" name="Fluxograma: Processo 59">
              <a:extLst>
                <a:ext uri="{FF2B5EF4-FFF2-40B4-BE49-F238E27FC236}">
                  <a16:creationId xmlns="" xmlns:a16="http://schemas.microsoft.com/office/drawing/2014/main" id="{00000000-0008-0000-0F00-000038000000}"/>
                </a:ext>
              </a:extLst>
            </xdr:cNvPr>
            <xdr:cNvSpPr/>
          </xdr:nvSpPr>
          <xdr:spPr bwMode="auto">
            <a:xfrm>
              <a:off x="3604863" y="156702"/>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Geral</a:t>
              </a:r>
            </a:p>
          </xdr:txBody>
        </xdr:sp>
      </xdr:grpSp>
      <xdr:sp macro="" textlink="">
        <xdr:nvSpPr>
          <xdr:cNvPr id="32" name="Retângulo de cantos arredondados 37">
            <a:hlinkClick xmlns:r="http://schemas.openxmlformats.org/officeDocument/2006/relationships" r:id="rId2"/>
            <a:extLst>
              <a:ext uri="{FF2B5EF4-FFF2-40B4-BE49-F238E27FC236}">
                <a16:creationId xmlns="" xmlns:a16="http://schemas.microsoft.com/office/drawing/2014/main" id="{00000000-0008-0000-0F00-000020000000}"/>
              </a:ext>
            </a:extLst>
          </xdr:cNvPr>
          <xdr:cNvSpPr/>
        </xdr:nvSpPr>
        <xdr:spPr bwMode="auto">
          <a:xfrm>
            <a:off x="4696884" y="162983"/>
            <a:ext cx="774700" cy="31873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sp macro="" textlink="">
        <xdr:nvSpPr>
          <xdr:cNvPr id="33" name="Retângulo de cantos arredondados 42">
            <a:hlinkClick xmlns:r="http://schemas.openxmlformats.org/officeDocument/2006/relationships" r:id="rId21"/>
            <a:extLst>
              <a:ext uri="{FF2B5EF4-FFF2-40B4-BE49-F238E27FC236}">
                <a16:creationId xmlns="" xmlns:a16="http://schemas.microsoft.com/office/drawing/2014/main" id="{00000000-0008-0000-0F00-000021000000}"/>
              </a:ext>
            </a:extLst>
          </xdr:cNvPr>
          <xdr:cNvSpPr/>
        </xdr:nvSpPr>
        <xdr:spPr bwMode="auto">
          <a:xfrm>
            <a:off x="7125758" y="522817"/>
            <a:ext cx="758825" cy="318738"/>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50" b="0">
                <a:solidFill>
                  <a:schemeClr val="bg1"/>
                </a:solidFill>
                <a:latin typeface="Calibri Light" panose="020F0302020204030204" pitchFamily="34" charset="0"/>
                <a:cs typeface="Arial" pitchFamily="34" charset="0"/>
              </a:rPr>
              <a:t>Agrícolas e alt. do uso do solo</a:t>
            </a:r>
            <a:endParaRPr lang="pt-BR" sz="850" b="0" baseline="0">
              <a:solidFill>
                <a:schemeClr val="bg1"/>
              </a:solidFill>
              <a:latin typeface="Calibri Light" panose="020F0302020204030204" pitchFamily="34" charset="0"/>
              <a:cs typeface="Arial" pitchFamily="34" charset="0"/>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889000</xdr:colOff>
      <xdr:row>5</xdr:row>
      <xdr:rowOff>127391</xdr:rowOff>
    </xdr:to>
    <xdr:pic>
      <xdr:nvPicPr>
        <xdr:cNvPr id="28" name="Imagem 27">
          <a:extLst>
            <a:ext uri="{FF2B5EF4-FFF2-40B4-BE49-F238E27FC236}">
              <a16:creationId xmlns="" xmlns:a16="http://schemas.microsoft.com/office/drawing/2014/main" id="{00000000-0008-0000-10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635250" cy="1016391"/>
        </a:xfrm>
        <a:prstGeom prst="rect">
          <a:avLst/>
        </a:prstGeom>
      </xdr:spPr>
    </xdr:pic>
    <xdr:clientData/>
  </xdr:twoCellAnchor>
  <xdr:twoCellAnchor>
    <xdr:from>
      <xdr:col>2</xdr:col>
      <xdr:colOff>1026583</xdr:colOff>
      <xdr:row>0</xdr:row>
      <xdr:rowOff>52916</xdr:rowOff>
    </xdr:from>
    <xdr:to>
      <xdr:col>6</xdr:col>
      <xdr:colOff>2614</xdr:colOff>
      <xdr:row>9</xdr:row>
      <xdr:rowOff>131375</xdr:rowOff>
    </xdr:to>
    <xdr:grpSp>
      <xdr:nvGrpSpPr>
        <xdr:cNvPr id="30" name="Grupo 29">
          <a:extLst>
            <a:ext uri="{FF2B5EF4-FFF2-40B4-BE49-F238E27FC236}">
              <a16:creationId xmlns="" xmlns:a16="http://schemas.microsoft.com/office/drawing/2014/main" id="{00000000-0008-0000-1000-00001E000000}"/>
            </a:ext>
          </a:extLst>
        </xdr:cNvPr>
        <xdr:cNvGrpSpPr/>
      </xdr:nvGrpSpPr>
      <xdr:grpSpPr>
        <a:xfrm>
          <a:off x="2772833" y="52916"/>
          <a:ext cx="7262781" cy="1777084"/>
          <a:chOff x="3069167" y="114300"/>
          <a:chExt cx="7283948" cy="1549543"/>
        </a:xfrm>
      </xdr:grpSpPr>
      <xdr:grpSp>
        <xdr:nvGrpSpPr>
          <xdr:cNvPr id="31" name="Group 32">
            <a:extLst>
              <a:ext uri="{FF2B5EF4-FFF2-40B4-BE49-F238E27FC236}">
                <a16:creationId xmlns="" xmlns:a16="http://schemas.microsoft.com/office/drawing/2014/main" id="{00000000-0008-0000-1000-00001F000000}"/>
              </a:ext>
            </a:extLst>
          </xdr:cNvPr>
          <xdr:cNvGrpSpPr/>
        </xdr:nvGrpSpPr>
        <xdr:grpSpPr>
          <a:xfrm>
            <a:off x="3069167" y="114300"/>
            <a:ext cx="7283948" cy="1549543"/>
            <a:chOff x="3514726" y="52774"/>
            <a:chExt cx="7219950" cy="1576001"/>
          </a:xfrm>
        </xdr:grpSpPr>
        <xdr:sp macro="" textlink="">
          <xdr:nvSpPr>
            <xdr:cNvPr id="34" name="Fluxograma: Processo 60">
              <a:extLst>
                <a:ext uri="{FF2B5EF4-FFF2-40B4-BE49-F238E27FC236}">
                  <a16:creationId xmlns="" xmlns:a16="http://schemas.microsoft.com/office/drawing/2014/main" id="{00000000-0008-0000-1000-000022000000}"/>
                </a:ext>
              </a:extLst>
            </xdr:cNvPr>
            <xdr:cNvSpPr>
              <a:spLocks noChangeArrowheads="1"/>
            </xdr:cNvSpPr>
          </xdr:nvSpPr>
          <xdr:spPr bwMode="auto">
            <a:xfrm>
              <a:off x="3514726" y="52774"/>
              <a:ext cx="7219950" cy="1576001"/>
            </a:xfrm>
            <a:prstGeom prst="flowChartProcess">
              <a:avLst/>
            </a:prstGeom>
            <a:solidFill>
              <a:schemeClr val="accent1">
                <a:lumMod val="20000"/>
                <a:lumOff val="80000"/>
              </a:schemeClr>
            </a:solidFill>
            <a:ln w="19050" algn="ctr">
              <a:solidFill>
                <a:schemeClr val="accent1"/>
              </a:solidFill>
              <a:round/>
              <a:headEnd/>
              <a:tailEnd/>
            </a:ln>
            <a:effectLst/>
          </xdr:spPr>
          <xdr:txBody>
            <a:bodyPr/>
            <a:lstStyle/>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r>
                <a:rPr lang="pt-BR" sz="1400" b="1">
                  <a:latin typeface="Calibri Light" panose="020F0302020204030204" pitchFamily="34" charset="0"/>
                </a:rPr>
                <a:t>Menu de </a:t>
              </a:r>
            </a:p>
            <a:p>
              <a:pPr algn="r"/>
              <a:r>
                <a:rPr lang="pt-BR" sz="1400" b="1">
                  <a:latin typeface="Calibri Light" panose="020F0302020204030204" pitchFamily="34" charset="0"/>
                </a:rPr>
                <a:t>navegação</a:t>
              </a:r>
            </a:p>
          </xdr:txBody>
        </xdr:sp>
        <xdr:sp macro="" textlink="">
          <xdr:nvSpPr>
            <xdr:cNvPr id="35" name="Retângulo de cantos arredondados 34">
              <a:hlinkClick xmlns:r="http://schemas.openxmlformats.org/officeDocument/2006/relationships" r:id="rId2"/>
              <a:extLst>
                <a:ext uri="{FF2B5EF4-FFF2-40B4-BE49-F238E27FC236}">
                  <a16:creationId xmlns="" xmlns:a16="http://schemas.microsoft.com/office/drawing/2014/main" id="{00000000-0008-0000-1000-000023000000}"/>
                </a:ext>
              </a:extLst>
            </xdr:cNvPr>
            <xdr:cNvSpPr/>
          </xdr:nvSpPr>
          <xdr:spPr bwMode="auto">
            <a:xfrm>
              <a:off x="4333251"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Introdução</a:t>
              </a:r>
            </a:p>
          </xdr:txBody>
        </xdr:sp>
        <xdr:sp macro="" textlink="">
          <xdr:nvSpPr>
            <xdr:cNvPr id="36" name="Retângulo de cantos arredondados 35">
              <a:hlinkClick xmlns:r="http://schemas.openxmlformats.org/officeDocument/2006/relationships" r:id="rId3"/>
              <a:extLst>
                <a:ext uri="{FF2B5EF4-FFF2-40B4-BE49-F238E27FC236}">
                  <a16:creationId xmlns="" xmlns:a16="http://schemas.microsoft.com/office/drawing/2014/main" id="{00000000-0008-0000-1000-000024000000}"/>
                </a:ext>
              </a:extLst>
            </xdr:cNvPr>
            <xdr:cNvSpPr/>
          </xdr:nvSpPr>
          <xdr:spPr bwMode="auto">
            <a:xfrm>
              <a:off x="4333251"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lnSpc>
                  <a:spcPct val="80000"/>
                </a:lnSpc>
              </a:pPr>
              <a:r>
                <a:rPr lang="pt-BR" sz="900" b="0">
                  <a:solidFill>
                    <a:schemeClr val="bg1"/>
                  </a:solidFill>
                  <a:latin typeface="Calibri Light" panose="020F0302020204030204" pitchFamily="34" charset="0"/>
                  <a:cs typeface="Arial" pitchFamily="34" charset="0"/>
                </a:rPr>
                <a:t>Combustão</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estacionária</a:t>
              </a:r>
            </a:p>
          </xdr:txBody>
        </xdr:sp>
        <xdr:sp macro="" textlink="">
          <xdr:nvSpPr>
            <xdr:cNvPr id="37" name="Retângulo de cantos arredondados 36">
              <a:hlinkClick xmlns:r="http://schemas.openxmlformats.org/officeDocument/2006/relationships" r:id="rId4"/>
              <a:extLst>
                <a:ext uri="{FF2B5EF4-FFF2-40B4-BE49-F238E27FC236}">
                  <a16:creationId xmlns="" xmlns:a16="http://schemas.microsoft.com/office/drawing/2014/main" id="{00000000-0008-0000-1000-000025000000}"/>
                </a:ext>
              </a:extLst>
            </xdr:cNvPr>
            <xdr:cNvSpPr/>
          </xdr:nvSpPr>
          <xdr:spPr bwMode="auto">
            <a:xfrm>
              <a:off x="5130292"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Combustão </a:t>
              </a:r>
            </a:p>
            <a:p>
              <a:pPr algn="ctr"/>
              <a:r>
                <a:rPr lang="pt-BR" sz="900" b="0">
                  <a:solidFill>
                    <a:schemeClr val="bg1"/>
                  </a:solidFill>
                  <a:latin typeface="Calibri Light" panose="020F0302020204030204" pitchFamily="34" charset="0"/>
                  <a:cs typeface="Arial" pitchFamily="34" charset="0"/>
                </a:rPr>
                <a:t>móvel</a:t>
              </a:r>
            </a:p>
          </xdr:txBody>
        </xdr:sp>
        <xdr:sp macro="" textlink="">
          <xdr:nvSpPr>
            <xdr:cNvPr id="38" name="Retângulo de cantos arredondados 37">
              <a:hlinkClick xmlns:r="http://schemas.openxmlformats.org/officeDocument/2006/relationships" r:id="rId5"/>
              <a:extLst>
                <a:ext uri="{FF2B5EF4-FFF2-40B4-BE49-F238E27FC236}">
                  <a16:creationId xmlns="" xmlns:a16="http://schemas.microsoft.com/office/drawing/2014/main" id="{00000000-0008-0000-1000-000026000000}"/>
                </a:ext>
              </a:extLst>
            </xdr:cNvPr>
            <xdr:cNvSpPr/>
          </xdr:nvSpPr>
          <xdr:spPr bwMode="auto">
            <a:xfrm>
              <a:off x="5932663"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Resumo</a:t>
              </a:r>
            </a:p>
          </xdr:txBody>
        </xdr:sp>
        <xdr:sp macro="" textlink="">
          <xdr:nvSpPr>
            <xdr:cNvPr id="39" name="Retângulo de cantos arredondados 38">
              <a:hlinkClick xmlns:r="http://schemas.openxmlformats.org/officeDocument/2006/relationships" r:id="rId6"/>
              <a:extLst>
                <a:ext uri="{FF2B5EF4-FFF2-40B4-BE49-F238E27FC236}">
                  <a16:creationId xmlns="" xmlns:a16="http://schemas.microsoft.com/office/drawing/2014/main" id="{00000000-0008-0000-1000-000027000000}"/>
                </a:ext>
              </a:extLst>
            </xdr:cNvPr>
            <xdr:cNvSpPr/>
          </xdr:nvSpPr>
          <xdr:spPr bwMode="auto">
            <a:xfrm>
              <a:off x="6719145"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Fatores </a:t>
              </a:r>
            </a:p>
            <a:p>
              <a:pPr algn="ctr"/>
              <a:r>
                <a:rPr lang="pt-BR" sz="900" b="0">
                  <a:latin typeface="Calibri Light" panose="020F0302020204030204" pitchFamily="34" charset="0"/>
                  <a:cs typeface="Arial" pitchFamily="34" charset="0"/>
                </a:rPr>
                <a:t>de emissão</a:t>
              </a:r>
            </a:p>
          </xdr:txBody>
        </xdr:sp>
        <xdr:sp macro="" textlink="">
          <xdr:nvSpPr>
            <xdr:cNvPr id="40" name="Fluxograma: Processo 39">
              <a:extLst>
                <a:ext uri="{FF2B5EF4-FFF2-40B4-BE49-F238E27FC236}">
                  <a16:creationId xmlns="" xmlns:a16="http://schemas.microsoft.com/office/drawing/2014/main" id="{00000000-0008-0000-1000-000028000000}"/>
                </a:ext>
              </a:extLst>
            </xdr:cNvPr>
            <xdr:cNvSpPr/>
          </xdr:nvSpPr>
          <xdr:spPr bwMode="auto">
            <a:xfrm>
              <a:off x="3604863" y="528178"/>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1</a:t>
              </a:r>
            </a:p>
          </xdr:txBody>
        </xdr:sp>
        <xdr:sp macro="" textlink="">
          <xdr:nvSpPr>
            <xdr:cNvPr id="41" name="Retângulo de cantos arredondados 40">
              <a:hlinkClick xmlns:r="http://schemas.openxmlformats.org/officeDocument/2006/relationships" r:id="rId7"/>
              <a:extLst>
                <a:ext uri="{FF2B5EF4-FFF2-40B4-BE49-F238E27FC236}">
                  <a16:creationId xmlns="" xmlns:a16="http://schemas.microsoft.com/office/drawing/2014/main" id="{00000000-0008-0000-1000-000029000000}"/>
                </a:ext>
              </a:extLst>
            </xdr:cNvPr>
            <xdr:cNvSpPr/>
          </xdr:nvSpPr>
          <xdr:spPr bwMode="auto">
            <a:xfrm>
              <a:off x="5927333"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00" b="0">
                  <a:solidFill>
                    <a:schemeClr val="bg1"/>
                  </a:solidFill>
                  <a:latin typeface="Calibri Light" panose="020F0302020204030204" pitchFamily="34" charset="0"/>
                  <a:cs typeface="Arial" pitchFamily="34" charset="0"/>
                </a:rPr>
                <a:t>Emissões </a:t>
              </a:r>
            </a:p>
            <a:p>
              <a:pPr algn="ctr"/>
              <a:r>
                <a:rPr lang="pt-BR" sz="800" b="0">
                  <a:solidFill>
                    <a:schemeClr val="bg1"/>
                  </a:solidFill>
                  <a:latin typeface="Calibri Light" panose="020F0302020204030204" pitchFamily="34" charset="0"/>
                  <a:cs typeface="Arial" pitchFamily="34" charset="0"/>
                </a:rPr>
                <a:t>fugitivas</a:t>
              </a:r>
            </a:p>
          </xdr:txBody>
        </xdr:sp>
        <xdr:sp macro="" textlink="">
          <xdr:nvSpPr>
            <xdr:cNvPr id="42" name="Retângulo de cantos arredondados 41">
              <a:hlinkClick xmlns:r="http://schemas.openxmlformats.org/officeDocument/2006/relationships" r:id="rId8"/>
              <a:extLst>
                <a:ext uri="{FF2B5EF4-FFF2-40B4-BE49-F238E27FC236}">
                  <a16:creationId xmlns="" xmlns:a16="http://schemas.microsoft.com/office/drawing/2014/main" id="{00000000-0008-0000-1000-00002A000000}"/>
                </a:ext>
              </a:extLst>
            </xdr:cNvPr>
            <xdr:cNvSpPr/>
          </xdr:nvSpPr>
          <xdr:spPr bwMode="auto">
            <a:xfrm>
              <a:off x="6724374"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Processos</a:t>
              </a:r>
              <a:r>
                <a:rPr lang="pt-BR" sz="900" b="0" baseline="0">
                  <a:solidFill>
                    <a:schemeClr val="bg1"/>
                  </a:solidFill>
                  <a:latin typeface="Calibri Light" panose="020F0302020204030204" pitchFamily="34" charset="0"/>
                  <a:cs typeface="Arial" pitchFamily="34" charset="0"/>
                </a:rPr>
                <a:t> industriais</a:t>
              </a:r>
              <a:endParaRPr lang="pt-BR" sz="900" b="0">
                <a:solidFill>
                  <a:schemeClr val="bg1"/>
                </a:solidFill>
                <a:latin typeface="Calibri Light" panose="020F0302020204030204" pitchFamily="34" charset="0"/>
                <a:cs typeface="Arial" pitchFamily="34" charset="0"/>
              </a:endParaRPr>
            </a:p>
          </xdr:txBody>
        </xdr:sp>
        <xdr:sp macro="" textlink="">
          <xdr:nvSpPr>
            <xdr:cNvPr id="43" name="Retângulo de cantos arredondados 43">
              <a:hlinkClick xmlns:r="http://schemas.openxmlformats.org/officeDocument/2006/relationships" r:id="rId9"/>
              <a:extLst>
                <a:ext uri="{FF2B5EF4-FFF2-40B4-BE49-F238E27FC236}">
                  <a16:creationId xmlns="" xmlns:a16="http://schemas.microsoft.com/office/drawing/2014/main" id="{00000000-0008-0000-1000-00002B000000}"/>
                </a:ext>
              </a:extLst>
            </xdr:cNvPr>
            <xdr:cNvSpPr/>
          </xdr:nvSpPr>
          <xdr:spPr bwMode="auto">
            <a:xfrm>
              <a:off x="8318456"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Resíduos</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sólidos</a:t>
              </a:r>
            </a:p>
          </xdr:txBody>
        </xdr:sp>
        <xdr:sp macro="" textlink="">
          <xdr:nvSpPr>
            <xdr:cNvPr id="44" name="Retângulo de cantos arredondados 44">
              <a:hlinkClick xmlns:r="http://schemas.openxmlformats.org/officeDocument/2006/relationships" r:id="rId10"/>
              <a:extLst>
                <a:ext uri="{FF2B5EF4-FFF2-40B4-BE49-F238E27FC236}">
                  <a16:creationId xmlns="" xmlns:a16="http://schemas.microsoft.com/office/drawing/2014/main" id="{00000000-0008-0000-1000-00002C000000}"/>
                </a:ext>
              </a:extLst>
            </xdr:cNvPr>
            <xdr:cNvSpPr/>
          </xdr:nvSpPr>
          <xdr:spPr bwMode="auto">
            <a:xfrm>
              <a:off x="433325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lnSpc>
                  <a:spcPct val="80000"/>
                </a:lnSpc>
              </a:pPr>
              <a:r>
                <a:rPr lang="pt-BR" sz="900" b="0">
                  <a:latin typeface="Calibri Light" panose="020F0302020204030204" pitchFamily="34" charset="0"/>
                  <a:cs typeface="Arial" pitchFamily="34" charset="0"/>
                </a:rPr>
                <a:t>Compra de Energia</a:t>
              </a:r>
              <a:r>
                <a:rPr lang="pt-BR" sz="900" b="0" baseline="0">
                  <a:latin typeface="Calibri Light" panose="020F0302020204030204" pitchFamily="34" charset="0"/>
                  <a:cs typeface="Arial" pitchFamily="34" charset="0"/>
                </a:rPr>
                <a:t> Elétrica</a:t>
              </a:r>
            </a:p>
          </xdr:txBody>
        </xdr:sp>
        <xdr:sp macro="" textlink="">
          <xdr:nvSpPr>
            <xdr:cNvPr id="45" name="Retângulo de cantos arredondados 45">
              <a:hlinkClick xmlns:r="http://schemas.openxmlformats.org/officeDocument/2006/relationships" r:id="rId11"/>
              <a:extLst>
                <a:ext uri="{FF2B5EF4-FFF2-40B4-BE49-F238E27FC236}">
                  <a16:creationId xmlns="" xmlns:a16="http://schemas.microsoft.com/office/drawing/2014/main" id="{00000000-0008-0000-1000-00002D000000}"/>
                </a:ext>
              </a:extLst>
            </xdr:cNvPr>
            <xdr:cNvSpPr/>
          </xdr:nvSpPr>
          <xdr:spPr bwMode="auto">
            <a:xfrm>
              <a:off x="513371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Compra de</a:t>
              </a:r>
              <a:r>
                <a:rPr lang="pt-BR" sz="900" b="0" baseline="0">
                  <a:latin typeface="Calibri Light" panose="020F0302020204030204" pitchFamily="34" charset="0"/>
                  <a:cs typeface="Arial" pitchFamily="34" charset="0"/>
                </a:rPr>
                <a:t> Energia Térmica</a:t>
              </a:r>
            </a:p>
          </xdr:txBody>
        </xdr:sp>
        <xdr:sp macro="" textlink="">
          <xdr:nvSpPr>
            <xdr:cNvPr id="46" name="Fluxograma: Processo 45">
              <a:extLst>
                <a:ext uri="{FF2B5EF4-FFF2-40B4-BE49-F238E27FC236}">
                  <a16:creationId xmlns="" xmlns:a16="http://schemas.microsoft.com/office/drawing/2014/main" id="{00000000-0008-0000-1000-00002E000000}"/>
                </a:ext>
              </a:extLst>
            </xdr:cNvPr>
            <xdr:cNvSpPr/>
          </xdr:nvSpPr>
          <xdr:spPr bwMode="auto">
            <a:xfrm>
              <a:off x="3604863" y="909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2</a:t>
              </a:r>
            </a:p>
          </xdr:txBody>
        </xdr:sp>
        <xdr:sp macro="" textlink="">
          <xdr:nvSpPr>
            <xdr:cNvPr id="47" name="Fluxograma: Processo 46">
              <a:extLst>
                <a:ext uri="{FF2B5EF4-FFF2-40B4-BE49-F238E27FC236}">
                  <a16:creationId xmlns="" xmlns:a16="http://schemas.microsoft.com/office/drawing/2014/main" id="{00000000-0008-0000-1000-00002F000000}"/>
                </a:ext>
              </a:extLst>
            </xdr:cNvPr>
            <xdr:cNvSpPr/>
          </xdr:nvSpPr>
          <xdr:spPr bwMode="auto">
            <a:xfrm>
              <a:off x="3604863" y="1290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3</a:t>
              </a:r>
            </a:p>
          </xdr:txBody>
        </xdr:sp>
        <xdr:sp macro="" textlink="">
          <xdr:nvSpPr>
            <xdr:cNvPr id="48" name="Retângulo de cantos arredondados 48">
              <a:hlinkClick xmlns:r="http://schemas.openxmlformats.org/officeDocument/2006/relationships" r:id="rId12"/>
              <a:extLst>
                <a:ext uri="{FF2B5EF4-FFF2-40B4-BE49-F238E27FC236}">
                  <a16:creationId xmlns="" xmlns:a16="http://schemas.microsoft.com/office/drawing/2014/main" id="{00000000-0008-0000-1000-000030000000}"/>
                </a:ext>
              </a:extLst>
            </xdr:cNvPr>
            <xdr:cNvSpPr/>
          </xdr:nvSpPr>
          <xdr:spPr bwMode="auto">
            <a:xfrm>
              <a:off x="433325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lnSpc>
                  <a:spcPct val="80000"/>
                </a:lnSpc>
              </a:pPr>
              <a:r>
                <a:rPr lang="pt-BR" sz="900" b="0">
                  <a:solidFill>
                    <a:schemeClr val="bg1">
                      <a:lumMod val="50000"/>
                    </a:schemeClr>
                  </a:solidFill>
                  <a:latin typeface="Calibri Light" panose="020F0302020204030204" pitchFamily="34" charset="0"/>
                  <a:cs typeface="Arial" pitchFamily="34" charset="0"/>
                </a:rPr>
                <a:t>Categorias de Âmbito 3</a:t>
              </a:r>
              <a:endParaRPr lang="pt-BR" sz="900" b="0" baseline="0">
                <a:solidFill>
                  <a:schemeClr val="bg1">
                    <a:lumMod val="50000"/>
                  </a:schemeClr>
                </a:solidFill>
                <a:latin typeface="Calibri Light" panose="020F0302020204030204" pitchFamily="34" charset="0"/>
                <a:cs typeface="Arial" pitchFamily="34" charset="0"/>
              </a:endParaRPr>
            </a:p>
          </xdr:txBody>
        </xdr:sp>
        <xdr:sp macro="" textlink="">
          <xdr:nvSpPr>
            <xdr:cNvPr id="49" name="Retângulo de cantos arredondados 49">
              <a:hlinkClick xmlns:r="http://schemas.openxmlformats.org/officeDocument/2006/relationships" r:id="rId13"/>
              <a:extLst>
                <a:ext uri="{FF2B5EF4-FFF2-40B4-BE49-F238E27FC236}">
                  <a16:creationId xmlns="" xmlns:a16="http://schemas.microsoft.com/office/drawing/2014/main" id="{00000000-0008-0000-1000-000031000000}"/>
                </a:ext>
              </a:extLst>
            </xdr:cNvPr>
            <xdr:cNvSpPr/>
          </xdr:nvSpPr>
          <xdr:spPr bwMode="auto">
            <a:xfrm>
              <a:off x="5925918"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Resíduos sólidos gerados na operação</a:t>
              </a:r>
            </a:p>
          </xdr:txBody>
        </xdr:sp>
        <xdr:sp macro="" textlink="">
          <xdr:nvSpPr>
            <xdr:cNvPr id="50" name="Retângulo de cantos arredondados 50">
              <a:hlinkClick xmlns:r="http://schemas.openxmlformats.org/officeDocument/2006/relationships" r:id="rId14"/>
              <a:extLst>
                <a:ext uri="{FF2B5EF4-FFF2-40B4-BE49-F238E27FC236}">
                  <a16:creationId xmlns="" xmlns:a16="http://schemas.microsoft.com/office/drawing/2014/main" id="{00000000-0008-0000-1000-000032000000}"/>
                </a:ext>
              </a:extLst>
            </xdr:cNvPr>
            <xdr:cNvSpPr/>
          </xdr:nvSpPr>
          <xdr:spPr bwMode="auto">
            <a:xfrm>
              <a:off x="6722959"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Efluentes gerados na operação</a:t>
              </a:r>
            </a:p>
          </xdr:txBody>
        </xdr:sp>
        <xdr:sp macro="" textlink="">
          <xdr:nvSpPr>
            <xdr:cNvPr id="51" name="Retângulo de cantos arredondados 51">
              <a:hlinkClick xmlns:r="http://schemas.openxmlformats.org/officeDocument/2006/relationships" r:id="rId15"/>
              <a:extLst>
                <a:ext uri="{FF2B5EF4-FFF2-40B4-BE49-F238E27FC236}">
                  <a16:creationId xmlns="" xmlns:a16="http://schemas.microsoft.com/office/drawing/2014/main" id="{00000000-0008-0000-1000-000033000000}"/>
                </a:ext>
              </a:extLst>
            </xdr:cNvPr>
            <xdr:cNvSpPr/>
          </xdr:nvSpPr>
          <xdr:spPr bwMode="auto">
            <a:xfrm>
              <a:off x="831704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(downstream)</a:t>
              </a:r>
            </a:p>
          </xdr:txBody>
        </xdr:sp>
        <xdr:sp macro="" textlink="">
          <xdr:nvSpPr>
            <xdr:cNvPr id="52" name="Retângulo de cantos arredondados 52">
              <a:hlinkClick xmlns:r="http://schemas.openxmlformats.org/officeDocument/2006/relationships" r:id="rId16"/>
              <a:extLst>
                <a:ext uri="{FF2B5EF4-FFF2-40B4-BE49-F238E27FC236}">
                  <a16:creationId xmlns="" xmlns:a16="http://schemas.microsoft.com/office/drawing/2014/main" id="{00000000-0008-0000-1000-000034000000}"/>
                </a:ext>
              </a:extLst>
            </xdr:cNvPr>
            <xdr:cNvSpPr/>
          </xdr:nvSpPr>
          <xdr:spPr bwMode="auto">
            <a:xfrm>
              <a:off x="5135994" y="1228723"/>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(upstream)</a:t>
              </a:r>
            </a:p>
          </xdr:txBody>
        </xdr:sp>
        <xdr:sp macro="" textlink="">
          <xdr:nvSpPr>
            <xdr:cNvPr id="53" name="Retângulo de cantos arredondados 54">
              <a:hlinkClick xmlns:r="http://schemas.openxmlformats.org/officeDocument/2006/relationships" r:id="rId17"/>
              <a:extLst>
                <a:ext uri="{FF2B5EF4-FFF2-40B4-BE49-F238E27FC236}">
                  <a16:creationId xmlns="" xmlns:a16="http://schemas.microsoft.com/office/drawing/2014/main" id="{00000000-0008-0000-1000-000035000000}"/>
                </a:ext>
              </a:extLst>
            </xdr:cNvPr>
            <xdr:cNvSpPr/>
          </xdr:nvSpPr>
          <xdr:spPr bwMode="auto">
            <a:xfrm>
              <a:off x="9115497"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Efluentes</a:t>
              </a:r>
            </a:p>
          </xdr:txBody>
        </xdr:sp>
        <xdr:sp macro="" textlink="">
          <xdr:nvSpPr>
            <xdr:cNvPr id="54" name="Retângulo de cantos arredondados 56">
              <a:hlinkClick xmlns:r="http://schemas.openxmlformats.org/officeDocument/2006/relationships" r:id="rId18"/>
              <a:extLst>
                <a:ext uri="{FF2B5EF4-FFF2-40B4-BE49-F238E27FC236}">
                  <a16:creationId xmlns="" xmlns:a16="http://schemas.microsoft.com/office/drawing/2014/main" id="{00000000-0008-0000-1000-000036000000}"/>
                </a:ext>
              </a:extLst>
            </xdr:cNvPr>
            <xdr:cNvSpPr/>
          </xdr:nvSpPr>
          <xdr:spPr bwMode="auto">
            <a:xfrm>
              <a:off x="7526519"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Conversão de unidades</a:t>
              </a:r>
            </a:p>
          </xdr:txBody>
        </xdr:sp>
        <xdr:sp macro="" textlink="">
          <xdr:nvSpPr>
            <xdr:cNvPr id="55" name="Retângulo de cantos arredondados 58">
              <a:hlinkClick xmlns:r="http://schemas.openxmlformats.org/officeDocument/2006/relationships" r:id="rId19"/>
              <a:extLst>
                <a:ext uri="{FF2B5EF4-FFF2-40B4-BE49-F238E27FC236}">
                  <a16:creationId xmlns="" xmlns:a16="http://schemas.microsoft.com/office/drawing/2014/main" id="{00000000-0008-0000-1000-000037000000}"/>
                </a:ext>
              </a:extLst>
            </xdr:cNvPr>
            <xdr:cNvSpPr/>
          </xdr:nvSpPr>
          <xdr:spPr bwMode="auto">
            <a:xfrm>
              <a:off x="7520000"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r>
                <a:rPr lang="pt-BR" sz="900" b="0">
                  <a:solidFill>
                    <a:schemeClr val="bg1">
                      <a:lumMod val="50000"/>
                    </a:schemeClr>
                  </a:solidFill>
                  <a:latin typeface="Calibri Light" panose="020F0302020204030204" pitchFamily="34" charset="0"/>
                  <a:cs typeface="Arial" pitchFamily="34" charset="0"/>
                </a:rPr>
                <a:t>Viagens a negócios</a:t>
              </a:r>
            </a:p>
          </xdr:txBody>
        </xdr:sp>
        <xdr:sp macro="" textlink="">
          <xdr:nvSpPr>
            <xdr:cNvPr id="56" name="Fluxograma: Processo 59">
              <a:extLst>
                <a:ext uri="{FF2B5EF4-FFF2-40B4-BE49-F238E27FC236}">
                  <a16:creationId xmlns="" xmlns:a16="http://schemas.microsoft.com/office/drawing/2014/main" id="{00000000-0008-0000-1000-000038000000}"/>
                </a:ext>
              </a:extLst>
            </xdr:cNvPr>
            <xdr:cNvSpPr/>
          </xdr:nvSpPr>
          <xdr:spPr bwMode="auto">
            <a:xfrm>
              <a:off x="3604863" y="156702"/>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Geral</a:t>
              </a:r>
            </a:p>
          </xdr:txBody>
        </xdr:sp>
      </xdr:grpSp>
      <xdr:sp macro="" textlink="">
        <xdr:nvSpPr>
          <xdr:cNvPr id="32" name="Retângulo de cantos arredondados 37">
            <a:hlinkClick xmlns:r="http://schemas.openxmlformats.org/officeDocument/2006/relationships" r:id="rId20"/>
            <a:extLst>
              <a:ext uri="{FF2B5EF4-FFF2-40B4-BE49-F238E27FC236}">
                <a16:creationId xmlns="" xmlns:a16="http://schemas.microsoft.com/office/drawing/2014/main" id="{00000000-0008-0000-1000-000020000000}"/>
              </a:ext>
            </a:extLst>
          </xdr:cNvPr>
          <xdr:cNvSpPr/>
        </xdr:nvSpPr>
        <xdr:spPr bwMode="auto">
          <a:xfrm>
            <a:off x="4696884" y="162983"/>
            <a:ext cx="774700" cy="31873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sp macro="" textlink="">
        <xdr:nvSpPr>
          <xdr:cNvPr id="33" name="Retângulo de cantos arredondados 42">
            <a:hlinkClick xmlns:r="http://schemas.openxmlformats.org/officeDocument/2006/relationships" r:id="rId21"/>
            <a:extLst>
              <a:ext uri="{FF2B5EF4-FFF2-40B4-BE49-F238E27FC236}">
                <a16:creationId xmlns="" xmlns:a16="http://schemas.microsoft.com/office/drawing/2014/main" id="{00000000-0008-0000-1000-000021000000}"/>
              </a:ext>
            </a:extLst>
          </xdr:cNvPr>
          <xdr:cNvSpPr/>
        </xdr:nvSpPr>
        <xdr:spPr bwMode="auto">
          <a:xfrm>
            <a:off x="7125758" y="522817"/>
            <a:ext cx="758825" cy="318738"/>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50" b="0">
                <a:solidFill>
                  <a:schemeClr val="bg1"/>
                </a:solidFill>
                <a:latin typeface="Calibri Light" panose="020F0302020204030204" pitchFamily="34" charset="0"/>
                <a:cs typeface="Arial" pitchFamily="34" charset="0"/>
              </a:rPr>
              <a:t>Agrícolas e alt. do uso do solo</a:t>
            </a:r>
            <a:endParaRPr lang="pt-BR" sz="850" b="0" baseline="0">
              <a:solidFill>
                <a:schemeClr val="bg1"/>
              </a:solidFill>
              <a:latin typeface="Calibri Light" panose="020F0302020204030204" pitchFamily="34" charset="0"/>
              <a:cs typeface="Arial" pitchFamily="34" charset="0"/>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74083</xdr:colOff>
      <xdr:row>0</xdr:row>
      <xdr:rowOff>84665</xdr:rowOff>
    </xdr:from>
    <xdr:to>
      <xdr:col>2</xdr:col>
      <xdr:colOff>209503</xdr:colOff>
      <xdr:row>6</xdr:row>
      <xdr:rowOff>116416</xdr:rowOff>
    </xdr:to>
    <xdr:pic>
      <xdr:nvPicPr>
        <xdr:cNvPr id="28" name="Imagem 27">
          <a:extLst>
            <a:ext uri="{FF2B5EF4-FFF2-40B4-BE49-F238E27FC236}">
              <a16:creationId xmlns="" xmlns:a16="http://schemas.microsoft.com/office/drawing/2014/main" id="{00000000-0008-0000-11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083" y="84665"/>
          <a:ext cx="3045837" cy="1174751"/>
        </a:xfrm>
        <a:prstGeom prst="rect">
          <a:avLst/>
        </a:prstGeom>
      </xdr:spPr>
    </xdr:pic>
    <xdr:clientData/>
  </xdr:twoCellAnchor>
  <xdr:twoCellAnchor>
    <xdr:from>
      <xdr:col>2</xdr:col>
      <xdr:colOff>560917</xdr:colOff>
      <xdr:row>0</xdr:row>
      <xdr:rowOff>74084</xdr:rowOff>
    </xdr:from>
    <xdr:to>
      <xdr:col>8</xdr:col>
      <xdr:colOff>1113865</xdr:colOff>
      <xdr:row>9</xdr:row>
      <xdr:rowOff>110210</xdr:rowOff>
    </xdr:to>
    <xdr:grpSp>
      <xdr:nvGrpSpPr>
        <xdr:cNvPr id="30" name="Grupo 29">
          <a:extLst>
            <a:ext uri="{FF2B5EF4-FFF2-40B4-BE49-F238E27FC236}">
              <a16:creationId xmlns="" xmlns:a16="http://schemas.microsoft.com/office/drawing/2014/main" id="{00000000-0008-0000-1100-00001E000000}"/>
            </a:ext>
          </a:extLst>
        </xdr:cNvPr>
        <xdr:cNvGrpSpPr/>
      </xdr:nvGrpSpPr>
      <xdr:grpSpPr>
        <a:xfrm>
          <a:off x="3472846" y="74084"/>
          <a:ext cx="7329305" cy="1750626"/>
          <a:chOff x="3069167" y="114300"/>
          <a:chExt cx="7283948" cy="1549543"/>
        </a:xfrm>
      </xdr:grpSpPr>
      <xdr:grpSp>
        <xdr:nvGrpSpPr>
          <xdr:cNvPr id="31" name="Group 32">
            <a:extLst>
              <a:ext uri="{FF2B5EF4-FFF2-40B4-BE49-F238E27FC236}">
                <a16:creationId xmlns="" xmlns:a16="http://schemas.microsoft.com/office/drawing/2014/main" id="{00000000-0008-0000-1100-00001F000000}"/>
              </a:ext>
            </a:extLst>
          </xdr:cNvPr>
          <xdr:cNvGrpSpPr/>
        </xdr:nvGrpSpPr>
        <xdr:grpSpPr>
          <a:xfrm>
            <a:off x="3069167" y="114300"/>
            <a:ext cx="7283948" cy="1549543"/>
            <a:chOff x="3514726" y="52774"/>
            <a:chExt cx="7219950" cy="1576001"/>
          </a:xfrm>
        </xdr:grpSpPr>
        <xdr:sp macro="" textlink="">
          <xdr:nvSpPr>
            <xdr:cNvPr id="34" name="Fluxograma: Processo 60">
              <a:extLst>
                <a:ext uri="{FF2B5EF4-FFF2-40B4-BE49-F238E27FC236}">
                  <a16:creationId xmlns="" xmlns:a16="http://schemas.microsoft.com/office/drawing/2014/main" id="{00000000-0008-0000-1100-000022000000}"/>
                </a:ext>
              </a:extLst>
            </xdr:cNvPr>
            <xdr:cNvSpPr>
              <a:spLocks noChangeArrowheads="1"/>
            </xdr:cNvSpPr>
          </xdr:nvSpPr>
          <xdr:spPr bwMode="auto">
            <a:xfrm>
              <a:off x="3514726" y="52774"/>
              <a:ext cx="7219950" cy="1576001"/>
            </a:xfrm>
            <a:prstGeom prst="flowChartProcess">
              <a:avLst/>
            </a:prstGeom>
            <a:solidFill>
              <a:schemeClr val="accent1">
                <a:lumMod val="20000"/>
                <a:lumOff val="80000"/>
              </a:schemeClr>
            </a:solidFill>
            <a:ln w="19050" algn="ctr">
              <a:solidFill>
                <a:schemeClr val="accent1"/>
              </a:solidFill>
              <a:round/>
              <a:headEnd/>
              <a:tailEnd/>
            </a:ln>
            <a:effectLst/>
          </xdr:spPr>
          <xdr:txBody>
            <a:bodyPr/>
            <a:lstStyle/>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r>
                <a:rPr lang="pt-BR" sz="1400" b="1">
                  <a:latin typeface="Calibri Light" panose="020F0302020204030204" pitchFamily="34" charset="0"/>
                </a:rPr>
                <a:t>Menu de </a:t>
              </a:r>
            </a:p>
            <a:p>
              <a:pPr algn="r"/>
              <a:r>
                <a:rPr lang="pt-BR" sz="1400" b="1">
                  <a:latin typeface="Calibri Light" panose="020F0302020204030204" pitchFamily="34" charset="0"/>
                </a:rPr>
                <a:t>navegação</a:t>
              </a:r>
            </a:p>
          </xdr:txBody>
        </xdr:sp>
        <xdr:sp macro="" textlink="">
          <xdr:nvSpPr>
            <xdr:cNvPr id="35" name="Retângulo de cantos arredondados 34">
              <a:hlinkClick xmlns:r="http://schemas.openxmlformats.org/officeDocument/2006/relationships" r:id="rId2"/>
              <a:extLst>
                <a:ext uri="{FF2B5EF4-FFF2-40B4-BE49-F238E27FC236}">
                  <a16:creationId xmlns="" xmlns:a16="http://schemas.microsoft.com/office/drawing/2014/main" id="{00000000-0008-0000-1100-000023000000}"/>
                </a:ext>
              </a:extLst>
            </xdr:cNvPr>
            <xdr:cNvSpPr/>
          </xdr:nvSpPr>
          <xdr:spPr bwMode="auto">
            <a:xfrm>
              <a:off x="4333251"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Introdução</a:t>
              </a:r>
            </a:p>
          </xdr:txBody>
        </xdr:sp>
        <xdr:sp macro="" textlink="">
          <xdr:nvSpPr>
            <xdr:cNvPr id="36" name="Retângulo de cantos arredondados 35">
              <a:hlinkClick xmlns:r="http://schemas.openxmlformats.org/officeDocument/2006/relationships" r:id="rId3"/>
              <a:extLst>
                <a:ext uri="{FF2B5EF4-FFF2-40B4-BE49-F238E27FC236}">
                  <a16:creationId xmlns="" xmlns:a16="http://schemas.microsoft.com/office/drawing/2014/main" id="{00000000-0008-0000-1100-000024000000}"/>
                </a:ext>
              </a:extLst>
            </xdr:cNvPr>
            <xdr:cNvSpPr/>
          </xdr:nvSpPr>
          <xdr:spPr bwMode="auto">
            <a:xfrm>
              <a:off x="4333251"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lnSpc>
                  <a:spcPct val="80000"/>
                </a:lnSpc>
              </a:pPr>
              <a:r>
                <a:rPr lang="pt-BR" sz="900" b="0">
                  <a:solidFill>
                    <a:schemeClr val="bg1"/>
                  </a:solidFill>
                  <a:latin typeface="Calibri Light" panose="020F0302020204030204" pitchFamily="34" charset="0"/>
                  <a:cs typeface="Arial" pitchFamily="34" charset="0"/>
                </a:rPr>
                <a:t>Combustão</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estacionária</a:t>
              </a:r>
            </a:p>
          </xdr:txBody>
        </xdr:sp>
        <xdr:sp macro="" textlink="">
          <xdr:nvSpPr>
            <xdr:cNvPr id="37" name="Retângulo de cantos arredondados 36">
              <a:hlinkClick xmlns:r="http://schemas.openxmlformats.org/officeDocument/2006/relationships" r:id="rId4"/>
              <a:extLst>
                <a:ext uri="{FF2B5EF4-FFF2-40B4-BE49-F238E27FC236}">
                  <a16:creationId xmlns="" xmlns:a16="http://schemas.microsoft.com/office/drawing/2014/main" id="{00000000-0008-0000-1100-000025000000}"/>
                </a:ext>
              </a:extLst>
            </xdr:cNvPr>
            <xdr:cNvSpPr/>
          </xdr:nvSpPr>
          <xdr:spPr bwMode="auto">
            <a:xfrm>
              <a:off x="5130292"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Combustão </a:t>
              </a:r>
            </a:p>
            <a:p>
              <a:pPr algn="ctr"/>
              <a:r>
                <a:rPr lang="pt-BR" sz="900" b="0">
                  <a:solidFill>
                    <a:schemeClr val="bg1"/>
                  </a:solidFill>
                  <a:latin typeface="Calibri Light" panose="020F0302020204030204" pitchFamily="34" charset="0"/>
                  <a:cs typeface="Arial" pitchFamily="34" charset="0"/>
                </a:rPr>
                <a:t>móvel</a:t>
              </a:r>
            </a:p>
          </xdr:txBody>
        </xdr:sp>
        <xdr:sp macro="" textlink="">
          <xdr:nvSpPr>
            <xdr:cNvPr id="38" name="Retângulo de cantos arredondados 37">
              <a:hlinkClick xmlns:r="http://schemas.openxmlformats.org/officeDocument/2006/relationships" r:id="rId5"/>
              <a:extLst>
                <a:ext uri="{FF2B5EF4-FFF2-40B4-BE49-F238E27FC236}">
                  <a16:creationId xmlns="" xmlns:a16="http://schemas.microsoft.com/office/drawing/2014/main" id="{00000000-0008-0000-1100-000026000000}"/>
                </a:ext>
              </a:extLst>
            </xdr:cNvPr>
            <xdr:cNvSpPr/>
          </xdr:nvSpPr>
          <xdr:spPr bwMode="auto">
            <a:xfrm>
              <a:off x="5932663"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Resumo</a:t>
              </a:r>
            </a:p>
          </xdr:txBody>
        </xdr:sp>
        <xdr:sp macro="" textlink="">
          <xdr:nvSpPr>
            <xdr:cNvPr id="39" name="Retângulo de cantos arredondados 38">
              <a:hlinkClick xmlns:r="http://schemas.openxmlformats.org/officeDocument/2006/relationships" r:id="rId6"/>
              <a:extLst>
                <a:ext uri="{FF2B5EF4-FFF2-40B4-BE49-F238E27FC236}">
                  <a16:creationId xmlns="" xmlns:a16="http://schemas.microsoft.com/office/drawing/2014/main" id="{00000000-0008-0000-1100-000027000000}"/>
                </a:ext>
              </a:extLst>
            </xdr:cNvPr>
            <xdr:cNvSpPr/>
          </xdr:nvSpPr>
          <xdr:spPr bwMode="auto">
            <a:xfrm>
              <a:off x="6719145"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Fatores </a:t>
              </a:r>
            </a:p>
            <a:p>
              <a:pPr algn="ctr"/>
              <a:r>
                <a:rPr lang="pt-BR" sz="900" b="0">
                  <a:latin typeface="Calibri Light" panose="020F0302020204030204" pitchFamily="34" charset="0"/>
                  <a:cs typeface="Arial" pitchFamily="34" charset="0"/>
                </a:rPr>
                <a:t>de emissão</a:t>
              </a:r>
            </a:p>
          </xdr:txBody>
        </xdr:sp>
        <xdr:sp macro="" textlink="">
          <xdr:nvSpPr>
            <xdr:cNvPr id="40" name="Fluxograma: Processo 39">
              <a:extLst>
                <a:ext uri="{FF2B5EF4-FFF2-40B4-BE49-F238E27FC236}">
                  <a16:creationId xmlns="" xmlns:a16="http://schemas.microsoft.com/office/drawing/2014/main" id="{00000000-0008-0000-1100-000028000000}"/>
                </a:ext>
              </a:extLst>
            </xdr:cNvPr>
            <xdr:cNvSpPr/>
          </xdr:nvSpPr>
          <xdr:spPr bwMode="auto">
            <a:xfrm>
              <a:off x="3604863" y="528178"/>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1</a:t>
              </a:r>
            </a:p>
          </xdr:txBody>
        </xdr:sp>
        <xdr:sp macro="" textlink="">
          <xdr:nvSpPr>
            <xdr:cNvPr id="41" name="Retângulo de cantos arredondados 40">
              <a:hlinkClick xmlns:r="http://schemas.openxmlformats.org/officeDocument/2006/relationships" r:id="rId7"/>
              <a:extLst>
                <a:ext uri="{FF2B5EF4-FFF2-40B4-BE49-F238E27FC236}">
                  <a16:creationId xmlns="" xmlns:a16="http://schemas.microsoft.com/office/drawing/2014/main" id="{00000000-0008-0000-1100-000029000000}"/>
                </a:ext>
              </a:extLst>
            </xdr:cNvPr>
            <xdr:cNvSpPr/>
          </xdr:nvSpPr>
          <xdr:spPr bwMode="auto">
            <a:xfrm>
              <a:off x="5927333"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00" b="0">
                  <a:solidFill>
                    <a:schemeClr val="bg1"/>
                  </a:solidFill>
                  <a:latin typeface="Calibri Light" panose="020F0302020204030204" pitchFamily="34" charset="0"/>
                  <a:cs typeface="Arial" pitchFamily="34" charset="0"/>
                </a:rPr>
                <a:t>Emissões </a:t>
              </a:r>
            </a:p>
            <a:p>
              <a:pPr algn="ctr"/>
              <a:r>
                <a:rPr lang="pt-BR" sz="800" b="0">
                  <a:solidFill>
                    <a:schemeClr val="bg1"/>
                  </a:solidFill>
                  <a:latin typeface="Calibri Light" panose="020F0302020204030204" pitchFamily="34" charset="0"/>
                  <a:cs typeface="Arial" pitchFamily="34" charset="0"/>
                </a:rPr>
                <a:t>fugitivas</a:t>
              </a:r>
            </a:p>
          </xdr:txBody>
        </xdr:sp>
        <xdr:sp macro="" textlink="">
          <xdr:nvSpPr>
            <xdr:cNvPr id="42" name="Retângulo de cantos arredondados 41">
              <a:hlinkClick xmlns:r="http://schemas.openxmlformats.org/officeDocument/2006/relationships" r:id="rId8"/>
              <a:extLst>
                <a:ext uri="{FF2B5EF4-FFF2-40B4-BE49-F238E27FC236}">
                  <a16:creationId xmlns="" xmlns:a16="http://schemas.microsoft.com/office/drawing/2014/main" id="{00000000-0008-0000-1100-00002A000000}"/>
                </a:ext>
              </a:extLst>
            </xdr:cNvPr>
            <xdr:cNvSpPr/>
          </xdr:nvSpPr>
          <xdr:spPr bwMode="auto">
            <a:xfrm>
              <a:off x="6724374"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Processos</a:t>
              </a:r>
              <a:r>
                <a:rPr lang="pt-BR" sz="900" b="0" baseline="0">
                  <a:solidFill>
                    <a:schemeClr val="bg1"/>
                  </a:solidFill>
                  <a:latin typeface="Calibri Light" panose="020F0302020204030204" pitchFamily="34" charset="0"/>
                  <a:cs typeface="Arial" pitchFamily="34" charset="0"/>
                </a:rPr>
                <a:t> industriais</a:t>
              </a:r>
              <a:endParaRPr lang="pt-BR" sz="900" b="0">
                <a:solidFill>
                  <a:schemeClr val="bg1"/>
                </a:solidFill>
                <a:latin typeface="Calibri Light" panose="020F0302020204030204" pitchFamily="34" charset="0"/>
                <a:cs typeface="Arial" pitchFamily="34" charset="0"/>
              </a:endParaRPr>
            </a:p>
          </xdr:txBody>
        </xdr:sp>
        <xdr:sp macro="" textlink="">
          <xdr:nvSpPr>
            <xdr:cNvPr id="43" name="Retângulo de cantos arredondados 43">
              <a:hlinkClick xmlns:r="http://schemas.openxmlformats.org/officeDocument/2006/relationships" r:id="rId9"/>
              <a:extLst>
                <a:ext uri="{FF2B5EF4-FFF2-40B4-BE49-F238E27FC236}">
                  <a16:creationId xmlns="" xmlns:a16="http://schemas.microsoft.com/office/drawing/2014/main" id="{00000000-0008-0000-1100-00002B000000}"/>
                </a:ext>
              </a:extLst>
            </xdr:cNvPr>
            <xdr:cNvSpPr/>
          </xdr:nvSpPr>
          <xdr:spPr bwMode="auto">
            <a:xfrm>
              <a:off x="8318456"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Resíduos</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sólidos</a:t>
              </a:r>
            </a:p>
          </xdr:txBody>
        </xdr:sp>
        <xdr:sp macro="" textlink="">
          <xdr:nvSpPr>
            <xdr:cNvPr id="44" name="Retângulo de cantos arredondados 44">
              <a:hlinkClick xmlns:r="http://schemas.openxmlformats.org/officeDocument/2006/relationships" r:id="rId10"/>
              <a:extLst>
                <a:ext uri="{FF2B5EF4-FFF2-40B4-BE49-F238E27FC236}">
                  <a16:creationId xmlns="" xmlns:a16="http://schemas.microsoft.com/office/drawing/2014/main" id="{00000000-0008-0000-1100-00002C000000}"/>
                </a:ext>
              </a:extLst>
            </xdr:cNvPr>
            <xdr:cNvSpPr/>
          </xdr:nvSpPr>
          <xdr:spPr bwMode="auto">
            <a:xfrm>
              <a:off x="433325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lnSpc>
                  <a:spcPct val="80000"/>
                </a:lnSpc>
              </a:pPr>
              <a:r>
                <a:rPr lang="pt-BR" sz="900" b="0">
                  <a:latin typeface="Calibri Light" panose="020F0302020204030204" pitchFamily="34" charset="0"/>
                  <a:cs typeface="Arial" pitchFamily="34" charset="0"/>
                </a:rPr>
                <a:t>Compra de Energia</a:t>
              </a:r>
              <a:r>
                <a:rPr lang="pt-BR" sz="900" b="0" baseline="0">
                  <a:latin typeface="Calibri Light" panose="020F0302020204030204" pitchFamily="34" charset="0"/>
                  <a:cs typeface="Arial" pitchFamily="34" charset="0"/>
                </a:rPr>
                <a:t> Elétrica</a:t>
              </a:r>
            </a:p>
          </xdr:txBody>
        </xdr:sp>
        <xdr:sp macro="" textlink="">
          <xdr:nvSpPr>
            <xdr:cNvPr id="45" name="Retângulo de cantos arredondados 45">
              <a:hlinkClick xmlns:r="http://schemas.openxmlformats.org/officeDocument/2006/relationships" r:id="rId11"/>
              <a:extLst>
                <a:ext uri="{FF2B5EF4-FFF2-40B4-BE49-F238E27FC236}">
                  <a16:creationId xmlns="" xmlns:a16="http://schemas.microsoft.com/office/drawing/2014/main" id="{00000000-0008-0000-1100-00002D000000}"/>
                </a:ext>
              </a:extLst>
            </xdr:cNvPr>
            <xdr:cNvSpPr/>
          </xdr:nvSpPr>
          <xdr:spPr bwMode="auto">
            <a:xfrm>
              <a:off x="513371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Compra de</a:t>
              </a:r>
              <a:r>
                <a:rPr lang="pt-BR" sz="900" b="0" baseline="0">
                  <a:latin typeface="Calibri Light" panose="020F0302020204030204" pitchFamily="34" charset="0"/>
                  <a:cs typeface="Arial" pitchFamily="34" charset="0"/>
                </a:rPr>
                <a:t> Energia Térmica</a:t>
              </a:r>
            </a:p>
          </xdr:txBody>
        </xdr:sp>
        <xdr:sp macro="" textlink="">
          <xdr:nvSpPr>
            <xdr:cNvPr id="46" name="Fluxograma: Processo 45">
              <a:extLst>
                <a:ext uri="{FF2B5EF4-FFF2-40B4-BE49-F238E27FC236}">
                  <a16:creationId xmlns="" xmlns:a16="http://schemas.microsoft.com/office/drawing/2014/main" id="{00000000-0008-0000-1100-00002E000000}"/>
                </a:ext>
              </a:extLst>
            </xdr:cNvPr>
            <xdr:cNvSpPr/>
          </xdr:nvSpPr>
          <xdr:spPr bwMode="auto">
            <a:xfrm>
              <a:off x="3604863" y="909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2</a:t>
              </a:r>
            </a:p>
          </xdr:txBody>
        </xdr:sp>
        <xdr:sp macro="" textlink="">
          <xdr:nvSpPr>
            <xdr:cNvPr id="47" name="Fluxograma: Processo 46">
              <a:extLst>
                <a:ext uri="{FF2B5EF4-FFF2-40B4-BE49-F238E27FC236}">
                  <a16:creationId xmlns="" xmlns:a16="http://schemas.microsoft.com/office/drawing/2014/main" id="{00000000-0008-0000-1100-00002F000000}"/>
                </a:ext>
              </a:extLst>
            </xdr:cNvPr>
            <xdr:cNvSpPr/>
          </xdr:nvSpPr>
          <xdr:spPr bwMode="auto">
            <a:xfrm>
              <a:off x="3604863" y="1290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3</a:t>
              </a:r>
            </a:p>
          </xdr:txBody>
        </xdr:sp>
        <xdr:sp macro="" textlink="">
          <xdr:nvSpPr>
            <xdr:cNvPr id="48" name="Retângulo de cantos arredondados 48">
              <a:hlinkClick xmlns:r="http://schemas.openxmlformats.org/officeDocument/2006/relationships" r:id="rId12"/>
              <a:extLst>
                <a:ext uri="{FF2B5EF4-FFF2-40B4-BE49-F238E27FC236}">
                  <a16:creationId xmlns="" xmlns:a16="http://schemas.microsoft.com/office/drawing/2014/main" id="{00000000-0008-0000-1100-000030000000}"/>
                </a:ext>
              </a:extLst>
            </xdr:cNvPr>
            <xdr:cNvSpPr/>
          </xdr:nvSpPr>
          <xdr:spPr bwMode="auto">
            <a:xfrm>
              <a:off x="433325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lnSpc>
                  <a:spcPct val="80000"/>
                </a:lnSpc>
              </a:pPr>
              <a:r>
                <a:rPr lang="pt-BR" sz="900" b="0">
                  <a:solidFill>
                    <a:schemeClr val="bg1">
                      <a:lumMod val="50000"/>
                    </a:schemeClr>
                  </a:solidFill>
                  <a:latin typeface="Calibri Light" panose="020F0302020204030204" pitchFamily="34" charset="0"/>
                  <a:cs typeface="Arial" pitchFamily="34" charset="0"/>
                </a:rPr>
                <a:t>Categorias de Âmbito 3</a:t>
              </a:r>
              <a:endParaRPr lang="pt-BR" sz="900" b="0" baseline="0">
                <a:solidFill>
                  <a:schemeClr val="bg1">
                    <a:lumMod val="50000"/>
                  </a:schemeClr>
                </a:solidFill>
                <a:latin typeface="Calibri Light" panose="020F0302020204030204" pitchFamily="34" charset="0"/>
                <a:cs typeface="Arial" pitchFamily="34" charset="0"/>
              </a:endParaRPr>
            </a:p>
          </xdr:txBody>
        </xdr:sp>
        <xdr:sp macro="" textlink="">
          <xdr:nvSpPr>
            <xdr:cNvPr id="49" name="Retângulo de cantos arredondados 49">
              <a:hlinkClick xmlns:r="http://schemas.openxmlformats.org/officeDocument/2006/relationships" r:id="rId13"/>
              <a:extLst>
                <a:ext uri="{FF2B5EF4-FFF2-40B4-BE49-F238E27FC236}">
                  <a16:creationId xmlns="" xmlns:a16="http://schemas.microsoft.com/office/drawing/2014/main" id="{00000000-0008-0000-1100-000031000000}"/>
                </a:ext>
              </a:extLst>
            </xdr:cNvPr>
            <xdr:cNvSpPr/>
          </xdr:nvSpPr>
          <xdr:spPr bwMode="auto">
            <a:xfrm>
              <a:off x="5925918"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Resíduos sólidos gerados na operação</a:t>
              </a:r>
            </a:p>
          </xdr:txBody>
        </xdr:sp>
        <xdr:sp macro="" textlink="">
          <xdr:nvSpPr>
            <xdr:cNvPr id="50" name="Retângulo de cantos arredondados 50">
              <a:hlinkClick xmlns:r="http://schemas.openxmlformats.org/officeDocument/2006/relationships" r:id="rId14"/>
              <a:extLst>
                <a:ext uri="{FF2B5EF4-FFF2-40B4-BE49-F238E27FC236}">
                  <a16:creationId xmlns="" xmlns:a16="http://schemas.microsoft.com/office/drawing/2014/main" id="{00000000-0008-0000-1100-000032000000}"/>
                </a:ext>
              </a:extLst>
            </xdr:cNvPr>
            <xdr:cNvSpPr/>
          </xdr:nvSpPr>
          <xdr:spPr bwMode="auto">
            <a:xfrm>
              <a:off x="6722959"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Efluentes gerados na operação</a:t>
              </a:r>
            </a:p>
          </xdr:txBody>
        </xdr:sp>
        <xdr:sp macro="" textlink="">
          <xdr:nvSpPr>
            <xdr:cNvPr id="51" name="Retângulo de cantos arredondados 51">
              <a:hlinkClick xmlns:r="http://schemas.openxmlformats.org/officeDocument/2006/relationships" r:id="rId15"/>
              <a:extLst>
                <a:ext uri="{FF2B5EF4-FFF2-40B4-BE49-F238E27FC236}">
                  <a16:creationId xmlns="" xmlns:a16="http://schemas.microsoft.com/office/drawing/2014/main" id="{00000000-0008-0000-1100-000033000000}"/>
                </a:ext>
              </a:extLst>
            </xdr:cNvPr>
            <xdr:cNvSpPr/>
          </xdr:nvSpPr>
          <xdr:spPr bwMode="auto">
            <a:xfrm>
              <a:off x="831704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(downstream)</a:t>
              </a:r>
            </a:p>
          </xdr:txBody>
        </xdr:sp>
        <xdr:sp macro="" textlink="">
          <xdr:nvSpPr>
            <xdr:cNvPr id="52" name="Retângulo de cantos arredondados 52">
              <a:hlinkClick xmlns:r="http://schemas.openxmlformats.org/officeDocument/2006/relationships" r:id="rId16"/>
              <a:extLst>
                <a:ext uri="{FF2B5EF4-FFF2-40B4-BE49-F238E27FC236}">
                  <a16:creationId xmlns="" xmlns:a16="http://schemas.microsoft.com/office/drawing/2014/main" id="{00000000-0008-0000-1100-000034000000}"/>
                </a:ext>
              </a:extLst>
            </xdr:cNvPr>
            <xdr:cNvSpPr/>
          </xdr:nvSpPr>
          <xdr:spPr bwMode="auto">
            <a:xfrm>
              <a:off x="5135994" y="1228723"/>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(upstream)</a:t>
              </a:r>
            </a:p>
          </xdr:txBody>
        </xdr:sp>
        <xdr:sp macro="" textlink="">
          <xdr:nvSpPr>
            <xdr:cNvPr id="53" name="Retângulo de cantos arredondados 54">
              <a:hlinkClick xmlns:r="http://schemas.openxmlformats.org/officeDocument/2006/relationships" r:id="rId17"/>
              <a:extLst>
                <a:ext uri="{FF2B5EF4-FFF2-40B4-BE49-F238E27FC236}">
                  <a16:creationId xmlns="" xmlns:a16="http://schemas.microsoft.com/office/drawing/2014/main" id="{00000000-0008-0000-1100-000035000000}"/>
                </a:ext>
              </a:extLst>
            </xdr:cNvPr>
            <xdr:cNvSpPr/>
          </xdr:nvSpPr>
          <xdr:spPr bwMode="auto">
            <a:xfrm>
              <a:off x="9115497"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Efluentes</a:t>
              </a:r>
            </a:p>
          </xdr:txBody>
        </xdr:sp>
        <xdr:sp macro="" textlink="">
          <xdr:nvSpPr>
            <xdr:cNvPr id="54" name="Retângulo de cantos arredondados 56">
              <a:hlinkClick xmlns:r="http://schemas.openxmlformats.org/officeDocument/2006/relationships" r:id="rId18"/>
              <a:extLst>
                <a:ext uri="{FF2B5EF4-FFF2-40B4-BE49-F238E27FC236}">
                  <a16:creationId xmlns="" xmlns:a16="http://schemas.microsoft.com/office/drawing/2014/main" id="{00000000-0008-0000-1100-000036000000}"/>
                </a:ext>
              </a:extLst>
            </xdr:cNvPr>
            <xdr:cNvSpPr/>
          </xdr:nvSpPr>
          <xdr:spPr bwMode="auto">
            <a:xfrm>
              <a:off x="7526519"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Conversão de unidades</a:t>
              </a:r>
            </a:p>
          </xdr:txBody>
        </xdr:sp>
        <xdr:sp macro="" textlink="">
          <xdr:nvSpPr>
            <xdr:cNvPr id="81" name="Retângulo de cantos arredondados 58">
              <a:hlinkClick xmlns:r="http://schemas.openxmlformats.org/officeDocument/2006/relationships" r:id="rId19"/>
              <a:extLst>
                <a:ext uri="{FF2B5EF4-FFF2-40B4-BE49-F238E27FC236}">
                  <a16:creationId xmlns="" xmlns:a16="http://schemas.microsoft.com/office/drawing/2014/main" id="{00000000-0008-0000-1100-000051000000}"/>
                </a:ext>
              </a:extLst>
            </xdr:cNvPr>
            <xdr:cNvSpPr/>
          </xdr:nvSpPr>
          <xdr:spPr bwMode="auto">
            <a:xfrm>
              <a:off x="7520000"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r>
                <a:rPr lang="pt-BR" sz="900" b="0">
                  <a:solidFill>
                    <a:schemeClr val="bg1">
                      <a:lumMod val="50000"/>
                    </a:schemeClr>
                  </a:solidFill>
                  <a:latin typeface="Calibri Light" panose="020F0302020204030204" pitchFamily="34" charset="0"/>
                  <a:cs typeface="Arial" pitchFamily="34" charset="0"/>
                </a:rPr>
                <a:t>Viagens a negócios</a:t>
              </a:r>
            </a:p>
          </xdr:txBody>
        </xdr:sp>
        <xdr:sp macro="" textlink="">
          <xdr:nvSpPr>
            <xdr:cNvPr id="82" name="Fluxograma: Processo 59">
              <a:extLst>
                <a:ext uri="{FF2B5EF4-FFF2-40B4-BE49-F238E27FC236}">
                  <a16:creationId xmlns="" xmlns:a16="http://schemas.microsoft.com/office/drawing/2014/main" id="{00000000-0008-0000-1100-000052000000}"/>
                </a:ext>
              </a:extLst>
            </xdr:cNvPr>
            <xdr:cNvSpPr/>
          </xdr:nvSpPr>
          <xdr:spPr bwMode="auto">
            <a:xfrm>
              <a:off x="3604863" y="156702"/>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Geral</a:t>
              </a:r>
            </a:p>
          </xdr:txBody>
        </xdr:sp>
      </xdr:grpSp>
      <xdr:sp macro="" textlink="">
        <xdr:nvSpPr>
          <xdr:cNvPr id="32" name="Retângulo de cantos arredondados 37">
            <a:hlinkClick xmlns:r="http://schemas.openxmlformats.org/officeDocument/2006/relationships" r:id="rId20"/>
            <a:extLst>
              <a:ext uri="{FF2B5EF4-FFF2-40B4-BE49-F238E27FC236}">
                <a16:creationId xmlns="" xmlns:a16="http://schemas.microsoft.com/office/drawing/2014/main" id="{00000000-0008-0000-1100-000020000000}"/>
              </a:ext>
            </a:extLst>
          </xdr:cNvPr>
          <xdr:cNvSpPr/>
        </xdr:nvSpPr>
        <xdr:spPr bwMode="auto">
          <a:xfrm>
            <a:off x="4696884" y="162983"/>
            <a:ext cx="774700" cy="31873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sp macro="" textlink="">
        <xdr:nvSpPr>
          <xdr:cNvPr id="33" name="Retângulo de cantos arredondados 42">
            <a:hlinkClick xmlns:r="http://schemas.openxmlformats.org/officeDocument/2006/relationships" r:id="rId21"/>
            <a:extLst>
              <a:ext uri="{FF2B5EF4-FFF2-40B4-BE49-F238E27FC236}">
                <a16:creationId xmlns="" xmlns:a16="http://schemas.microsoft.com/office/drawing/2014/main" id="{00000000-0008-0000-1100-000021000000}"/>
              </a:ext>
            </a:extLst>
          </xdr:cNvPr>
          <xdr:cNvSpPr/>
        </xdr:nvSpPr>
        <xdr:spPr bwMode="auto">
          <a:xfrm>
            <a:off x="7125758" y="522817"/>
            <a:ext cx="758825" cy="318738"/>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50" b="0">
                <a:solidFill>
                  <a:schemeClr val="bg1"/>
                </a:solidFill>
                <a:latin typeface="Calibri Light" panose="020F0302020204030204" pitchFamily="34" charset="0"/>
                <a:cs typeface="Arial" pitchFamily="34" charset="0"/>
              </a:rPr>
              <a:t>Agrícolas e alt. do uso do solo</a:t>
            </a:r>
            <a:endParaRPr lang="pt-BR" sz="850" b="0" baseline="0">
              <a:solidFill>
                <a:schemeClr val="bg1"/>
              </a:solidFill>
              <a:latin typeface="Calibri Light" panose="020F0302020204030204" pitchFamily="34" charset="0"/>
              <a:cs typeface="Arial" pitchFamily="34" charset="0"/>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846666</xdr:colOff>
      <xdr:row>5</xdr:row>
      <xdr:rowOff>83544</xdr:rowOff>
    </xdr:to>
    <xdr:pic>
      <xdr:nvPicPr>
        <xdr:cNvPr id="33" name="Imagem 32">
          <a:extLst>
            <a:ext uri="{FF2B5EF4-FFF2-40B4-BE49-F238E27FC236}">
              <a16:creationId xmlns="" xmlns:a16="http://schemas.microsoft.com/office/drawing/2014/main" id="{00000000-0008-0000-12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741083" cy="1057210"/>
        </a:xfrm>
        <a:prstGeom prst="rect">
          <a:avLst/>
        </a:prstGeom>
      </xdr:spPr>
    </xdr:pic>
    <xdr:clientData/>
  </xdr:twoCellAnchor>
  <xdr:twoCellAnchor>
    <xdr:from>
      <xdr:col>2</xdr:col>
      <xdr:colOff>857250</xdr:colOff>
      <xdr:row>0</xdr:row>
      <xdr:rowOff>63499</xdr:rowOff>
    </xdr:from>
    <xdr:to>
      <xdr:col>6</xdr:col>
      <xdr:colOff>1283198</xdr:colOff>
      <xdr:row>9</xdr:row>
      <xdr:rowOff>36125</xdr:rowOff>
    </xdr:to>
    <xdr:grpSp>
      <xdr:nvGrpSpPr>
        <xdr:cNvPr id="35" name="Grupo 34">
          <a:extLst>
            <a:ext uri="{FF2B5EF4-FFF2-40B4-BE49-F238E27FC236}">
              <a16:creationId xmlns="" xmlns:a16="http://schemas.microsoft.com/office/drawing/2014/main" id="{00000000-0008-0000-1200-000023000000}"/>
            </a:ext>
          </a:extLst>
        </xdr:cNvPr>
        <xdr:cNvGrpSpPr/>
      </xdr:nvGrpSpPr>
      <xdr:grpSpPr>
        <a:xfrm>
          <a:off x="2746375" y="63499"/>
          <a:ext cx="7283948" cy="1798251"/>
          <a:chOff x="3069167" y="114300"/>
          <a:chExt cx="7283948" cy="1549543"/>
        </a:xfrm>
      </xdr:grpSpPr>
      <xdr:grpSp>
        <xdr:nvGrpSpPr>
          <xdr:cNvPr id="36" name="Group 32">
            <a:extLst>
              <a:ext uri="{FF2B5EF4-FFF2-40B4-BE49-F238E27FC236}">
                <a16:creationId xmlns="" xmlns:a16="http://schemas.microsoft.com/office/drawing/2014/main" id="{00000000-0008-0000-1200-000024000000}"/>
              </a:ext>
            </a:extLst>
          </xdr:cNvPr>
          <xdr:cNvGrpSpPr/>
        </xdr:nvGrpSpPr>
        <xdr:grpSpPr>
          <a:xfrm>
            <a:off x="3069167" y="114300"/>
            <a:ext cx="7283948" cy="1549543"/>
            <a:chOff x="3514726" y="52774"/>
            <a:chExt cx="7219950" cy="1576001"/>
          </a:xfrm>
        </xdr:grpSpPr>
        <xdr:sp macro="" textlink="">
          <xdr:nvSpPr>
            <xdr:cNvPr id="39" name="Fluxograma: Processo 60">
              <a:extLst>
                <a:ext uri="{FF2B5EF4-FFF2-40B4-BE49-F238E27FC236}">
                  <a16:creationId xmlns="" xmlns:a16="http://schemas.microsoft.com/office/drawing/2014/main" id="{00000000-0008-0000-1200-000027000000}"/>
                </a:ext>
              </a:extLst>
            </xdr:cNvPr>
            <xdr:cNvSpPr>
              <a:spLocks noChangeArrowheads="1"/>
            </xdr:cNvSpPr>
          </xdr:nvSpPr>
          <xdr:spPr bwMode="auto">
            <a:xfrm>
              <a:off x="3514726" y="52774"/>
              <a:ext cx="7219950" cy="1576001"/>
            </a:xfrm>
            <a:prstGeom prst="flowChartProcess">
              <a:avLst/>
            </a:prstGeom>
            <a:solidFill>
              <a:schemeClr val="accent1">
                <a:lumMod val="20000"/>
                <a:lumOff val="80000"/>
              </a:schemeClr>
            </a:solidFill>
            <a:ln w="19050" algn="ctr">
              <a:solidFill>
                <a:schemeClr val="accent1"/>
              </a:solidFill>
              <a:round/>
              <a:headEnd/>
              <a:tailEnd/>
            </a:ln>
            <a:effectLst/>
          </xdr:spPr>
          <xdr:txBody>
            <a:bodyPr/>
            <a:lstStyle/>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r>
                <a:rPr lang="pt-BR" sz="1400" b="1">
                  <a:latin typeface="Calibri Light" panose="020F0302020204030204" pitchFamily="34" charset="0"/>
                </a:rPr>
                <a:t>Menu de </a:t>
              </a:r>
            </a:p>
            <a:p>
              <a:pPr algn="r"/>
              <a:r>
                <a:rPr lang="pt-BR" sz="1400" b="1">
                  <a:latin typeface="Calibri Light" panose="020F0302020204030204" pitchFamily="34" charset="0"/>
                </a:rPr>
                <a:t>navegação</a:t>
              </a:r>
            </a:p>
          </xdr:txBody>
        </xdr:sp>
        <xdr:sp macro="" textlink="">
          <xdr:nvSpPr>
            <xdr:cNvPr id="40" name="Retângulo de cantos arredondados 34">
              <a:hlinkClick xmlns:r="http://schemas.openxmlformats.org/officeDocument/2006/relationships" r:id="rId2"/>
              <a:extLst>
                <a:ext uri="{FF2B5EF4-FFF2-40B4-BE49-F238E27FC236}">
                  <a16:creationId xmlns="" xmlns:a16="http://schemas.microsoft.com/office/drawing/2014/main" id="{00000000-0008-0000-1200-000028000000}"/>
                </a:ext>
              </a:extLst>
            </xdr:cNvPr>
            <xdr:cNvSpPr/>
          </xdr:nvSpPr>
          <xdr:spPr bwMode="auto">
            <a:xfrm>
              <a:off x="4333251"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Introdução</a:t>
              </a:r>
            </a:p>
          </xdr:txBody>
        </xdr:sp>
        <xdr:sp macro="" textlink="">
          <xdr:nvSpPr>
            <xdr:cNvPr id="41" name="Retângulo de cantos arredondados 35">
              <a:hlinkClick xmlns:r="http://schemas.openxmlformats.org/officeDocument/2006/relationships" r:id="rId3"/>
              <a:extLst>
                <a:ext uri="{FF2B5EF4-FFF2-40B4-BE49-F238E27FC236}">
                  <a16:creationId xmlns="" xmlns:a16="http://schemas.microsoft.com/office/drawing/2014/main" id="{00000000-0008-0000-1200-000029000000}"/>
                </a:ext>
              </a:extLst>
            </xdr:cNvPr>
            <xdr:cNvSpPr/>
          </xdr:nvSpPr>
          <xdr:spPr bwMode="auto">
            <a:xfrm>
              <a:off x="4333251"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lnSpc>
                  <a:spcPct val="80000"/>
                </a:lnSpc>
              </a:pPr>
              <a:r>
                <a:rPr lang="pt-BR" sz="900" b="0">
                  <a:solidFill>
                    <a:schemeClr val="bg1"/>
                  </a:solidFill>
                  <a:latin typeface="Calibri Light" panose="020F0302020204030204" pitchFamily="34" charset="0"/>
                  <a:cs typeface="Arial" pitchFamily="34" charset="0"/>
                </a:rPr>
                <a:t>Combustão</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estacionária</a:t>
              </a:r>
            </a:p>
          </xdr:txBody>
        </xdr:sp>
        <xdr:sp macro="" textlink="">
          <xdr:nvSpPr>
            <xdr:cNvPr id="42" name="Retângulo de cantos arredondados 36">
              <a:hlinkClick xmlns:r="http://schemas.openxmlformats.org/officeDocument/2006/relationships" r:id="rId4"/>
              <a:extLst>
                <a:ext uri="{FF2B5EF4-FFF2-40B4-BE49-F238E27FC236}">
                  <a16:creationId xmlns="" xmlns:a16="http://schemas.microsoft.com/office/drawing/2014/main" id="{00000000-0008-0000-1200-00002A000000}"/>
                </a:ext>
              </a:extLst>
            </xdr:cNvPr>
            <xdr:cNvSpPr/>
          </xdr:nvSpPr>
          <xdr:spPr bwMode="auto">
            <a:xfrm>
              <a:off x="5130292"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Combustão </a:t>
              </a:r>
            </a:p>
            <a:p>
              <a:pPr algn="ctr"/>
              <a:r>
                <a:rPr lang="pt-BR" sz="900" b="0">
                  <a:solidFill>
                    <a:schemeClr val="bg1"/>
                  </a:solidFill>
                  <a:latin typeface="Calibri Light" panose="020F0302020204030204" pitchFamily="34" charset="0"/>
                  <a:cs typeface="Arial" pitchFamily="34" charset="0"/>
                </a:rPr>
                <a:t>móvel</a:t>
              </a:r>
            </a:p>
          </xdr:txBody>
        </xdr:sp>
        <xdr:sp macro="" textlink="">
          <xdr:nvSpPr>
            <xdr:cNvPr id="43" name="Retângulo de cantos arredondados 37">
              <a:hlinkClick xmlns:r="http://schemas.openxmlformats.org/officeDocument/2006/relationships" r:id="rId5"/>
              <a:extLst>
                <a:ext uri="{FF2B5EF4-FFF2-40B4-BE49-F238E27FC236}">
                  <a16:creationId xmlns="" xmlns:a16="http://schemas.microsoft.com/office/drawing/2014/main" id="{00000000-0008-0000-1200-00002B000000}"/>
                </a:ext>
              </a:extLst>
            </xdr:cNvPr>
            <xdr:cNvSpPr/>
          </xdr:nvSpPr>
          <xdr:spPr bwMode="auto">
            <a:xfrm>
              <a:off x="5932663"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Resumo</a:t>
              </a:r>
            </a:p>
          </xdr:txBody>
        </xdr:sp>
        <xdr:sp macro="" textlink="">
          <xdr:nvSpPr>
            <xdr:cNvPr id="44" name="Retângulo de cantos arredondados 38">
              <a:hlinkClick xmlns:r="http://schemas.openxmlformats.org/officeDocument/2006/relationships" r:id="rId6"/>
              <a:extLst>
                <a:ext uri="{FF2B5EF4-FFF2-40B4-BE49-F238E27FC236}">
                  <a16:creationId xmlns="" xmlns:a16="http://schemas.microsoft.com/office/drawing/2014/main" id="{00000000-0008-0000-1200-00002C000000}"/>
                </a:ext>
              </a:extLst>
            </xdr:cNvPr>
            <xdr:cNvSpPr/>
          </xdr:nvSpPr>
          <xdr:spPr bwMode="auto">
            <a:xfrm>
              <a:off x="6719145"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Fatores </a:t>
              </a:r>
            </a:p>
            <a:p>
              <a:pPr algn="ctr"/>
              <a:r>
                <a:rPr lang="pt-BR" sz="900" b="0">
                  <a:latin typeface="Calibri Light" panose="020F0302020204030204" pitchFamily="34" charset="0"/>
                  <a:cs typeface="Arial" pitchFamily="34" charset="0"/>
                </a:rPr>
                <a:t>de emissão</a:t>
              </a:r>
            </a:p>
          </xdr:txBody>
        </xdr:sp>
        <xdr:sp macro="" textlink="">
          <xdr:nvSpPr>
            <xdr:cNvPr id="45" name="Fluxograma: Processo 39">
              <a:extLst>
                <a:ext uri="{FF2B5EF4-FFF2-40B4-BE49-F238E27FC236}">
                  <a16:creationId xmlns="" xmlns:a16="http://schemas.microsoft.com/office/drawing/2014/main" id="{00000000-0008-0000-1200-00002D000000}"/>
                </a:ext>
              </a:extLst>
            </xdr:cNvPr>
            <xdr:cNvSpPr/>
          </xdr:nvSpPr>
          <xdr:spPr bwMode="auto">
            <a:xfrm>
              <a:off x="3604863" y="528178"/>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1</a:t>
              </a:r>
            </a:p>
          </xdr:txBody>
        </xdr:sp>
        <xdr:sp macro="" textlink="">
          <xdr:nvSpPr>
            <xdr:cNvPr id="46" name="Retângulo de cantos arredondados 40">
              <a:hlinkClick xmlns:r="http://schemas.openxmlformats.org/officeDocument/2006/relationships" r:id="rId7"/>
              <a:extLst>
                <a:ext uri="{FF2B5EF4-FFF2-40B4-BE49-F238E27FC236}">
                  <a16:creationId xmlns="" xmlns:a16="http://schemas.microsoft.com/office/drawing/2014/main" id="{00000000-0008-0000-1200-00002E000000}"/>
                </a:ext>
              </a:extLst>
            </xdr:cNvPr>
            <xdr:cNvSpPr/>
          </xdr:nvSpPr>
          <xdr:spPr bwMode="auto">
            <a:xfrm>
              <a:off x="5927333"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00" b="0">
                  <a:solidFill>
                    <a:schemeClr val="bg1"/>
                  </a:solidFill>
                  <a:latin typeface="Calibri Light" panose="020F0302020204030204" pitchFamily="34" charset="0"/>
                  <a:cs typeface="Arial" pitchFamily="34" charset="0"/>
                </a:rPr>
                <a:t>Emissões </a:t>
              </a:r>
            </a:p>
            <a:p>
              <a:pPr algn="ctr"/>
              <a:r>
                <a:rPr lang="pt-BR" sz="800" b="0">
                  <a:solidFill>
                    <a:schemeClr val="bg1"/>
                  </a:solidFill>
                  <a:latin typeface="Calibri Light" panose="020F0302020204030204" pitchFamily="34" charset="0"/>
                  <a:cs typeface="Arial" pitchFamily="34" charset="0"/>
                </a:rPr>
                <a:t>fugitivas</a:t>
              </a:r>
            </a:p>
          </xdr:txBody>
        </xdr:sp>
        <xdr:sp macro="" textlink="">
          <xdr:nvSpPr>
            <xdr:cNvPr id="47" name="Retângulo de cantos arredondados 41">
              <a:hlinkClick xmlns:r="http://schemas.openxmlformats.org/officeDocument/2006/relationships" r:id="rId8"/>
              <a:extLst>
                <a:ext uri="{FF2B5EF4-FFF2-40B4-BE49-F238E27FC236}">
                  <a16:creationId xmlns="" xmlns:a16="http://schemas.microsoft.com/office/drawing/2014/main" id="{00000000-0008-0000-1200-00002F000000}"/>
                </a:ext>
              </a:extLst>
            </xdr:cNvPr>
            <xdr:cNvSpPr/>
          </xdr:nvSpPr>
          <xdr:spPr bwMode="auto">
            <a:xfrm>
              <a:off x="6724374"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Processos</a:t>
              </a:r>
              <a:r>
                <a:rPr lang="pt-BR" sz="900" b="0" baseline="0">
                  <a:solidFill>
                    <a:schemeClr val="bg1"/>
                  </a:solidFill>
                  <a:latin typeface="Calibri Light" panose="020F0302020204030204" pitchFamily="34" charset="0"/>
                  <a:cs typeface="Arial" pitchFamily="34" charset="0"/>
                </a:rPr>
                <a:t> industriais</a:t>
              </a:r>
              <a:endParaRPr lang="pt-BR" sz="900" b="0">
                <a:solidFill>
                  <a:schemeClr val="bg1"/>
                </a:solidFill>
                <a:latin typeface="Calibri Light" panose="020F0302020204030204" pitchFamily="34" charset="0"/>
                <a:cs typeface="Arial" pitchFamily="34" charset="0"/>
              </a:endParaRPr>
            </a:p>
          </xdr:txBody>
        </xdr:sp>
        <xdr:sp macro="" textlink="">
          <xdr:nvSpPr>
            <xdr:cNvPr id="48" name="Retângulo de cantos arredondados 43">
              <a:hlinkClick xmlns:r="http://schemas.openxmlformats.org/officeDocument/2006/relationships" r:id="rId9"/>
              <a:extLst>
                <a:ext uri="{FF2B5EF4-FFF2-40B4-BE49-F238E27FC236}">
                  <a16:creationId xmlns="" xmlns:a16="http://schemas.microsoft.com/office/drawing/2014/main" id="{00000000-0008-0000-1200-000030000000}"/>
                </a:ext>
              </a:extLst>
            </xdr:cNvPr>
            <xdr:cNvSpPr/>
          </xdr:nvSpPr>
          <xdr:spPr bwMode="auto">
            <a:xfrm>
              <a:off x="8318456"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Resíduos</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sólidos</a:t>
              </a:r>
            </a:p>
          </xdr:txBody>
        </xdr:sp>
        <xdr:sp macro="" textlink="">
          <xdr:nvSpPr>
            <xdr:cNvPr id="49" name="Retângulo de cantos arredondados 44">
              <a:hlinkClick xmlns:r="http://schemas.openxmlformats.org/officeDocument/2006/relationships" r:id="rId10"/>
              <a:extLst>
                <a:ext uri="{FF2B5EF4-FFF2-40B4-BE49-F238E27FC236}">
                  <a16:creationId xmlns="" xmlns:a16="http://schemas.microsoft.com/office/drawing/2014/main" id="{00000000-0008-0000-1200-000031000000}"/>
                </a:ext>
              </a:extLst>
            </xdr:cNvPr>
            <xdr:cNvSpPr/>
          </xdr:nvSpPr>
          <xdr:spPr bwMode="auto">
            <a:xfrm>
              <a:off x="433325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lnSpc>
                  <a:spcPct val="80000"/>
                </a:lnSpc>
              </a:pPr>
              <a:r>
                <a:rPr lang="pt-BR" sz="900" b="0">
                  <a:latin typeface="Calibri Light" panose="020F0302020204030204" pitchFamily="34" charset="0"/>
                  <a:cs typeface="Arial" pitchFamily="34" charset="0"/>
                </a:rPr>
                <a:t>Compra de Energia</a:t>
              </a:r>
              <a:r>
                <a:rPr lang="pt-BR" sz="900" b="0" baseline="0">
                  <a:latin typeface="Calibri Light" panose="020F0302020204030204" pitchFamily="34" charset="0"/>
                  <a:cs typeface="Arial" pitchFamily="34" charset="0"/>
                </a:rPr>
                <a:t> Elétrica</a:t>
              </a:r>
            </a:p>
          </xdr:txBody>
        </xdr:sp>
        <xdr:sp macro="" textlink="">
          <xdr:nvSpPr>
            <xdr:cNvPr id="50" name="Retângulo de cantos arredondados 45">
              <a:hlinkClick xmlns:r="http://schemas.openxmlformats.org/officeDocument/2006/relationships" r:id="rId11"/>
              <a:extLst>
                <a:ext uri="{FF2B5EF4-FFF2-40B4-BE49-F238E27FC236}">
                  <a16:creationId xmlns="" xmlns:a16="http://schemas.microsoft.com/office/drawing/2014/main" id="{00000000-0008-0000-1200-000032000000}"/>
                </a:ext>
              </a:extLst>
            </xdr:cNvPr>
            <xdr:cNvSpPr/>
          </xdr:nvSpPr>
          <xdr:spPr bwMode="auto">
            <a:xfrm>
              <a:off x="513371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Compra de</a:t>
              </a:r>
              <a:r>
                <a:rPr lang="pt-BR" sz="900" b="0" baseline="0">
                  <a:latin typeface="Calibri Light" panose="020F0302020204030204" pitchFamily="34" charset="0"/>
                  <a:cs typeface="Arial" pitchFamily="34" charset="0"/>
                </a:rPr>
                <a:t> Energia Térmica</a:t>
              </a:r>
            </a:p>
          </xdr:txBody>
        </xdr:sp>
        <xdr:sp macro="" textlink="">
          <xdr:nvSpPr>
            <xdr:cNvPr id="51" name="Fluxograma: Processo 50">
              <a:extLst>
                <a:ext uri="{FF2B5EF4-FFF2-40B4-BE49-F238E27FC236}">
                  <a16:creationId xmlns="" xmlns:a16="http://schemas.microsoft.com/office/drawing/2014/main" id="{00000000-0008-0000-1200-000033000000}"/>
                </a:ext>
              </a:extLst>
            </xdr:cNvPr>
            <xdr:cNvSpPr/>
          </xdr:nvSpPr>
          <xdr:spPr bwMode="auto">
            <a:xfrm>
              <a:off x="3604863" y="909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2</a:t>
              </a:r>
            </a:p>
          </xdr:txBody>
        </xdr:sp>
        <xdr:sp macro="" textlink="">
          <xdr:nvSpPr>
            <xdr:cNvPr id="52" name="Fluxograma: Processo 51">
              <a:extLst>
                <a:ext uri="{FF2B5EF4-FFF2-40B4-BE49-F238E27FC236}">
                  <a16:creationId xmlns="" xmlns:a16="http://schemas.microsoft.com/office/drawing/2014/main" id="{00000000-0008-0000-1200-000034000000}"/>
                </a:ext>
              </a:extLst>
            </xdr:cNvPr>
            <xdr:cNvSpPr/>
          </xdr:nvSpPr>
          <xdr:spPr bwMode="auto">
            <a:xfrm>
              <a:off x="3604863" y="1290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3</a:t>
              </a:r>
            </a:p>
          </xdr:txBody>
        </xdr:sp>
        <xdr:sp macro="" textlink="">
          <xdr:nvSpPr>
            <xdr:cNvPr id="53" name="Retângulo de cantos arredondados 48">
              <a:hlinkClick xmlns:r="http://schemas.openxmlformats.org/officeDocument/2006/relationships" r:id="rId12"/>
              <a:extLst>
                <a:ext uri="{FF2B5EF4-FFF2-40B4-BE49-F238E27FC236}">
                  <a16:creationId xmlns="" xmlns:a16="http://schemas.microsoft.com/office/drawing/2014/main" id="{00000000-0008-0000-1200-000035000000}"/>
                </a:ext>
              </a:extLst>
            </xdr:cNvPr>
            <xdr:cNvSpPr/>
          </xdr:nvSpPr>
          <xdr:spPr bwMode="auto">
            <a:xfrm>
              <a:off x="433325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lnSpc>
                  <a:spcPct val="80000"/>
                </a:lnSpc>
              </a:pPr>
              <a:r>
                <a:rPr lang="pt-BR" sz="900" b="0">
                  <a:solidFill>
                    <a:schemeClr val="bg1">
                      <a:lumMod val="50000"/>
                    </a:schemeClr>
                  </a:solidFill>
                  <a:latin typeface="Calibri Light" panose="020F0302020204030204" pitchFamily="34" charset="0"/>
                  <a:cs typeface="Arial" pitchFamily="34" charset="0"/>
                </a:rPr>
                <a:t>Categorias de Âmbito 3</a:t>
              </a:r>
              <a:endParaRPr lang="pt-BR" sz="900" b="0" baseline="0">
                <a:solidFill>
                  <a:schemeClr val="bg1">
                    <a:lumMod val="50000"/>
                  </a:schemeClr>
                </a:solidFill>
                <a:latin typeface="Calibri Light" panose="020F0302020204030204" pitchFamily="34" charset="0"/>
                <a:cs typeface="Arial" pitchFamily="34" charset="0"/>
              </a:endParaRPr>
            </a:p>
          </xdr:txBody>
        </xdr:sp>
        <xdr:sp macro="" textlink="">
          <xdr:nvSpPr>
            <xdr:cNvPr id="54" name="Retângulo de cantos arredondados 49">
              <a:hlinkClick xmlns:r="http://schemas.openxmlformats.org/officeDocument/2006/relationships" r:id="rId13"/>
              <a:extLst>
                <a:ext uri="{FF2B5EF4-FFF2-40B4-BE49-F238E27FC236}">
                  <a16:creationId xmlns="" xmlns:a16="http://schemas.microsoft.com/office/drawing/2014/main" id="{00000000-0008-0000-1200-000036000000}"/>
                </a:ext>
              </a:extLst>
            </xdr:cNvPr>
            <xdr:cNvSpPr/>
          </xdr:nvSpPr>
          <xdr:spPr bwMode="auto">
            <a:xfrm>
              <a:off x="5925918"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Resíduos sólidos gerados na operação</a:t>
              </a:r>
            </a:p>
          </xdr:txBody>
        </xdr:sp>
        <xdr:sp macro="" textlink="">
          <xdr:nvSpPr>
            <xdr:cNvPr id="55" name="Retângulo de cantos arredondados 50">
              <a:hlinkClick xmlns:r="http://schemas.openxmlformats.org/officeDocument/2006/relationships" r:id="rId14"/>
              <a:extLst>
                <a:ext uri="{FF2B5EF4-FFF2-40B4-BE49-F238E27FC236}">
                  <a16:creationId xmlns="" xmlns:a16="http://schemas.microsoft.com/office/drawing/2014/main" id="{00000000-0008-0000-1200-000037000000}"/>
                </a:ext>
              </a:extLst>
            </xdr:cNvPr>
            <xdr:cNvSpPr/>
          </xdr:nvSpPr>
          <xdr:spPr bwMode="auto">
            <a:xfrm>
              <a:off x="6722959"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Efluentes gerados na operação</a:t>
              </a:r>
            </a:p>
          </xdr:txBody>
        </xdr:sp>
        <xdr:sp macro="" textlink="">
          <xdr:nvSpPr>
            <xdr:cNvPr id="56" name="Retângulo de cantos arredondados 51">
              <a:hlinkClick xmlns:r="http://schemas.openxmlformats.org/officeDocument/2006/relationships" r:id="rId15"/>
              <a:extLst>
                <a:ext uri="{FF2B5EF4-FFF2-40B4-BE49-F238E27FC236}">
                  <a16:creationId xmlns="" xmlns:a16="http://schemas.microsoft.com/office/drawing/2014/main" id="{00000000-0008-0000-1200-000038000000}"/>
                </a:ext>
              </a:extLst>
            </xdr:cNvPr>
            <xdr:cNvSpPr/>
          </xdr:nvSpPr>
          <xdr:spPr bwMode="auto">
            <a:xfrm>
              <a:off x="831704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(downstream)</a:t>
              </a:r>
            </a:p>
          </xdr:txBody>
        </xdr:sp>
        <xdr:sp macro="" textlink="">
          <xdr:nvSpPr>
            <xdr:cNvPr id="57" name="Retângulo de cantos arredondados 52">
              <a:hlinkClick xmlns:r="http://schemas.openxmlformats.org/officeDocument/2006/relationships" r:id="rId16"/>
              <a:extLst>
                <a:ext uri="{FF2B5EF4-FFF2-40B4-BE49-F238E27FC236}">
                  <a16:creationId xmlns="" xmlns:a16="http://schemas.microsoft.com/office/drawing/2014/main" id="{00000000-0008-0000-1200-000039000000}"/>
                </a:ext>
              </a:extLst>
            </xdr:cNvPr>
            <xdr:cNvSpPr/>
          </xdr:nvSpPr>
          <xdr:spPr bwMode="auto">
            <a:xfrm>
              <a:off x="5135994" y="1228723"/>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(upstream)</a:t>
              </a:r>
            </a:p>
          </xdr:txBody>
        </xdr:sp>
        <xdr:sp macro="" textlink="">
          <xdr:nvSpPr>
            <xdr:cNvPr id="58" name="Retângulo de cantos arredondados 54">
              <a:hlinkClick xmlns:r="http://schemas.openxmlformats.org/officeDocument/2006/relationships" r:id="rId17"/>
              <a:extLst>
                <a:ext uri="{FF2B5EF4-FFF2-40B4-BE49-F238E27FC236}">
                  <a16:creationId xmlns="" xmlns:a16="http://schemas.microsoft.com/office/drawing/2014/main" id="{00000000-0008-0000-1200-00003A000000}"/>
                </a:ext>
              </a:extLst>
            </xdr:cNvPr>
            <xdr:cNvSpPr/>
          </xdr:nvSpPr>
          <xdr:spPr bwMode="auto">
            <a:xfrm>
              <a:off x="9115497"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Efluentes</a:t>
              </a:r>
            </a:p>
          </xdr:txBody>
        </xdr:sp>
        <xdr:sp macro="" textlink="">
          <xdr:nvSpPr>
            <xdr:cNvPr id="66" name="Retângulo de cantos arredondados 56">
              <a:hlinkClick xmlns:r="http://schemas.openxmlformats.org/officeDocument/2006/relationships" r:id="rId18"/>
              <a:extLst>
                <a:ext uri="{FF2B5EF4-FFF2-40B4-BE49-F238E27FC236}">
                  <a16:creationId xmlns="" xmlns:a16="http://schemas.microsoft.com/office/drawing/2014/main" id="{00000000-0008-0000-1200-000042000000}"/>
                </a:ext>
              </a:extLst>
            </xdr:cNvPr>
            <xdr:cNvSpPr/>
          </xdr:nvSpPr>
          <xdr:spPr bwMode="auto">
            <a:xfrm>
              <a:off x="7526519"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Conversão de unidades</a:t>
              </a:r>
            </a:p>
          </xdr:txBody>
        </xdr:sp>
        <xdr:sp macro="" textlink="">
          <xdr:nvSpPr>
            <xdr:cNvPr id="82" name="Retângulo de cantos arredondados 58">
              <a:hlinkClick xmlns:r="http://schemas.openxmlformats.org/officeDocument/2006/relationships" r:id="rId19"/>
              <a:extLst>
                <a:ext uri="{FF2B5EF4-FFF2-40B4-BE49-F238E27FC236}">
                  <a16:creationId xmlns="" xmlns:a16="http://schemas.microsoft.com/office/drawing/2014/main" id="{00000000-0008-0000-1200-000052000000}"/>
                </a:ext>
              </a:extLst>
            </xdr:cNvPr>
            <xdr:cNvSpPr/>
          </xdr:nvSpPr>
          <xdr:spPr bwMode="auto">
            <a:xfrm>
              <a:off x="7520000"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r>
                <a:rPr lang="pt-BR" sz="900" b="0">
                  <a:solidFill>
                    <a:schemeClr val="bg1">
                      <a:lumMod val="50000"/>
                    </a:schemeClr>
                  </a:solidFill>
                  <a:latin typeface="Calibri Light" panose="020F0302020204030204" pitchFamily="34" charset="0"/>
                  <a:cs typeface="Arial" pitchFamily="34" charset="0"/>
                </a:rPr>
                <a:t>Viagens a negócios</a:t>
              </a:r>
            </a:p>
          </xdr:txBody>
        </xdr:sp>
        <xdr:sp macro="" textlink="">
          <xdr:nvSpPr>
            <xdr:cNvPr id="83" name="Fluxograma: Processo 59">
              <a:extLst>
                <a:ext uri="{FF2B5EF4-FFF2-40B4-BE49-F238E27FC236}">
                  <a16:creationId xmlns="" xmlns:a16="http://schemas.microsoft.com/office/drawing/2014/main" id="{00000000-0008-0000-1200-000053000000}"/>
                </a:ext>
              </a:extLst>
            </xdr:cNvPr>
            <xdr:cNvSpPr/>
          </xdr:nvSpPr>
          <xdr:spPr bwMode="auto">
            <a:xfrm>
              <a:off x="3604863" y="156702"/>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Geral</a:t>
              </a:r>
            </a:p>
          </xdr:txBody>
        </xdr:sp>
      </xdr:grpSp>
      <xdr:sp macro="" textlink="">
        <xdr:nvSpPr>
          <xdr:cNvPr id="37" name="Retângulo de cantos arredondados 37">
            <a:hlinkClick xmlns:r="http://schemas.openxmlformats.org/officeDocument/2006/relationships" r:id="rId20"/>
            <a:extLst>
              <a:ext uri="{FF2B5EF4-FFF2-40B4-BE49-F238E27FC236}">
                <a16:creationId xmlns="" xmlns:a16="http://schemas.microsoft.com/office/drawing/2014/main" id="{00000000-0008-0000-1200-000025000000}"/>
              </a:ext>
            </a:extLst>
          </xdr:cNvPr>
          <xdr:cNvSpPr/>
        </xdr:nvSpPr>
        <xdr:spPr bwMode="auto">
          <a:xfrm>
            <a:off x="4696884" y="162983"/>
            <a:ext cx="774700" cy="31873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sp macro="" textlink="">
        <xdr:nvSpPr>
          <xdr:cNvPr id="38" name="Retângulo de cantos arredondados 42">
            <a:hlinkClick xmlns:r="http://schemas.openxmlformats.org/officeDocument/2006/relationships" r:id="rId21"/>
            <a:extLst>
              <a:ext uri="{FF2B5EF4-FFF2-40B4-BE49-F238E27FC236}">
                <a16:creationId xmlns="" xmlns:a16="http://schemas.microsoft.com/office/drawing/2014/main" id="{00000000-0008-0000-1200-000026000000}"/>
              </a:ext>
            </a:extLst>
          </xdr:cNvPr>
          <xdr:cNvSpPr/>
        </xdr:nvSpPr>
        <xdr:spPr bwMode="auto">
          <a:xfrm>
            <a:off x="7125758" y="522817"/>
            <a:ext cx="758825" cy="318738"/>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50" b="0">
                <a:solidFill>
                  <a:schemeClr val="bg1"/>
                </a:solidFill>
                <a:latin typeface="Calibri Light" panose="020F0302020204030204" pitchFamily="34" charset="0"/>
                <a:cs typeface="Arial" pitchFamily="34" charset="0"/>
              </a:rPr>
              <a:t>Agrícolas e alt. do uso do solo</a:t>
            </a:r>
            <a:endParaRPr lang="pt-BR" sz="850" b="0" baseline="0">
              <a:solidFill>
                <a:schemeClr val="bg1"/>
              </a:solidFill>
              <a:latin typeface="Calibri Light" panose="020F0302020204030204" pitchFamily="34" charset="0"/>
              <a:cs typeface="Arial" pitchFamily="34"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95199</xdr:colOff>
      <xdr:row>1</xdr:row>
      <xdr:rowOff>31752</xdr:rowOff>
    </xdr:from>
    <xdr:to>
      <xdr:col>5</xdr:col>
      <xdr:colOff>867832</xdr:colOff>
      <xdr:row>2</xdr:row>
      <xdr:rowOff>187506</xdr:rowOff>
    </xdr:to>
    <xdr:sp macro="" textlink="">
      <xdr:nvSpPr>
        <xdr:cNvPr id="56" name="Retângulo de cantos arredondados 37">
          <a:hlinkClick xmlns:r="http://schemas.openxmlformats.org/officeDocument/2006/relationships" r:id="rId1"/>
          <a:extLst>
            <a:ext uri="{FF2B5EF4-FFF2-40B4-BE49-F238E27FC236}">
              <a16:creationId xmlns="" xmlns:a16="http://schemas.microsoft.com/office/drawing/2014/main" id="{00000000-0008-0000-0100-000038000000}"/>
            </a:ext>
          </a:extLst>
        </xdr:cNvPr>
        <xdr:cNvSpPr/>
      </xdr:nvSpPr>
      <xdr:spPr bwMode="auto">
        <a:xfrm>
          <a:off x="4794199" y="105835"/>
          <a:ext cx="772633" cy="32508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clientData/>
  </xdr:twoCellAnchor>
  <xdr:twoCellAnchor editAs="oneCell">
    <xdr:from>
      <xdr:col>0</xdr:col>
      <xdr:colOff>95249</xdr:colOff>
      <xdr:row>0</xdr:row>
      <xdr:rowOff>63501</xdr:rowOff>
    </xdr:from>
    <xdr:to>
      <xdr:col>3</xdr:col>
      <xdr:colOff>1121833</xdr:colOff>
      <xdr:row>5</xdr:row>
      <xdr:rowOff>196156</xdr:rowOff>
    </xdr:to>
    <xdr:pic>
      <xdr:nvPicPr>
        <xdr:cNvPr id="57" name="Imagem 56">
          <a:extLst>
            <a:ext uri="{FF2B5EF4-FFF2-40B4-BE49-F238E27FC236}">
              <a16:creationId xmlns="" xmlns:a16="http://schemas.microsoft.com/office/drawing/2014/main" id="{00000000-0008-0000-0100-00003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9" y="63501"/>
          <a:ext cx="2529417" cy="979322"/>
        </a:xfrm>
        <a:prstGeom prst="rect">
          <a:avLst/>
        </a:prstGeom>
      </xdr:spPr>
    </xdr:pic>
    <xdr:clientData/>
  </xdr:twoCellAnchor>
  <xdr:twoCellAnchor>
    <xdr:from>
      <xdr:col>4</xdr:col>
      <xdr:colOff>95250</xdr:colOff>
      <xdr:row>1</xdr:row>
      <xdr:rowOff>0</xdr:rowOff>
    </xdr:from>
    <xdr:to>
      <xdr:col>11</xdr:col>
      <xdr:colOff>44948</xdr:colOff>
      <xdr:row>9</xdr:row>
      <xdr:rowOff>173709</xdr:rowOff>
    </xdr:to>
    <xdr:grpSp>
      <xdr:nvGrpSpPr>
        <xdr:cNvPr id="35" name="Grupo 34">
          <a:extLst>
            <a:ext uri="{FF2B5EF4-FFF2-40B4-BE49-F238E27FC236}">
              <a16:creationId xmlns="" xmlns:a16="http://schemas.microsoft.com/office/drawing/2014/main" id="{00000000-0008-0000-0100-000023000000}"/>
            </a:ext>
          </a:extLst>
        </xdr:cNvPr>
        <xdr:cNvGrpSpPr/>
      </xdr:nvGrpSpPr>
      <xdr:grpSpPr>
        <a:xfrm>
          <a:off x="3445809" y="78441"/>
          <a:ext cx="7278345" cy="1753739"/>
          <a:chOff x="3069167" y="114300"/>
          <a:chExt cx="7283948" cy="1549543"/>
        </a:xfrm>
      </xdr:grpSpPr>
      <xdr:grpSp>
        <xdr:nvGrpSpPr>
          <xdr:cNvPr id="58" name="Group 32">
            <a:extLst>
              <a:ext uri="{FF2B5EF4-FFF2-40B4-BE49-F238E27FC236}">
                <a16:creationId xmlns="" xmlns:a16="http://schemas.microsoft.com/office/drawing/2014/main" id="{00000000-0008-0000-0100-00003A000000}"/>
              </a:ext>
            </a:extLst>
          </xdr:cNvPr>
          <xdr:cNvGrpSpPr/>
        </xdr:nvGrpSpPr>
        <xdr:grpSpPr>
          <a:xfrm>
            <a:off x="3069167" y="114300"/>
            <a:ext cx="7283948" cy="1549543"/>
            <a:chOff x="3514726" y="52774"/>
            <a:chExt cx="7219950" cy="1576001"/>
          </a:xfrm>
        </xdr:grpSpPr>
        <xdr:sp macro="" textlink="">
          <xdr:nvSpPr>
            <xdr:cNvPr id="61" name="Fluxograma: Processo 60">
              <a:extLst>
                <a:ext uri="{FF2B5EF4-FFF2-40B4-BE49-F238E27FC236}">
                  <a16:creationId xmlns="" xmlns:a16="http://schemas.microsoft.com/office/drawing/2014/main" id="{00000000-0008-0000-0100-00003D000000}"/>
                </a:ext>
              </a:extLst>
            </xdr:cNvPr>
            <xdr:cNvSpPr>
              <a:spLocks noChangeArrowheads="1"/>
            </xdr:cNvSpPr>
          </xdr:nvSpPr>
          <xdr:spPr bwMode="auto">
            <a:xfrm>
              <a:off x="3514726" y="52774"/>
              <a:ext cx="7219950" cy="1576001"/>
            </a:xfrm>
            <a:prstGeom prst="flowChartProcess">
              <a:avLst/>
            </a:prstGeom>
            <a:solidFill>
              <a:schemeClr val="accent1">
                <a:lumMod val="20000"/>
                <a:lumOff val="80000"/>
              </a:schemeClr>
            </a:solidFill>
            <a:ln w="19050" algn="ctr">
              <a:solidFill>
                <a:schemeClr val="accent1"/>
              </a:solidFill>
              <a:round/>
              <a:headEnd/>
              <a:tailEnd/>
            </a:ln>
            <a:effectLst/>
          </xdr:spPr>
          <xdr:txBody>
            <a:bodyPr/>
            <a:lstStyle/>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r>
                <a:rPr lang="pt-BR" sz="1400" b="1">
                  <a:latin typeface="Calibri Light" panose="020F0302020204030204" pitchFamily="34" charset="0"/>
                </a:rPr>
                <a:t>Menu de </a:t>
              </a:r>
            </a:p>
            <a:p>
              <a:pPr algn="r"/>
              <a:r>
                <a:rPr lang="pt-BR" sz="1400" b="1">
                  <a:latin typeface="Calibri Light" panose="020F0302020204030204" pitchFamily="34" charset="0"/>
                </a:rPr>
                <a:t>navegação</a:t>
              </a:r>
            </a:p>
          </xdr:txBody>
        </xdr:sp>
        <xdr:sp macro="" textlink="">
          <xdr:nvSpPr>
            <xdr:cNvPr id="62" name="Retângulo de cantos arredondados 34">
              <a:hlinkClick xmlns:r="http://schemas.openxmlformats.org/officeDocument/2006/relationships" r:id="rId3"/>
              <a:extLst>
                <a:ext uri="{FF2B5EF4-FFF2-40B4-BE49-F238E27FC236}">
                  <a16:creationId xmlns="" xmlns:a16="http://schemas.microsoft.com/office/drawing/2014/main" id="{00000000-0008-0000-0100-00003E000000}"/>
                </a:ext>
              </a:extLst>
            </xdr:cNvPr>
            <xdr:cNvSpPr/>
          </xdr:nvSpPr>
          <xdr:spPr bwMode="auto">
            <a:xfrm>
              <a:off x="4333251"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Introdução</a:t>
              </a:r>
            </a:p>
          </xdr:txBody>
        </xdr:sp>
        <xdr:sp macro="" textlink="">
          <xdr:nvSpPr>
            <xdr:cNvPr id="63" name="Retângulo de cantos arredondados 35">
              <a:hlinkClick xmlns:r="http://schemas.openxmlformats.org/officeDocument/2006/relationships" r:id="rId4"/>
              <a:extLst>
                <a:ext uri="{FF2B5EF4-FFF2-40B4-BE49-F238E27FC236}">
                  <a16:creationId xmlns="" xmlns:a16="http://schemas.microsoft.com/office/drawing/2014/main" id="{00000000-0008-0000-0100-00003F000000}"/>
                </a:ext>
              </a:extLst>
            </xdr:cNvPr>
            <xdr:cNvSpPr/>
          </xdr:nvSpPr>
          <xdr:spPr bwMode="auto">
            <a:xfrm>
              <a:off x="4333251"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lnSpc>
                  <a:spcPct val="80000"/>
                </a:lnSpc>
              </a:pPr>
              <a:r>
                <a:rPr lang="pt-BR" sz="900" b="0">
                  <a:solidFill>
                    <a:schemeClr val="bg1"/>
                  </a:solidFill>
                  <a:latin typeface="Calibri Light" panose="020F0302020204030204" pitchFamily="34" charset="0"/>
                  <a:cs typeface="Arial" pitchFamily="34" charset="0"/>
                </a:rPr>
                <a:t>Combustão</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estacionária</a:t>
              </a:r>
            </a:p>
          </xdr:txBody>
        </xdr:sp>
        <xdr:sp macro="" textlink="">
          <xdr:nvSpPr>
            <xdr:cNvPr id="64" name="Retângulo de cantos arredondados 36">
              <a:hlinkClick xmlns:r="http://schemas.openxmlformats.org/officeDocument/2006/relationships" r:id="rId5"/>
              <a:extLst>
                <a:ext uri="{FF2B5EF4-FFF2-40B4-BE49-F238E27FC236}">
                  <a16:creationId xmlns="" xmlns:a16="http://schemas.microsoft.com/office/drawing/2014/main" id="{00000000-0008-0000-0100-000040000000}"/>
                </a:ext>
              </a:extLst>
            </xdr:cNvPr>
            <xdr:cNvSpPr/>
          </xdr:nvSpPr>
          <xdr:spPr bwMode="auto">
            <a:xfrm>
              <a:off x="5130292"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Combustão </a:t>
              </a:r>
            </a:p>
            <a:p>
              <a:pPr algn="ctr"/>
              <a:r>
                <a:rPr lang="pt-BR" sz="900" b="0">
                  <a:solidFill>
                    <a:schemeClr val="bg1"/>
                  </a:solidFill>
                  <a:latin typeface="Calibri Light" panose="020F0302020204030204" pitchFamily="34" charset="0"/>
                  <a:cs typeface="Arial" pitchFamily="34" charset="0"/>
                </a:rPr>
                <a:t>móvel</a:t>
              </a:r>
            </a:p>
          </xdr:txBody>
        </xdr:sp>
        <xdr:sp macro="" textlink="">
          <xdr:nvSpPr>
            <xdr:cNvPr id="65" name="Retângulo de cantos arredondados 37">
              <a:hlinkClick xmlns:r="http://schemas.openxmlformats.org/officeDocument/2006/relationships" r:id="rId6"/>
              <a:extLst>
                <a:ext uri="{FF2B5EF4-FFF2-40B4-BE49-F238E27FC236}">
                  <a16:creationId xmlns="" xmlns:a16="http://schemas.microsoft.com/office/drawing/2014/main" id="{00000000-0008-0000-0100-000041000000}"/>
                </a:ext>
              </a:extLst>
            </xdr:cNvPr>
            <xdr:cNvSpPr/>
          </xdr:nvSpPr>
          <xdr:spPr bwMode="auto">
            <a:xfrm>
              <a:off x="5932663"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Resumo</a:t>
              </a:r>
            </a:p>
          </xdr:txBody>
        </xdr:sp>
        <xdr:sp macro="" textlink="">
          <xdr:nvSpPr>
            <xdr:cNvPr id="66" name="Retângulo de cantos arredondados 38">
              <a:hlinkClick xmlns:r="http://schemas.openxmlformats.org/officeDocument/2006/relationships" r:id="rId7"/>
              <a:extLst>
                <a:ext uri="{FF2B5EF4-FFF2-40B4-BE49-F238E27FC236}">
                  <a16:creationId xmlns="" xmlns:a16="http://schemas.microsoft.com/office/drawing/2014/main" id="{00000000-0008-0000-0100-000042000000}"/>
                </a:ext>
              </a:extLst>
            </xdr:cNvPr>
            <xdr:cNvSpPr/>
          </xdr:nvSpPr>
          <xdr:spPr bwMode="auto">
            <a:xfrm>
              <a:off x="6719145"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Fatores </a:t>
              </a:r>
            </a:p>
            <a:p>
              <a:pPr algn="ctr"/>
              <a:r>
                <a:rPr lang="pt-BR" sz="900" b="0">
                  <a:latin typeface="Calibri Light" panose="020F0302020204030204" pitchFamily="34" charset="0"/>
                  <a:cs typeface="Arial" pitchFamily="34" charset="0"/>
                </a:rPr>
                <a:t>de emissão</a:t>
              </a:r>
            </a:p>
          </xdr:txBody>
        </xdr:sp>
        <xdr:sp macro="" textlink="">
          <xdr:nvSpPr>
            <xdr:cNvPr id="67" name="Fluxograma: Processo 66">
              <a:extLst>
                <a:ext uri="{FF2B5EF4-FFF2-40B4-BE49-F238E27FC236}">
                  <a16:creationId xmlns="" xmlns:a16="http://schemas.microsoft.com/office/drawing/2014/main" id="{00000000-0008-0000-0100-000043000000}"/>
                </a:ext>
              </a:extLst>
            </xdr:cNvPr>
            <xdr:cNvSpPr/>
          </xdr:nvSpPr>
          <xdr:spPr bwMode="auto">
            <a:xfrm>
              <a:off x="3604863" y="528178"/>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1</a:t>
              </a:r>
            </a:p>
          </xdr:txBody>
        </xdr:sp>
        <xdr:sp macro="" textlink="">
          <xdr:nvSpPr>
            <xdr:cNvPr id="68" name="Retângulo de cantos arredondados 40">
              <a:hlinkClick xmlns:r="http://schemas.openxmlformats.org/officeDocument/2006/relationships" r:id="rId8"/>
              <a:extLst>
                <a:ext uri="{FF2B5EF4-FFF2-40B4-BE49-F238E27FC236}">
                  <a16:creationId xmlns="" xmlns:a16="http://schemas.microsoft.com/office/drawing/2014/main" id="{00000000-0008-0000-0100-000044000000}"/>
                </a:ext>
              </a:extLst>
            </xdr:cNvPr>
            <xdr:cNvSpPr/>
          </xdr:nvSpPr>
          <xdr:spPr bwMode="auto">
            <a:xfrm>
              <a:off x="5927333"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00" b="0">
                  <a:solidFill>
                    <a:schemeClr val="bg1"/>
                  </a:solidFill>
                  <a:latin typeface="Calibri Light" panose="020F0302020204030204" pitchFamily="34" charset="0"/>
                  <a:cs typeface="Arial" pitchFamily="34" charset="0"/>
                </a:rPr>
                <a:t>Emissões </a:t>
              </a:r>
            </a:p>
            <a:p>
              <a:pPr algn="ctr"/>
              <a:r>
                <a:rPr lang="pt-BR" sz="800" b="0">
                  <a:solidFill>
                    <a:schemeClr val="bg1"/>
                  </a:solidFill>
                  <a:latin typeface="Calibri Light" panose="020F0302020204030204" pitchFamily="34" charset="0"/>
                  <a:cs typeface="Arial" pitchFamily="34" charset="0"/>
                </a:rPr>
                <a:t>fugitivas</a:t>
              </a:r>
            </a:p>
          </xdr:txBody>
        </xdr:sp>
        <xdr:sp macro="" textlink="">
          <xdr:nvSpPr>
            <xdr:cNvPr id="69" name="Retângulo de cantos arredondados 41">
              <a:hlinkClick xmlns:r="http://schemas.openxmlformats.org/officeDocument/2006/relationships" r:id="rId9"/>
              <a:extLst>
                <a:ext uri="{FF2B5EF4-FFF2-40B4-BE49-F238E27FC236}">
                  <a16:creationId xmlns="" xmlns:a16="http://schemas.microsoft.com/office/drawing/2014/main" id="{00000000-0008-0000-0100-000045000000}"/>
                </a:ext>
              </a:extLst>
            </xdr:cNvPr>
            <xdr:cNvSpPr/>
          </xdr:nvSpPr>
          <xdr:spPr bwMode="auto">
            <a:xfrm>
              <a:off x="6724374"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Processos</a:t>
              </a:r>
              <a:r>
                <a:rPr lang="pt-BR" sz="900" b="0" baseline="0">
                  <a:solidFill>
                    <a:schemeClr val="bg1"/>
                  </a:solidFill>
                  <a:latin typeface="Calibri Light" panose="020F0302020204030204" pitchFamily="34" charset="0"/>
                  <a:cs typeface="Arial" pitchFamily="34" charset="0"/>
                </a:rPr>
                <a:t> industriais</a:t>
              </a:r>
              <a:endParaRPr lang="pt-BR" sz="900" b="0">
                <a:solidFill>
                  <a:schemeClr val="bg1"/>
                </a:solidFill>
                <a:latin typeface="Calibri Light" panose="020F0302020204030204" pitchFamily="34" charset="0"/>
                <a:cs typeface="Arial" pitchFamily="34" charset="0"/>
              </a:endParaRPr>
            </a:p>
          </xdr:txBody>
        </xdr:sp>
        <xdr:sp macro="" textlink="">
          <xdr:nvSpPr>
            <xdr:cNvPr id="70" name="Retângulo de cantos arredondados 43">
              <a:hlinkClick xmlns:r="http://schemas.openxmlformats.org/officeDocument/2006/relationships" r:id="rId10"/>
              <a:extLst>
                <a:ext uri="{FF2B5EF4-FFF2-40B4-BE49-F238E27FC236}">
                  <a16:creationId xmlns="" xmlns:a16="http://schemas.microsoft.com/office/drawing/2014/main" id="{00000000-0008-0000-0100-000046000000}"/>
                </a:ext>
              </a:extLst>
            </xdr:cNvPr>
            <xdr:cNvSpPr/>
          </xdr:nvSpPr>
          <xdr:spPr bwMode="auto">
            <a:xfrm>
              <a:off x="8318456"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Resíduos</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sólidos</a:t>
              </a:r>
            </a:p>
          </xdr:txBody>
        </xdr:sp>
        <xdr:sp macro="" textlink="">
          <xdr:nvSpPr>
            <xdr:cNvPr id="71" name="Retângulo de cantos arredondados 44">
              <a:hlinkClick xmlns:r="http://schemas.openxmlformats.org/officeDocument/2006/relationships" r:id="rId11"/>
              <a:extLst>
                <a:ext uri="{FF2B5EF4-FFF2-40B4-BE49-F238E27FC236}">
                  <a16:creationId xmlns="" xmlns:a16="http://schemas.microsoft.com/office/drawing/2014/main" id="{00000000-0008-0000-0100-000047000000}"/>
                </a:ext>
              </a:extLst>
            </xdr:cNvPr>
            <xdr:cNvSpPr/>
          </xdr:nvSpPr>
          <xdr:spPr bwMode="auto">
            <a:xfrm>
              <a:off x="433325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lnSpc>
                  <a:spcPct val="80000"/>
                </a:lnSpc>
              </a:pPr>
              <a:r>
                <a:rPr lang="pt-BR" sz="900" b="0">
                  <a:latin typeface="Calibri Light" panose="020F0302020204030204" pitchFamily="34" charset="0"/>
                  <a:cs typeface="Arial" pitchFamily="34" charset="0"/>
                </a:rPr>
                <a:t>Compra de Energia</a:t>
              </a:r>
              <a:r>
                <a:rPr lang="pt-BR" sz="900" b="0" baseline="0">
                  <a:latin typeface="Calibri Light" panose="020F0302020204030204" pitchFamily="34" charset="0"/>
                  <a:cs typeface="Arial" pitchFamily="34" charset="0"/>
                </a:rPr>
                <a:t> Elétrica</a:t>
              </a:r>
            </a:p>
          </xdr:txBody>
        </xdr:sp>
        <xdr:sp macro="" textlink="">
          <xdr:nvSpPr>
            <xdr:cNvPr id="72" name="Retângulo de cantos arredondados 45">
              <a:hlinkClick xmlns:r="http://schemas.openxmlformats.org/officeDocument/2006/relationships" r:id="rId12"/>
              <a:extLst>
                <a:ext uri="{FF2B5EF4-FFF2-40B4-BE49-F238E27FC236}">
                  <a16:creationId xmlns="" xmlns:a16="http://schemas.microsoft.com/office/drawing/2014/main" id="{00000000-0008-0000-0100-000048000000}"/>
                </a:ext>
              </a:extLst>
            </xdr:cNvPr>
            <xdr:cNvSpPr/>
          </xdr:nvSpPr>
          <xdr:spPr bwMode="auto">
            <a:xfrm>
              <a:off x="513371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Compra de</a:t>
              </a:r>
              <a:r>
                <a:rPr lang="pt-BR" sz="900" b="0" baseline="0">
                  <a:latin typeface="Calibri Light" panose="020F0302020204030204" pitchFamily="34" charset="0"/>
                  <a:cs typeface="Arial" pitchFamily="34" charset="0"/>
                </a:rPr>
                <a:t> Energia Térmica</a:t>
              </a:r>
            </a:p>
          </xdr:txBody>
        </xdr:sp>
        <xdr:sp macro="" textlink="">
          <xdr:nvSpPr>
            <xdr:cNvPr id="73" name="Fluxograma: Processo 72">
              <a:extLst>
                <a:ext uri="{FF2B5EF4-FFF2-40B4-BE49-F238E27FC236}">
                  <a16:creationId xmlns="" xmlns:a16="http://schemas.microsoft.com/office/drawing/2014/main" id="{00000000-0008-0000-0100-000049000000}"/>
                </a:ext>
              </a:extLst>
            </xdr:cNvPr>
            <xdr:cNvSpPr/>
          </xdr:nvSpPr>
          <xdr:spPr bwMode="auto">
            <a:xfrm>
              <a:off x="3604863" y="909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2</a:t>
              </a:r>
            </a:p>
          </xdr:txBody>
        </xdr:sp>
        <xdr:sp macro="" textlink="">
          <xdr:nvSpPr>
            <xdr:cNvPr id="74" name="Fluxograma: Processo 73">
              <a:extLst>
                <a:ext uri="{FF2B5EF4-FFF2-40B4-BE49-F238E27FC236}">
                  <a16:creationId xmlns="" xmlns:a16="http://schemas.microsoft.com/office/drawing/2014/main" id="{00000000-0008-0000-0100-00004A000000}"/>
                </a:ext>
              </a:extLst>
            </xdr:cNvPr>
            <xdr:cNvSpPr/>
          </xdr:nvSpPr>
          <xdr:spPr bwMode="auto">
            <a:xfrm>
              <a:off x="3604863" y="1290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3</a:t>
              </a:r>
            </a:p>
          </xdr:txBody>
        </xdr:sp>
        <xdr:sp macro="" textlink="">
          <xdr:nvSpPr>
            <xdr:cNvPr id="75" name="Retângulo de cantos arredondados 48">
              <a:hlinkClick xmlns:r="http://schemas.openxmlformats.org/officeDocument/2006/relationships" r:id="rId13"/>
              <a:extLst>
                <a:ext uri="{FF2B5EF4-FFF2-40B4-BE49-F238E27FC236}">
                  <a16:creationId xmlns="" xmlns:a16="http://schemas.microsoft.com/office/drawing/2014/main" id="{00000000-0008-0000-0100-00004B000000}"/>
                </a:ext>
              </a:extLst>
            </xdr:cNvPr>
            <xdr:cNvSpPr/>
          </xdr:nvSpPr>
          <xdr:spPr bwMode="auto">
            <a:xfrm>
              <a:off x="433325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lnSpc>
                  <a:spcPct val="80000"/>
                </a:lnSpc>
              </a:pPr>
              <a:r>
                <a:rPr lang="pt-BR" sz="900" b="0">
                  <a:solidFill>
                    <a:schemeClr val="bg1">
                      <a:lumMod val="50000"/>
                    </a:schemeClr>
                  </a:solidFill>
                  <a:latin typeface="Calibri Light" panose="020F0302020204030204" pitchFamily="34" charset="0"/>
                  <a:cs typeface="Arial" pitchFamily="34" charset="0"/>
                </a:rPr>
                <a:t>Categorias de Âmbito 3</a:t>
              </a:r>
              <a:endParaRPr lang="pt-BR" sz="900" b="0" baseline="0">
                <a:solidFill>
                  <a:schemeClr val="bg1">
                    <a:lumMod val="50000"/>
                  </a:schemeClr>
                </a:solidFill>
                <a:latin typeface="Calibri Light" panose="020F0302020204030204" pitchFamily="34" charset="0"/>
                <a:cs typeface="Arial" pitchFamily="34" charset="0"/>
              </a:endParaRPr>
            </a:p>
          </xdr:txBody>
        </xdr:sp>
        <xdr:sp macro="" textlink="">
          <xdr:nvSpPr>
            <xdr:cNvPr id="76" name="Retângulo de cantos arredondados 49">
              <a:hlinkClick xmlns:r="http://schemas.openxmlformats.org/officeDocument/2006/relationships" r:id="rId14"/>
              <a:extLst>
                <a:ext uri="{FF2B5EF4-FFF2-40B4-BE49-F238E27FC236}">
                  <a16:creationId xmlns="" xmlns:a16="http://schemas.microsoft.com/office/drawing/2014/main" id="{00000000-0008-0000-0100-00004C000000}"/>
                </a:ext>
              </a:extLst>
            </xdr:cNvPr>
            <xdr:cNvSpPr/>
          </xdr:nvSpPr>
          <xdr:spPr bwMode="auto">
            <a:xfrm>
              <a:off x="5925918"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Resíduos sólidos gerados na operação</a:t>
              </a:r>
            </a:p>
          </xdr:txBody>
        </xdr:sp>
        <xdr:sp macro="" textlink="">
          <xdr:nvSpPr>
            <xdr:cNvPr id="77" name="Retângulo de cantos arredondados 50">
              <a:hlinkClick xmlns:r="http://schemas.openxmlformats.org/officeDocument/2006/relationships" r:id="rId15"/>
              <a:extLst>
                <a:ext uri="{FF2B5EF4-FFF2-40B4-BE49-F238E27FC236}">
                  <a16:creationId xmlns="" xmlns:a16="http://schemas.microsoft.com/office/drawing/2014/main" id="{00000000-0008-0000-0100-00004D000000}"/>
                </a:ext>
              </a:extLst>
            </xdr:cNvPr>
            <xdr:cNvSpPr/>
          </xdr:nvSpPr>
          <xdr:spPr bwMode="auto">
            <a:xfrm>
              <a:off x="6722959"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Efluentes gerados na operação</a:t>
              </a:r>
            </a:p>
          </xdr:txBody>
        </xdr:sp>
        <xdr:sp macro="" textlink="">
          <xdr:nvSpPr>
            <xdr:cNvPr id="78" name="Retângulo de cantos arredondados 51">
              <a:hlinkClick xmlns:r="http://schemas.openxmlformats.org/officeDocument/2006/relationships" r:id="rId16"/>
              <a:extLst>
                <a:ext uri="{FF2B5EF4-FFF2-40B4-BE49-F238E27FC236}">
                  <a16:creationId xmlns="" xmlns:a16="http://schemas.microsoft.com/office/drawing/2014/main" id="{00000000-0008-0000-0100-00004E000000}"/>
                </a:ext>
              </a:extLst>
            </xdr:cNvPr>
            <xdr:cNvSpPr/>
          </xdr:nvSpPr>
          <xdr:spPr bwMode="auto">
            <a:xfrm>
              <a:off x="831704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(downstream)</a:t>
              </a:r>
            </a:p>
          </xdr:txBody>
        </xdr:sp>
        <xdr:sp macro="" textlink="">
          <xdr:nvSpPr>
            <xdr:cNvPr id="79" name="Retângulo de cantos arredondados 52">
              <a:hlinkClick xmlns:r="http://schemas.openxmlformats.org/officeDocument/2006/relationships" r:id="rId17"/>
              <a:extLst>
                <a:ext uri="{FF2B5EF4-FFF2-40B4-BE49-F238E27FC236}">
                  <a16:creationId xmlns="" xmlns:a16="http://schemas.microsoft.com/office/drawing/2014/main" id="{00000000-0008-0000-0100-00004F000000}"/>
                </a:ext>
              </a:extLst>
            </xdr:cNvPr>
            <xdr:cNvSpPr/>
          </xdr:nvSpPr>
          <xdr:spPr bwMode="auto">
            <a:xfrm>
              <a:off x="5135994" y="1228723"/>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(upstream)</a:t>
              </a:r>
            </a:p>
          </xdr:txBody>
        </xdr:sp>
        <xdr:sp macro="" textlink="">
          <xdr:nvSpPr>
            <xdr:cNvPr id="80" name="Retângulo de cantos arredondados 54">
              <a:hlinkClick xmlns:r="http://schemas.openxmlformats.org/officeDocument/2006/relationships" r:id="rId18"/>
              <a:extLst>
                <a:ext uri="{FF2B5EF4-FFF2-40B4-BE49-F238E27FC236}">
                  <a16:creationId xmlns="" xmlns:a16="http://schemas.microsoft.com/office/drawing/2014/main" id="{00000000-0008-0000-0100-000050000000}"/>
                </a:ext>
              </a:extLst>
            </xdr:cNvPr>
            <xdr:cNvSpPr/>
          </xdr:nvSpPr>
          <xdr:spPr bwMode="auto">
            <a:xfrm>
              <a:off x="9115497"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Efluentes</a:t>
              </a:r>
            </a:p>
          </xdr:txBody>
        </xdr:sp>
        <xdr:sp macro="" textlink="">
          <xdr:nvSpPr>
            <xdr:cNvPr id="81" name="Retângulo de cantos arredondados 56">
              <a:hlinkClick xmlns:r="http://schemas.openxmlformats.org/officeDocument/2006/relationships" r:id="rId19"/>
              <a:extLst>
                <a:ext uri="{FF2B5EF4-FFF2-40B4-BE49-F238E27FC236}">
                  <a16:creationId xmlns="" xmlns:a16="http://schemas.microsoft.com/office/drawing/2014/main" id="{00000000-0008-0000-0100-000051000000}"/>
                </a:ext>
              </a:extLst>
            </xdr:cNvPr>
            <xdr:cNvSpPr/>
          </xdr:nvSpPr>
          <xdr:spPr bwMode="auto">
            <a:xfrm>
              <a:off x="7526519"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Conversão de unidades</a:t>
              </a:r>
            </a:p>
          </xdr:txBody>
        </xdr:sp>
        <xdr:sp macro="" textlink="">
          <xdr:nvSpPr>
            <xdr:cNvPr id="82" name="Retângulo de cantos arredondados 58">
              <a:hlinkClick xmlns:r="http://schemas.openxmlformats.org/officeDocument/2006/relationships" r:id="rId20"/>
              <a:extLst>
                <a:ext uri="{FF2B5EF4-FFF2-40B4-BE49-F238E27FC236}">
                  <a16:creationId xmlns="" xmlns:a16="http://schemas.microsoft.com/office/drawing/2014/main" id="{00000000-0008-0000-0100-000052000000}"/>
                </a:ext>
              </a:extLst>
            </xdr:cNvPr>
            <xdr:cNvSpPr/>
          </xdr:nvSpPr>
          <xdr:spPr bwMode="auto">
            <a:xfrm>
              <a:off x="7520000"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r>
                <a:rPr lang="pt-BR" sz="900" b="0">
                  <a:solidFill>
                    <a:schemeClr val="bg1">
                      <a:lumMod val="50000"/>
                    </a:schemeClr>
                  </a:solidFill>
                  <a:latin typeface="Calibri Light" panose="020F0302020204030204" pitchFamily="34" charset="0"/>
                  <a:cs typeface="Arial" pitchFamily="34" charset="0"/>
                </a:rPr>
                <a:t>Viagens a negócios</a:t>
              </a:r>
            </a:p>
          </xdr:txBody>
        </xdr:sp>
        <xdr:sp macro="" textlink="">
          <xdr:nvSpPr>
            <xdr:cNvPr id="83" name="Fluxograma: Processo 59">
              <a:extLst>
                <a:ext uri="{FF2B5EF4-FFF2-40B4-BE49-F238E27FC236}">
                  <a16:creationId xmlns="" xmlns:a16="http://schemas.microsoft.com/office/drawing/2014/main" id="{00000000-0008-0000-0100-000053000000}"/>
                </a:ext>
              </a:extLst>
            </xdr:cNvPr>
            <xdr:cNvSpPr/>
          </xdr:nvSpPr>
          <xdr:spPr bwMode="auto">
            <a:xfrm>
              <a:off x="3604863" y="156702"/>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Geral</a:t>
              </a:r>
            </a:p>
          </xdr:txBody>
        </xdr:sp>
      </xdr:grpSp>
      <xdr:sp macro="" textlink="">
        <xdr:nvSpPr>
          <xdr:cNvPr id="59" name="Retângulo de cantos arredondados 37">
            <a:hlinkClick xmlns:r="http://schemas.openxmlformats.org/officeDocument/2006/relationships" r:id="rId1"/>
            <a:extLst>
              <a:ext uri="{FF2B5EF4-FFF2-40B4-BE49-F238E27FC236}">
                <a16:creationId xmlns="" xmlns:a16="http://schemas.microsoft.com/office/drawing/2014/main" id="{00000000-0008-0000-0100-00003B000000}"/>
              </a:ext>
            </a:extLst>
          </xdr:cNvPr>
          <xdr:cNvSpPr/>
        </xdr:nvSpPr>
        <xdr:spPr bwMode="auto">
          <a:xfrm>
            <a:off x="4696884" y="162983"/>
            <a:ext cx="774700" cy="31873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sp macro="" textlink="">
        <xdr:nvSpPr>
          <xdr:cNvPr id="60" name="Retângulo de cantos arredondados 42">
            <a:hlinkClick xmlns:r="http://schemas.openxmlformats.org/officeDocument/2006/relationships" r:id="rId21"/>
            <a:extLst>
              <a:ext uri="{FF2B5EF4-FFF2-40B4-BE49-F238E27FC236}">
                <a16:creationId xmlns="" xmlns:a16="http://schemas.microsoft.com/office/drawing/2014/main" id="{00000000-0008-0000-0100-00003C000000}"/>
              </a:ext>
            </a:extLst>
          </xdr:cNvPr>
          <xdr:cNvSpPr/>
        </xdr:nvSpPr>
        <xdr:spPr bwMode="auto">
          <a:xfrm>
            <a:off x="7125758" y="522817"/>
            <a:ext cx="758825" cy="318738"/>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50" b="0">
                <a:solidFill>
                  <a:schemeClr val="bg1"/>
                </a:solidFill>
                <a:latin typeface="Calibri Light" panose="020F0302020204030204" pitchFamily="34" charset="0"/>
                <a:cs typeface="Arial" pitchFamily="34" charset="0"/>
              </a:rPr>
              <a:t>Agrícolas e alt. do uso do solo</a:t>
            </a:r>
            <a:endParaRPr lang="pt-BR" sz="850" b="0" baseline="0">
              <a:solidFill>
                <a:schemeClr val="bg1"/>
              </a:solidFill>
              <a:latin typeface="Calibri Light" panose="020F0302020204030204" pitchFamily="34" charset="0"/>
              <a:cs typeface="Arial" pitchFamily="34" charset="0"/>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10583</xdr:colOff>
      <xdr:row>0</xdr:row>
      <xdr:rowOff>0</xdr:rowOff>
    </xdr:from>
    <xdr:to>
      <xdr:col>1</xdr:col>
      <xdr:colOff>2154766</xdr:colOff>
      <xdr:row>6</xdr:row>
      <xdr:rowOff>85660</xdr:rowOff>
    </xdr:to>
    <xdr:pic>
      <xdr:nvPicPr>
        <xdr:cNvPr id="2" name="Imagem 1">
          <a:extLst>
            <a:ext uri="{FF2B5EF4-FFF2-40B4-BE49-F238E27FC236}">
              <a16:creationId xmlns=""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 y="0"/>
          <a:ext cx="2758016" cy="1038160"/>
        </a:xfrm>
        <a:prstGeom prst="rect">
          <a:avLst/>
        </a:prstGeom>
      </xdr:spPr>
    </xdr:pic>
    <xdr:clientData/>
  </xdr:twoCellAnchor>
  <xdr:twoCellAnchor>
    <xdr:from>
      <xdr:col>1</xdr:col>
      <xdr:colOff>2381250</xdr:colOff>
      <xdr:row>0</xdr:row>
      <xdr:rowOff>137583</xdr:rowOff>
    </xdr:from>
    <xdr:to>
      <xdr:col>3</xdr:col>
      <xdr:colOff>1463114</xdr:colOff>
      <xdr:row>11</xdr:row>
      <xdr:rowOff>141959</xdr:rowOff>
    </xdr:to>
    <xdr:grpSp>
      <xdr:nvGrpSpPr>
        <xdr:cNvPr id="31" name="Grupo 30">
          <a:extLst>
            <a:ext uri="{FF2B5EF4-FFF2-40B4-BE49-F238E27FC236}">
              <a16:creationId xmlns="" xmlns:a16="http://schemas.microsoft.com/office/drawing/2014/main" id="{00000000-0008-0000-1300-00001F000000}"/>
            </a:ext>
          </a:extLst>
        </xdr:cNvPr>
        <xdr:cNvGrpSpPr/>
      </xdr:nvGrpSpPr>
      <xdr:grpSpPr>
        <a:xfrm>
          <a:off x="2993571" y="137583"/>
          <a:ext cx="7286972" cy="1800519"/>
          <a:chOff x="3069167" y="114300"/>
          <a:chExt cx="7283948" cy="1549543"/>
        </a:xfrm>
      </xdr:grpSpPr>
      <xdr:grpSp>
        <xdr:nvGrpSpPr>
          <xdr:cNvPr id="32" name="Group 32">
            <a:extLst>
              <a:ext uri="{FF2B5EF4-FFF2-40B4-BE49-F238E27FC236}">
                <a16:creationId xmlns="" xmlns:a16="http://schemas.microsoft.com/office/drawing/2014/main" id="{00000000-0008-0000-1300-000020000000}"/>
              </a:ext>
            </a:extLst>
          </xdr:cNvPr>
          <xdr:cNvGrpSpPr/>
        </xdr:nvGrpSpPr>
        <xdr:grpSpPr>
          <a:xfrm>
            <a:off x="3069167" y="114300"/>
            <a:ext cx="7283948" cy="1549543"/>
            <a:chOff x="3514726" y="52774"/>
            <a:chExt cx="7219950" cy="1576001"/>
          </a:xfrm>
        </xdr:grpSpPr>
        <xdr:sp macro="" textlink="">
          <xdr:nvSpPr>
            <xdr:cNvPr id="35" name="Fluxograma: Processo 60">
              <a:extLst>
                <a:ext uri="{FF2B5EF4-FFF2-40B4-BE49-F238E27FC236}">
                  <a16:creationId xmlns="" xmlns:a16="http://schemas.microsoft.com/office/drawing/2014/main" id="{00000000-0008-0000-1300-000023000000}"/>
                </a:ext>
              </a:extLst>
            </xdr:cNvPr>
            <xdr:cNvSpPr>
              <a:spLocks noChangeArrowheads="1"/>
            </xdr:cNvSpPr>
          </xdr:nvSpPr>
          <xdr:spPr bwMode="auto">
            <a:xfrm>
              <a:off x="3514726" y="52774"/>
              <a:ext cx="7219950" cy="1576001"/>
            </a:xfrm>
            <a:prstGeom prst="flowChartProcess">
              <a:avLst/>
            </a:prstGeom>
            <a:solidFill>
              <a:schemeClr val="accent1">
                <a:lumMod val="20000"/>
                <a:lumOff val="80000"/>
              </a:schemeClr>
            </a:solidFill>
            <a:ln w="19050" algn="ctr">
              <a:solidFill>
                <a:schemeClr val="accent1"/>
              </a:solidFill>
              <a:round/>
              <a:headEnd/>
              <a:tailEnd/>
            </a:ln>
            <a:effectLst/>
          </xdr:spPr>
          <xdr:txBody>
            <a:bodyPr/>
            <a:lstStyle/>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r>
                <a:rPr lang="pt-BR" sz="1400" b="1">
                  <a:latin typeface="Calibri Light" panose="020F0302020204030204" pitchFamily="34" charset="0"/>
                </a:rPr>
                <a:t>Menu de </a:t>
              </a:r>
            </a:p>
            <a:p>
              <a:pPr algn="r"/>
              <a:r>
                <a:rPr lang="pt-BR" sz="1400" b="1">
                  <a:latin typeface="Calibri Light" panose="020F0302020204030204" pitchFamily="34" charset="0"/>
                </a:rPr>
                <a:t>navegação</a:t>
              </a:r>
            </a:p>
          </xdr:txBody>
        </xdr:sp>
        <xdr:sp macro="" textlink="">
          <xdr:nvSpPr>
            <xdr:cNvPr id="36" name="Retângulo de cantos arredondados 34">
              <a:hlinkClick xmlns:r="http://schemas.openxmlformats.org/officeDocument/2006/relationships" r:id="rId2"/>
              <a:extLst>
                <a:ext uri="{FF2B5EF4-FFF2-40B4-BE49-F238E27FC236}">
                  <a16:creationId xmlns="" xmlns:a16="http://schemas.microsoft.com/office/drawing/2014/main" id="{00000000-0008-0000-1300-000024000000}"/>
                </a:ext>
              </a:extLst>
            </xdr:cNvPr>
            <xdr:cNvSpPr/>
          </xdr:nvSpPr>
          <xdr:spPr bwMode="auto">
            <a:xfrm>
              <a:off x="4333251"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Introdução</a:t>
              </a:r>
            </a:p>
          </xdr:txBody>
        </xdr:sp>
        <xdr:sp macro="" textlink="">
          <xdr:nvSpPr>
            <xdr:cNvPr id="37" name="Retângulo de cantos arredondados 35">
              <a:hlinkClick xmlns:r="http://schemas.openxmlformats.org/officeDocument/2006/relationships" r:id="rId3"/>
              <a:extLst>
                <a:ext uri="{FF2B5EF4-FFF2-40B4-BE49-F238E27FC236}">
                  <a16:creationId xmlns="" xmlns:a16="http://schemas.microsoft.com/office/drawing/2014/main" id="{00000000-0008-0000-1300-000025000000}"/>
                </a:ext>
              </a:extLst>
            </xdr:cNvPr>
            <xdr:cNvSpPr/>
          </xdr:nvSpPr>
          <xdr:spPr bwMode="auto">
            <a:xfrm>
              <a:off x="4333251"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lnSpc>
                  <a:spcPct val="80000"/>
                </a:lnSpc>
              </a:pPr>
              <a:r>
                <a:rPr lang="pt-BR" sz="900" b="0">
                  <a:solidFill>
                    <a:schemeClr val="bg1"/>
                  </a:solidFill>
                  <a:latin typeface="Calibri Light" panose="020F0302020204030204" pitchFamily="34" charset="0"/>
                  <a:cs typeface="Arial" pitchFamily="34" charset="0"/>
                </a:rPr>
                <a:t>Combustão</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estacionária</a:t>
              </a:r>
            </a:p>
          </xdr:txBody>
        </xdr:sp>
        <xdr:sp macro="" textlink="">
          <xdr:nvSpPr>
            <xdr:cNvPr id="38" name="Retângulo de cantos arredondados 36">
              <a:hlinkClick xmlns:r="http://schemas.openxmlformats.org/officeDocument/2006/relationships" r:id="rId4"/>
              <a:extLst>
                <a:ext uri="{FF2B5EF4-FFF2-40B4-BE49-F238E27FC236}">
                  <a16:creationId xmlns="" xmlns:a16="http://schemas.microsoft.com/office/drawing/2014/main" id="{00000000-0008-0000-1300-000026000000}"/>
                </a:ext>
              </a:extLst>
            </xdr:cNvPr>
            <xdr:cNvSpPr/>
          </xdr:nvSpPr>
          <xdr:spPr bwMode="auto">
            <a:xfrm>
              <a:off x="5130292"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Combustão </a:t>
              </a:r>
            </a:p>
            <a:p>
              <a:pPr algn="ctr"/>
              <a:r>
                <a:rPr lang="pt-BR" sz="900" b="0">
                  <a:solidFill>
                    <a:schemeClr val="bg1"/>
                  </a:solidFill>
                  <a:latin typeface="Calibri Light" panose="020F0302020204030204" pitchFamily="34" charset="0"/>
                  <a:cs typeface="Arial" pitchFamily="34" charset="0"/>
                </a:rPr>
                <a:t>móvel</a:t>
              </a:r>
            </a:p>
          </xdr:txBody>
        </xdr:sp>
        <xdr:sp macro="" textlink="">
          <xdr:nvSpPr>
            <xdr:cNvPr id="39" name="Retângulo de cantos arredondados 37">
              <a:hlinkClick xmlns:r="http://schemas.openxmlformats.org/officeDocument/2006/relationships" r:id="rId5"/>
              <a:extLst>
                <a:ext uri="{FF2B5EF4-FFF2-40B4-BE49-F238E27FC236}">
                  <a16:creationId xmlns="" xmlns:a16="http://schemas.microsoft.com/office/drawing/2014/main" id="{00000000-0008-0000-1300-000027000000}"/>
                </a:ext>
              </a:extLst>
            </xdr:cNvPr>
            <xdr:cNvSpPr/>
          </xdr:nvSpPr>
          <xdr:spPr bwMode="auto">
            <a:xfrm>
              <a:off x="5932663"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Resumo</a:t>
              </a:r>
            </a:p>
          </xdr:txBody>
        </xdr:sp>
        <xdr:sp macro="" textlink="">
          <xdr:nvSpPr>
            <xdr:cNvPr id="40" name="Retângulo de cantos arredondados 38">
              <a:hlinkClick xmlns:r="http://schemas.openxmlformats.org/officeDocument/2006/relationships" r:id="rId6"/>
              <a:extLst>
                <a:ext uri="{FF2B5EF4-FFF2-40B4-BE49-F238E27FC236}">
                  <a16:creationId xmlns="" xmlns:a16="http://schemas.microsoft.com/office/drawing/2014/main" id="{00000000-0008-0000-1300-000028000000}"/>
                </a:ext>
              </a:extLst>
            </xdr:cNvPr>
            <xdr:cNvSpPr/>
          </xdr:nvSpPr>
          <xdr:spPr bwMode="auto">
            <a:xfrm>
              <a:off x="6719145"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Fatores </a:t>
              </a:r>
            </a:p>
            <a:p>
              <a:pPr algn="ctr"/>
              <a:r>
                <a:rPr lang="pt-BR" sz="900" b="0">
                  <a:latin typeface="Calibri Light" panose="020F0302020204030204" pitchFamily="34" charset="0"/>
                  <a:cs typeface="Arial" pitchFamily="34" charset="0"/>
                </a:rPr>
                <a:t>de emissão</a:t>
              </a:r>
            </a:p>
          </xdr:txBody>
        </xdr:sp>
        <xdr:sp macro="" textlink="">
          <xdr:nvSpPr>
            <xdr:cNvPr id="41" name="Fluxograma: Processo 39">
              <a:extLst>
                <a:ext uri="{FF2B5EF4-FFF2-40B4-BE49-F238E27FC236}">
                  <a16:creationId xmlns="" xmlns:a16="http://schemas.microsoft.com/office/drawing/2014/main" id="{00000000-0008-0000-1300-000029000000}"/>
                </a:ext>
              </a:extLst>
            </xdr:cNvPr>
            <xdr:cNvSpPr/>
          </xdr:nvSpPr>
          <xdr:spPr bwMode="auto">
            <a:xfrm>
              <a:off x="3604863" y="528178"/>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1</a:t>
              </a:r>
            </a:p>
          </xdr:txBody>
        </xdr:sp>
        <xdr:sp macro="" textlink="">
          <xdr:nvSpPr>
            <xdr:cNvPr id="42" name="Retângulo de cantos arredondados 40">
              <a:hlinkClick xmlns:r="http://schemas.openxmlformats.org/officeDocument/2006/relationships" r:id="rId7"/>
              <a:extLst>
                <a:ext uri="{FF2B5EF4-FFF2-40B4-BE49-F238E27FC236}">
                  <a16:creationId xmlns="" xmlns:a16="http://schemas.microsoft.com/office/drawing/2014/main" id="{00000000-0008-0000-1300-00002A000000}"/>
                </a:ext>
              </a:extLst>
            </xdr:cNvPr>
            <xdr:cNvSpPr/>
          </xdr:nvSpPr>
          <xdr:spPr bwMode="auto">
            <a:xfrm>
              <a:off x="5927333"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00" b="0">
                  <a:solidFill>
                    <a:schemeClr val="bg1"/>
                  </a:solidFill>
                  <a:latin typeface="Calibri Light" panose="020F0302020204030204" pitchFamily="34" charset="0"/>
                  <a:cs typeface="Arial" pitchFamily="34" charset="0"/>
                </a:rPr>
                <a:t>Emissões </a:t>
              </a:r>
            </a:p>
            <a:p>
              <a:pPr algn="ctr"/>
              <a:r>
                <a:rPr lang="pt-BR" sz="800" b="0">
                  <a:solidFill>
                    <a:schemeClr val="bg1"/>
                  </a:solidFill>
                  <a:latin typeface="Calibri Light" panose="020F0302020204030204" pitchFamily="34" charset="0"/>
                  <a:cs typeface="Arial" pitchFamily="34" charset="0"/>
                </a:rPr>
                <a:t>fugitivas</a:t>
              </a:r>
            </a:p>
          </xdr:txBody>
        </xdr:sp>
        <xdr:sp macro="" textlink="">
          <xdr:nvSpPr>
            <xdr:cNvPr id="43" name="Retângulo de cantos arredondados 41">
              <a:hlinkClick xmlns:r="http://schemas.openxmlformats.org/officeDocument/2006/relationships" r:id="rId8"/>
              <a:extLst>
                <a:ext uri="{FF2B5EF4-FFF2-40B4-BE49-F238E27FC236}">
                  <a16:creationId xmlns="" xmlns:a16="http://schemas.microsoft.com/office/drawing/2014/main" id="{00000000-0008-0000-1300-00002B000000}"/>
                </a:ext>
              </a:extLst>
            </xdr:cNvPr>
            <xdr:cNvSpPr/>
          </xdr:nvSpPr>
          <xdr:spPr bwMode="auto">
            <a:xfrm>
              <a:off x="6724374"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Processos</a:t>
              </a:r>
              <a:r>
                <a:rPr lang="pt-BR" sz="900" b="0" baseline="0">
                  <a:solidFill>
                    <a:schemeClr val="bg1"/>
                  </a:solidFill>
                  <a:latin typeface="Calibri Light" panose="020F0302020204030204" pitchFamily="34" charset="0"/>
                  <a:cs typeface="Arial" pitchFamily="34" charset="0"/>
                </a:rPr>
                <a:t> industriais</a:t>
              </a:r>
              <a:endParaRPr lang="pt-BR" sz="900" b="0">
                <a:solidFill>
                  <a:schemeClr val="bg1"/>
                </a:solidFill>
                <a:latin typeface="Calibri Light" panose="020F0302020204030204" pitchFamily="34" charset="0"/>
                <a:cs typeface="Arial" pitchFamily="34" charset="0"/>
              </a:endParaRPr>
            </a:p>
          </xdr:txBody>
        </xdr:sp>
        <xdr:sp macro="" textlink="">
          <xdr:nvSpPr>
            <xdr:cNvPr id="44" name="Retângulo de cantos arredondados 43">
              <a:hlinkClick xmlns:r="http://schemas.openxmlformats.org/officeDocument/2006/relationships" r:id="rId9"/>
              <a:extLst>
                <a:ext uri="{FF2B5EF4-FFF2-40B4-BE49-F238E27FC236}">
                  <a16:creationId xmlns="" xmlns:a16="http://schemas.microsoft.com/office/drawing/2014/main" id="{00000000-0008-0000-1300-00002C000000}"/>
                </a:ext>
              </a:extLst>
            </xdr:cNvPr>
            <xdr:cNvSpPr/>
          </xdr:nvSpPr>
          <xdr:spPr bwMode="auto">
            <a:xfrm>
              <a:off x="8318456"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Resíduos</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sólidos</a:t>
              </a:r>
            </a:p>
          </xdr:txBody>
        </xdr:sp>
        <xdr:sp macro="" textlink="">
          <xdr:nvSpPr>
            <xdr:cNvPr id="45" name="Retângulo de cantos arredondados 44">
              <a:hlinkClick xmlns:r="http://schemas.openxmlformats.org/officeDocument/2006/relationships" r:id="rId10"/>
              <a:extLst>
                <a:ext uri="{FF2B5EF4-FFF2-40B4-BE49-F238E27FC236}">
                  <a16:creationId xmlns="" xmlns:a16="http://schemas.microsoft.com/office/drawing/2014/main" id="{00000000-0008-0000-1300-00002D000000}"/>
                </a:ext>
              </a:extLst>
            </xdr:cNvPr>
            <xdr:cNvSpPr/>
          </xdr:nvSpPr>
          <xdr:spPr bwMode="auto">
            <a:xfrm>
              <a:off x="433325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lnSpc>
                  <a:spcPct val="80000"/>
                </a:lnSpc>
              </a:pPr>
              <a:r>
                <a:rPr lang="pt-BR" sz="900" b="0">
                  <a:latin typeface="Calibri Light" panose="020F0302020204030204" pitchFamily="34" charset="0"/>
                  <a:cs typeface="Arial" pitchFamily="34" charset="0"/>
                </a:rPr>
                <a:t>Compra de Energia</a:t>
              </a:r>
              <a:r>
                <a:rPr lang="pt-BR" sz="900" b="0" baseline="0">
                  <a:latin typeface="Calibri Light" panose="020F0302020204030204" pitchFamily="34" charset="0"/>
                  <a:cs typeface="Arial" pitchFamily="34" charset="0"/>
                </a:rPr>
                <a:t> Elétrica</a:t>
              </a:r>
            </a:p>
          </xdr:txBody>
        </xdr:sp>
        <xdr:sp macro="" textlink="">
          <xdr:nvSpPr>
            <xdr:cNvPr id="46" name="Retângulo de cantos arredondados 45">
              <a:hlinkClick xmlns:r="http://schemas.openxmlformats.org/officeDocument/2006/relationships" r:id="rId11"/>
              <a:extLst>
                <a:ext uri="{FF2B5EF4-FFF2-40B4-BE49-F238E27FC236}">
                  <a16:creationId xmlns="" xmlns:a16="http://schemas.microsoft.com/office/drawing/2014/main" id="{00000000-0008-0000-1300-00002E000000}"/>
                </a:ext>
              </a:extLst>
            </xdr:cNvPr>
            <xdr:cNvSpPr/>
          </xdr:nvSpPr>
          <xdr:spPr bwMode="auto">
            <a:xfrm>
              <a:off x="513371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Compra de</a:t>
              </a:r>
              <a:r>
                <a:rPr lang="pt-BR" sz="900" b="0" baseline="0">
                  <a:latin typeface="Calibri Light" panose="020F0302020204030204" pitchFamily="34" charset="0"/>
                  <a:cs typeface="Arial" pitchFamily="34" charset="0"/>
                </a:rPr>
                <a:t> Energia Térmica</a:t>
              </a:r>
            </a:p>
          </xdr:txBody>
        </xdr:sp>
        <xdr:sp macro="" textlink="">
          <xdr:nvSpPr>
            <xdr:cNvPr id="47" name="Fluxograma: Processo 46">
              <a:extLst>
                <a:ext uri="{FF2B5EF4-FFF2-40B4-BE49-F238E27FC236}">
                  <a16:creationId xmlns="" xmlns:a16="http://schemas.microsoft.com/office/drawing/2014/main" id="{00000000-0008-0000-1300-00002F000000}"/>
                </a:ext>
              </a:extLst>
            </xdr:cNvPr>
            <xdr:cNvSpPr/>
          </xdr:nvSpPr>
          <xdr:spPr bwMode="auto">
            <a:xfrm>
              <a:off x="3604863" y="909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2</a:t>
              </a:r>
            </a:p>
          </xdr:txBody>
        </xdr:sp>
        <xdr:sp macro="" textlink="">
          <xdr:nvSpPr>
            <xdr:cNvPr id="48" name="Fluxograma: Processo 47">
              <a:extLst>
                <a:ext uri="{FF2B5EF4-FFF2-40B4-BE49-F238E27FC236}">
                  <a16:creationId xmlns="" xmlns:a16="http://schemas.microsoft.com/office/drawing/2014/main" id="{00000000-0008-0000-1300-000030000000}"/>
                </a:ext>
              </a:extLst>
            </xdr:cNvPr>
            <xdr:cNvSpPr/>
          </xdr:nvSpPr>
          <xdr:spPr bwMode="auto">
            <a:xfrm>
              <a:off x="3604863" y="1290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3</a:t>
              </a:r>
            </a:p>
          </xdr:txBody>
        </xdr:sp>
        <xdr:sp macro="" textlink="">
          <xdr:nvSpPr>
            <xdr:cNvPr id="49" name="Retângulo de cantos arredondados 48">
              <a:hlinkClick xmlns:r="http://schemas.openxmlformats.org/officeDocument/2006/relationships" r:id="rId12"/>
              <a:extLst>
                <a:ext uri="{FF2B5EF4-FFF2-40B4-BE49-F238E27FC236}">
                  <a16:creationId xmlns="" xmlns:a16="http://schemas.microsoft.com/office/drawing/2014/main" id="{00000000-0008-0000-1300-000031000000}"/>
                </a:ext>
              </a:extLst>
            </xdr:cNvPr>
            <xdr:cNvSpPr/>
          </xdr:nvSpPr>
          <xdr:spPr bwMode="auto">
            <a:xfrm>
              <a:off x="433325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lnSpc>
                  <a:spcPct val="80000"/>
                </a:lnSpc>
              </a:pPr>
              <a:r>
                <a:rPr lang="pt-BR" sz="900" b="0">
                  <a:solidFill>
                    <a:schemeClr val="bg1">
                      <a:lumMod val="50000"/>
                    </a:schemeClr>
                  </a:solidFill>
                  <a:latin typeface="Calibri Light" panose="020F0302020204030204" pitchFamily="34" charset="0"/>
                  <a:cs typeface="Arial" pitchFamily="34" charset="0"/>
                </a:rPr>
                <a:t>Categorias de Âmbito 3</a:t>
              </a:r>
              <a:endParaRPr lang="pt-BR" sz="900" b="0" baseline="0">
                <a:solidFill>
                  <a:schemeClr val="bg1">
                    <a:lumMod val="50000"/>
                  </a:schemeClr>
                </a:solidFill>
                <a:latin typeface="Calibri Light" panose="020F0302020204030204" pitchFamily="34" charset="0"/>
                <a:cs typeface="Arial" pitchFamily="34" charset="0"/>
              </a:endParaRPr>
            </a:p>
          </xdr:txBody>
        </xdr:sp>
        <xdr:sp macro="" textlink="">
          <xdr:nvSpPr>
            <xdr:cNvPr id="50" name="Retângulo de cantos arredondados 49">
              <a:hlinkClick xmlns:r="http://schemas.openxmlformats.org/officeDocument/2006/relationships" r:id="rId13"/>
              <a:extLst>
                <a:ext uri="{FF2B5EF4-FFF2-40B4-BE49-F238E27FC236}">
                  <a16:creationId xmlns="" xmlns:a16="http://schemas.microsoft.com/office/drawing/2014/main" id="{00000000-0008-0000-1300-000032000000}"/>
                </a:ext>
              </a:extLst>
            </xdr:cNvPr>
            <xdr:cNvSpPr/>
          </xdr:nvSpPr>
          <xdr:spPr bwMode="auto">
            <a:xfrm>
              <a:off x="5925918"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Resíduos sólidos gerados na operação</a:t>
              </a:r>
            </a:p>
          </xdr:txBody>
        </xdr:sp>
        <xdr:sp macro="" textlink="">
          <xdr:nvSpPr>
            <xdr:cNvPr id="51" name="Retângulo de cantos arredondados 50">
              <a:hlinkClick xmlns:r="http://schemas.openxmlformats.org/officeDocument/2006/relationships" r:id="rId14"/>
              <a:extLst>
                <a:ext uri="{FF2B5EF4-FFF2-40B4-BE49-F238E27FC236}">
                  <a16:creationId xmlns="" xmlns:a16="http://schemas.microsoft.com/office/drawing/2014/main" id="{00000000-0008-0000-1300-000033000000}"/>
                </a:ext>
              </a:extLst>
            </xdr:cNvPr>
            <xdr:cNvSpPr/>
          </xdr:nvSpPr>
          <xdr:spPr bwMode="auto">
            <a:xfrm>
              <a:off x="6722959"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Efluentes gerados na operação</a:t>
              </a:r>
            </a:p>
          </xdr:txBody>
        </xdr:sp>
        <xdr:sp macro="" textlink="">
          <xdr:nvSpPr>
            <xdr:cNvPr id="52" name="Retângulo de cantos arredondados 51">
              <a:hlinkClick xmlns:r="http://schemas.openxmlformats.org/officeDocument/2006/relationships" r:id="rId15"/>
              <a:extLst>
                <a:ext uri="{FF2B5EF4-FFF2-40B4-BE49-F238E27FC236}">
                  <a16:creationId xmlns="" xmlns:a16="http://schemas.microsoft.com/office/drawing/2014/main" id="{00000000-0008-0000-1300-000034000000}"/>
                </a:ext>
              </a:extLst>
            </xdr:cNvPr>
            <xdr:cNvSpPr/>
          </xdr:nvSpPr>
          <xdr:spPr bwMode="auto">
            <a:xfrm>
              <a:off x="831704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(downstream)</a:t>
              </a:r>
            </a:p>
          </xdr:txBody>
        </xdr:sp>
        <xdr:sp macro="" textlink="">
          <xdr:nvSpPr>
            <xdr:cNvPr id="53" name="Retângulo de cantos arredondados 52">
              <a:hlinkClick xmlns:r="http://schemas.openxmlformats.org/officeDocument/2006/relationships" r:id="rId16"/>
              <a:extLst>
                <a:ext uri="{FF2B5EF4-FFF2-40B4-BE49-F238E27FC236}">
                  <a16:creationId xmlns="" xmlns:a16="http://schemas.microsoft.com/office/drawing/2014/main" id="{00000000-0008-0000-1300-000035000000}"/>
                </a:ext>
              </a:extLst>
            </xdr:cNvPr>
            <xdr:cNvSpPr/>
          </xdr:nvSpPr>
          <xdr:spPr bwMode="auto">
            <a:xfrm>
              <a:off x="5135994" y="1228723"/>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(upstream)</a:t>
              </a:r>
            </a:p>
          </xdr:txBody>
        </xdr:sp>
        <xdr:sp macro="" textlink="">
          <xdr:nvSpPr>
            <xdr:cNvPr id="54" name="Retângulo de cantos arredondados 54">
              <a:hlinkClick xmlns:r="http://schemas.openxmlformats.org/officeDocument/2006/relationships" r:id="rId17"/>
              <a:extLst>
                <a:ext uri="{FF2B5EF4-FFF2-40B4-BE49-F238E27FC236}">
                  <a16:creationId xmlns="" xmlns:a16="http://schemas.microsoft.com/office/drawing/2014/main" id="{00000000-0008-0000-1300-000036000000}"/>
                </a:ext>
              </a:extLst>
            </xdr:cNvPr>
            <xdr:cNvSpPr/>
          </xdr:nvSpPr>
          <xdr:spPr bwMode="auto">
            <a:xfrm>
              <a:off x="9115497"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Efluentes</a:t>
              </a:r>
            </a:p>
          </xdr:txBody>
        </xdr:sp>
        <xdr:sp macro="" textlink="">
          <xdr:nvSpPr>
            <xdr:cNvPr id="55" name="Retângulo de cantos arredondados 56">
              <a:hlinkClick xmlns:r="http://schemas.openxmlformats.org/officeDocument/2006/relationships" r:id="rId18"/>
              <a:extLst>
                <a:ext uri="{FF2B5EF4-FFF2-40B4-BE49-F238E27FC236}">
                  <a16:creationId xmlns="" xmlns:a16="http://schemas.microsoft.com/office/drawing/2014/main" id="{00000000-0008-0000-1300-000037000000}"/>
                </a:ext>
              </a:extLst>
            </xdr:cNvPr>
            <xdr:cNvSpPr/>
          </xdr:nvSpPr>
          <xdr:spPr bwMode="auto">
            <a:xfrm>
              <a:off x="7526519"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Conversão de unidades</a:t>
              </a:r>
            </a:p>
          </xdr:txBody>
        </xdr:sp>
        <xdr:sp macro="" textlink="">
          <xdr:nvSpPr>
            <xdr:cNvPr id="56" name="Retângulo de cantos arredondados 58">
              <a:hlinkClick xmlns:r="http://schemas.openxmlformats.org/officeDocument/2006/relationships" r:id="rId19"/>
              <a:extLst>
                <a:ext uri="{FF2B5EF4-FFF2-40B4-BE49-F238E27FC236}">
                  <a16:creationId xmlns="" xmlns:a16="http://schemas.microsoft.com/office/drawing/2014/main" id="{00000000-0008-0000-1300-000038000000}"/>
                </a:ext>
              </a:extLst>
            </xdr:cNvPr>
            <xdr:cNvSpPr/>
          </xdr:nvSpPr>
          <xdr:spPr bwMode="auto">
            <a:xfrm>
              <a:off x="7520000"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r>
                <a:rPr lang="pt-BR" sz="900" b="0">
                  <a:solidFill>
                    <a:schemeClr val="bg1">
                      <a:lumMod val="50000"/>
                    </a:schemeClr>
                  </a:solidFill>
                  <a:latin typeface="Calibri Light" panose="020F0302020204030204" pitchFamily="34" charset="0"/>
                  <a:cs typeface="Arial" pitchFamily="34" charset="0"/>
                </a:rPr>
                <a:t>Viagens a negócios</a:t>
              </a:r>
            </a:p>
          </xdr:txBody>
        </xdr:sp>
        <xdr:sp macro="" textlink="">
          <xdr:nvSpPr>
            <xdr:cNvPr id="57" name="Fluxograma: Processo 59">
              <a:extLst>
                <a:ext uri="{FF2B5EF4-FFF2-40B4-BE49-F238E27FC236}">
                  <a16:creationId xmlns="" xmlns:a16="http://schemas.microsoft.com/office/drawing/2014/main" id="{00000000-0008-0000-1300-000039000000}"/>
                </a:ext>
              </a:extLst>
            </xdr:cNvPr>
            <xdr:cNvSpPr/>
          </xdr:nvSpPr>
          <xdr:spPr bwMode="auto">
            <a:xfrm>
              <a:off x="3604863" y="156702"/>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Geral</a:t>
              </a:r>
            </a:p>
          </xdr:txBody>
        </xdr:sp>
      </xdr:grpSp>
      <xdr:sp macro="" textlink="">
        <xdr:nvSpPr>
          <xdr:cNvPr id="33" name="Retângulo de cantos arredondados 37">
            <a:hlinkClick xmlns:r="http://schemas.openxmlformats.org/officeDocument/2006/relationships" r:id="rId20"/>
            <a:extLst>
              <a:ext uri="{FF2B5EF4-FFF2-40B4-BE49-F238E27FC236}">
                <a16:creationId xmlns="" xmlns:a16="http://schemas.microsoft.com/office/drawing/2014/main" id="{00000000-0008-0000-1300-000021000000}"/>
              </a:ext>
            </a:extLst>
          </xdr:cNvPr>
          <xdr:cNvSpPr/>
        </xdr:nvSpPr>
        <xdr:spPr bwMode="auto">
          <a:xfrm>
            <a:off x="4696884" y="162983"/>
            <a:ext cx="774700" cy="31873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sp macro="" textlink="">
        <xdr:nvSpPr>
          <xdr:cNvPr id="34" name="Retângulo de cantos arredondados 42">
            <a:hlinkClick xmlns:r="http://schemas.openxmlformats.org/officeDocument/2006/relationships" r:id="rId21"/>
            <a:extLst>
              <a:ext uri="{FF2B5EF4-FFF2-40B4-BE49-F238E27FC236}">
                <a16:creationId xmlns="" xmlns:a16="http://schemas.microsoft.com/office/drawing/2014/main" id="{00000000-0008-0000-1300-000022000000}"/>
              </a:ext>
            </a:extLst>
          </xdr:cNvPr>
          <xdr:cNvSpPr/>
        </xdr:nvSpPr>
        <xdr:spPr bwMode="auto">
          <a:xfrm>
            <a:off x="7125758" y="522817"/>
            <a:ext cx="758825" cy="318738"/>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50" b="0">
                <a:solidFill>
                  <a:schemeClr val="bg1"/>
                </a:solidFill>
                <a:latin typeface="Calibri Light" panose="020F0302020204030204" pitchFamily="34" charset="0"/>
                <a:cs typeface="Arial" pitchFamily="34" charset="0"/>
              </a:rPr>
              <a:t>Agrícolas e alt. do uso do solo</a:t>
            </a:r>
            <a:endParaRPr lang="pt-BR" sz="850" b="0" baseline="0">
              <a:solidFill>
                <a:schemeClr val="bg1"/>
              </a:solidFill>
              <a:latin typeface="Calibri Light" panose="020F0302020204030204" pitchFamily="34" charset="0"/>
              <a:cs typeface="Arial" pitchFamily="34" charset="0"/>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486833</xdr:colOff>
      <xdr:row>17</xdr:row>
      <xdr:rowOff>31735</xdr:rowOff>
    </xdr:from>
    <xdr:to>
      <xdr:col>2</xdr:col>
      <xdr:colOff>2985752</xdr:colOff>
      <xdr:row>17</xdr:row>
      <xdr:rowOff>278265</xdr:rowOff>
    </xdr:to>
    <xdr:sp macro="" textlink="">
      <xdr:nvSpPr>
        <xdr:cNvPr id="29" name="Retângulo de cantos arredondados 28">
          <a:hlinkClick xmlns:r="http://schemas.openxmlformats.org/officeDocument/2006/relationships" r:id="rId1"/>
          <a:extLst>
            <a:ext uri="{FF2B5EF4-FFF2-40B4-BE49-F238E27FC236}">
              <a16:creationId xmlns="" xmlns:a16="http://schemas.microsoft.com/office/drawing/2014/main" id="{00000000-0008-0000-1400-00001D000000}"/>
            </a:ext>
          </a:extLst>
        </xdr:cNvPr>
        <xdr:cNvSpPr/>
      </xdr:nvSpPr>
      <xdr:spPr bwMode="auto">
        <a:xfrm>
          <a:off x="1386416" y="3111485"/>
          <a:ext cx="2498919" cy="246530"/>
        </a:xfrm>
        <a:prstGeom prst="roundRect">
          <a:avLst/>
        </a:prstGeom>
        <a:solidFill>
          <a:schemeClr val="bg1">
            <a:lumMod val="9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pt-BR" sz="900" b="0"/>
            <a:t>clique aqui para ver a definição de cada combustível</a:t>
          </a:r>
        </a:p>
      </xdr:txBody>
    </xdr:sp>
    <xdr:clientData/>
  </xdr:twoCellAnchor>
  <xdr:twoCellAnchor editAs="oneCell">
    <xdr:from>
      <xdr:col>0</xdr:col>
      <xdr:colOff>0</xdr:colOff>
      <xdr:row>2</xdr:row>
      <xdr:rowOff>0</xdr:rowOff>
    </xdr:from>
    <xdr:to>
      <xdr:col>2</xdr:col>
      <xdr:colOff>1858433</xdr:colOff>
      <xdr:row>7</xdr:row>
      <xdr:rowOff>32743</xdr:rowOff>
    </xdr:to>
    <xdr:pic>
      <xdr:nvPicPr>
        <xdr:cNvPr id="60" name="Imagem 59">
          <a:extLst>
            <a:ext uri="{FF2B5EF4-FFF2-40B4-BE49-F238E27FC236}">
              <a16:creationId xmlns="" xmlns:a16="http://schemas.microsoft.com/office/drawing/2014/main" id="{00000000-0008-0000-1400-00003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01083"/>
          <a:ext cx="2758016" cy="1038160"/>
        </a:xfrm>
        <a:prstGeom prst="rect">
          <a:avLst/>
        </a:prstGeom>
      </xdr:spPr>
    </xdr:pic>
    <xdr:clientData/>
  </xdr:twoCellAnchor>
  <xdr:twoCellAnchor>
    <xdr:from>
      <xdr:col>2</xdr:col>
      <xdr:colOff>1778000</xdr:colOff>
      <xdr:row>2</xdr:row>
      <xdr:rowOff>31751</xdr:rowOff>
    </xdr:from>
    <xdr:to>
      <xdr:col>5</xdr:col>
      <xdr:colOff>288364</xdr:colOff>
      <xdr:row>10</xdr:row>
      <xdr:rowOff>173710</xdr:rowOff>
    </xdr:to>
    <xdr:grpSp>
      <xdr:nvGrpSpPr>
        <xdr:cNvPr id="61" name="Grupo 60">
          <a:extLst>
            <a:ext uri="{FF2B5EF4-FFF2-40B4-BE49-F238E27FC236}">
              <a16:creationId xmlns="" xmlns:a16="http://schemas.microsoft.com/office/drawing/2014/main" id="{00000000-0008-0000-1400-00003D000000}"/>
            </a:ext>
          </a:extLst>
        </xdr:cNvPr>
        <xdr:cNvGrpSpPr/>
      </xdr:nvGrpSpPr>
      <xdr:grpSpPr>
        <a:xfrm>
          <a:off x="2682875" y="238126"/>
          <a:ext cx="7289239" cy="1792959"/>
          <a:chOff x="3069167" y="114300"/>
          <a:chExt cx="7283948" cy="1549543"/>
        </a:xfrm>
      </xdr:grpSpPr>
      <xdr:grpSp>
        <xdr:nvGrpSpPr>
          <xdr:cNvPr id="62" name="Group 32">
            <a:extLst>
              <a:ext uri="{FF2B5EF4-FFF2-40B4-BE49-F238E27FC236}">
                <a16:creationId xmlns="" xmlns:a16="http://schemas.microsoft.com/office/drawing/2014/main" id="{00000000-0008-0000-1400-00003E000000}"/>
              </a:ext>
            </a:extLst>
          </xdr:cNvPr>
          <xdr:cNvGrpSpPr/>
        </xdr:nvGrpSpPr>
        <xdr:grpSpPr>
          <a:xfrm>
            <a:off x="3069167" y="114300"/>
            <a:ext cx="7283948" cy="1549543"/>
            <a:chOff x="3514726" y="52774"/>
            <a:chExt cx="7219950" cy="1576001"/>
          </a:xfrm>
        </xdr:grpSpPr>
        <xdr:sp macro="" textlink="">
          <xdr:nvSpPr>
            <xdr:cNvPr id="65" name="Fluxograma: Processo 60">
              <a:extLst>
                <a:ext uri="{FF2B5EF4-FFF2-40B4-BE49-F238E27FC236}">
                  <a16:creationId xmlns="" xmlns:a16="http://schemas.microsoft.com/office/drawing/2014/main" id="{00000000-0008-0000-1400-000041000000}"/>
                </a:ext>
              </a:extLst>
            </xdr:cNvPr>
            <xdr:cNvSpPr>
              <a:spLocks noChangeArrowheads="1"/>
            </xdr:cNvSpPr>
          </xdr:nvSpPr>
          <xdr:spPr bwMode="auto">
            <a:xfrm>
              <a:off x="3514726" y="52774"/>
              <a:ext cx="7219950" cy="1576001"/>
            </a:xfrm>
            <a:prstGeom prst="flowChartProcess">
              <a:avLst/>
            </a:prstGeom>
            <a:solidFill>
              <a:schemeClr val="accent1">
                <a:lumMod val="20000"/>
                <a:lumOff val="80000"/>
              </a:schemeClr>
            </a:solidFill>
            <a:ln w="19050" algn="ctr">
              <a:solidFill>
                <a:schemeClr val="accent1"/>
              </a:solidFill>
              <a:round/>
              <a:headEnd/>
              <a:tailEnd/>
            </a:ln>
            <a:effectLst/>
          </xdr:spPr>
          <xdr:txBody>
            <a:bodyPr/>
            <a:lstStyle/>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r>
                <a:rPr lang="pt-BR" sz="1400" b="1">
                  <a:latin typeface="Calibri Light" panose="020F0302020204030204" pitchFamily="34" charset="0"/>
                </a:rPr>
                <a:t>Menu de </a:t>
              </a:r>
            </a:p>
            <a:p>
              <a:pPr algn="r"/>
              <a:r>
                <a:rPr lang="pt-BR" sz="1400" b="1">
                  <a:latin typeface="Calibri Light" panose="020F0302020204030204" pitchFamily="34" charset="0"/>
                </a:rPr>
                <a:t>navegação</a:t>
              </a:r>
            </a:p>
          </xdr:txBody>
        </xdr:sp>
        <xdr:sp macro="" textlink="">
          <xdr:nvSpPr>
            <xdr:cNvPr id="66" name="Retângulo de cantos arredondados 34">
              <a:hlinkClick xmlns:r="http://schemas.openxmlformats.org/officeDocument/2006/relationships" r:id="rId3"/>
              <a:extLst>
                <a:ext uri="{FF2B5EF4-FFF2-40B4-BE49-F238E27FC236}">
                  <a16:creationId xmlns="" xmlns:a16="http://schemas.microsoft.com/office/drawing/2014/main" id="{00000000-0008-0000-1400-000042000000}"/>
                </a:ext>
              </a:extLst>
            </xdr:cNvPr>
            <xdr:cNvSpPr/>
          </xdr:nvSpPr>
          <xdr:spPr bwMode="auto">
            <a:xfrm>
              <a:off x="4333251"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Introdução</a:t>
              </a:r>
            </a:p>
          </xdr:txBody>
        </xdr:sp>
        <xdr:sp macro="" textlink="">
          <xdr:nvSpPr>
            <xdr:cNvPr id="67" name="Retângulo de cantos arredondados 35">
              <a:hlinkClick xmlns:r="http://schemas.openxmlformats.org/officeDocument/2006/relationships" r:id="rId4"/>
              <a:extLst>
                <a:ext uri="{FF2B5EF4-FFF2-40B4-BE49-F238E27FC236}">
                  <a16:creationId xmlns="" xmlns:a16="http://schemas.microsoft.com/office/drawing/2014/main" id="{00000000-0008-0000-1400-000043000000}"/>
                </a:ext>
              </a:extLst>
            </xdr:cNvPr>
            <xdr:cNvSpPr/>
          </xdr:nvSpPr>
          <xdr:spPr bwMode="auto">
            <a:xfrm>
              <a:off x="4333251"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lnSpc>
                  <a:spcPct val="80000"/>
                </a:lnSpc>
              </a:pPr>
              <a:r>
                <a:rPr lang="pt-BR" sz="900" b="0">
                  <a:solidFill>
                    <a:schemeClr val="bg1"/>
                  </a:solidFill>
                  <a:latin typeface="Calibri Light" panose="020F0302020204030204" pitchFamily="34" charset="0"/>
                  <a:cs typeface="Arial" pitchFamily="34" charset="0"/>
                </a:rPr>
                <a:t>Combustão</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estacionária</a:t>
              </a:r>
            </a:p>
          </xdr:txBody>
        </xdr:sp>
        <xdr:sp macro="" textlink="">
          <xdr:nvSpPr>
            <xdr:cNvPr id="68" name="Retângulo de cantos arredondados 36">
              <a:hlinkClick xmlns:r="http://schemas.openxmlformats.org/officeDocument/2006/relationships" r:id="rId5"/>
              <a:extLst>
                <a:ext uri="{FF2B5EF4-FFF2-40B4-BE49-F238E27FC236}">
                  <a16:creationId xmlns="" xmlns:a16="http://schemas.microsoft.com/office/drawing/2014/main" id="{00000000-0008-0000-1400-000044000000}"/>
                </a:ext>
              </a:extLst>
            </xdr:cNvPr>
            <xdr:cNvSpPr/>
          </xdr:nvSpPr>
          <xdr:spPr bwMode="auto">
            <a:xfrm>
              <a:off x="5130292"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Combustão </a:t>
              </a:r>
            </a:p>
            <a:p>
              <a:pPr algn="ctr"/>
              <a:r>
                <a:rPr lang="pt-BR" sz="900" b="0">
                  <a:solidFill>
                    <a:schemeClr val="bg1"/>
                  </a:solidFill>
                  <a:latin typeface="Calibri Light" panose="020F0302020204030204" pitchFamily="34" charset="0"/>
                  <a:cs typeface="Arial" pitchFamily="34" charset="0"/>
                </a:rPr>
                <a:t>móvel</a:t>
              </a:r>
            </a:p>
          </xdr:txBody>
        </xdr:sp>
        <xdr:sp macro="" textlink="">
          <xdr:nvSpPr>
            <xdr:cNvPr id="69" name="Retângulo de cantos arredondados 37">
              <a:hlinkClick xmlns:r="http://schemas.openxmlformats.org/officeDocument/2006/relationships" r:id="rId6"/>
              <a:extLst>
                <a:ext uri="{FF2B5EF4-FFF2-40B4-BE49-F238E27FC236}">
                  <a16:creationId xmlns="" xmlns:a16="http://schemas.microsoft.com/office/drawing/2014/main" id="{00000000-0008-0000-1400-000045000000}"/>
                </a:ext>
              </a:extLst>
            </xdr:cNvPr>
            <xdr:cNvSpPr/>
          </xdr:nvSpPr>
          <xdr:spPr bwMode="auto">
            <a:xfrm>
              <a:off x="5932663"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Resumo</a:t>
              </a:r>
            </a:p>
          </xdr:txBody>
        </xdr:sp>
        <xdr:sp macro="" textlink="">
          <xdr:nvSpPr>
            <xdr:cNvPr id="70" name="Retângulo de cantos arredondados 38">
              <a:hlinkClick xmlns:r="http://schemas.openxmlformats.org/officeDocument/2006/relationships" r:id="rId7"/>
              <a:extLst>
                <a:ext uri="{FF2B5EF4-FFF2-40B4-BE49-F238E27FC236}">
                  <a16:creationId xmlns="" xmlns:a16="http://schemas.microsoft.com/office/drawing/2014/main" id="{00000000-0008-0000-1400-000046000000}"/>
                </a:ext>
              </a:extLst>
            </xdr:cNvPr>
            <xdr:cNvSpPr/>
          </xdr:nvSpPr>
          <xdr:spPr bwMode="auto">
            <a:xfrm>
              <a:off x="6719145"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Fatores </a:t>
              </a:r>
            </a:p>
            <a:p>
              <a:pPr algn="ctr"/>
              <a:r>
                <a:rPr lang="pt-BR" sz="900" b="0">
                  <a:latin typeface="Calibri Light" panose="020F0302020204030204" pitchFamily="34" charset="0"/>
                  <a:cs typeface="Arial" pitchFamily="34" charset="0"/>
                </a:rPr>
                <a:t>de emissão</a:t>
              </a:r>
            </a:p>
          </xdr:txBody>
        </xdr:sp>
        <xdr:sp macro="" textlink="">
          <xdr:nvSpPr>
            <xdr:cNvPr id="71" name="Fluxograma: Processo 39">
              <a:extLst>
                <a:ext uri="{FF2B5EF4-FFF2-40B4-BE49-F238E27FC236}">
                  <a16:creationId xmlns="" xmlns:a16="http://schemas.microsoft.com/office/drawing/2014/main" id="{00000000-0008-0000-1400-000047000000}"/>
                </a:ext>
              </a:extLst>
            </xdr:cNvPr>
            <xdr:cNvSpPr/>
          </xdr:nvSpPr>
          <xdr:spPr bwMode="auto">
            <a:xfrm>
              <a:off x="3604863" y="528178"/>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1</a:t>
              </a:r>
            </a:p>
          </xdr:txBody>
        </xdr:sp>
        <xdr:sp macro="" textlink="">
          <xdr:nvSpPr>
            <xdr:cNvPr id="72" name="Retângulo de cantos arredondados 40">
              <a:hlinkClick xmlns:r="http://schemas.openxmlformats.org/officeDocument/2006/relationships" r:id="rId8"/>
              <a:extLst>
                <a:ext uri="{FF2B5EF4-FFF2-40B4-BE49-F238E27FC236}">
                  <a16:creationId xmlns="" xmlns:a16="http://schemas.microsoft.com/office/drawing/2014/main" id="{00000000-0008-0000-1400-000048000000}"/>
                </a:ext>
              </a:extLst>
            </xdr:cNvPr>
            <xdr:cNvSpPr/>
          </xdr:nvSpPr>
          <xdr:spPr bwMode="auto">
            <a:xfrm>
              <a:off x="5927333"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00" b="0">
                  <a:solidFill>
                    <a:schemeClr val="bg1"/>
                  </a:solidFill>
                  <a:latin typeface="Calibri Light" panose="020F0302020204030204" pitchFamily="34" charset="0"/>
                  <a:cs typeface="Arial" pitchFamily="34" charset="0"/>
                </a:rPr>
                <a:t>Emissões </a:t>
              </a:r>
            </a:p>
            <a:p>
              <a:pPr algn="ctr"/>
              <a:r>
                <a:rPr lang="pt-BR" sz="800" b="0">
                  <a:solidFill>
                    <a:schemeClr val="bg1"/>
                  </a:solidFill>
                  <a:latin typeface="Calibri Light" panose="020F0302020204030204" pitchFamily="34" charset="0"/>
                  <a:cs typeface="Arial" pitchFamily="34" charset="0"/>
                </a:rPr>
                <a:t>fugitivas</a:t>
              </a:r>
            </a:p>
          </xdr:txBody>
        </xdr:sp>
        <xdr:sp macro="" textlink="">
          <xdr:nvSpPr>
            <xdr:cNvPr id="73" name="Retângulo de cantos arredondados 41">
              <a:hlinkClick xmlns:r="http://schemas.openxmlformats.org/officeDocument/2006/relationships" r:id="rId9"/>
              <a:extLst>
                <a:ext uri="{FF2B5EF4-FFF2-40B4-BE49-F238E27FC236}">
                  <a16:creationId xmlns="" xmlns:a16="http://schemas.microsoft.com/office/drawing/2014/main" id="{00000000-0008-0000-1400-000049000000}"/>
                </a:ext>
              </a:extLst>
            </xdr:cNvPr>
            <xdr:cNvSpPr/>
          </xdr:nvSpPr>
          <xdr:spPr bwMode="auto">
            <a:xfrm>
              <a:off x="6724374"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Processos</a:t>
              </a:r>
              <a:r>
                <a:rPr lang="pt-BR" sz="900" b="0" baseline="0">
                  <a:solidFill>
                    <a:schemeClr val="bg1"/>
                  </a:solidFill>
                  <a:latin typeface="Calibri Light" panose="020F0302020204030204" pitchFamily="34" charset="0"/>
                  <a:cs typeface="Arial" pitchFamily="34" charset="0"/>
                </a:rPr>
                <a:t> industriais</a:t>
              </a:r>
              <a:endParaRPr lang="pt-BR" sz="900" b="0">
                <a:solidFill>
                  <a:schemeClr val="bg1"/>
                </a:solidFill>
                <a:latin typeface="Calibri Light" panose="020F0302020204030204" pitchFamily="34" charset="0"/>
                <a:cs typeface="Arial" pitchFamily="34" charset="0"/>
              </a:endParaRPr>
            </a:p>
          </xdr:txBody>
        </xdr:sp>
        <xdr:sp macro="" textlink="">
          <xdr:nvSpPr>
            <xdr:cNvPr id="74" name="Retângulo de cantos arredondados 43">
              <a:hlinkClick xmlns:r="http://schemas.openxmlformats.org/officeDocument/2006/relationships" r:id="rId10"/>
              <a:extLst>
                <a:ext uri="{FF2B5EF4-FFF2-40B4-BE49-F238E27FC236}">
                  <a16:creationId xmlns="" xmlns:a16="http://schemas.microsoft.com/office/drawing/2014/main" id="{00000000-0008-0000-1400-00004A000000}"/>
                </a:ext>
              </a:extLst>
            </xdr:cNvPr>
            <xdr:cNvSpPr/>
          </xdr:nvSpPr>
          <xdr:spPr bwMode="auto">
            <a:xfrm>
              <a:off x="8318456"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Resíduos</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sólidos</a:t>
              </a:r>
            </a:p>
          </xdr:txBody>
        </xdr:sp>
        <xdr:sp macro="" textlink="">
          <xdr:nvSpPr>
            <xdr:cNvPr id="75" name="Retângulo de cantos arredondados 44">
              <a:hlinkClick xmlns:r="http://schemas.openxmlformats.org/officeDocument/2006/relationships" r:id="rId11"/>
              <a:extLst>
                <a:ext uri="{FF2B5EF4-FFF2-40B4-BE49-F238E27FC236}">
                  <a16:creationId xmlns="" xmlns:a16="http://schemas.microsoft.com/office/drawing/2014/main" id="{00000000-0008-0000-1400-00004B000000}"/>
                </a:ext>
              </a:extLst>
            </xdr:cNvPr>
            <xdr:cNvSpPr/>
          </xdr:nvSpPr>
          <xdr:spPr bwMode="auto">
            <a:xfrm>
              <a:off x="433325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lnSpc>
                  <a:spcPct val="80000"/>
                </a:lnSpc>
              </a:pPr>
              <a:r>
                <a:rPr lang="pt-BR" sz="900" b="0">
                  <a:latin typeface="Calibri Light" panose="020F0302020204030204" pitchFamily="34" charset="0"/>
                  <a:cs typeface="Arial" pitchFamily="34" charset="0"/>
                </a:rPr>
                <a:t>Compra de Energia</a:t>
              </a:r>
              <a:r>
                <a:rPr lang="pt-BR" sz="900" b="0" baseline="0">
                  <a:latin typeface="Calibri Light" panose="020F0302020204030204" pitchFamily="34" charset="0"/>
                  <a:cs typeface="Arial" pitchFamily="34" charset="0"/>
                </a:rPr>
                <a:t> Elétrica</a:t>
              </a:r>
            </a:p>
          </xdr:txBody>
        </xdr:sp>
        <xdr:sp macro="" textlink="">
          <xdr:nvSpPr>
            <xdr:cNvPr id="76" name="Retângulo de cantos arredondados 45">
              <a:hlinkClick xmlns:r="http://schemas.openxmlformats.org/officeDocument/2006/relationships" r:id="rId12"/>
              <a:extLst>
                <a:ext uri="{FF2B5EF4-FFF2-40B4-BE49-F238E27FC236}">
                  <a16:creationId xmlns="" xmlns:a16="http://schemas.microsoft.com/office/drawing/2014/main" id="{00000000-0008-0000-1400-00004C000000}"/>
                </a:ext>
              </a:extLst>
            </xdr:cNvPr>
            <xdr:cNvSpPr/>
          </xdr:nvSpPr>
          <xdr:spPr bwMode="auto">
            <a:xfrm>
              <a:off x="513371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Compra de</a:t>
              </a:r>
              <a:r>
                <a:rPr lang="pt-BR" sz="900" b="0" baseline="0">
                  <a:latin typeface="Calibri Light" panose="020F0302020204030204" pitchFamily="34" charset="0"/>
                  <a:cs typeface="Arial" pitchFamily="34" charset="0"/>
                </a:rPr>
                <a:t> Energia Térmica</a:t>
              </a:r>
            </a:p>
          </xdr:txBody>
        </xdr:sp>
        <xdr:sp macro="" textlink="">
          <xdr:nvSpPr>
            <xdr:cNvPr id="77" name="Fluxograma: Processo 46">
              <a:extLst>
                <a:ext uri="{FF2B5EF4-FFF2-40B4-BE49-F238E27FC236}">
                  <a16:creationId xmlns="" xmlns:a16="http://schemas.microsoft.com/office/drawing/2014/main" id="{00000000-0008-0000-1400-00004D000000}"/>
                </a:ext>
              </a:extLst>
            </xdr:cNvPr>
            <xdr:cNvSpPr/>
          </xdr:nvSpPr>
          <xdr:spPr bwMode="auto">
            <a:xfrm>
              <a:off x="3604863" y="909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2</a:t>
              </a:r>
            </a:p>
          </xdr:txBody>
        </xdr:sp>
        <xdr:sp macro="" textlink="">
          <xdr:nvSpPr>
            <xdr:cNvPr id="78" name="Fluxograma: Processo 47">
              <a:extLst>
                <a:ext uri="{FF2B5EF4-FFF2-40B4-BE49-F238E27FC236}">
                  <a16:creationId xmlns="" xmlns:a16="http://schemas.microsoft.com/office/drawing/2014/main" id="{00000000-0008-0000-1400-00004E000000}"/>
                </a:ext>
              </a:extLst>
            </xdr:cNvPr>
            <xdr:cNvSpPr/>
          </xdr:nvSpPr>
          <xdr:spPr bwMode="auto">
            <a:xfrm>
              <a:off x="3604863" y="1290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3</a:t>
              </a:r>
            </a:p>
          </xdr:txBody>
        </xdr:sp>
        <xdr:sp macro="" textlink="">
          <xdr:nvSpPr>
            <xdr:cNvPr id="79" name="Retângulo de cantos arredondados 48">
              <a:hlinkClick xmlns:r="http://schemas.openxmlformats.org/officeDocument/2006/relationships" r:id="rId13"/>
              <a:extLst>
                <a:ext uri="{FF2B5EF4-FFF2-40B4-BE49-F238E27FC236}">
                  <a16:creationId xmlns="" xmlns:a16="http://schemas.microsoft.com/office/drawing/2014/main" id="{00000000-0008-0000-1400-00004F000000}"/>
                </a:ext>
              </a:extLst>
            </xdr:cNvPr>
            <xdr:cNvSpPr/>
          </xdr:nvSpPr>
          <xdr:spPr bwMode="auto">
            <a:xfrm>
              <a:off x="433325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lnSpc>
                  <a:spcPct val="80000"/>
                </a:lnSpc>
              </a:pPr>
              <a:r>
                <a:rPr lang="pt-BR" sz="900" b="0">
                  <a:solidFill>
                    <a:schemeClr val="bg1">
                      <a:lumMod val="50000"/>
                    </a:schemeClr>
                  </a:solidFill>
                  <a:latin typeface="Calibri Light" panose="020F0302020204030204" pitchFamily="34" charset="0"/>
                  <a:cs typeface="Arial" pitchFamily="34" charset="0"/>
                </a:rPr>
                <a:t>Categorias de Âmbito 3</a:t>
              </a:r>
              <a:endParaRPr lang="pt-BR" sz="900" b="0" baseline="0">
                <a:solidFill>
                  <a:schemeClr val="bg1">
                    <a:lumMod val="50000"/>
                  </a:schemeClr>
                </a:solidFill>
                <a:latin typeface="Calibri Light" panose="020F0302020204030204" pitchFamily="34" charset="0"/>
                <a:cs typeface="Arial" pitchFamily="34" charset="0"/>
              </a:endParaRPr>
            </a:p>
          </xdr:txBody>
        </xdr:sp>
        <xdr:sp macro="" textlink="">
          <xdr:nvSpPr>
            <xdr:cNvPr id="80" name="Retângulo de cantos arredondados 49">
              <a:hlinkClick xmlns:r="http://schemas.openxmlformats.org/officeDocument/2006/relationships" r:id="rId14"/>
              <a:extLst>
                <a:ext uri="{FF2B5EF4-FFF2-40B4-BE49-F238E27FC236}">
                  <a16:creationId xmlns="" xmlns:a16="http://schemas.microsoft.com/office/drawing/2014/main" id="{00000000-0008-0000-1400-000050000000}"/>
                </a:ext>
              </a:extLst>
            </xdr:cNvPr>
            <xdr:cNvSpPr/>
          </xdr:nvSpPr>
          <xdr:spPr bwMode="auto">
            <a:xfrm>
              <a:off x="5925918"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Resíduos sólidos gerados na operação</a:t>
              </a:r>
            </a:p>
          </xdr:txBody>
        </xdr:sp>
        <xdr:sp macro="" textlink="">
          <xdr:nvSpPr>
            <xdr:cNvPr id="81" name="Retângulo de cantos arredondados 50">
              <a:hlinkClick xmlns:r="http://schemas.openxmlformats.org/officeDocument/2006/relationships" r:id="rId15"/>
              <a:extLst>
                <a:ext uri="{FF2B5EF4-FFF2-40B4-BE49-F238E27FC236}">
                  <a16:creationId xmlns="" xmlns:a16="http://schemas.microsoft.com/office/drawing/2014/main" id="{00000000-0008-0000-1400-000051000000}"/>
                </a:ext>
              </a:extLst>
            </xdr:cNvPr>
            <xdr:cNvSpPr/>
          </xdr:nvSpPr>
          <xdr:spPr bwMode="auto">
            <a:xfrm>
              <a:off x="6722959"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Efluentes gerados na operação</a:t>
              </a:r>
            </a:p>
          </xdr:txBody>
        </xdr:sp>
        <xdr:sp macro="" textlink="">
          <xdr:nvSpPr>
            <xdr:cNvPr id="82" name="Retângulo de cantos arredondados 51">
              <a:hlinkClick xmlns:r="http://schemas.openxmlformats.org/officeDocument/2006/relationships" r:id="rId16"/>
              <a:extLst>
                <a:ext uri="{FF2B5EF4-FFF2-40B4-BE49-F238E27FC236}">
                  <a16:creationId xmlns="" xmlns:a16="http://schemas.microsoft.com/office/drawing/2014/main" id="{00000000-0008-0000-1400-000052000000}"/>
                </a:ext>
              </a:extLst>
            </xdr:cNvPr>
            <xdr:cNvSpPr/>
          </xdr:nvSpPr>
          <xdr:spPr bwMode="auto">
            <a:xfrm>
              <a:off x="831704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(downstream)</a:t>
              </a:r>
            </a:p>
          </xdr:txBody>
        </xdr:sp>
        <xdr:sp macro="" textlink="">
          <xdr:nvSpPr>
            <xdr:cNvPr id="83" name="Retângulo de cantos arredondados 52">
              <a:hlinkClick xmlns:r="http://schemas.openxmlformats.org/officeDocument/2006/relationships" r:id="rId17"/>
              <a:extLst>
                <a:ext uri="{FF2B5EF4-FFF2-40B4-BE49-F238E27FC236}">
                  <a16:creationId xmlns="" xmlns:a16="http://schemas.microsoft.com/office/drawing/2014/main" id="{00000000-0008-0000-1400-000053000000}"/>
                </a:ext>
              </a:extLst>
            </xdr:cNvPr>
            <xdr:cNvSpPr/>
          </xdr:nvSpPr>
          <xdr:spPr bwMode="auto">
            <a:xfrm>
              <a:off x="5135994" y="1228723"/>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(upstream)</a:t>
              </a:r>
            </a:p>
          </xdr:txBody>
        </xdr:sp>
        <xdr:sp macro="" textlink="">
          <xdr:nvSpPr>
            <xdr:cNvPr id="84" name="Retângulo de cantos arredondados 54">
              <a:hlinkClick xmlns:r="http://schemas.openxmlformats.org/officeDocument/2006/relationships" r:id="rId18"/>
              <a:extLst>
                <a:ext uri="{FF2B5EF4-FFF2-40B4-BE49-F238E27FC236}">
                  <a16:creationId xmlns="" xmlns:a16="http://schemas.microsoft.com/office/drawing/2014/main" id="{00000000-0008-0000-1400-000054000000}"/>
                </a:ext>
              </a:extLst>
            </xdr:cNvPr>
            <xdr:cNvSpPr/>
          </xdr:nvSpPr>
          <xdr:spPr bwMode="auto">
            <a:xfrm>
              <a:off x="9115497"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Efluentes</a:t>
              </a:r>
            </a:p>
          </xdr:txBody>
        </xdr:sp>
        <xdr:sp macro="" textlink="">
          <xdr:nvSpPr>
            <xdr:cNvPr id="95" name="Retângulo de cantos arredondados 56">
              <a:hlinkClick xmlns:r="http://schemas.openxmlformats.org/officeDocument/2006/relationships" r:id="rId19"/>
              <a:extLst>
                <a:ext uri="{FF2B5EF4-FFF2-40B4-BE49-F238E27FC236}">
                  <a16:creationId xmlns="" xmlns:a16="http://schemas.microsoft.com/office/drawing/2014/main" id="{00000000-0008-0000-1400-00005F000000}"/>
                </a:ext>
              </a:extLst>
            </xdr:cNvPr>
            <xdr:cNvSpPr/>
          </xdr:nvSpPr>
          <xdr:spPr bwMode="auto">
            <a:xfrm>
              <a:off x="7526519"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Conversão de unidades</a:t>
              </a:r>
            </a:p>
          </xdr:txBody>
        </xdr:sp>
        <xdr:sp macro="" textlink="">
          <xdr:nvSpPr>
            <xdr:cNvPr id="111" name="Retângulo de cantos arredondados 58">
              <a:hlinkClick xmlns:r="http://schemas.openxmlformats.org/officeDocument/2006/relationships" r:id="rId20"/>
              <a:extLst>
                <a:ext uri="{FF2B5EF4-FFF2-40B4-BE49-F238E27FC236}">
                  <a16:creationId xmlns="" xmlns:a16="http://schemas.microsoft.com/office/drawing/2014/main" id="{00000000-0008-0000-1400-00006F000000}"/>
                </a:ext>
              </a:extLst>
            </xdr:cNvPr>
            <xdr:cNvSpPr/>
          </xdr:nvSpPr>
          <xdr:spPr bwMode="auto">
            <a:xfrm>
              <a:off x="7520000"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r>
                <a:rPr lang="pt-BR" sz="900" b="0">
                  <a:solidFill>
                    <a:schemeClr val="bg1">
                      <a:lumMod val="50000"/>
                    </a:schemeClr>
                  </a:solidFill>
                  <a:latin typeface="Calibri Light" panose="020F0302020204030204" pitchFamily="34" charset="0"/>
                  <a:cs typeface="Arial" pitchFamily="34" charset="0"/>
                </a:rPr>
                <a:t>Viagens a negócios</a:t>
              </a:r>
            </a:p>
          </xdr:txBody>
        </xdr:sp>
        <xdr:sp macro="" textlink="">
          <xdr:nvSpPr>
            <xdr:cNvPr id="112" name="Fluxograma: Processo 59">
              <a:extLst>
                <a:ext uri="{FF2B5EF4-FFF2-40B4-BE49-F238E27FC236}">
                  <a16:creationId xmlns="" xmlns:a16="http://schemas.microsoft.com/office/drawing/2014/main" id="{00000000-0008-0000-1400-000070000000}"/>
                </a:ext>
              </a:extLst>
            </xdr:cNvPr>
            <xdr:cNvSpPr/>
          </xdr:nvSpPr>
          <xdr:spPr bwMode="auto">
            <a:xfrm>
              <a:off x="3604863" y="156702"/>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Geral</a:t>
              </a:r>
            </a:p>
          </xdr:txBody>
        </xdr:sp>
      </xdr:grpSp>
      <xdr:sp macro="" textlink="">
        <xdr:nvSpPr>
          <xdr:cNvPr id="63" name="Retângulo de cantos arredondados 37">
            <a:hlinkClick xmlns:r="http://schemas.openxmlformats.org/officeDocument/2006/relationships" r:id="rId21"/>
            <a:extLst>
              <a:ext uri="{FF2B5EF4-FFF2-40B4-BE49-F238E27FC236}">
                <a16:creationId xmlns="" xmlns:a16="http://schemas.microsoft.com/office/drawing/2014/main" id="{00000000-0008-0000-1400-00003F000000}"/>
              </a:ext>
            </a:extLst>
          </xdr:cNvPr>
          <xdr:cNvSpPr/>
        </xdr:nvSpPr>
        <xdr:spPr bwMode="auto">
          <a:xfrm>
            <a:off x="4696884" y="162983"/>
            <a:ext cx="774700" cy="31873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sp macro="" textlink="">
        <xdr:nvSpPr>
          <xdr:cNvPr id="64" name="Retângulo de cantos arredondados 42">
            <a:hlinkClick xmlns:r="http://schemas.openxmlformats.org/officeDocument/2006/relationships" r:id="rId22"/>
            <a:extLst>
              <a:ext uri="{FF2B5EF4-FFF2-40B4-BE49-F238E27FC236}">
                <a16:creationId xmlns="" xmlns:a16="http://schemas.microsoft.com/office/drawing/2014/main" id="{00000000-0008-0000-1400-000040000000}"/>
              </a:ext>
            </a:extLst>
          </xdr:cNvPr>
          <xdr:cNvSpPr/>
        </xdr:nvSpPr>
        <xdr:spPr bwMode="auto">
          <a:xfrm>
            <a:off x="7125758" y="522817"/>
            <a:ext cx="758825" cy="318738"/>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50" b="0">
                <a:solidFill>
                  <a:schemeClr val="bg1"/>
                </a:solidFill>
                <a:latin typeface="Calibri Light" panose="020F0302020204030204" pitchFamily="34" charset="0"/>
                <a:cs typeface="Arial" pitchFamily="34" charset="0"/>
              </a:rPr>
              <a:t>Agrícolas e alt. do uso do solo</a:t>
            </a:r>
            <a:endParaRPr lang="pt-BR" sz="850" b="0" baseline="0">
              <a:solidFill>
                <a:schemeClr val="bg1"/>
              </a:solidFill>
              <a:latin typeface="Calibri Light" panose="020F0302020204030204" pitchFamily="34" charset="0"/>
              <a:cs typeface="Arial" pitchFamily="34" charset="0"/>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270933</xdr:colOff>
      <xdr:row>5</xdr:row>
      <xdr:rowOff>64493</xdr:rowOff>
    </xdr:to>
    <xdr:pic>
      <xdr:nvPicPr>
        <xdr:cNvPr id="28" name="Imagem 27">
          <a:extLst>
            <a:ext uri="{FF2B5EF4-FFF2-40B4-BE49-F238E27FC236}">
              <a16:creationId xmlns="" xmlns:a16="http://schemas.microsoft.com/office/drawing/2014/main" id="{00000000-0008-0000-15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58016" cy="1038160"/>
        </a:xfrm>
        <a:prstGeom prst="rect">
          <a:avLst/>
        </a:prstGeom>
      </xdr:spPr>
    </xdr:pic>
    <xdr:clientData/>
  </xdr:twoCellAnchor>
  <xdr:twoCellAnchor>
    <xdr:from>
      <xdr:col>2</xdr:col>
      <xdr:colOff>254000</xdr:colOff>
      <xdr:row>0</xdr:row>
      <xdr:rowOff>74083</xdr:rowOff>
    </xdr:from>
    <xdr:to>
      <xdr:col>6</xdr:col>
      <xdr:colOff>193114</xdr:colOff>
      <xdr:row>9</xdr:row>
      <xdr:rowOff>46709</xdr:rowOff>
    </xdr:to>
    <xdr:grpSp>
      <xdr:nvGrpSpPr>
        <xdr:cNvPr id="29" name="Grupo 28">
          <a:extLst>
            <a:ext uri="{FF2B5EF4-FFF2-40B4-BE49-F238E27FC236}">
              <a16:creationId xmlns="" xmlns:a16="http://schemas.microsoft.com/office/drawing/2014/main" id="{00000000-0008-0000-1500-00001D000000}"/>
            </a:ext>
          </a:extLst>
        </xdr:cNvPr>
        <xdr:cNvGrpSpPr/>
      </xdr:nvGrpSpPr>
      <xdr:grpSpPr>
        <a:xfrm>
          <a:off x="2741083" y="74083"/>
          <a:ext cx="7283948" cy="1750626"/>
          <a:chOff x="3069167" y="114300"/>
          <a:chExt cx="7283948" cy="1549543"/>
        </a:xfrm>
      </xdr:grpSpPr>
      <xdr:grpSp>
        <xdr:nvGrpSpPr>
          <xdr:cNvPr id="30" name="Group 32">
            <a:extLst>
              <a:ext uri="{FF2B5EF4-FFF2-40B4-BE49-F238E27FC236}">
                <a16:creationId xmlns="" xmlns:a16="http://schemas.microsoft.com/office/drawing/2014/main" id="{00000000-0008-0000-1500-00001E000000}"/>
              </a:ext>
            </a:extLst>
          </xdr:cNvPr>
          <xdr:cNvGrpSpPr/>
        </xdr:nvGrpSpPr>
        <xdr:grpSpPr>
          <a:xfrm>
            <a:off x="3069167" y="114300"/>
            <a:ext cx="7283948" cy="1549543"/>
            <a:chOff x="3514726" y="52774"/>
            <a:chExt cx="7219950" cy="1576001"/>
          </a:xfrm>
        </xdr:grpSpPr>
        <xdr:sp macro="" textlink="">
          <xdr:nvSpPr>
            <xdr:cNvPr id="33" name="Fluxograma: Processo 60">
              <a:extLst>
                <a:ext uri="{FF2B5EF4-FFF2-40B4-BE49-F238E27FC236}">
                  <a16:creationId xmlns="" xmlns:a16="http://schemas.microsoft.com/office/drawing/2014/main" id="{00000000-0008-0000-1500-000021000000}"/>
                </a:ext>
              </a:extLst>
            </xdr:cNvPr>
            <xdr:cNvSpPr>
              <a:spLocks noChangeArrowheads="1"/>
            </xdr:cNvSpPr>
          </xdr:nvSpPr>
          <xdr:spPr bwMode="auto">
            <a:xfrm>
              <a:off x="3514726" y="52774"/>
              <a:ext cx="7219950" cy="1576001"/>
            </a:xfrm>
            <a:prstGeom prst="flowChartProcess">
              <a:avLst/>
            </a:prstGeom>
            <a:solidFill>
              <a:schemeClr val="accent1">
                <a:lumMod val="20000"/>
                <a:lumOff val="80000"/>
              </a:schemeClr>
            </a:solidFill>
            <a:ln w="19050" algn="ctr">
              <a:solidFill>
                <a:schemeClr val="accent1"/>
              </a:solidFill>
              <a:round/>
              <a:headEnd/>
              <a:tailEnd/>
            </a:ln>
            <a:effectLst/>
          </xdr:spPr>
          <xdr:txBody>
            <a:bodyPr/>
            <a:lstStyle/>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r>
                <a:rPr lang="pt-BR" sz="1400" b="1">
                  <a:latin typeface="Calibri Light" panose="020F0302020204030204" pitchFamily="34" charset="0"/>
                </a:rPr>
                <a:t>Menu de </a:t>
              </a:r>
            </a:p>
            <a:p>
              <a:pPr algn="r"/>
              <a:r>
                <a:rPr lang="pt-BR" sz="1400" b="1">
                  <a:latin typeface="Calibri Light" panose="020F0302020204030204" pitchFamily="34" charset="0"/>
                </a:rPr>
                <a:t>navegação</a:t>
              </a:r>
            </a:p>
          </xdr:txBody>
        </xdr:sp>
        <xdr:sp macro="" textlink="">
          <xdr:nvSpPr>
            <xdr:cNvPr id="34" name="Retângulo de cantos arredondados 34">
              <a:hlinkClick xmlns:r="http://schemas.openxmlformats.org/officeDocument/2006/relationships" r:id="rId2"/>
              <a:extLst>
                <a:ext uri="{FF2B5EF4-FFF2-40B4-BE49-F238E27FC236}">
                  <a16:creationId xmlns="" xmlns:a16="http://schemas.microsoft.com/office/drawing/2014/main" id="{00000000-0008-0000-1500-000022000000}"/>
                </a:ext>
              </a:extLst>
            </xdr:cNvPr>
            <xdr:cNvSpPr/>
          </xdr:nvSpPr>
          <xdr:spPr bwMode="auto">
            <a:xfrm>
              <a:off x="4333251"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Introdução</a:t>
              </a:r>
            </a:p>
          </xdr:txBody>
        </xdr:sp>
        <xdr:sp macro="" textlink="">
          <xdr:nvSpPr>
            <xdr:cNvPr id="35" name="Retângulo de cantos arredondados 35">
              <a:hlinkClick xmlns:r="http://schemas.openxmlformats.org/officeDocument/2006/relationships" r:id="rId3"/>
              <a:extLst>
                <a:ext uri="{FF2B5EF4-FFF2-40B4-BE49-F238E27FC236}">
                  <a16:creationId xmlns="" xmlns:a16="http://schemas.microsoft.com/office/drawing/2014/main" id="{00000000-0008-0000-1500-000023000000}"/>
                </a:ext>
              </a:extLst>
            </xdr:cNvPr>
            <xdr:cNvSpPr/>
          </xdr:nvSpPr>
          <xdr:spPr bwMode="auto">
            <a:xfrm>
              <a:off x="4333251"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lnSpc>
                  <a:spcPct val="80000"/>
                </a:lnSpc>
              </a:pPr>
              <a:r>
                <a:rPr lang="pt-BR" sz="900" b="0">
                  <a:solidFill>
                    <a:schemeClr val="bg1"/>
                  </a:solidFill>
                  <a:latin typeface="Calibri Light" panose="020F0302020204030204" pitchFamily="34" charset="0"/>
                  <a:cs typeface="Arial" pitchFamily="34" charset="0"/>
                </a:rPr>
                <a:t>Combustão</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estacionária</a:t>
              </a:r>
            </a:p>
          </xdr:txBody>
        </xdr:sp>
        <xdr:sp macro="" textlink="">
          <xdr:nvSpPr>
            <xdr:cNvPr id="36" name="Retângulo de cantos arredondados 36">
              <a:hlinkClick xmlns:r="http://schemas.openxmlformats.org/officeDocument/2006/relationships" r:id="rId4"/>
              <a:extLst>
                <a:ext uri="{FF2B5EF4-FFF2-40B4-BE49-F238E27FC236}">
                  <a16:creationId xmlns="" xmlns:a16="http://schemas.microsoft.com/office/drawing/2014/main" id="{00000000-0008-0000-1500-000024000000}"/>
                </a:ext>
              </a:extLst>
            </xdr:cNvPr>
            <xdr:cNvSpPr/>
          </xdr:nvSpPr>
          <xdr:spPr bwMode="auto">
            <a:xfrm>
              <a:off x="5130292"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Combustão </a:t>
              </a:r>
            </a:p>
            <a:p>
              <a:pPr algn="ctr"/>
              <a:r>
                <a:rPr lang="pt-BR" sz="900" b="0">
                  <a:solidFill>
                    <a:schemeClr val="bg1"/>
                  </a:solidFill>
                  <a:latin typeface="Calibri Light" panose="020F0302020204030204" pitchFamily="34" charset="0"/>
                  <a:cs typeface="Arial" pitchFamily="34" charset="0"/>
                </a:rPr>
                <a:t>móvel</a:t>
              </a:r>
            </a:p>
          </xdr:txBody>
        </xdr:sp>
        <xdr:sp macro="" textlink="">
          <xdr:nvSpPr>
            <xdr:cNvPr id="37" name="Retângulo de cantos arredondados 37">
              <a:hlinkClick xmlns:r="http://schemas.openxmlformats.org/officeDocument/2006/relationships" r:id="rId5"/>
              <a:extLst>
                <a:ext uri="{FF2B5EF4-FFF2-40B4-BE49-F238E27FC236}">
                  <a16:creationId xmlns="" xmlns:a16="http://schemas.microsoft.com/office/drawing/2014/main" id="{00000000-0008-0000-1500-000025000000}"/>
                </a:ext>
              </a:extLst>
            </xdr:cNvPr>
            <xdr:cNvSpPr/>
          </xdr:nvSpPr>
          <xdr:spPr bwMode="auto">
            <a:xfrm>
              <a:off x="5932663"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Resumo</a:t>
              </a:r>
            </a:p>
          </xdr:txBody>
        </xdr:sp>
        <xdr:sp macro="" textlink="">
          <xdr:nvSpPr>
            <xdr:cNvPr id="38" name="Retângulo de cantos arredondados 38">
              <a:hlinkClick xmlns:r="http://schemas.openxmlformats.org/officeDocument/2006/relationships" r:id="rId6"/>
              <a:extLst>
                <a:ext uri="{FF2B5EF4-FFF2-40B4-BE49-F238E27FC236}">
                  <a16:creationId xmlns="" xmlns:a16="http://schemas.microsoft.com/office/drawing/2014/main" id="{00000000-0008-0000-1500-000026000000}"/>
                </a:ext>
              </a:extLst>
            </xdr:cNvPr>
            <xdr:cNvSpPr/>
          </xdr:nvSpPr>
          <xdr:spPr bwMode="auto">
            <a:xfrm>
              <a:off x="6719145"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Fatores </a:t>
              </a:r>
            </a:p>
            <a:p>
              <a:pPr algn="ctr"/>
              <a:r>
                <a:rPr lang="pt-BR" sz="900" b="0">
                  <a:latin typeface="Calibri Light" panose="020F0302020204030204" pitchFamily="34" charset="0"/>
                  <a:cs typeface="Arial" pitchFamily="34" charset="0"/>
                </a:rPr>
                <a:t>de emissão</a:t>
              </a:r>
            </a:p>
          </xdr:txBody>
        </xdr:sp>
        <xdr:sp macro="" textlink="">
          <xdr:nvSpPr>
            <xdr:cNvPr id="39" name="Fluxograma: Processo 39">
              <a:extLst>
                <a:ext uri="{FF2B5EF4-FFF2-40B4-BE49-F238E27FC236}">
                  <a16:creationId xmlns="" xmlns:a16="http://schemas.microsoft.com/office/drawing/2014/main" id="{00000000-0008-0000-1500-000027000000}"/>
                </a:ext>
              </a:extLst>
            </xdr:cNvPr>
            <xdr:cNvSpPr/>
          </xdr:nvSpPr>
          <xdr:spPr bwMode="auto">
            <a:xfrm>
              <a:off x="3604863" y="528178"/>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1</a:t>
              </a:r>
            </a:p>
          </xdr:txBody>
        </xdr:sp>
        <xdr:sp macro="" textlink="">
          <xdr:nvSpPr>
            <xdr:cNvPr id="40" name="Retângulo de cantos arredondados 40">
              <a:hlinkClick xmlns:r="http://schemas.openxmlformats.org/officeDocument/2006/relationships" r:id="rId7"/>
              <a:extLst>
                <a:ext uri="{FF2B5EF4-FFF2-40B4-BE49-F238E27FC236}">
                  <a16:creationId xmlns="" xmlns:a16="http://schemas.microsoft.com/office/drawing/2014/main" id="{00000000-0008-0000-1500-000028000000}"/>
                </a:ext>
              </a:extLst>
            </xdr:cNvPr>
            <xdr:cNvSpPr/>
          </xdr:nvSpPr>
          <xdr:spPr bwMode="auto">
            <a:xfrm>
              <a:off x="5927333"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00" b="0">
                  <a:solidFill>
                    <a:schemeClr val="bg1"/>
                  </a:solidFill>
                  <a:latin typeface="Calibri Light" panose="020F0302020204030204" pitchFamily="34" charset="0"/>
                  <a:cs typeface="Arial" pitchFamily="34" charset="0"/>
                </a:rPr>
                <a:t>Emissões </a:t>
              </a:r>
            </a:p>
            <a:p>
              <a:pPr algn="ctr"/>
              <a:r>
                <a:rPr lang="pt-BR" sz="800" b="0">
                  <a:solidFill>
                    <a:schemeClr val="bg1"/>
                  </a:solidFill>
                  <a:latin typeface="Calibri Light" panose="020F0302020204030204" pitchFamily="34" charset="0"/>
                  <a:cs typeface="Arial" pitchFamily="34" charset="0"/>
                </a:rPr>
                <a:t>fugitivas</a:t>
              </a:r>
            </a:p>
          </xdr:txBody>
        </xdr:sp>
        <xdr:sp macro="" textlink="">
          <xdr:nvSpPr>
            <xdr:cNvPr id="41" name="Retângulo de cantos arredondados 41">
              <a:hlinkClick xmlns:r="http://schemas.openxmlformats.org/officeDocument/2006/relationships" r:id="rId8"/>
              <a:extLst>
                <a:ext uri="{FF2B5EF4-FFF2-40B4-BE49-F238E27FC236}">
                  <a16:creationId xmlns="" xmlns:a16="http://schemas.microsoft.com/office/drawing/2014/main" id="{00000000-0008-0000-1500-000029000000}"/>
                </a:ext>
              </a:extLst>
            </xdr:cNvPr>
            <xdr:cNvSpPr/>
          </xdr:nvSpPr>
          <xdr:spPr bwMode="auto">
            <a:xfrm>
              <a:off x="6724374"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Processos</a:t>
              </a:r>
              <a:r>
                <a:rPr lang="pt-BR" sz="900" b="0" baseline="0">
                  <a:solidFill>
                    <a:schemeClr val="bg1"/>
                  </a:solidFill>
                  <a:latin typeface="Calibri Light" panose="020F0302020204030204" pitchFamily="34" charset="0"/>
                  <a:cs typeface="Arial" pitchFamily="34" charset="0"/>
                </a:rPr>
                <a:t> industriais</a:t>
              </a:r>
              <a:endParaRPr lang="pt-BR" sz="900" b="0">
                <a:solidFill>
                  <a:schemeClr val="bg1"/>
                </a:solidFill>
                <a:latin typeface="Calibri Light" panose="020F0302020204030204" pitchFamily="34" charset="0"/>
                <a:cs typeface="Arial" pitchFamily="34" charset="0"/>
              </a:endParaRPr>
            </a:p>
          </xdr:txBody>
        </xdr:sp>
        <xdr:sp macro="" textlink="">
          <xdr:nvSpPr>
            <xdr:cNvPr id="42" name="Retângulo de cantos arredondados 43">
              <a:hlinkClick xmlns:r="http://schemas.openxmlformats.org/officeDocument/2006/relationships" r:id="rId9"/>
              <a:extLst>
                <a:ext uri="{FF2B5EF4-FFF2-40B4-BE49-F238E27FC236}">
                  <a16:creationId xmlns="" xmlns:a16="http://schemas.microsoft.com/office/drawing/2014/main" id="{00000000-0008-0000-1500-00002A000000}"/>
                </a:ext>
              </a:extLst>
            </xdr:cNvPr>
            <xdr:cNvSpPr/>
          </xdr:nvSpPr>
          <xdr:spPr bwMode="auto">
            <a:xfrm>
              <a:off x="8318456"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Resíduos</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sólidos</a:t>
              </a:r>
            </a:p>
          </xdr:txBody>
        </xdr:sp>
        <xdr:sp macro="" textlink="">
          <xdr:nvSpPr>
            <xdr:cNvPr id="43" name="Retângulo de cantos arredondados 44">
              <a:hlinkClick xmlns:r="http://schemas.openxmlformats.org/officeDocument/2006/relationships" r:id="rId10"/>
              <a:extLst>
                <a:ext uri="{FF2B5EF4-FFF2-40B4-BE49-F238E27FC236}">
                  <a16:creationId xmlns="" xmlns:a16="http://schemas.microsoft.com/office/drawing/2014/main" id="{00000000-0008-0000-1500-00002B000000}"/>
                </a:ext>
              </a:extLst>
            </xdr:cNvPr>
            <xdr:cNvSpPr/>
          </xdr:nvSpPr>
          <xdr:spPr bwMode="auto">
            <a:xfrm>
              <a:off x="433325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lnSpc>
                  <a:spcPct val="80000"/>
                </a:lnSpc>
              </a:pPr>
              <a:r>
                <a:rPr lang="pt-BR" sz="900" b="0">
                  <a:latin typeface="Calibri Light" panose="020F0302020204030204" pitchFamily="34" charset="0"/>
                  <a:cs typeface="Arial" pitchFamily="34" charset="0"/>
                </a:rPr>
                <a:t>Compra de Energia</a:t>
              </a:r>
              <a:r>
                <a:rPr lang="pt-BR" sz="900" b="0" baseline="0">
                  <a:latin typeface="Calibri Light" panose="020F0302020204030204" pitchFamily="34" charset="0"/>
                  <a:cs typeface="Arial" pitchFamily="34" charset="0"/>
                </a:rPr>
                <a:t> Elétrica</a:t>
              </a:r>
            </a:p>
          </xdr:txBody>
        </xdr:sp>
        <xdr:sp macro="" textlink="">
          <xdr:nvSpPr>
            <xdr:cNvPr id="44" name="Retângulo de cantos arredondados 45">
              <a:hlinkClick xmlns:r="http://schemas.openxmlformats.org/officeDocument/2006/relationships" r:id="rId11"/>
              <a:extLst>
                <a:ext uri="{FF2B5EF4-FFF2-40B4-BE49-F238E27FC236}">
                  <a16:creationId xmlns="" xmlns:a16="http://schemas.microsoft.com/office/drawing/2014/main" id="{00000000-0008-0000-1500-00002C000000}"/>
                </a:ext>
              </a:extLst>
            </xdr:cNvPr>
            <xdr:cNvSpPr/>
          </xdr:nvSpPr>
          <xdr:spPr bwMode="auto">
            <a:xfrm>
              <a:off x="513371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Compra de</a:t>
              </a:r>
              <a:r>
                <a:rPr lang="pt-BR" sz="900" b="0" baseline="0">
                  <a:latin typeface="Calibri Light" panose="020F0302020204030204" pitchFamily="34" charset="0"/>
                  <a:cs typeface="Arial" pitchFamily="34" charset="0"/>
                </a:rPr>
                <a:t> Energia Térmica</a:t>
              </a:r>
            </a:p>
          </xdr:txBody>
        </xdr:sp>
        <xdr:sp macro="" textlink="">
          <xdr:nvSpPr>
            <xdr:cNvPr id="45" name="Fluxograma: Processo 46">
              <a:extLst>
                <a:ext uri="{FF2B5EF4-FFF2-40B4-BE49-F238E27FC236}">
                  <a16:creationId xmlns="" xmlns:a16="http://schemas.microsoft.com/office/drawing/2014/main" id="{00000000-0008-0000-1500-00002D000000}"/>
                </a:ext>
              </a:extLst>
            </xdr:cNvPr>
            <xdr:cNvSpPr/>
          </xdr:nvSpPr>
          <xdr:spPr bwMode="auto">
            <a:xfrm>
              <a:off x="3604863" y="909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2</a:t>
              </a:r>
            </a:p>
          </xdr:txBody>
        </xdr:sp>
        <xdr:sp macro="" textlink="">
          <xdr:nvSpPr>
            <xdr:cNvPr id="46" name="Fluxograma: Processo 47">
              <a:extLst>
                <a:ext uri="{FF2B5EF4-FFF2-40B4-BE49-F238E27FC236}">
                  <a16:creationId xmlns="" xmlns:a16="http://schemas.microsoft.com/office/drawing/2014/main" id="{00000000-0008-0000-1500-00002E000000}"/>
                </a:ext>
              </a:extLst>
            </xdr:cNvPr>
            <xdr:cNvSpPr/>
          </xdr:nvSpPr>
          <xdr:spPr bwMode="auto">
            <a:xfrm>
              <a:off x="3604863" y="1290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3</a:t>
              </a:r>
            </a:p>
          </xdr:txBody>
        </xdr:sp>
        <xdr:sp macro="" textlink="">
          <xdr:nvSpPr>
            <xdr:cNvPr id="47" name="Retângulo de cantos arredondados 48">
              <a:hlinkClick xmlns:r="http://schemas.openxmlformats.org/officeDocument/2006/relationships" r:id="rId12"/>
              <a:extLst>
                <a:ext uri="{FF2B5EF4-FFF2-40B4-BE49-F238E27FC236}">
                  <a16:creationId xmlns="" xmlns:a16="http://schemas.microsoft.com/office/drawing/2014/main" id="{00000000-0008-0000-1500-00002F000000}"/>
                </a:ext>
              </a:extLst>
            </xdr:cNvPr>
            <xdr:cNvSpPr/>
          </xdr:nvSpPr>
          <xdr:spPr bwMode="auto">
            <a:xfrm>
              <a:off x="433325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lnSpc>
                  <a:spcPct val="80000"/>
                </a:lnSpc>
              </a:pPr>
              <a:r>
                <a:rPr lang="pt-BR" sz="900" b="0">
                  <a:solidFill>
                    <a:schemeClr val="bg1">
                      <a:lumMod val="50000"/>
                    </a:schemeClr>
                  </a:solidFill>
                  <a:latin typeface="Calibri Light" panose="020F0302020204030204" pitchFamily="34" charset="0"/>
                  <a:cs typeface="Arial" pitchFamily="34" charset="0"/>
                </a:rPr>
                <a:t>Categorias de Âmbito 3</a:t>
              </a:r>
              <a:endParaRPr lang="pt-BR" sz="900" b="0" baseline="0">
                <a:solidFill>
                  <a:schemeClr val="bg1">
                    <a:lumMod val="50000"/>
                  </a:schemeClr>
                </a:solidFill>
                <a:latin typeface="Calibri Light" panose="020F0302020204030204" pitchFamily="34" charset="0"/>
                <a:cs typeface="Arial" pitchFamily="34" charset="0"/>
              </a:endParaRPr>
            </a:p>
          </xdr:txBody>
        </xdr:sp>
        <xdr:sp macro="" textlink="">
          <xdr:nvSpPr>
            <xdr:cNvPr id="48" name="Retângulo de cantos arredondados 49">
              <a:hlinkClick xmlns:r="http://schemas.openxmlformats.org/officeDocument/2006/relationships" r:id="rId13"/>
              <a:extLst>
                <a:ext uri="{FF2B5EF4-FFF2-40B4-BE49-F238E27FC236}">
                  <a16:creationId xmlns="" xmlns:a16="http://schemas.microsoft.com/office/drawing/2014/main" id="{00000000-0008-0000-1500-000030000000}"/>
                </a:ext>
              </a:extLst>
            </xdr:cNvPr>
            <xdr:cNvSpPr/>
          </xdr:nvSpPr>
          <xdr:spPr bwMode="auto">
            <a:xfrm>
              <a:off x="5925918"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Resíduos sólidos gerados na operação</a:t>
              </a:r>
            </a:p>
          </xdr:txBody>
        </xdr:sp>
        <xdr:sp macro="" textlink="">
          <xdr:nvSpPr>
            <xdr:cNvPr id="49" name="Retângulo de cantos arredondados 50">
              <a:hlinkClick xmlns:r="http://schemas.openxmlformats.org/officeDocument/2006/relationships" r:id="rId14"/>
              <a:extLst>
                <a:ext uri="{FF2B5EF4-FFF2-40B4-BE49-F238E27FC236}">
                  <a16:creationId xmlns="" xmlns:a16="http://schemas.microsoft.com/office/drawing/2014/main" id="{00000000-0008-0000-1500-000031000000}"/>
                </a:ext>
              </a:extLst>
            </xdr:cNvPr>
            <xdr:cNvSpPr/>
          </xdr:nvSpPr>
          <xdr:spPr bwMode="auto">
            <a:xfrm>
              <a:off x="6722959"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Efluentes gerados na operação</a:t>
              </a:r>
            </a:p>
          </xdr:txBody>
        </xdr:sp>
        <xdr:sp macro="" textlink="">
          <xdr:nvSpPr>
            <xdr:cNvPr id="50" name="Retângulo de cantos arredondados 51">
              <a:hlinkClick xmlns:r="http://schemas.openxmlformats.org/officeDocument/2006/relationships" r:id="rId15"/>
              <a:extLst>
                <a:ext uri="{FF2B5EF4-FFF2-40B4-BE49-F238E27FC236}">
                  <a16:creationId xmlns="" xmlns:a16="http://schemas.microsoft.com/office/drawing/2014/main" id="{00000000-0008-0000-1500-000032000000}"/>
                </a:ext>
              </a:extLst>
            </xdr:cNvPr>
            <xdr:cNvSpPr/>
          </xdr:nvSpPr>
          <xdr:spPr bwMode="auto">
            <a:xfrm>
              <a:off x="831704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(downstream)</a:t>
              </a:r>
            </a:p>
          </xdr:txBody>
        </xdr:sp>
        <xdr:sp macro="" textlink="">
          <xdr:nvSpPr>
            <xdr:cNvPr id="51" name="Retângulo de cantos arredondados 52">
              <a:hlinkClick xmlns:r="http://schemas.openxmlformats.org/officeDocument/2006/relationships" r:id="rId16"/>
              <a:extLst>
                <a:ext uri="{FF2B5EF4-FFF2-40B4-BE49-F238E27FC236}">
                  <a16:creationId xmlns="" xmlns:a16="http://schemas.microsoft.com/office/drawing/2014/main" id="{00000000-0008-0000-1500-000033000000}"/>
                </a:ext>
              </a:extLst>
            </xdr:cNvPr>
            <xdr:cNvSpPr/>
          </xdr:nvSpPr>
          <xdr:spPr bwMode="auto">
            <a:xfrm>
              <a:off x="5135994" y="1228723"/>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(upstream)</a:t>
              </a:r>
            </a:p>
          </xdr:txBody>
        </xdr:sp>
        <xdr:sp macro="" textlink="">
          <xdr:nvSpPr>
            <xdr:cNvPr id="52" name="Retângulo de cantos arredondados 54">
              <a:hlinkClick xmlns:r="http://schemas.openxmlformats.org/officeDocument/2006/relationships" r:id="rId17"/>
              <a:extLst>
                <a:ext uri="{FF2B5EF4-FFF2-40B4-BE49-F238E27FC236}">
                  <a16:creationId xmlns="" xmlns:a16="http://schemas.microsoft.com/office/drawing/2014/main" id="{00000000-0008-0000-1500-000034000000}"/>
                </a:ext>
              </a:extLst>
            </xdr:cNvPr>
            <xdr:cNvSpPr/>
          </xdr:nvSpPr>
          <xdr:spPr bwMode="auto">
            <a:xfrm>
              <a:off x="9115497"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Efluentes</a:t>
              </a:r>
            </a:p>
          </xdr:txBody>
        </xdr:sp>
        <xdr:sp macro="" textlink="">
          <xdr:nvSpPr>
            <xdr:cNvPr id="54" name="Retângulo de cantos arredondados 56">
              <a:hlinkClick xmlns:r="http://schemas.openxmlformats.org/officeDocument/2006/relationships" r:id="rId18"/>
              <a:extLst>
                <a:ext uri="{FF2B5EF4-FFF2-40B4-BE49-F238E27FC236}">
                  <a16:creationId xmlns="" xmlns:a16="http://schemas.microsoft.com/office/drawing/2014/main" id="{00000000-0008-0000-1500-000036000000}"/>
                </a:ext>
              </a:extLst>
            </xdr:cNvPr>
            <xdr:cNvSpPr/>
          </xdr:nvSpPr>
          <xdr:spPr bwMode="auto">
            <a:xfrm>
              <a:off x="7526519"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Conversão de unidades</a:t>
              </a:r>
            </a:p>
          </xdr:txBody>
        </xdr:sp>
        <xdr:sp macro="" textlink="">
          <xdr:nvSpPr>
            <xdr:cNvPr id="81" name="Retângulo de cantos arredondados 58">
              <a:hlinkClick xmlns:r="http://schemas.openxmlformats.org/officeDocument/2006/relationships" r:id="rId19"/>
              <a:extLst>
                <a:ext uri="{FF2B5EF4-FFF2-40B4-BE49-F238E27FC236}">
                  <a16:creationId xmlns="" xmlns:a16="http://schemas.microsoft.com/office/drawing/2014/main" id="{00000000-0008-0000-1500-000051000000}"/>
                </a:ext>
              </a:extLst>
            </xdr:cNvPr>
            <xdr:cNvSpPr/>
          </xdr:nvSpPr>
          <xdr:spPr bwMode="auto">
            <a:xfrm>
              <a:off x="7520000"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r>
                <a:rPr lang="pt-BR" sz="900" b="0">
                  <a:solidFill>
                    <a:schemeClr val="bg1">
                      <a:lumMod val="50000"/>
                    </a:schemeClr>
                  </a:solidFill>
                  <a:latin typeface="Calibri Light" panose="020F0302020204030204" pitchFamily="34" charset="0"/>
                  <a:cs typeface="Arial" pitchFamily="34" charset="0"/>
                </a:rPr>
                <a:t>Viagens a negócios</a:t>
              </a:r>
            </a:p>
          </xdr:txBody>
        </xdr:sp>
        <xdr:sp macro="" textlink="">
          <xdr:nvSpPr>
            <xdr:cNvPr id="82" name="Fluxograma: Processo 59">
              <a:extLst>
                <a:ext uri="{FF2B5EF4-FFF2-40B4-BE49-F238E27FC236}">
                  <a16:creationId xmlns="" xmlns:a16="http://schemas.microsoft.com/office/drawing/2014/main" id="{00000000-0008-0000-1500-000052000000}"/>
                </a:ext>
              </a:extLst>
            </xdr:cNvPr>
            <xdr:cNvSpPr/>
          </xdr:nvSpPr>
          <xdr:spPr bwMode="auto">
            <a:xfrm>
              <a:off x="3604863" y="156702"/>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Geral</a:t>
              </a:r>
            </a:p>
          </xdr:txBody>
        </xdr:sp>
      </xdr:grpSp>
      <xdr:sp macro="" textlink="">
        <xdr:nvSpPr>
          <xdr:cNvPr id="31" name="Retângulo de cantos arredondados 37">
            <a:hlinkClick xmlns:r="http://schemas.openxmlformats.org/officeDocument/2006/relationships" r:id="rId20"/>
            <a:extLst>
              <a:ext uri="{FF2B5EF4-FFF2-40B4-BE49-F238E27FC236}">
                <a16:creationId xmlns="" xmlns:a16="http://schemas.microsoft.com/office/drawing/2014/main" id="{00000000-0008-0000-1500-00001F000000}"/>
              </a:ext>
            </a:extLst>
          </xdr:cNvPr>
          <xdr:cNvSpPr/>
        </xdr:nvSpPr>
        <xdr:spPr bwMode="auto">
          <a:xfrm>
            <a:off x="4696884" y="162983"/>
            <a:ext cx="774700" cy="31873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sp macro="" textlink="">
        <xdr:nvSpPr>
          <xdr:cNvPr id="32" name="Retângulo de cantos arredondados 42">
            <a:hlinkClick xmlns:r="http://schemas.openxmlformats.org/officeDocument/2006/relationships" r:id="rId21"/>
            <a:extLst>
              <a:ext uri="{FF2B5EF4-FFF2-40B4-BE49-F238E27FC236}">
                <a16:creationId xmlns="" xmlns:a16="http://schemas.microsoft.com/office/drawing/2014/main" id="{00000000-0008-0000-1500-000020000000}"/>
              </a:ext>
            </a:extLst>
          </xdr:cNvPr>
          <xdr:cNvSpPr/>
        </xdr:nvSpPr>
        <xdr:spPr bwMode="auto">
          <a:xfrm>
            <a:off x="7125758" y="522817"/>
            <a:ext cx="758825" cy="318738"/>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50" b="0">
                <a:solidFill>
                  <a:schemeClr val="bg1"/>
                </a:solidFill>
                <a:latin typeface="Calibri Light" panose="020F0302020204030204" pitchFamily="34" charset="0"/>
                <a:cs typeface="Arial" pitchFamily="34" charset="0"/>
              </a:rPr>
              <a:t>Agrícolas e alt. do uso do solo</a:t>
            </a:r>
            <a:endParaRPr lang="pt-BR" sz="850" b="0" baseline="0">
              <a:solidFill>
                <a:schemeClr val="bg1"/>
              </a:solidFill>
              <a:latin typeface="Calibri Light" panose="020F0302020204030204" pitchFamily="34" charset="0"/>
              <a:cs typeface="Arial" pitchFamily="34" charset="0"/>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253951</xdr:colOff>
      <xdr:row>0</xdr:row>
      <xdr:rowOff>95251</xdr:rowOff>
    </xdr:from>
    <xdr:to>
      <xdr:col>3</xdr:col>
      <xdr:colOff>1011776</xdr:colOff>
      <xdr:row>2</xdr:row>
      <xdr:rowOff>92256</xdr:rowOff>
    </xdr:to>
    <xdr:sp macro="" textlink="">
      <xdr:nvSpPr>
        <xdr:cNvPr id="29" name="Retângulo de cantos arredondados 37">
          <a:hlinkClick xmlns:r="http://schemas.openxmlformats.org/officeDocument/2006/relationships" r:id="rId1"/>
          <a:extLst>
            <a:ext uri="{FF2B5EF4-FFF2-40B4-BE49-F238E27FC236}">
              <a16:creationId xmlns="" xmlns:a16="http://schemas.microsoft.com/office/drawing/2014/main" id="{00000000-0008-0000-0200-00001D000000}"/>
            </a:ext>
          </a:extLst>
        </xdr:cNvPr>
        <xdr:cNvSpPr/>
      </xdr:nvSpPr>
      <xdr:spPr bwMode="auto">
        <a:xfrm>
          <a:off x="4466118" y="95251"/>
          <a:ext cx="757825" cy="32508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clientData/>
  </xdr:twoCellAnchor>
  <xdr:twoCellAnchor editAs="oneCell">
    <xdr:from>
      <xdr:col>0</xdr:col>
      <xdr:colOff>114300</xdr:colOff>
      <xdr:row>0</xdr:row>
      <xdr:rowOff>104775</xdr:rowOff>
    </xdr:from>
    <xdr:to>
      <xdr:col>2</xdr:col>
      <xdr:colOff>1557867</xdr:colOff>
      <xdr:row>5</xdr:row>
      <xdr:rowOff>150647</xdr:rowOff>
    </xdr:to>
    <xdr:pic>
      <xdr:nvPicPr>
        <xdr:cNvPr id="30" name="Imagem 29">
          <a:extLst>
            <a:ext uri="{FF2B5EF4-FFF2-40B4-BE49-F238E27FC236}">
              <a16:creationId xmlns="" xmlns:a16="http://schemas.microsoft.com/office/drawing/2014/main" id="{00000000-0008-0000-0200-00001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0" y="104775"/>
          <a:ext cx="2529417" cy="979322"/>
        </a:xfrm>
        <a:prstGeom prst="rect">
          <a:avLst/>
        </a:prstGeom>
      </xdr:spPr>
    </xdr:pic>
    <xdr:clientData/>
  </xdr:twoCellAnchor>
  <xdr:twoCellAnchor>
    <xdr:from>
      <xdr:col>2</xdr:col>
      <xdr:colOff>1640417</xdr:colOff>
      <xdr:row>0</xdr:row>
      <xdr:rowOff>63500</xdr:rowOff>
    </xdr:from>
    <xdr:to>
      <xdr:col>7</xdr:col>
      <xdr:colOff>224865</xdr:colOff>
      <xdr:row>9</xdr:row>
      <xdr:rowOff>89043</xdr:rowOff>
    </xdr:to>
    <xdr:grpSp>
      <xdr:nvGrpSpPr>
        <xdr:cNvPr id="31" name="Grupo 30">
          <a:extLst>
            <a:ext uri="{FF2B5EF4-FFF2-40B4-BE49-F238E27FC236}">
              <a16:creationId xmlns="" xmlns:a16="http://schemas.microsoft.com/office/drawing/2014/main" id="{00000000-0008-0000-0200-00001F000000}"/>
            </a:ext>
          </a:extLst>
        </xdr:cNvPr>
        <xdr:cNvGrpSpPr/>
      </xdr:nvGrpSpPr>
      <xdr:grpSpPr>
        <a:xfrm>
          <a:off x="2728988" y="63500"/>
          <a:ext cx="7293020" cy="1780864"/>
          <a:chOff x="3069167" y="114300"/>
          <a:chExt cx="7283948" cy="1549543"/>
        </a:xfrm>
      </xdr:grpSpPr>
      <xdr:grpSp>
        <xdr:nvGrpSpPr>
          <xdr:cNvPr id="34" name="Group 32">
            <a:extLst>
              <a:ext uri="{FF2B5EF4-FFF2-40B4-BE49-F238E27FC236}">
                <a16:creationId xmlns="" xmlns:a16="http://schemas.microsoft.com/office/drawing/2014/main" id="{00000000-0008-0000-0200-000022000000}"/>
              </a:ext>
            </a:extLst>
          </xdr:cNvPr>
          <xdr:cNvGrpSpPr/>
        </xdr:nvGrpSpPr>
        <xdr:grpSpPr>
          <a:xfrm>
            <a:off x="3069167" y="114300"/>
            <a:ext cx="7283948" cy="1549543"/>
            <a:chOff x="3514726" y="52774"/>
            <a:chExt cx="7219950" cy="1576001"/>
          </a:xfrm>
        </xdr:grpSpPr>
        <xdr:sp macro="" textlink="">
          <xdr:nvSpPr>
            <xdr:cNvPr id="61" name="Fluxograma: Processo 60">
              <a:extLst>
                <a:ext uri="{FF2B5EF4-FFF2-40B4-BE49-F238E27FC236}">
                  <a16:creationId xmlns="" xmlns:a16="http://schemas.microsoft.com/office/drawing/2014/main" id="{00000000-0008-0000-0200-00003D000000}"/>
                </a:ext>
              </a:extLst>
            </xdr:cNvPr>
            <xdr:cNvSpPr>
              <a:spLocks noChangeArrowheads="1"/>
            </xdr:cNvSpPr>
          </xdr:nvSpPr>
          <xdr:spPr bwMode="auto">
            <a:xfrm>
              <a:off x="3514726" y="52774"/>
              <a:ext cx="7219950" cy="1576001"/>
            </a:xfrm>
            <a:prstGeom prst="flowChartProcess">
              <a:avLst/>
            </a:prstGeom>
            <a:solidFill>
              <a:schemeClr val="accent1">
                <a:lumMod val="20000"/>
                <a:lumOff val="80000"/>
              </a:schemeClr>
            </a:solidFill>
            <a:ln w="19050" algn="ctr">
              <a:solidFill>
                <a:schemeClr val="accent1"/>
              </a:solidFill>
              <a:round/>
              <a:headEnd/>
              <a:tailEnd/>
            </a:ln>
            <a:effectLst/>
          </xdr:spPr>
          <xdr:txBody>
            <a:bodyPr/>
            <a:lstStyle/>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r>
                <a:rPr lang="pt-BR" sz="1400" b="1">
                  <a:latin typeface="Calibri Light" panose="020F0302020204030204" pitchFamily="34" charset="0"/>
                </a:rPr>
                <a:t>Menu de </a:t>
              </a:r>
            </a:p>
            <a:p>
              <a:pPr algn="r"/>
              <a:r>
                <a:rPr lang="pt-BR" sz="1400" b="1">
                  <a:latin typeface="Calibri Light" panose="020F0302020204030204" pitchFamily="34" charset="0"/>
                </a:rPr>
                <a:t>navegação</a:t>
              </a:r>
            </a:p>
          </xdr:txBody>
        </xdr:sp>
        <xdr:sp macro="" textlink="">
          <xdr:nvSpPr>
            <xdr:cNvPr id="62" name="Retângulo de cantos arredondados 34">
              <a:hlinkClick xmlns:r="http://schemas.openxmlformats.org/officeDocument/2006/relationships" r:id="rId3"/>
              <a:extLst>
                <a:ext uri="{FF2B5EF4-FFF2-40B4-BE49-F238E27FC236}">
                  <a16:creationId xmlns="" xmlns:a16="http://schemas.microsoft.com/office/drawing/2014/main" id="{00000000-0008-0000-0200-00003E000000}"/>
                </a:ext>
              </a:extLst>
            </xdr:cNvPr>
            <xdr:cNvSpPr/>
          </xdr:nvSpPr>
          <xdr:spPr bwMode="auto">
            <a:xfrm>
              <a:off x="4333251"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Introdução</a:t>
              </a:r>
            </a:p>
          </xdr:txBody>
        </xdr:sp>
        <xdr:sp macro="" textlink="">
          <xdr:nvSpPr>
            <xdr:cNvPr id="63" name="Retângulo de cantos arredondados 35">
              <a:hlinkClick xmlns:r="http://schemas.openxmlformats.org/officeDocument/2006/relationships" r:id="rId4"/>
              <a:extLst>
                <a:ext uri="{FF2B5EF4-FFF2-40B4-BE49-F238E27FC236}">
                  <a16:creationId xmlns="" xmlns:a16="http://schemas.microsoft.com/office/drawing/2014/main" id="{00000000-0008-0000-0200-00003F000000}"/>
                </a:ext>
              </a:extLst>
            </xdr:cNvPr>
            <xdr:cNvSpPr/>
          </xdr:nvSpPr>
          <xdr:spPr bwMode="auto">
            <a:xfrm>
              <a:off x="4333251"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lnSpc>
                  <a:spcPct val="80000"/>
                </a:lnSpc>
              </a:pPr>
              <a:r>
                <a:rPr lang="pt-BR" sz="900" b="0">
                  <a:solidFill>
                    <a:schemeClr val="bg1"/>
                  </a:solidFill>
                  <a:latin typeface="Calibri Light" panose="020F0302020204030204" pitchFamily="34" charset="0"/>
                  <a:cs typeface="Arial" pitchFamily="34" charset="0"/>
                </a:rPr>
                <a:t>Combustão</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estacionária</a:t>
              </a:r>
            </a:p>
          </xdr:txBody>
        </xdr:sp>
        <xdr:sp macro="" textlink="">
          <xdr:nvSpPr>
            <xdr:cNvPr id="64" name="Retângulo de cantos arredondados 36">
              <a:hlinkClick xmlns:r="http://schemas.openxmlformats.org/officeDocument/2006/relationships" r:id="rId5"/>
              <a:extLst>
                <a:ext uri="{FF2B5EF4-FFF2-40B4-BE49-F238E27FC236}">
                  <a16:creationId xmlns="" xmlns:a16="http://schemas.microsoft.com/office/drawing/2014/main" id="{00000000-0008-0000-0200-000040000000}"/>
                </a:ext>
              </a:extLst>
            </xdr:cNvPr>
            <xdr:cNvSpPr/>
          </xdr:nvSpPr>
          <xdr:spPr bwMode="auto">
            <a:xfrm>
              <a:off x="5130292"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Combustão </a:t>
              </a:r>
            </a:p>
            <a:p>
              <a:pPr algn="ctr"/>
              <a:r>
                <a:rPr lang="pt-BR" sz="900" b="0">
                  <a:solidFill>
                    <a:schemeClr val="bg1"/>
                  </a:solidFill>
                  <a:latin typeface="Calibri Light" panose="020F0302020204030204" pitchFamily="34" charset="0"/>
                  <a:cs typeface="Arial" pitchFamily="34" charset="0"/>
                </a:rPr>
                <a:t>móvel</a:t>
              </a:r>
            </a:p>
          </xdr:txBody>
        </xdr:sp>
        <xdr:sp macro="" textlink="">
          <xdr:nvSpPr>
            <xdr:cNvPr id="65" name="Retângulo de cantos arredondados 37">
              <a:hlinkClick xmlns:r="http://schemas.openxmlformats.org/officeDocument/2006/relationships" r:id="rId6"/>
              <a:extLst>
                <a:ext uri="{FF2B5EF4-FFF2-40B4-BE49-F238E27FC236}">
                  <a16:creationId xmlns="" xmlns:a16="http://schemas.microsoft.com/office/drawing/2014/main" id="{00000000-0008-0000-0200-000041000000}"/>
                </a:ext>
              </a:extLst>
            </xdr:cNvPr>
            <xdr:cNvSpPr/>
          </xdr:nvSpPr>
          <xdr:spPr bwMode="auto">
            <a:xfrm>
              <a:off x="5932663"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Resumo</a:t>
              </a:r>
            </a:p>
          </xdr:txBody>
        </xdr:sp>
        <xdr:sp macro="" textlink="">
          <xdr:nvSpPr>
            <xdr:cNvPr id="66" name="Retângulo de cantos arredondados 38">
              <a:hlinkClick xmlns:r="http://schemas.openxmlformats.org/officeDocument/2006/relationships" r:id="rId7"/>
              <a:extLst>
                <a:ext uri="{FF2B5EF4-FFF2-40B4-BE49-F238E27FC236}">
                  <a16:creationId xmlns="" xmlns:a16="http://schemas.microsoft.com/office/drawing/2014/main" id="{00000000-0008-0000-0200-000042000000}"/>
                </a:ext>
              </a:extLst>
            </xdr:cNvPr>
            <xdr:cNvSpPr/>
          </xdr:nvSpPr>
          <xdr:spPr bwMode="auto">
            <a:xfrm>
              <a:off x="6719145"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Fatores </a:t>
              </a:r>
            </a:p>
            <a:p>
              <a:pPr algn="ctr"/>
              <a:r>
                <a:rPr lang="pt-BR" sz="900" b="0">
                  <a:latin typeface="Calibri Light" panose="020F0302020204030204" pitchFamily="34" charset="0"/>
                  <a:cs typeface="Arial" pitchFamily="34" charset="0"/>
                </a:rPr>
                <a:t>de emissão</a:t>
              </a:r>
            </a:p>
          </xdr:txBody>
        </xdr:sp>
        <xdr:sp macro="" textlink="">
          <xdr:nvSpPr>
            <xdr:cNvPr id="67" name="Fluxograma: Processo 66">
              <a:extLst>
                <a:ext uri="{FF2B5EF4-FFF2-40B4-BE49-F238E27FC236}">
                  <a16:creationId xmlns="" xmlns:a16="http://schemas.microsoft.com/office/drawing/2014/main" id="{00000000-0008-0000-0200-000043000000}"/>
                </a:ext>
              </a:extLst>
            </xdr:cNvPr>
            <xdr:cNvSpPr/>
          </xdr:nvSpPr>
          <xdr:spPr bwMode="auto">
            <a:xfrm>
              <a:off x="3604863" y="528178"/>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1</a:t>
              </a:r>
            </a:p>
          </xdr:txBody>
        </xdr:sp>
        <xdr:sp macro="" textlink="">
          <xdr:nvSpPr>
            <xdr:cNvPr id="68" name="Retângulo de cantos arredondados 40">
              <a:hlinkClick xmlns:r="http://schemas.openxmlformats.org/officeDocument/2006/relationships" r:id="rId8"/>
              <a:extLst>
                <a:ext uri="{FF2B5EF4-FFF2-40B4-BE49-F238E27FC236}">
                  <a16:creationId xmlns="" xmlns:a16="http://schemas.microsoft.com/office/drawing/2014/main" id="{00000000-0008-0000-0200-000044000000}"/>
                </a:ext>
              </a:extLst>
            </xdr:cNvPr>
            <xdr:cNvSpPr/>
          </xdr:nvSpPr>
          <xdr:spPr bwMode="auto">
            <a:xfrm>
              <a:off x="5927333"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00" b="0">
                  <a:solidFill>
                    <a:schemeClr val="bg1"/>
                  </a:solidFill>
                  <a:latin typeface="Calibri Light" panose="020F0302020204030204" pitchFamily="34" charset="0"/>
                  <a:cs typeface="Arial" pitchFamily="34" charset="0"/>
                </a:rPr>
                <a:t>Emissões </a:t>
              </a:r>
            </a:p>
            <a:p>
              <a:pPr algn="ctr"/>
              <a:r>
                <a:rPr lang="pt-BR" sz="800" b="0">
                  <a:solidFill>
                    <a:schemeClr val="bg1"/>
                  </a:solidFill>
                  <a:latin typeface="Calibri Light" panose="020F0302020204030204" pitchFamily="34" charset="0"/>
                  <a:cs typeface="Arial" pitchFamily="34" charset="0"/>
                </a:rPr>
                <a:t>fugitivas</a:t>
              </a:r>
            </a:p>
          </xdr:txBody>
        </xdr:sp>
        <xdr:sp macro="" textlink="">
          <xdr:nvSpPr>
            <xdr:cNvPr id="69" name="Retângulo de cantos arredondados 41">
              <a:hlinkClick xmlns:r="http://schemas.openxmlformats.org/officeDocument/2006/relationships" r:id="rId9"/>
              <a:extLst>
                <a:ext uri="{FF2B5EF4-FFF2-40B4-BE49-F238E27FC236}">
                  <a16:creationId xmlns="" xmlns:a16="http://schemas.microsoft.com/office/drawing/2014/main" id="{00000000-0008-0000-0200-000045000000}"/>
                </a:ext>
              </a:extLst>
            </xdr:cNvPr>
            <xdr:cNvSpPr/>
          </xdr:nvSpPr>
          <xdr:spPr bwMode="auto">
            <a:xfrm>
              <a:off x="6724374"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Processos</a:t>
              </a:r>
              <a:r>
                <a:rPr lang="pt-BR" sz="900" b="0" baseline="0">
                  <a:solidFill>
                    <a:schemeClr val="bg1"/>
                  </a:solidFill>
                  <a:latin typeface="Calibri Light" panose="020F0302020204030204" pitchFamily="34" charset="0"/>
                  <a:cs typeface="Arial" pitchFamily="34" charset="0"/>
                </a:rPr>
                <a:t> industriais</a:t>
              </a:r>
              <a:endParaRPr lang="pt-BR" sz="900" b="0">
                <a:solidFill>
                  <a:schemeClr val="bg1"/>
                </a:solidFill>
                <a:latin typeface="Calibri Light" panose="020F0302020204030204" pitchFamily="34" charset="0"/>
                <a:cs typeface="Arial" pitchFamily="34" charset="0"/>
              </a:endParaRPr>
            </a:p>
          </xdr:txBody>
        </xdr:sp>
        <xdr:sp macro="" textlink="">
          <xdr:nvSpPr>
            <xdr:cNvPr id="70" name="Retângulo de cantos arredondados 43">
              <a:hlinkClick xmlns:r="http://schemas.openxmlformats.org/officeDocument/2006/relationships" r:id="rId10"/>
              <a:extLst>
                <a:ext uri="{FF2B5EF4-FFF2-40B4-BE49-F238E27FC236}">
                  <a16:creationId xmlns="" xmlns:a16="http://schemas.microsoft.com/office/drawing/2014/main" id="{00000000-0008-0000-0200-000046000000}"/>
                </a:ext>
              </a:extLst>
            </xdr:cNvPr>
            <xdr:cNvSpPr/>
          </xdr:nvSpPr>
          <xdr:spPr bwMode="auto">
            <a:xfrm>
              <a:off x="8318456"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Resíduos</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sólidos</a:t>
              </a:r>
            </a:p>
          </xdr:txBody>
        </xdr:sp>
        <xdr:sp macro="" textlink="">
          <xdr:nvSpPr>
            <xdr:cNvPr id="71" name="Retângulo de cantos arredondados 44">
              <a:hlinkClick xmlns:r="http://schemas.openxmlformats.org/officeDocument/2006/relationships" r:id="rId11"/>
              <a:extLst>
                <a:ext uri="{FF2B5EF4-FFF2-40B4-BE49-F238E27FC236}">
                  <a16:creationId xmlns="" xmlns:a16="http://schemas.microsoft.com/office/drawing/2014/main" id="{00000000-0008-0000-0200-000047000000}"/>
                </a:ext>
              </a:extLst>
            </xdr:cNvPr>
            <xdr:cNvSpPr/>
          </xdr:nvSpPr>
          <xdr:spPr bwMode="auto">
            <a:xfrm>
              <a:off x="433325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lnSpc>
                  <a:spcPct val="80000"/>
                </a:lnSpc>
              </a:pPr>
              <a:r>
                <a:rPr lang="pt-BR" sz="900" b="0">
                  <a:latin typeface="Calibri Light" panose="020F0302020204030204" pitchFamily="34" charset="0"/>
                  <a:cs typeface="Arial" pitchFamily="34" charset="0"/>
                </a:rPr>
                <a:t>Compra de Energia</a:t>
              </a:r>
              <a:r>
                <a:rPr lang="pt-BR" sz="900" b="0" baseline="0">
                  <a:latin typeface="Calibri Light" panose="020F0302020204030204" pitchFamily="34" charset="0"/>
                  <a:cs typeface="Arial" pitchFamily="34" charset="0"/>
                </a:rPr>
                <a:t> Elétrica</a:t>
              </a:r>
            </a:p>
          </xdr:txBody>
        </xdr:sp>
        <xdr:sp macro="" textlink="">
          <xdr:nvSpPr>
            <xdr:cNvPr id="72" name="Retângulo de cantos arredondados 45">
              <a:hlinkClick xmlns:r="http://schemas.openxmlformats.org/officeDocument/2006/relationships" r:id="rId12"/>
              <a:extLst>
                <a:ext uri="{FF2B5EF4-FFF2-40B4-BE49-F238E27FC236}">
                  <a16:creationId xmlns="" xmlns:a16="http://schemas.microsoft.com/office/drawing/2014/main" id="{00000000-0008-0000-0200-000048000000}"/>
                </a:ext>
              </a:extLst>
            </xdr:cNvPr>
            <xdr:cNvSpPr/>
          </xdr:nvSpPr>
          <xdr:spPr bwMode="auto">
            <a:xfrm>
              <a:off x="513371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Compra de</a:t>
              </a:r>
              <a:r>
                <a:rPr lang="pt-BR" sz="900" b="0" baseline="0">
                  <a:latin typeface="Calibri Light" panose="020F0302020204030204" pitchFamily="34" charset="0"/>
                  <a:cs typeface="Arial" pitchFamily="34" charset="0"/>
                </a:rPr>
                <a:t> Energia Térmica</a:t>
              </a:r>
            </a:p>
          </xdr:txBody>
        </xdr:sp>
        <xdr:sp macro="" textlink="">
          <xdr:nvSpPr>
            <xdr:cNvPr id="73" name="Fluxograma: Processo 72">
              <a:extLst>
                <a:ext uri="{FF2B5EF4-FFF2-40B4-BE49-F238E27FC236}">
                  <a16:creationId xmlns="" xmlns:a16="http://schemas.microsoft.com/office/drawing/2014/main" id="{00000000-0008-0000-0200-000049000000}"/>
                </a:ext>
              </a:extLst>
            </xdr:cNvPr>
            <xdr:cNvSpPr/>
          </xdr:nvSpPr>
          <xdr:spPr bwMode="auto">
            <a:xfrm>
              <a:off x="3604863" y="909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2</a:t>
              </a:r>
            </a:p>
          </xdr:txBody>
        </xdr:sp>
        <xdr:sp macro="" textlink="">
          <xdr:nvSpPr>
            <xdr:cNvPr id="74" name="Fluxograma: Processo 73">
              <a:extLst>
                <a:ext uri="{FF2B5EF4-FFF2-40B4-BE49-F238E27FC236}">
                  <a16:creationId xmlns="" xmlns:a16="http://schemas.microsoft.com/office/drawing/2014/main" id="{00000000-0008-0000-0200-00004A000000}"/>
                </a:ext>
              </a:extLst>
            </xdr:cNvPr>
            <xdr:cNvSpPr/>
          </xdr:nvSpPr>
          <xdr:spPr bwMode="auto">
            <a:xfrm>
              <a:off x="3604863" y="1290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3</a:t>
              </a:r>
            </a:p>
          </xdr:txBody>
        </xdr:sp>
        <xdr:sp macro="" textlink="">
          <xdr:nvSpPr>
            <xdr:cNvPr id="75" name="Retângulo de cantos arredondados 48">
              <a:hlinkClick xmlns:r="http://schemas.openxmlformats.org/officeDocument/2006/relationships" r:id="rId13"/>
              <a:extLst>
                <a:ext uri="{FF2B5EF4-FFF2-40B4-BE49-F238E27FC236}">
                  <a16:creationId xmlns="" xmlns:a16="http://schemas.microsoft.com/office/drawing/2014/main" id="{00000000-0008-0000-0200-00004B000000}"/>
                </a:ext>
              </a:extLst>
            </xdr:cNvPr>
            <xdr:cNvSpPr/>
          </xdr:nvSpPr>
          <xdr:spPr bwMode="auto">
            <a:xfrm>
              <a:off x="433325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lnSpc>
                  <a:spcPct val="80000"/>
                </a:lnSpc>
              </a:pPr>
              <a:r>
                <a:rPr lang="pt-BR" sz="900" b="0">
                  <a:solidFill>
                    <a:schemeClr val="bg1">
                      <a:lumMod val="50000"/>
                    </a:schemeClr>
                  </a:solidFill>
                  <a:latin typeface="Calibri Light" panose="020F0302020204030204" pitchFamily="34" charset="0"/>
                  <a:cs typeface="Arial" pitchFamily="34" charset="0"/>
                </a:rPr>
                <a:t>Categorias de Âmbito 3</a:t>
              </a:r>
              <a:endParaRPr lang="pt-BR" sz="900" b="0" baseline="0">
                <a:solidFill>
                  <a:schemeClr val="bg1">
                    <a:lumMod val="50000"/>
                  </a:schemeClr>
                </a:solidFill>
                <a:latin typeface="Calibri Light" panose="020F0302020204030204" pitchFamily="34" charset="0"/>
                <a:cs typeface="Arial" pitchFamily="34" charset="0"/>
              </a:endParaRPr>
            </a:p>
          </xdr:txBody>
        </xdr:sp>
        <xdr:sp macro="" textlink="">
          <xdr:nvSpPr>
            <xdr:cNvPr id="76" name="Retângulo de cantos arredondados 49">
              <a:hlinkClick xmlns:r="http://schemas.openxmlformats.org/officeDocument/2006/relationships" r:id="rId14"/>
              <a:extLst>
                <a:ext uri="{FF2B5EF4-FFF2-40B4-BE49-F238E27FC236}">
                  <a16:creationId xmlns="" xmlns:a16="http://schemas.microsoft.com/office/drawing/2014/main" id="{00000000-0008-0000-0200-00004C000000}"/>
                </a:ext>
              </a:extLst>
            </xdr:cNvPr>
            <xdr:cNvSpPr/>
          </xdr:nvSpPr>
          <xdr:spPr bwMode="auto">
            <a:xfrm>
              <a:off x="5925918"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Resíduos sólidos gerados na operação</a:t>
              </a:r>
            </a:p>
          </xdr:txBody>
        </xdr:sp>
        <xdr:sp macro="" textlink="">
          <xdr:nvSpPr>
            <xdr:cNvPr id="77" name="Retângulo de cantos arredondados 50">
              <a:hlinkClick xmlns:r="http://schemas.openxmlformats.org/officeDocument/2006/relationships" r:id="rId15"/>
              <a:extLst>
                <a:ext uri="{FF2B5EF4-FFF2-40B4-BE49-F238E27FC236}">
                  <a16:creationId xmlns="" xmlns:a16="http://schemas.microsoft.com/office/drawing/2014/main" id="{00000000-0008-0000-0200-00004D000000}"/>
                </a:ext>
              </a:extLst>
            </xdr:cNvPr>
            <xdr:cNvSpPr/>
          </xdr:nvSpPr>
          <xdr:spPr bwMode="auto">
            <a:xfrm>
              <a:off x="6722959"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Efluentes gerados na operação</a:t>
              </a:r>
            </a:p>
          </xdr:txBody>
        </xdr:sp>
        <xdr:sp macro="" textlink="">
          <xdr:nvSpPr>
            <xdr:cNvPr id="78" name="Retângulo de cantos arredondados 51">
              <a:hlinkClick xmlns:r="http://schemas.openxmlformats.org/officeDocument/2006/relationships" r:id="rId16"/>
              <a:extLst>
                <a:ext uri="{FF2B5EF4-FFF2-40B4-BE49-F238E27FC236}">
                  <a16:creationId xmlns="" xmlns:a16="http://schemas.microsoft.com/office/drawing/2014/main" id="{00000000-0008-0000-0200-00004E000000}"/>
                </a:ext>
              </a:extLst>
            </xdr:cNvPr>
            <xdr:cNvSpPr/>
          </xdr:nvSpPr>
          <xdr:spPr bwMode="auto">
            <a:xfrm>
              <a:off x="831704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(downstream)</a:t>
              </a:r>
            </a:p>
          </xdr:txBody>
        </xdr:sp>
        <xdr:sp macro="" textlink="">
          <xdr:nvSpPr>
            <xdr:cNvPr id="79" name="Retângulo de cantos arredondados 52">
              <a:hlinkClick xmlns:r="http://schemas.openxmlformats.org/officeDocument/2006/relationships" r:id="rId17"/>
              <a:extLst>
                <a:ext uri="{FF2B5EF4-FFF2-40B4-BE49-F238E27FC236}">
                  <a16:creationId xmlns="" xmlns:a16="http://schemas.microsoft.com/office/drawing/2014/main" id="{00000000-0008-0000-0200-00004F000000}"/>
                </a:ext>
              </a:extLst>
            </xdr:cNvPr>
            <xdr:cNvSpPr/>
          </xdr:nvSpPr>
          <xdr:spPr bwMode="auto">
            <a:xfrm>
              <a:off x="5135994" y="1228723"/>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(upstream)</a:t>
              </a:r>
            </a:p>
          </xdr:txBody>
        </xdr:sp>
        <xdr:sp macro="" textlink="">
          <xdr:nvSpPr>
            <xdr:cNvPr id="80" name="Retângulo de cantos arredondados 54">
              <a:hlinkClick xmlns:r="http://schemas.openxmlformats.org/officeDocument/2006/relationships" r:id="rId18"/>
              <a:extLst>
                <a:ext uri="{FF2B5EF4-FFF2-40B4-BE49-F238E27FC236}">
                  <a16:creationId xmlns="" xmlns:a16="http://schemas.microsoft.com/office/drawing/2014/main" id="{00000000-0008-0000-0200-000050000000}"/>
                </a:ext>
              </a:extLst>
            </xdr:cNvPr>
            <xdr:cNvSpPr/>
          </xdr:nvSpPr>
          <xdr:spPr bwMode="auto">
            <a:xfrm>
              <a:off x="9115497"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Efluentes</a:t>
              </a:r>
            </a:p>
          </xdr:txBody>
        </xdr:sp>
        <xdr:sp macro="" textlink="">
          <xdr:nvSpPr>
            <xdr:cNvPr id="81" name="Retângulo de cantos arredondados 56">
              <a:hlinkClick xmlns:r="http://schemas.openxmlformats.org/officeDocument/2006/relationships" r:id="rId19"/>
              <a:extLst>
                <a:ext uri="{FF2B5EF4-FFF2-40B4-BE49-F238E27FC236}">
                  <a16:creationId xmlns="" xmlns:a16="http://schemas.microsoft.com/office/drawing/2014/main" id="{00000000-0008-0000-0200-000051000000}"/>
                </a:ext>
              </a:extLst>
            </xdr:cNvPr>
            <xdr:cNvSpPr/>
          </xdr:nvSpPr>
          <xdr:spPr bwMode="auto">
            <a:xfrm>
              <a:off x="7526519"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Conversão de unidades</a:t>
              </a:r>
            </a:p>
          </xdr:txBody>
        </xdr:sp>
        <xdr:sp macro="" textlink="">
          <xdr:nvSpPr>
            <xdr:cNvPr id="82" name="Retângulo de cantos arredondados 58">
              <a:hlinkClick xmlns:r="http://schemas.openxmlformats.org/officeDocument/2006/relationships" r:id="rId20"/>
              <a:extLst>
                <a:ext uri="{FF2B5EF4-FFF2-40B4-BE49-F238E27FC236}">
                  <a16:creationId xmlns="" xmlns:a16="http://schemas.microsoft.com/office/drawing/2014/main" id="{00000000-0008-0000-0200-000052000000}"/>
                </a:ext>
              </a:extLst>
            </xdr:cNvPr>
            <xdr:cNvSpPr/>
          </xdr:nvSpPr>
          <xdr:spPr bwMode="auto">
            <a:xfrm>
              <a:off x="7520000"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r>
                <a:rPr lang="pt-BR" sz="900" b="0">
                  <a:solidFill>
                    <a:schemeClr val="bg1">
                      <a:lumMod val="50000"/>
                    </a:schemeClr>
                  </a:solidFill>
                  <a:latin typeface="Calibri Light" panose="020F0302020204030204" pitchFamily="34" charset="0"/>
                  <a:cs typeface="Arial" pitchFamily="34" charset="0"/>
                </a:rPr>
                <a:t>Viagens a negócios</a:t>
              </a:r>
            </a:p>
          </xdr:txBody>
        </xdr:sp>
        <xdr:sp macro="" textlink="">
          <xdr:nvSpPr>
            <xdr:cNvPr id="83" name="Fluxograma: Processo 59">
              <a:extLst>
                <a:ext uri="{FF2B5EF4-FFF2-40B4-BE49-F238E27FC236}">
                  <a16:creationId xmlns="" xmlns:a16="http://schemas.microsoft.com/office/drawing/2014/main" id="{00000000-0008-0000-0200-000053000000}"/>
                </a:ext>
              </a:extLst>
            </xdr:cNvPr>
            <xdr:cNvSpPr/>
          </xdr:nvSpPr>
          <xdr:spPr bwMode="auto">
            <a:xfrm>
              <a:off x="3604863" y="156702"/>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Geral</a:t>
              </a:r>
            </a:p>
          </xdr:txBody>
        </xdr:sp>
      </xdr:grpSp>
      <xdr:sp macro="" textlink="">
        <xdr:nvSpPr>
          <xdr:cNvPr id="59" name="Retângulo de cantos arredondados 37">
            <a:hlinkClick xmlns:r="http://schemas.openxmlformats.org/officeDocument/2006/relationships" r:id="rId1"/>
            <a:extLst>
              <a:ext uri="{FF2B5EF4-FFF2-40B4-BE49-F238E27FC236}">
                <a16:creationId xmlns="" xmlns:a16="http://schemas.microsoft.com/office/drawing/2014/main" id="{00000000-0008-0000-0200-00003B000000}"/>
              </a:ext>
            </a:extLst>
          </xdr:cNvPr>
          <xdr:cNvSpPr/>
        </xdr:nvSpPr>
        <xdr:spPr bwMode="auto">
          <a:xfrm>
            <a:off x="4696884" y="162983"/>
            <a:ext cx="774700" cy="31873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sp macro="" textlink="">
        <xdr:nvSpPr>
          <xdr:cNvPr id="60" name="Retângulo de cantos arredondados 42">
            <a:hlinkClick xmlns:r="http://schemas.openxmlformats.org/officeDocument/2006/relationships" r:id="rId21"/>
            <a:extLst>
              <a:ext uri="{FF2B5EF4-FFF2-40B4-BE49-F238E27FC236}">
                <a16:creationId xmlns="" xmlns:a16="http://schemas.microsoft.com/office/drawing/2014/main" id="{00000000-0008-0000-0200-00003C000000}"/>
              </a:ext>
            </a:extLst>
          </xdr:cNvPr>
          <xdr:cNvSpPr/>
        </xdr:nvSpPr>
        <xdr:spPr bwMode="auto">
          <a:xfrm>
            <a:off x="7125758" y="522817"/>
            <a:ext cx="758825" cy="318738"/>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50" b="0">
                <a:solidFill>
                  <a:schemeClr val="bg1"/>
                </a:solidFill>
                <a:latin typeface="Calibri Light" panose="020F0302020204030204" pitchFamily="34" charset="0"/>
                <a:cs typeface="Arial" pitchFamily="34" charset="0"/>
              </a:rPr>
              <a:t>Agrícolas e alt. do uso do solo</a:t>
            </a:r>
            <a:endParaRPr lang="pt-BR" sz="850" b="0" baseline="0">
              <a:solidFill>
                <a:schemeClr val="bg1"/>
              </a:solidFill>
              <a:latin typeface="Calibri Light" panose="020F0302020204030204" pitchFamily="34" charset="0"/>
              <a:cs typeface="Arial" pitchFamily="34"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84667</xdr:colOff>
      <xdr:row>0</xdr:row>
      <xdr:rowOff>52917</xdr:rowOff>
    </xdr:from>
    <xdr:to>
      <xdr:col>2</xdr:col>
      <xdr:colOff>872067</xdr:colOff>
      <xdr:row>5</xdr:row>
      <xdr:rowOff>141122</xdr:rowOff>
    </xdr:to>
    <xdr:pic>
      <xdr:nvPicPr>
        <xdr:cNvPr id="28" name="Imagem 27">
          <a:extLst>
            <a:ext uri="{FF2B5EF4-FFF2-40B4-BE49-F238E27FC236}">
              <a16:creationId xmlns="" xmlns:a16="http://schemas.microsoft.com/office/drawing/2014/main" id="{00000000-0008-0000-03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67" y="52917"/>
          <a:ext cx="2533650" cy="977205"/>
        </a:xfrm>
        <a:prstGeom prst="rect">
          <a:avLst/>
        </a:prstGeom>
      </xdr:spPr>
    </xdr:pic>
    <xdr:clientData/>
  </xdr:twoCellAnchor>
  <xdr:twoCellAnchor>
    <xdr:from>
      <xdr:col>3</xdr:col>
      <xdr:colOff>973616</xdr:colOff>
      <xdr:row>0</xdr:row>
      <xdr:rowOff>95256</xdr:rowOff>
    </xdr:from>
    <xdr:to>
      <xdr:col>3</xdr:col>
      <xdr:colOff>1731441</xdr:colOff>
      <xdr:row>2</xdr:row>
      <xdr:rowOff>102844</xdr:rowOff>
    </xdr:to>
    <xdr:sp macro="" textlink="">
      <xdr:nvSpPr>
        <xdr:cNvPr id="29" name="Retângulo de cantos arredondados 37">
          <a:hlinkClick xmlns:r="http://schemas.openxmlformats.org/officeDocument/2006/relationships" r:id="rId2"/>
          <a:extLst>
            <a:ext uri="{FF2B5EF4-FFF2-40B4-BE49-F238E27FC236}">
              <a16:creationId xmlns="" xmlns:a16="http://schemas.microsoft.com/office/drawing/2014/main" id="{00000000-0008-0000-0300-00001D000000}"/>
            </a:ext>
          </a:extLst>
        </xdr:cNvPr>
        <xdr:cNvSpPr/>
      </xdr:nvSpPr>
      <xdr:spPr bwMode="auto">
        <a:xfrm>
          <a:off x="4286199" y="95256"/>
          <a:ext cx="757825" cy="32508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clientData/>
  </xdr:twoCellAnchor>
  <xdr:twoCellAnchor>
    <xdr:from>
      <xdr:col>3</xdr:col>
      <xdr:colOff>243417</xdr:colOff>
      <xdr:row>0</xdr:row>
      <xdr:rowOff>52916</xdr:rowOff>
    </xdr:from>
    <xdr:to>
      <xdr:col>7</xdr:col>
      <xdr:colOff>13198</xdr:colOff>
      <xdr:row>9</xdr:row>
      <xdr:rowOff>131375</xdr:rowOff>
    </xdr:to>
    <xdr:grpSp>
      <xdr:nvGrpSpPr>
        <xdr:cNvPr id="30" name="Grupo 29">
          <a:extLst>
            <a:ext uri="{FF2B5EF4-FFF2-40B4-BE49-F238E27FC236}">
              <a16:creationId xmlns="" xmlns:a16="http://schemas.microsoft.com/office/drawing/2014/main" id="{00000000-0008-0000-0300-00001E000000}"/>
            </a:ext>
          </a:extLst>
        </xdr:cNvPr>
        <xdr:cNvGrpSpPr/>
      </xdr:nvGrpSpPr>
      <xdr:grpSpPr>
        <a:xfrm>
          <a:off x="3545417" y="52916"/>
          <a:ext cx="8929656" cy="1777084"/>
          <a:chOff x="3069167" y="114300"/>
          <a:chExt cx="7283948" cy="1549543"/>
        </a:xfrm>
      </xdr:grpSpPr>
      <xdr:grpSp>
        <xdr:nvGrpSpPr>
          <xdr:cNvPr id="34" name="Group 32">
            <a:extLst>
              <a:ext uri="{FF2B5EF4-FFF2-40B4-BE49-F238E27FC236}">
                <a16:creationId xmlns="" xmlns:a16="http://schemas.microsoft.com/office/drawing/2014/main" id="{00000000-0008-0000-0300-000022000000}"/>
              </a:ext>
            </a:extLst>
          </xdr:cNvPr>
          <xdr:cNvGrpSpPr/>
        </xdr:nvGrpSpPr>
        <xdr:grpSpPr>
          <a:xfrm>
            <a:off x="3069167" y="114300"/>
            <a:ext cx="7283948" cy="1549543"/>
            <a:chOff x="3514726" y="52774"/>
            <a:chExt cx="7219950" cy="1576001"/>
          </a:xfrm>
        </xdr:grpSpPr>
        <xdr:sp macro="" textlink="">
          <xdr:nvSpPr>
            <xdr:cNvPr id="60" name="Fluxograma: Processo 59">
              <a:extLst>
                <a:ext uri="{FF2B5EF4-FFF2-40B4-BE49-F238E27FC236}">
                  <a16:creationId xmlns="" xmlns:a16="http://schemas.microsoft.com/office/drawing/2014/main" id="{00000000-0008-0000-0300-00003C000000}"/>
                </a:ext>
              </a:extLst>
            </xdr:cNvPr>
            <xdr:cNvSpPr>
              <a:spLocks noChangeArrowheads="1"/>
            </xdr:cNvSpPr>
          </xdr:nvSpPr>
          <xdr:spPr bwMode="auto">
            <a:xfrm>
              <a:off x="3514726" y="52774"/>
              <a:ext cx="7219950" cy="1576001"/>
            </a:xfrm>
            <a:prstGeom prst="flowChartProcess">
              <a:avLst/>
            </a:prstGeom>
            <a:solidFill>
              <a:schemeClr val="accent1">
                <a:lumMod val="20000"/>
                <a:lumOff val="80000"/>
              </a:schemeClr>
            </a:solidFill>
            <a:ln w="19050" algn="ctr">
              <a:solidFill>
                <a:schemeClr val="accent1"/>
              </a:solidFill>
              <a:round/>
              <a:headEnd/>
              <a:tailEnd/>
            </a:ln>
            <a:effectLst/>
          </xdr:spPr>
          <xdr:txBody>
            <a:bodyPr/>
            <a:lstStyle/>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r>
                <a:rPr lang="pt-BR" sz="1400" b="1">
                  <a:latin typeface="Calibri Light" panose="020F0302020204030204" pitchFamily="34" charset="0"/>
                </a:rPr>
                <a:t>Menu de </a:t>
              </a:r>
            </a:p>
            <a:p>
              <a:pPr algn="r"/>
              <a:r>
                <a:rPr lang="pt-BR" sz="1400" b="1">
                  <a:latin typeface="Calibri Light" panose="020F0302020204030204" pitchFamily="34" charset="0"/>
                </a:rPr>
                <a:t>navegação</a:t>
              </a:r>
            </a:p>
          </xdr:txBody>
        </xdr:sp>
        <xdr:sp macro="" textlink="">
          <xdr:nvSpPr>
            <xdr:cNvPr id="61" name="Retângulo de cantos arredondados 34">
              <a:hlinkClick xmlns:r="http://schemas.openxmlformats.org/officeDocument/2006/relationships" r:id="rId3"/>
              <a:extLst>
                <a:ext uri="{FF2B5EF4-FFF2-40B4-BE49-F238E27FC236}">
                  <a16:creationId xmlns="" xmlns:a16="http://schemas.microsoft.com/office/drawing/2014/main" id="{00000000-0008-0000-0300-00003D000000}"/>
                </a:ext>
              </a:extLst>
            </xdr:cNvPr>
            <xdr:cNvSpPr/>
          </xdr:nvSpPr>
          <xdr:spPr bwMode="auto">
            <a:xfrm>
              <a:off x="4333251"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Introdução</a:t>
              </a:r>
            </a:p>
          </xdr:txBody>
        </xdr:sp>
        <xdr:sp macro="" textlink="">
          <xdr:nvSpPr>
            <xdr:cNvPr id="62" name="Retângulo de cantos arredondados 35">
              <a:hlinkClick xmlns:r="http://schemas.openxmlformats.org/officeDocument/2006/relationships" r:id="rId4"/>
              <a:extLst>
                <a:ext uri="{FF2B5EF4-FFF2-40B4-BE49-F238E27FC236}">
                  <a16:creationId xmlns="" xmlns:a16="http://schemas.microsoft.com/office/drawing/2014/main" id="{00000000-0008-0000-0300-00003E000000}"/>
                </a:ext>
              </a:extLst>
            </xdr:cNvPr>
            <xdr:cNvSpPr/>
          </xdr:nvSpPr>
          <xdr:spPr bwMode="auto">
            <a:xfrm>
              <a:off x="4333251"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lnSpc>
                  <a:spcPct val="80000"/>
                </a:lnSpc>
              </a:pPr>
              <a:r>
                <a:rPr lang="pt-BR" sz="900" b="0">
                  <a:solidFill>
                    <a:schemeClr val="bg1"/>
                  </a:solidFill>
                  <a:latin typeface="Calibri Light" panose="020F0302020204030204" pitchFamily="34" charset="0"/>
                  <a:cs typeface="Arial" pitchFamily="34" charset="0"/>
                </a:rPr>
                <a:t>Combustão</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estacionária</a:t>
              </a:r>
            </a:p>
          </xdr:txBody>
        </xdr:sp>
        <xdr:sp macro="" textlink="">
          <xdr:nvSpPr>
            <xdr:cNvPr id="63" name="Retângulo de cantos arredondados 36">
              <a:hlinkClick xmlns:r="http://schemas.openxmlformats.org/officeDocument/2006/relationships" r:id="rId5"/>
              <a:extLst>
                <a:ext uri="{FF2B5EF4-FFF2-40B4-BE49-F238E27FC236}">
                  <a16:creationId xmlns="" xmlns:a16="http://schemas.microsoft.com/office/drawing/2014/main" id="{00000000-0008-0000-0300-00003F000000}"/>
                </a:ext>
              </a:extLst>
            </xdr:cNvPr>
            <xdr:cNvSpPr/>
          </xdr:nvSpPr>
          <xdr:spPr bwMode="auto">
            <a:xfrm>
              <a:off x="5130292"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Combustão </a:t>
              </a:r>
            </a:p>
            <a:p>
              <a:pPr algn="ctr"/>
              <a:r>
                <a:rPr lang="pt-BR" sz="900" b="0">
                  <a:solidFill>
                    <a:schemeClr val="bg1"/>
                  </a:solidFill>
                  <a:latin typeface="Calibri Light" panose="020F0302020204030204" pitchFamily="34" charset="0"/>
                  <a:cs typeface="Arial" pitchFamily="34" charset="0"/>
                </a:rPr>
                <a:t>móvel</a:t>
              </a:r>
            </a:p>
          </xdr:txBody>
        </xdr:sp>
        <xdr:sp macro="" textlink="">
          <xdr:nvSpPr>
            <xdr:cNvPr id="64" name="Retângulo de cantos arredondados 37">
              <a:hlinkClick xmlns:r="http://schemas.openxmlformats.org/officeDocument/2006/relationships" r:id="rId6"/>
              <a:extLst>
                <a:ext uri="{FF2B5EF4-FFF2-40B4-BE49-F238E27FC236}">
                  <a16:creationId xmlns="" xmlns:a16="http://schemas.microsoft.com/office/drawing/2014/main" id="{00000000-0008-0000-0300-000040000000}"/>
                </a:ext>
              </a:extLst>
            </xdr:cNvPr>
            <xdr:cNvSpPr/>
          </xdr:nvSpPr>
          <xdr:spPr bwMode="auto">
            <a:xfrm>
              <a:off x="5932663"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Resumo</a:t>
              </a:r>
            </a:p>
          </xdr:txBody>
        </xdr:sp>
        <xdr:sp macro="" textlink="">
          <xdr:nvSpPr>
            <xdr:cNvPr id="65" name="Retângulo de cantos arredondados 38">
              <a:hlinkClick xmlns:r="http://schemas.openxmlformats.org/officeDocument/2006/relationships" r:id="rId7"/>
              <a:extLst>
                <a:ext uri="{FF2B5EF4-FFF2-40B4-BE49-F238E27FC236}">
                  <a16:creationId xmlns="" xmlns:a16="http://schemas.microsoft.com/office/drawing/2014/main" id="{00000000-0008-0000-0300-000041000000}"/>
                </a:ext>
              </a:extLst>
            </xdr:cNvPr>
            <xdr:cNvSpPr/>
          </xdr:nvSpPr>
          <xdr:spPr bwMode="auto">
            <a:xfrm>
              <a:off x="6719145"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Fatores </a:t>
              </a:r>
            </a:p>
            <a:p>
              <a:pPr algn="ctr"/>
              <a:r>
                <a:rPr lang="pt-BR" sz="900" b="0">
                  <a:latin typeface="Calibri Light" panose="020F0302020204030204" pitchFamily="34" charset="0"/>
                  <a:cs typeface="Arial" pitchFamily="34" charset="0"/>
                </a:rPr>
                <a:t>de emissão</a:t>
              </a:r>
            </a:p>
          </xdr:txBody>
        </xdr:sp>
        <xdr:sp macro="" textlink="">
          <xdr:nvSpPr>
            <xdr:cNvPr id="66" name="Fluxograma: Processo 65">
              <a:extLst>
                <a:ext uri="{FF2B5EF4-FFF2-40B4-BE49-F238E27FC236}">
                  <a16:creationId xmlns="" xmlns:a16="http://schemas.microsoft.com/office/drawing/2014/main" id="{00000000-0008-0000-0300-000042000000}"/>
                </a:ext>
              </a:extLst>
            </xdr:cNvPr>
            <xdr:cNvSpPr/>
          </xdr:nvSpPr>
          <xdr:spPr bwMode="auto">
            <a:xfrm>
              <a:off x="3604863" y="528178"/>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1</a:t>
              </a:r>
            </a:p>
          </xdr:txBody>
        </xdr:sp>
        <xdr:sp macro="" textlink="">
          <xdr:nvSpPr>
            <xdr:cNvPr id="67" name="Retângulo de cantos arredondados 40">
              <a:hlinkClick xmlns:r="http://schemas.openxmlformats.org/officeDocument/2006/relationships" r:id="rId8"/>
              <a:extLst>
                <a:ext uri="{FF2B5EF4-FFF2-40B4-BE49-F238E27FC236}">
                  <a16:creationId xmlns="" xmlns:a16="http://schemas.microsoft.com/office/drawing/2014/main" id="{00000000-0008-0000-0300-000043000000}"/>
                </a:ext>
              </a:extLst>
            </xdr:cNvPr>
            <xdr:cNvSpPr/>
          </xdr:nvSpPr>
          <xdr:spPr bwMode="auto">
            <a:xfrm>
              <a:off x="5927333"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00" b="0">
                  <a:solidFill>
                    <a:schemeClr val="bg1"/>
                  </a:solidFill>
                  <a:latin typeface="Calibri Light" panose="020F0302020204030204" pitchFamily="34" charset="0"/>
                  <a:cs typeface="Arial" pitchFamily="34" charset="0"/>
                </a:rPr>
                <a:t>Emissões </a:t>
              </a:r>
            </a:p>
            <a:p>
              <a:pPr algn="ctr"/>
              <a:r>
                <a:rPr lang="pt-BR" sz="800" b="0">
                  <a:solidFill>
                    <a:schemeClr val="bg1"/>
                  </a:solidFill>
                  <a:latin typeface="Calibri Light" panose="020F0302020204030204" pitchFamily="34" charset="0"/>
                  <a:cs typeface="Arial" pitchFamily="34" charset="0"/>
                </a:rPr>
                <a:t>fugitivas</a:t>
              </a:r>
            </a:p>
          </xdr:txBody>
        </xdr:sp>
        <xdr:sp macro="" textlink="">
          <xdr:nvSpPr>
            <xdr:cNvPr id="68" name="Retângulo de cantos arredondados 41">
              <a:hlinkClick xmlns:r="http://schemas.openxmlformats.org/officeDocument/2006/relationships" r:id="rId9"/>
              <a:extLst>
                <a:ext uri="{FF2B5EF4-FFF2-40B4-BE49-F238E27FC236}">
                  <a16:creationId xmlns="" xmlns:a16="http://schemas.microsoft.com/office/drawing/2014/main" id="{00000000-0008-0000-0300-000044000000}"/>
                </a:ext>
              </a:extLst>
            </xdr:cNvPr>
            <xdr:cNvSpPr/>
          </xdr:nvSpPr>
          <xdr:spPr bwMode="auto">
            <a:xfrm>
              <a:off x="6724374"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Processos</a:t>
              </a:r>
              <a:r>
                <a:rPr lang="pt-BR" sz="900" b="0" baseline="0">
                  <a:solidFill>
                    <a:schemeClr val="bg1"/>
                  </a:solidFill>
                  <a:latin typeface="Calibri Light" panose="020F0302020204030204" pitchFamily="34" charset="0"/>
                  <a:cs typeface="Arial" pitchFamily="34" charset="0"/>
                </a:rPr>
                <a:t> industriais</a:t>
              </a:r>
              <a:endParaRPr lang="pt-BR" sz="900" b="0">
                <a:solidFill>
                  <a:schemeClr val="bg1"/>
                </a:solidFill>
                <a:latin typeface="Calibri Light" panose="020F0302020204030204" pitchFamily="34" charset="0"/>
                <a:cs typeface="Arial" pitchFamily="34" charset="0"/>
              </a:endParaRPr>
            </a:p>
          </xdr:txBody>
        </xdr:sp>
        <xdr:sp macro="" textlink="">
          <xdr:nvSpPr>
            <xdr:cNvPr id="69" name="Retângulo de cantos arredondados 43">
              <a:hlinkClick xmlns:r="http://schemas.openxmlformats.org/officeDocument/2006/relationships" r:id="rId10"/>
              <a:extLst>
                <a:ext uri="{FF2B5EF4-FFF2-40B4-BE49-F238E27FC236}">
                  <a16:creationId xmlns="" xmlns:a16="http://schemas.microsoft.com/office/drawing/2014/main" id="{00000000-0008-0000-0300-000045000000}"/>
                </a:ext>
              </a:extLst>
            </xdr:cNvPr>
            <xdr:cNvSpPr/>
          </xdr:nvSpPr>
          <xdr:spPr bwMode="auto">
            <a:xfrm>
              <a:off x="8318456"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Resíduos</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sólidos</a:t>
              </a:r>
            </a:p>
          </xdr:txBody>
        </xdr:sp>
        <xdr:sp macro="" textlink="">
          <xdr:nvSpPr>
            <xdr:cNvPr id="70" name="Retângulo de cantos arredondados 44">
              <a:hlinkClick xmlns:r="http://schemas.openxmlformats.org/officeDocument/2006/relationships" r:id="rId11"/>
              <a:extLst>
                <a:ext uri="{FF2B5EF4-FFF2-40B4-BE49-F238E27FC236}">
                  <a16:creationId xmlns="" xmlns:a16="http://schemas.microsoft.com/office/drawing/2014/main" id="{00000000-0008-0000-0300-000046000000}"/>
                </a:ext>
              </a:extLst>
            </xdr:cNvPr>
            <xdr:cNvSpPr/>
          </xdr:nvSpPr>
          <xdr:spPr bwMode="auto">
            <a:xfrm>
              <a:off x="433325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lnSpc>
                  <a:spcPct val="80000"/>
                </a:lnSpc>
              </a:pPr>
              <a:r>
                <a:rPr lang="pt-BR" sz="900" b="0">
                  <a:latin typeface="Calibri Light" panose="020F0302020204030204" pitchFamily="34" charset="0"/>
                  <a:cs typeface="Arial" pitchFamily="34" charset="0"/>
                </a:rPr>
                <a:t>Compra de Energia</a:t>
              </a:r>
              <a:r>
                <a:rPr lang="pt-BR" sz="900" b="0" baseline="0">
                  <a:latin typeface="Calibri Light" panose="020F0302020204030204" pitchFamily="34" charset="0"/>
                  <a:cs typeface="Arial" pitchFamily="34" charset="0"/>
                </a:rPr>
                <a:t> Elétrica</a:t>
              </a:r>
            </a:p>
          </xdr:txBody>
        </xdr:sp>
        <xdr:sp macro="" textlink="">
          <xdr:nvSpPr>
            <xdr:cNvPr id="71" name="Retângulo de cantos arredondados 45">
              <a:hlinkClick xmlns:r="http://schemas.openxmlformats.org/officeDocument/2006/relationships" r:id="rId12"/>
              <a:extLst>
                <a:ext uri="{FF2B5EF4-FFF2-40B4-BE49-F238E27FC236}">
                  <a16:creationId xmlns="" xmlns:a16="http://schemas.microsoft.com/office/drawing/2014/main" id="{00000000-0008-0000-0300-000047000000}"/>
                </a:ext>
              </a:extLst>
            </xdr:cNvPr>
            <xdr:cNvSpPr/>
          </xdr:nvSpPr>
          <xdr:spPr bwMode="auto">
            <a:xfrm>
              <a:off x="513371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Compra de</a:t>
              </a:r>
              <a:r>
                <a:rPr lang="pt-BR" sz="900" b="0" baseline="0">
                  <a:latin typeface="Calibri Light" panose="020F0302020204030204" pitchFamily="34" charset="0"/>
                  <a:cs typeface="Arial" pitchFamily="34" charset="0"/>
                </a:rPr>
                <a:t> Energia Térmica</a:t>
              </a:r>
            </a:p>
          </xdr:txBody>
        </xdr:sp>
        <xdr:sp macro="" textlink="">
          <xdr:nvSpPr>
            <xdr:cNvPr id="72" name="Fluxograma: Processo 71">
              <a:extLst>
                <a:ext uri="{FF2B5EF4-FFF2-40B4-BE49-F238E27FC236}">
                  <a16:creationId xmlns="" xmlns:a16="http://schemas.microsoft.com/office/drawing/2014/main" id="{00000000-0008-0000-0300-000048000000}"/>
                </a:ext>
              </a:extLst>
            </xdr:cNvPr>
            <xdr:cNvSpPr/>
          </xdr:nvSpPr>
          <xdr:spPr bwMode="auto">
            <a:xfrm>
              <a:off x="3604863" y="909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2</a:t>
              </a:r>
            </a:p>
          </xdr:txBody>
        </xdr:sp>
        <xdr:sp macro="" textlink="">
          <xdr:nvSpPr>
            <xdr:cNvPr id="73" name="Fluxograma: Processo 72">
              <a:extLst>
                <a:ext uri="{FF2B5EF4-FFF2-40B4-BE49-F238E27FC236}">
                  <a16:creationId xmlns="" xmlns:a16="http://schemas.microsoft.com/office/drawing/2014/main" id="{00000000-0008-0000-0300-000049000000}"/>
                </a:ext>
              </a:extLst>
            </xdr:cNvPr>
            <xdr:cNvSpPr/>
          </xdr:nvSpPr>
          <xdr:spPr bwMode="auto">
            <a:xfrm>
              <a:off x="3604863" y="1290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3</a:t>
              </a:r>
            </a:p>
          </xdr:txBody>
        </xdr:sp>
        <xdr:sp macro="" textlink="">
          <xdr:nvSpPr>
            <xdr:cNvPr id="74" name="Retângulo de cantos arredondados 48">
              <a:hlinkClick xmlns:r="http://schemas.openxmlformats.org/officeDocument/2006/relationships" r:id="rId13"/>
              <a:extLst>
                <a:ext uri="{FF2B5EF4-FFF2-40B4-BE49-F238E27FC236}">
                  <a16:creationId xmlns="" xmlns:a16="http://schemas.microsoft.com/office/drawing/2014/main" id="{00000000-0008-0000-0300-00004A000000}"/>
                </a:ext>
              </a:extLst>
            </xdr:cNvPr>
            <xdr:cNvSpPr/>
          </xdr:nvSpPr>
          <xdr:spPr bwMode="auto">
            <a:xfrm>
              <a:off x="433325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lnSpc>
                  <a:spcPct val="80000"/>
                </a:lnSpc>
              </a:pPr>
              <a:r>
                <a:rPr lang="pt-BR" sz="900" b="0">
                  <a:solidFill>
                    <a:schemeClr val="bg1">
                      <a:lumMod val="50000"/>
                    </a:schemeClr>
                  </a:solidFill>
                  <a:latin typeface="Calibri Light" panose="020F0302020204030204" pitchFamily="34" charset="0"/>
                  <a:cs typeface="Arial" pitchFamily="34" charset="0"/>
                </a:rPr>
                <a:t>Categorias de Âmbito 3</a:t>
              </a:r>
              <a:endParaRPr lang="pt-BR" sz="900" b="0" baseline="0">
                <a:solidFill>
                  <a:schemeClr val="bg1">
                    <a:lumMod val="50000"/>
                  </a:schemeClr>
                </a:solidFill>
                <a:latin typeface="Calibri Light" panose="020F0302020204030204" pitchFamily="34" charset="0"/>
                <a:cs typeface="Arial" pitchFamily="34" charset="0"/>
              </a:endParaRPr>
            </a:p>
          </xdr:txBody>
        </xdr:sp>
        <xdr:sp macro="" textlink="">
          <xdr:nvSpPr>
            <xdr:cNvPr id="75" name="Retângulo de cantos arredondados 49">
              <a:hlinkClick xmlns:r="http://schemas.openxmlformats.org/officeDocument/2006/relationships" r:id="rId14"/>
              <a:extLst>
                <a:ext uri="{FF2B5EF4-FFF2-40B4-BE49-F238E27FC236}">
                  <a16:creationId xmlns="" xmlns:a16="http://schemas.microsoft.com/office/drawing/2014/main" id="{00000000-0008-0000-0300-00004B000000}"/>
                </a:ext>
              </a:extLst>
            </xdr:cNvPr>
            <xdr:cNvSpPr/>
          </xdr:nvSpPr>
          <xdr:spPr bwMode="auto">
            <a:xfrm>
              <a:off x="5925918"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Resíduos sólidos gerados na operação</a:t>
              </a:r>
            </a:p>
          </xdr:txBody>
        </xdr:sp>
        <xdr:sp macro="" textlink="">
          <xdr:nvSpPr>
            <xdr:cNvPr id="76" name="Retângulo de cantos arredondados 50">
              <a:hlinkClick xmlns:r="http://schemas.openxmlformats.org/officeDocument/2006/relationships" r:id="rId15"/>
              <a:extLst>
                <a:ext uri="{FF2B5EF4-FFF2-40B4-BE49-F238E27FC236}">
                  <a16:creationId xmlns="" xmlns:a16="http://schemas.microsoft.com/office/drawing/2014/main" id="{00000000-0008-0000-0300-00004C000000}"/>
                </a:ext>
              </a:extLst>
            </xdr:cNvPr>
            <xdr:cNvSpPr/>
          </xdr:nvSpPr>
          <xdr:spPr bwMode="auto">
            <a:xfrm>
              <a:off x="6722959"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Efluentes gerados na operação</a:t>
              </a:r>
            </a:p>
          </xdr:txBody>
        </xdr:sp>
        <xdr:sp macro="" textlink="">
          <xdr:nvSpPr>
            <xdr:cNvPr id="77" name="Retângulo de cantos arredondados 51">
              <a:hlinkClick xmlns:r="http://schemas.openxmlformats.org/officeDocument/2006/relationships" r:id="rId16"/>
              <a:extLst>
                <a:ext uri="{FF2B5EF4-FFF2-40B4-BE49-F238E27FC236}">
                  <a16:creationId xmlns="" xmlns:a16="http://schemas.microsoft.com/office/drawing/2014/main" id="{00000000-0008-0000-0300-00004D000000}"/>
                </a:ext>
              </a:extLst>
            </xdr:cNvPr>
            <xdr:cNvSpPr/>
          </xdr:nvSpPr>
          <xdr:spPr bwMode="auto">
            <a:xfrm>
              <a:off x="831704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(downstream)</a:t>
              </a:r>
            </a:p>
          </xdr:txBody>
        </xdr:sp>
        <xdr:sp macro="" textlink="">
          <xdr:nvSpPr>
            <xdr:cNvPr id="78" name="Retângulo de cantos arredondados 52">
              <a:hlinkClick xmlns:r="http://schemas.openxmlformats.org/officeDocument/2006/relationships" r:id="rId17"/>
              <a:extLst>
                <a:ext uri="{FF2B5EF4-FFF2-40B4-BE49-F238E27FC236}">
                  <a16:creationId xmlns="" xmlns:a16="http://schemas.microsoft.com/office/drawing/2014/main" id="{00000000-0008-0000-0300-00004E000000}"/>
                </a:ext>
              </a:extLst>
            </xdr:cNvPr>
            <xdr:cNvSpPr/>
          </xdr:nvSpPr>
          <xdr:spPr bwMode="auto">
            <a:xfrm>
              <a:off x="5135994" y="1228723"/>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(upstream)</a:t>
              </a:r>
            </a:p>
          </xdr:txBody>
        </xdr:sp>
        <xdr:sp macro="" textlink="">
          <xdr:nvSpPr>
            <xdr:cNvPr id="79" name="Retângulo de cantos arredondados 54">
              <a:hlinkClick xmlns:r="http://schemas.openxmlformats.org/officeDocument/2006/relationships" r:id="rId18"/>
              <a:extLst>
                <a:ext uri="{FF2B5EF4-FFF2-40B4-BE49-F238E27FC236}">
                  <a16:creationId xmlns="" xmlns:a16="http://schemas.microsoft.com/office/drawing/2014/main" id="{00000000-0008-0000-0300-00004F000000}"/>
                </a:ext>
              </a:extLst>
            </xdr:cNvPr>
            <xdr:cNvSpPr/>
          </xdr:nvSpPr>
          <xdr:spPr bwMode="auto">
            <a:xfrm>
              <a:off x="9115497"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Efluentes</a:t>
              </a:r>
            </a:p>
          </xdr:txBody>
        </xdr:sp>
        <xdr:sp macro="" textlink="">
          <xdr:nvSpPr>
            <xdr:cNvPr id="80" name="Retângulo de cantos arredondados 56">
              <a:hlinkClick xmlns:r="http://schemas.openxmlformats.org/officeDocument/2006/relationships" r:id="rId19"/>
              <a:extLst>
                <a:ext uri="{FF2B5EF4-FFF2-40B4-BE49-F238E27FC236}">
                  <a16:creationId xmlns="" xmlns:a16="http://schemas.microsoft.com/office/drawing/2014/main" id="{00000000-0008-0000-0300-000050000000}"/>
                </a:ext>
              </a:extLst>
            </xdr:cNvPr>
            <xdr:cNvSpPr/>
          </xdr:nvSpPr>
          <xdr:spPr bwMode="auto">
            <a:xfrm>
              <a:off x="7526519"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Conversão de unidades</a:t>
              </a:r>
            </a:p>
          </xdr:txBody>
        </xdr:sp>
        <xdr:sp macro="" textlink="">
          <xdr:nvSpPr>
            <xdr:cNvPr id="81" name="Retângulo de cantos arredondados 58">
              <a:hlinkClick xmlns:r="http://schemas.openxmlformats.org/officeDocument/2006/relationships" r:id="rId20"/>
              <a:extLst>
                <a:ext uri="{FF2B5EF4-FFF2-40B4-BE49-F238E27FC236}">
                  <a16:creationId xmlns="" xmlns:a16="http://schemas.microsoft.com/office/drawing/2014/main" id="{00000000-0008-0000-0300-000051000000}"/>
                </a:ext>
              </a:extLst>
            </xdr:cNvPr>
            <xdr:cNvSpPr/>
          </xdr:nvSpPr>
          <xdr:spPr bwMode="auto">
            <a:xfrm>
              <a:off x="7520000"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r>
                <a:rPr lang="pt-BR" sz="900" b="0">
                  <a:solidFill>
                    <a:schemeClr val="bg1">
                      <a:lumMod val="50000"/>
                    </a:schemeClr>
                  </a:solidFill>
                  <a:latin typeface="Calibri Light" panose="020F0302020204030204" pitchFamily="34" charset="0"/>
                  <a:cs typeface="Arial" pitchFamily="34" charset="0"/>
                </a:rPr>
                <a:t>Viagens a negócios</a:t>
              </a:r>
            </a:p>
          </xdr:txBody>
        </xdr:sp>
        <xdr:sp macro="" textlink="">
          <xdr:nvSpPr>
            <xdr:cNvPr id="82" name="Fluxograma: Processo 59">
              <a:extLst>
                <a:ext uri="{FF2B5EF4-FFF2-40B4-BE49-F238E27FC236}">
                  <a16:creationId xmlns="" xmlns:a16="http://schemas.microsoft.com/office/drawing/2014/main" id="{00000000-0008-0000-0300-000052000000}"/>
                </a:ext>
              </a:extLst>
            </xdr:cNvPr>
            <xdr:cNvSpPr/>
          </xdr:nvSpPr>
          <xdr:spPr bwMode="auto">
            <a:xfrm>
              <a:off x="3604863" y="156702"/>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Geral</a:t>
              </a:r>
            </a:p>
          </xdr:txBody>
        </xdr:sp>
      </xdr:grpSp>
      <xdr:sp macro="" textlink="">
        <xdr:nvSpPr>
          <xdr:cNvPr id="35" name="Retângulo de cantos arredondados 37">
            <a:hlinkClick xmlns:r="http://schemas.openxmlformats.org/officeDocument/2006/relationships" r:id="rId2"/>
            <a:extLst>
              <a:ext uri="{FF2B5EF4-FFF2-40B4-BE49-F238E27FC236}">
                <a16:creationId xmlns="" xmlns:a16="http://schemas.microsoft.com/office/drawing/2014/main" id="{00000000-0008-0000-0300-000023000000}"/>
              </a:ext>
            </a:extLst>
          </xdr:cNvPr>
          <xdr:cNvSpPr/>
        </xdr:nvSpPr>
        <xdr:spPr bwMode="auto">
          <a:xfrm>
            <a:off x="4696884" y="162983"/>
            <a:ext cx="774700" cy="31873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sp macro="" textlink="">
        <xdr:nvSpPr>
          <xdr:cNvPr id="59" name="Retângulo de cantos arredondados 42">
            <a:hlinkClick xmlns:r="http://schemas.openxmlformats.org/officeDocument/2006/relationships" r:id="rId21"/>
            <a:extLst>
              <a:ext uri="{FF2B5EF4-FFF2-40B4-BE49-F238E27FC236}">
                <a16:creationId xmlns="" xmlns:a16="http://schemas.microsoft.com/office/drawing/2014/main" id="{00000000-0008-0000-0300-00003B000000}"/>
              </a:ext>
            </a:extLst>
          </xdr:cNvPr>
          <xdr:cNvSpPr/>
        </xdr:nvSpPr>
        <xdr:spPr bwMode="auto">
          <a:xfrm>
            <a:off x="7125758" y="522817"/>
            <a:ext cx="758825" cy="318738"/>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50" b="0">
                <a:solidFill>
                  <a:schemeClr val="bg1"/>
                </a:solidFill>
                <a:latin typeface="Calibri Light" panose="020F0302020204030204" pitchFamily="34" charset="0"/>
                <a:cs typeface="Arial" pitchFamily="34" charset="0"/>
              </a:rPr>
              <a:t>Agrícolas e alt. do uso do solo</a:t>
            </a:r>
            <a:endParaRPr lang="pt-BR" sz="850" b="0" baseline="0">
              <a:solidFill>
                <a:schemeClr val="bg1"/>
              </a:solidFill>
              <a:latin typeface="Calibri Light" panose="020F0302020204030204" pitchFamily="34" charset="0"/>
              <a:cs typeface="Arial" pitchFamily="34" charset="0"/>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137584</xdr:colOff>
      <xdr:row>0</xdr:row>
      <xdr:rowOff>105832</xdr:rowOff>
    </xdr:from>
    <xdr:to>
      <xdr:col>1</xdr:col>
      <xdr:colOff>2290234</xdr:colOff>
      <xdr:row>5</xdr:row>
      <xdr:rowOff>130537</xdr:rowOff>
    </xdr:to>
    <xdr:pic>
      <xdr:nvPicPr>
        <xdr:cNvPr id="28" name="Imagem 27">
          <a:extLst>
            <a:ext uri="{FF2B5EF4-FFF2-40B4-BE49-F238E27FC236}">
              <a16:creationId xmlns="" xmlns:a16="http://schemas.microsoft.com/office/drawing/2014/main" id="{00000000-0008-0000-04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584" y="105832"/>
          <a:ext cx="2533650" cy="977205"/>
        </a:xfrm>
        <a:prstGeom prst="rect">
          <a:avLst/>
        </a:prstGeom>
      </xdr:spPr>
    </xdr:pic>
    <xdr:clientData/>
  </xdr:twoCellAnchor>
  <xdr:twoCellAnchor>
    <xdr:from>
      <xdr:col>2</xdr:col>
      <xdr:colOff>1418166</xdr:colOff>
      <xdr:row>0</xdr:row>
      <xdr:rowOff>95250</xdr:rowOff>
    </xdr:from>
    <xdr:to>
      <xdr:col>2</xdr:col>
      <xdr:colOff>2175991</xdr:colOff>
      <xdr:row>2</xdr:row>
      <xdr:rowOff>39338</xdr:rowOff>
    </xdr:to>
    <xdr:sp macro="" textlink="">
      <xdr:nvSpPr>
        <xdr:cNvPr id="29" name="Retângulo de cantos arredondados 37">
          <a:hlinkClick xmlns:r="http://schemas.openxmlformats.org/officeDocument/2006/relationships" r:id="rId2"/>
          <a:extLst>
            <a:ext uri="{FF2B5EF4-FFF2-40B4-BE49-F238E27FC236}">
              <a16:creationId xmlns="" xmlns:a16="http://schemas.microsoft.com/office/drawing/2014/main" id="{00000000-0008-0000-0400-00001D000000}"/>
            </a:ext>
          </a:extLst>
        </xdr:cNvPr>
        <xdr:cNvSpPr/>
      </xdr:nvSpPr>
      <xdr:spPr bwMode="auto">
        <a:xfrm>
          <a:off x="4455583" y="95250"/>
          <a:ext cx="757825" cy="32508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clientData/>
  </xdr:twoCellAnchor>
  <xdr:twoCellAnchor>
    <xdr:from>
      <xdr:col>2</xdr:col>
      <xdr:colOff>211667</xdr:colOff>
      <xdr:row>0</xdr:row>
      <xdr:rowOff>42333</xdr:rowOff>
    </xdr:from>
    <xdr:to>
      <xdr:col>5</xdr:col>
      <xdr:colOff>1505449</xdr:colOff>
      <xdr:row>9</xdr:row>
      <xdr:rowOff>78459</xdr:rowOff>
    </xdr:to>
    <xdr:grpSp>
      <xdr:nvGrpSpPr>
        <xdr:cNvPr id="30" name="Grupo 29">
          <a:extLst>
            <a:ext uri="{FF2B5EF4-FFF2-40B4-BE49-F238E27FC236}">
              <a16:creationId xmlns="" xmlns:a16="http://schemas.microsoft.com/office/drawing/2014/main" id="{00000000-0008-0000-0400-00001E000000}"/>
            </a:ext>
          </a:extLst>
        </xdr:cNvPr>
        <xdr:cNvGrpSpPr/>
      </xdr:nvGrpSpPr>
      <xdr:grpSpPr>
        <a:xfrm>
          <a:off x="3246060" y="42333"/>
          <a:ext cx="7280925" cy="1750626"/>
          <a:chOff x="3069167" y="114300"/>
          <a:chExt cx="7283948" cy="1549543"/>
        </a:xfrm>
      </xdr:grpSpPr>
      <xdr:grpSp>
        <xdr:nvGrpSpPr>
          <xdr:cNvPr id="34" name="Group 32">
            <a:extLst>
              <a:ext uri="{FF2B5EF4-FFF2-40B4-BE49-F238E27FC236}">
                <a16:creationId xmlns="" xmlns:a16="http://schemas.microsoft.com/office/drawing/2014/main" id="{00000000-0008-0000-0400-000022000000}"/>
              </a:ext>
            </a:extLst>
          </xdr:cNvPr>
          <xdr:cNvGrpSpPr/>
        </xdr:nvGrpSpPr>
        <xdr:grpSpPr>
          <a:xfrm>
            <a:off x="3069167" y="114300"/>
            <a:ext cx="7283948" cy="1549543"/>
            <a:chOff x="3514726" y="52774"/>
            <a:chExt cx="7219950" cy="1576001"/>
          </a:xfrm>
        </xdr:grpSpPr>
        <xdr:sp macro="" textlink="">
          <xdr:nvSpPr>
            <xdr:cNvPr id="60" name="Fluxograma: Processo 59">
              <a:extLst>
                <a:ext uri="{FF2B5EF4-FFF2-40B4-BE49-F238E27FC236}">
                  <a16:creationId xmlns="" xmlns:a16="http://schemas.microsoft.com/office/drawing/2014/main" id="{00000000-0008-0000-0400-00003C000000}"/>
                </a:ext>
              </a:extLst>
            </xdr:cNvPr>
            <xdr:cNvSpPr>
              <a:spLocks noChangeArrowheads="1"/>
            </xdr:cNvSpPr>
          </xdr:nvSpPr>
          <xdr:spPr bwMode="auto">
            <a:xfrm>
              <a:off x="3514726" y="52774"/>
              <a:ext cx="7219950" cy="1576001"/>
            </a:xfrm>
            <a:prstGeom prst="flowChartProcess">
              <a:avLst/>
            </a:prstGeom>
            <a:solidFill>
              <a:schemeClr val="accent1">
                <a:lumMod val="20000"/>
                <a:lumOff val="80000"/>
              </a:schemeClr>
            </a:solidFill>
            <a:ln w="19050" algn="ctr">
              <a:solidFill>
                <a:schemeClr val="accent1"/>
              </a:solidFill>
              <a:round/>
              <a:headEnd/>
              <a:tailEnd/>
            </a:ln>
            <a:effectLst/>
          </xdr:spPr>
          <xdr:txBody>
            <a:bodyPr/>
            <a:lstStyle/>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r>
                <a:rPr lang="pt-BR" sz="1400" b="1">
                  <a:latin typeface="Calibri Light" panose="020F0302020204030204" pitchFamily="34" charset="0"/>
                </a:rPr>
                <a:t>Menu de </a:t>
              </a:r>
            </a:p>
            <a:p>
              <a:pPr algn="r"/>
              <a:r>
                <a:rPr lang="pt-BR" sz="1400" b="1">
                  <a:latin typeface="Calibri Light" panose="020F0302020204030204" pitchFamily="34" charset="0"/>
                </a:rPr>
                <a:t>navegação</a:t>
              </a:r>
            </a:p>
          </xdr:txBody>
        </xdr:sp>
        <xdr:sp macro="" textlink="">
          <xdr:nvSpPr>
            <xdr:cNvPr id="61" name="Retângulo de cantos arredondados 34">
              <a:hlinkClick xmlns:r="http://schemas.openxmlformats.org/officeDocument/2006/relationships" r:id="rId3"/>
              <a:extLst>
                <a:ext uri="{FF2B5EF4-FFF2-40B4-BE49-F238E27FC236}">
                  <a16:creationId xmlns="" xmlns:a16="http://schemas.microsoft.com/office/drawing/2014/main" id="{00000000-0008-0000-0400-00003D000000}"/>
                </a:ext>
              </a:extLst>
            </xdr:cNvPr>
            <xdr:cNvSpPr/>
          </xdr:nvSpPr>
          <xdr:spPr bwMode="auto">
            <a:xfrm>
              <a:off x="4333251"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Introdução</a:t>
              </a:r>
            </a:p>
          </xdr:txBody>
        </xdr:sp>
        <xdr:sp macro="" textlink="">
          <xdr:nvSpPr>
            <xdr:cNvPr id="62" name="Retângulo de cantos arredondados 35">
              <a:hlinkClick xmlns:r="http://schemas.openxmlformats.org/officeDocument/2006/relationships" r:id="rId4"/>
              <a:extLst>
                <a:ext uri="{FF2B5EF4-FFF2-40B4-BE49-F238E27FC236}">
                  <a16:creationId xmlns="" xmlns:a16="http://schemas.microsoft.com/office/drawing/2014/main" id="{00000000-0008-0000-0400-00003E000000}"/>
                </a:ext>
              </a:extLst>
            </xdr:cNvPr>
            <xdr:cNvSpPr/>
          </xdr:nvSpPr>
          <xdr:spPr bwMode="auto">
            <a:xfrm>
              <a:off x="4333251"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lnSpc>
                  <a:spcPct val="80000"/>
                </a:lnSpc>
              </a:pPr>
              <a:r>
                <a:rPr lang="pt-BR" sz="900" b="0">
                  <a:solidFill>
                    <a:schemeClr val="bg1"/>
                  </a:solidFill>
                  <a:latin typeface="Calibri Light" panose="020F0302020204030204" pitchFamily="34" charset="0"/>
                  <a:cs typeface="Arial" pitchFamily="34" charset="0"/>
                </a:rPr>
                <a:t>Combustão</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estacionária</a:t>
              </a:r>
            </a:p>
          </xdr:txBody>
        </xdr:sp>
        <xdr:sp macro="" textlink="">
          <xdr:nvSpPr>
            <xdr:cNvPr id="63" name="Retângulo de cantos arredondados 36">
              <a:hlinkClick xmlns:r="http://schemas.openxmlformats.org/officeDocument/2006/relationships" r:id="rId5"/>
              <a:extLst>
                <a:ext uri="{FF2B5EF4-FFF2-40B4-BE49-F238E27FC236}">
                  <a16:creationId xmlns="" xmlns:a16="http://schemas.microsoft.com/office/drawing/2014/main" id="{00000000-0008-0000-0400-00003F000000}"/>
                </a:ext>
              </a:extLst>
            </xdr:cNvPr>
            <xdr:cNvSpPr/>
          </xdr:nvSpPr>
          <xdr:spPr bwMode="auto">
            <a:xfrm>
              <a:off x="5130292"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Combustão </a:t>
              </a:r>
            </a:p>
            <a:p>
              <a:pPr algn="ctr"/>
              <a:r>
                <a:rPr lang="pt-BR" sz="900" b="0">
                  <a:solidFill>
                    <a:schemeClr val="bg1"/>
                  </a:solidFill>
                  <a:latin typeface="Calibri Light" panose="020F0302020204030204" pitchFamily="34" charset="0"/>
                  <a:cs typeface="Arial" pitchFamily="34" charset="0"/>
                </a:rPr>
                <a:t>móvel</a:t>
              </a:r>
            </a:p>
          </xdr:txBody>
        </xdr:sp>
        <xdr:sp macro="" textlink="">
          <xdr:nvSpPr>
            <xdr:cNvPr id="64" name="Retângulo de cantos arredondados 37">
              <a:hlinkClick xmlns:r="http://schemas.openxmlformats.org/officeDocument/2006/relationships" r:id="rId6"/>
              <a:extLst>
                <a:ext uri="{FF2B5EF4-FFF2-40B4-BE49-F238E27FC236}">
                  <a16:creationId xmlns="" xmlns:a16="http://schemas.microsoft.com/office/drawing/2014/main" id="{00000000-0008-0000-0400-000040000000}"/>
                </a:ext>
              </a:extLst>
            </xdr:cNvPr>
            <xdr:cNvSpPr/>
          </xdr:nvSpPr>
          <xdr:spPr bwMode="auto">
            <a:xfrm>
              <a:off x="5932663"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Resumo</a:t>
              </a:r>
            </a:p>
          </xdr:txBody>
        </xdr:sp>
        <xdr:sp macro="" textlink="">
          <xdr:nvSpPr>
            <xdr:cNvPr id="65" name="Retângulo de cantos arredondados 38">
              <a:hlinkClick xmlns:r="http://schemas.openxmlformats.org/officeDocument/2006/relationships" r:id="rId7"/>
              <a:extLst>
                <a:ext uri="{FF2B5EF4-FFF2-40B4-BE49-F238E27FC236}">
                  <a16:creationId xmlns="" xmlns:a16="http://schemas.microsoft.com/office/drawing/2014/main" id="{00000000-0008-0000-0400-000041000000}"/>
                </a:ext>
              </a:extLst>
            </xdr:cNvPr>
            <xdr:cNvSpPr/>
          </xdr:nvSpPr>
          <xdr:spPr bwMode="auto">
            <a:xfrm>
              <a:off x="6719145"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Fatores </a:t>
              </a:r>
            </a:p>
            <a:p>
              <a:pPr algn="ctr"/>
              <a:r>
                <a:rPr lang="pt-BR" sz="900" b="0">
                  <a:latin typeface="Calibri Light" panose="020F0302020204030204" pitchFamily="34" charset="0"/>
                  <a:cs typeface="Arial" pitchFamily="34" charset="0"/>
                </a:rPr>
                <a:t>de emissão</a:t>
              </a:r>
            </a:p>
          </xdr:txBody>
        </xdr:sp>
        <xdr:sp macro="" textlink="">
          <xdr:nvSpPr>
            <xdr:cNvPr id="66" name="Fluxograma: Processo 65">
              <a:extLst>
                <a:ext uri="{FF2B5EF4-FFF2-40B4-BE49-F238E27FC236}">
                  <a16:creationId xmlns="" xmlns:a16="http://schemas.microsoft.com/office/drawing/2014/main" id="{00000000-0008-0000-0400-000042000000}"/>
                </a:ext>
              </a:extLst>
            </xdr:cNvPr>
            <xdr:cNvSpPr/>
          </xdr:nvSpPr>
          <xdr:spPr bwMode="auto">
            <a:xfrm>
              <a:off x="3604863" y="528178"/>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1</a:t>
              </a:r>
            </a:p>
          </xdr:txBody>
        </xdr:sp>
        <xdr:sp macro="" textlink="">
          <xdr:nvSpPr>
            <xdr:cNvPr id="67" name="Retângulo de cantos arredondados 40">
              <a:hlinkClick xmlns:r="http://schemas.openxmlformats.org/officeDocument/2006/relationships" r:id="rId8"/>
              <a:extLst>
                <a:ext uri="{FF2B5EF4-FFF2-40B4-BE49-F238E27FC236}">
                  <a16:creationId xmlns="" xmlns:a16="http://schemas.microsoft.com/office/drawing/2014/main" id="{00000000-0008-0000-0400-000043000000}"/>
                </a:ext>
              </a:extLst>
            </xdr:cNvPr>
            <xdr:cNvSpPr/>
          </xdr:nvSpPr>
          <xdr:spPr bwMode="auto">
            <a:xfrm>
              <a:off x="5927333"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00" b="0">
                  <a:solidFill>
                    <a:schemeClr val="bg1"/>
                  </a:solidFill>
                  <a:latin typeface="Calibri Light" panose="020F0302020204030204" pitchFamily="34" charset="0"/>
                  <a:cs typeface="Arial" pitchFamily="34" charset="0"/>
                </a:rPr>
                <a:t>Emissões </a:t>
              </a:r>
            </a:p>
            <a:p>
              <a:pPr algn="ctr"/>
              <a:r>
                <a:rPr lang="pt-BR" sz="800" b="0">
                  <a:solidFill>
                    <a:schemeClr val="bg1"/>
                  </a:solidFill>
                  <a:latin typeface="Calibri Light" panose="020F0302020204030204" pitchFamily="34" charset="0"/>
                  <a:cs typeface="Arial" pitchFamily="34" charset="0"/>
                </a:rPr>
                <a:t>fugitivas</a:t>
              </a:r>
            </a:p>
          </xdr:txBody>
        </xdr:sp>
        <xdr:sp macro="" textlink="">
          <xdr:nvSpPr>
            <xdr:cNvPr id="68" name="Retângulo de cantos arredondados 41">
              <a:hlinkClick xmlns:r="http://schemas.openxmlformats.org/officeDocument/2006/relationships" r:id="rId9"/>
              <a:extLst>
                <a:ext uri="{FF2B5EF4-FFF2-40B4-BE49-F238E27FC236}">
                  <a16:creationId xmlns="" xmlns:a16="http://schemas.microsoft.com/office/drawing/2014/main" id="{00000000-0008-0000-0400-000044000000}"/>
                </a:ext>
              </a:extLst>
            </xdr:cNvPr>
            <xdr:cNvSpPr/>
          </xdr:nvSpPr>
          <xdr:spPr bwMode="auto">
            <a:xfrm>
              <a:off x="6724374"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Processos</a:t>
              </a:r>
              <a:r>
                <a:rPr lang="pt-BR" sz="900" b="0" baseline="0">
                  <a:solidFill>
                    <a:schemeClr val="bg1"/>
                  </a:solidFill>
                  <a:latin typeface="Calibri Light" panose="020F0302020204030204" pitchFamily="34" charset="0"/>
                  <a:cs typeface="Arial" pitchFamily="34" charset="0"/>
                </a:rPr>
                <a:t> industriais</a:t>
              </a:r>
              <a:endParaRPr lang="pt-BR" sz="900" b="0">
                <a:solidFill>
                  <a:schemeClr val="bg1"/>
                </a:solidFill>
                <a:latin typeface="Calibri Light" panose="020F0302020204030204" pitchFamily="34" charset="0"/>
                <a:cs typeface="Arial" pitchFamily="34" charset="0"/>
              </a:endParaRPr>
            </a:p>
          </xdr:txBody>
        </xdr:sp>
        <xdr:sp macro="" textlink="">
          <xdr:nvSpPr>
            <xdr:cNvPr id="69" name="Retângulo de cantos arredondados 43">
              <a:hlinkClick xmlns:r="http://schemas.openxmlformats.org/officeDocument/2006/relationships" r:id="rId10"/>
              <a:extLst>
                <a:ext uri="{FF2B5EF4-FFF2-40B4-BE49-F238E27FC236}">
                  <a16:creationId xmlns="" xmlns:a16="http://schemas.microsoft.com/office/drawing/2014/main" id="{00000000-0008-0000-0400-000045000000}"/>
                </a:ext>
              </a:extLst>
            </xdr:cNvPr>
            <xdr:cNvSpPr/>
          </xdr:nvSpPr>
          <xdr:spPr bwMode="auto">
            <a:xfrm>
              <a:off x="8318456"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Resíduos</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sólidos</a:t>
              </a:r>
            </a:p>
          </xdr:txBody>
        </xdr:sp>
        <xdr:sp macro="" textlink="">
          <xdr:nvSpPr>
            <xdr:cNvPr id="70" name="Retângulo de cantos arredondados 44">
              <a:hlinkClick xmlns:r="http://schemas.openxmlformats.org/officeDocument/2006/relationships" r:id="rId11"/>
              <a:extLst>
                <a:ext uri="{FF2B5EF4-FFF2-40B4-BE49-F238E27FC236}">
                  <a16:creationId xmlns="" xmlns:a16="http://schemas.microsoft.com/office/drawing/2014/main" id="{00000000-0008-0000-0400-000046000000}"/>
                </a:ext>
              </a:extLst>
            </xdr:cNvPr>
            <xdr:cNvSpPr/>
          </xdr:nvSpPr>
          <xdr:spPr bwMode="auto">
            <a:xfrm>
              <a:off x="433325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lnSpc>
                  <a:spcPct val="80000"/>
                </a:lnSpc>
              </a:pPr>
              <a:r>
                <a:rPr lang="pt-BR" sz="900" b="0">
                  <a:latin typeface="Calibri Light" panose="020F0302020204030204" pitchFamily="34" charset="0"/>
                  <a:cs typeface="Arial" pitchFamily="34" charset="0"/>
                </a:rPr>
                <a:t>Compra de Energia</a:t>
              </a:r>
              <a:r>
                <a:rPr lang="pt-BR" sz="900" b="0" baseline="0">
                  <a:latin typeface="Calibri Light" panose="020F0302020204030204" pitchFamily="34" charset="0"/>
                  <a:cs typeface="Arial" pitchFamily="34" charset="0"/>
                </a:rPr>
                <a:t> Elétrica</a:t>
              </a:r>
            </a:p>
          </xdr:txBody>
        </xdr:sp>
        <xdr:sp macro="" textlink="">
          <xdr:nvSpPr>
            <xdr:cNvPr id="71" name="Retângulo de cantos arredondados 45">
              <a:hlinkClick xmlns:r="http://schemas.openxmlformats.org/officeDocument/2006/relationships" r:id="rId12"/>
              <a:extLst>
                <a:ext uri="{FF2B5EF4-FFF2-40B4-BE49-F238E27FC236}">
                  <a16:creationId xmlns="" xmlns:a16="http://schemas.microsoft.com/office/drawing/2014/main" id="{00000000-0008-0000-0400-000047000000}"/>
                </a:ext>
              </a:extLst>
            </xdr:cNvPr>
            <xdr:cNvSpPr/>
          </xdr:nvSpPr>
          <xdr:spPr bwMode="auto">
            <a:xfrm>
              <a:off x="513371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Compra de</a:t>
              </a:r>
              <a:r>
                <a:rPr lang="pt-BR" sz="900" b="0" baseline="0">
                  <a:latin typeface="Calibri Light" panose="020F0302020204030204" pitchFamily="34" charset="0"/>
                  <a:cs typeface="Arial" pitchFamily="34" charset="0"/>
                </a:rPr>
                <a:t> Energia Térmica</a:t>
              </a:r>
            </a:p>
          </xdr:txBody>
        </xdr:sp>
        <xdr:sp macro="" textlink="">
          <xdr:nvSpPr>
            <xdr:cNvPr id="72" name="Fluxograma: Processo 71">
              <a:extLst>
                <a:ext uri="{FF2B5EF4-FFF2-40B4-BE49-F238E27FC236}">
                  <a16:creationId xmlns="" xmlns:a16="http://schemas.microsoft.com/office/drawing/2014/main" id="{00000000-0008-0000-0400-000048000000}"/>
                </a:ext>
              </a:extLst>
            </xdr:cNvPr>
            <xdr:cNvSpPr/>
          </xdr:nvSpPr>
          <xdr:spPr bwMode="auto">
            <a:xfrm>
              <a:off x="3604863" y="909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2</a:t>
              </a:r>
            </a:p>
          </xdr:txBody>
        </xdr:sp>
        <xdr:sp macro="" textlink="">
          <xdr:nvSpPr>
            <xdr:cNvPr id="73" name="Fluxograma: Processo 72">
              <a:extLst>
                <a:ext uri="{FF2B5EF4-FFF2-40B4-BE49-F238E27FC236}">
                  <a16:creationId xmlns="" xmlns:a16="http://schemas.microsoft.com/office/drawing/2014/main" id="{00000000-0008-0000-0400-000049000000}"/>
                </a:ext>
              </a:extLst>
            </xdr:cNvPr>
            <xdr:cNvSpPr/>
          </xdr:nvSpPr>
          <xdr:spPr bwMode="auto">
            <a:xfrm>
              <a:off x="3604863" y="1290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3</a:t>
              </a:r>
            </a:p>
          </xdr:txBody>
        </xdr:sp>
        <xdr:sp macro="" textlink="">
          <xdr:nvSpPr>
            <xdr:cNvPr id="74" name="Retângulo de cantos arredondados 48">
              <a:hlinkClick xmlns:r="http://schemas.openxmlformats.org/officeDocument/2006/relationships" r:id="rId13"/>
              <a:extLst>
                <a:ext uri="{FF2B5EF4-FFF2-40B4-BE49-F238E27FC236}">
                  <a16:creationId xmlns="" xmlns:a16="http://schemas.microsoft.com/office/drawing/2014/main" id="{00000000-0008-0000-0400-00004A000000}"/>
                </a:ext>
              </a:extLst>
            </xdr:cNvPr>
            <xdr:cNvSpPr/>
          </xdr:nvSpPr>
          <xdr:spPr bwMode="auto">
            <a:xfrm>
              <a:off x="433325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lnSpc>
                  <a:spcPct val="80000"/>
                </a:lnSpc>
              </a:pPr>
              <a:r>
                <a:rPr lang="pt-BR" sz="900" b="0">
                  <a:solidFill>
                    <a:schemeClr val="bg1">
                      <a:lumMod val="50000"/>
                    </a:schemeClr>
                  </a:solidFill>
                  <a:latin typeface="Calibri Light" panose="020F0302020204030204" pitchFamily="34" charset="0"/>
                  <a:cs typeface="Arial" pitchFamily="34" charset="0"/>
                </a:rPr>
                <a:t>Categorias de Âmbito 3</a:t>
              </a:r>
              <a:endParaRPr lang="pt-BR" sz="900" b="0" baseline="0">
                <a:solidFill>
                  <a:schemeClr val="bg1">
                    <a:lumMod val="50000"/>
                  </a:schemeClr>
                </a:solidFill>
                <a:latin typeface="Calibri Light" panose="020F0302020204030204" pitchFamily="34" charset="0"/>
                <a:cs typeface="Arial" pitchFamily="34" charset="0"/>
              </a:endParaRPr>
            </a:p>
          </xdr:txBody>
        </xdr:sp>
        <xdr:sp macro="" textlink="">
          <xdr:nvSpPr>
            <xdr:cNvPr id="75" name="Retângulo de cantos arredondados 49">
              <a:hlinkClick xmlns:r="http://schemas.openxmlformats.org/officeDocument/2006/relationships" r:id="rId14"/>
              <a:extLst>
                <a:ext uri="{FF2B5EF4-FFF2-40B4-BE49-F238E27FC236}">
                  <a16:creationId xmlns="" xmlns:a16="http://schemas.microsoft.com/office/drawing/2014/main" id="{00000000-0008-0000-0400-00004B000000}"/>
                </a:ext>
              </a:extLst>
            </xdr:cNvPr>
            <xdr:cNvSpPr/>
          </xdr:nvSpPr>
          <xdr:spPr bwMode="auto">
            <a:xfrm>
              <a:off x="5925918"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Resíduos sólidos gerados na operação</a:t>
              </a:r>
            </a:p>
          </xdr:txBody>
        </xdr:sp>
        <xdr:sp macro="" textlink="">
          <xdr:nvSpPr>
            <xdr:cNvPr id="76" name="Retângulo de cantos arredondados 50">
              <a:hlinkClick xmlns:r="http://schemas.openxmlformats.org/officeDocument/2006/relationships" r:id="rId15"/>
              <a:extLst>
                <a:ext uri="{FF2B5EF4-FFF2-40B4-BE49-F238E27FC236}">
                  <a16:creationId xmlns="" xmlns:a16="http://schemas.microsoft.com/office/drawing/2014/main" id="{00000000-0008-0000-0400-00004C000000}"/>
                </a:ext>
              </a:extLst>
            </xdr:cNvPr>
            <xdr:cNvSpPr/>
          </xdr:nvSpPr>
          <xdr:spPr bwMode="auto">
            <a:xfrm>
              <a:off x="6722959"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Efluentes gerados na operação</a:t>
              </a:r>
            </a:p>
          </xdr:txBody>
        </xdr:sp>
        <xdr:sp macro="" textlink="">
          <xdr:nvSpPr>
            <xdr:cNvPr id="77" name="Retângulo de cantos arredondados 51">
              <a:hlinkClick xmlns:r="http://schemas.openxmlformats.org/officeDocument/2006/relationships" r:id="rId16"/>
              <a:extLst>
                <a:ext uri="{FF2B5EF4-FFF2-40B4-BE49-F238E27FC236}">
                  <a16:creationId xmlns="" xmlns:a16="http://schemas.microsoft.com/office/drawing/2014/main" id="{00000000-0008-0000-0400-00004D000000}"/>
                </a:ext>
              </a:extLst>
            </xdr:cNvPr>
            <xdr:cNvSpPr/>
          </xdr:nvSpPr>
          <xdr:spPr bwMode="auto">
            <a:xfrm>
              <a:off x="831704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(downstream)</a:t>
              </a:r>
            </a:p>
          </xdr:txBody>
        </xdr:sp>
        <xdr:sp macro="" textlink="">
          <xdr:nvSpPr>
            <xdr:cNvPr id="78" name="Retângulo de cantos arredondados 52">
              <a:hlinkClick xmlns:r="http://schemas.openxmlformats.org/officeDocument/2006/relationships" r:id="rId17"/>
              <a:extLst>
                <a:ext uri="{FF2B5EF4-FFF2-40B4-BE49-F238E27FC236}">
                  <a16:creationId xmlns="" xmlns:a16="http://schemas.microsoft.com/office/drawing/2014/main" id="{00000000-0008-0000-0400-00004E000000}"/>
                </a:ext>
              </a:extLst>
            </xdr:cNvPr>
            <xdr:cNvSpPr/>
          </xdr:nvSpPr>
          <xdr:spPr bwMode="auto">
            <a:xfrm>
              <a:off x="5135994" y="1228723"/>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(upstream)</a:t>
              </a:r>
            </a:p>
          </xdr:txBody>
        </xdr:sp>
        <xdr:sp macro="" textlink="">
          <xdr:nvSpPr>
            <xdr:cNvPr id="79" name="Retângulo de cantos arredondados 54">
              <a:hlinkClick xmlns:r="http://schemas.openxmlformats.org/officeDocument/2006/relationships" r:id="rId18"/>
              <a:extLst>
                <a:ext uri="{FF2B5EF4-FFF2-40B4-BE49-F238E27FC236}">
                  <a16:creationId xmlns="" xmlns:a16="http://schemas.microsoft.com/office/drawing/2014/main" id="{00000000-0008-0000-0400-00004F000000}"/>
                </a:ext>
              </a:extLst>
            </xdr:cNvPr>
            <xdr:cNvSpPr/>
          </xdr:nvSpPr>
          <xdr:spPr bwMode="auto">
            <a:xfrm>
              <a:off x="9115497"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Efluentes</a:t>
              </a:r>
            </a:p>
          </xdr:txBody>
        </xdr:sp>
        <xdr:sp macro="" textlink="">
          <xdr:nvSpPr>
            <xdr:cNvPr id="80" name="Retângulo de cantos arredondados 56">
              <a:hlinkClick xmlns:r="http://schemas.openxmlformats.org/officeDocument/2006/relationships" r:id="rId19"/>
              <a:extLst>
                <a:ext uri="{FF2B5EF4-FFF2-40B4-BE49-F238E27FC236}">
                  <a16:creationId xmlns="" xmlns:a16="http://schemas.microsoft.com/office/drawing/2014/main" id="{00000000-0008-0000-0400-000050000000}"/>
                </a:ext>
              </a:extLst>
            </xdr:cNvPr>
            <xdr:cNvSpPr/>
          </xdr:nvSpPr>
          <xdr:spPr bwMode="auto">
            <a:xfrm>
              <a:off x="7526519"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Conversão de unidades</a:t>
              </a:r>
            </a:p>
          </xdr:txBody>
        </xdr:sp>
        <xdr:sp macro="" textlink="">
          <xdr:nvSpPr>
            <xdr:cNvPr id="81" name="Retângulo de cantos arredondados 58">
              <a:hlinkClick xmlns:r="http://schemas.openxmlformats.org/officeDocument/2006/relationships" r:id="rId20"/>
              <a:extLst>
                <a:ext uri="{FF2B5EF4-FFF2-40B4-BE49-F238E27FC236}">
                  <a16:creationId xmlns="" xmlns:a16="http://schemas.microsoft.com/office/drawing/2014/main" id="{00000000-0008-0000-0400-000051000000}"/>
                </a:ext>
              </a:extLst>
            </xdr:cNvPr>
            <xdr:cNvSpPr/>
          </xdr:nvSpPr>
          <xdr:spPr bwMode="auto">
            <a:xfrm>
              <a:off x="7520000"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r>
                <a:rPr lang="pt-BR" sz="900" b="0">
                  <a:solidFill>
                    <a:schemeClr val="bg1">
                      <a:lumMod val="50000"/>
                    </a:schemeClr>
                  </a:solidFill>
                  <a:latin typeface="Calibri Light" panose="020F0302020204030204" pitchFamily="34" charset="0"/>
                  <a:cs typeface="Arial" pitchFamily="34" charset="0"/>
                </a:rPr>
                <a:t>Viagens a negócios</a:t>
              </a:r>
            </a:p>
          </xdr:txBody>
        </xdr:sp>
        <xdr:sp macro="" textlink="">
          <xdr:nvSpPr>
            <xdr:cNvPr id="82" name="Fluxograma: Processo 59">
              <a:extLst>
                <a:ext uri="{FF2B5EF4-FFF2-40B4-BE49-F238E27FC236}">
                  <a16:creationId xmlns="" xmlns:a16="http://schemas.microsoft.com/office/drawing/2014/main" id="{00000000-0008-0000-0400-000052000000}"/>
                </a:ext>
              </a:extLst>
            </xdr:cNvPr>
            <xdr:cNvSpPr/>
          </xdr:nvSpPr>
          <xdr:spPr bwMode="auto">
            <a:xfrm>
              <a:off x="3604863" y="156702"/>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Geral</a:t>
              </a:r>
            </a:p>
          </xdr:txBody>
        </xdr:sp>
      </xdr:grpSp>
      <xdr:sp macro="" textlink="">
        <xdr:nvSpPr>
          <xdr:cNvPr id="35" name="Retângulo de cantos arredondados 37">
            <a:hlinkClick xmlns:r="http://schemas.openxmlformats.org/officeDocument/2006/relationships" r:id="rId2"/>
            <a:extLst>
              <a:ext uri="{FF2B5EF4-FFF2-40B4-BE49-F238E27FC236}">
                <a16:creationId xmlns="" xmlns:a16="http://schemas.microsoft.com/office/drawing/2014/main" id="{00000000-0008-0000-0400-000023000000}"/>
              </a:ext>
            </a:extLst>
          </xdr:cNvPr>
          <xdr:cNvSpPr/>
        </xdr:nvSpPr>
        <xdr:spPr bwMode="auto">
          <a:xfrm>
            <a:off x="4696884" y="162983"/>
            <a:ext cx="774700" cy="31873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sp macro="" textlink="">
        <xdr:nvSpPr>
          <xdr:cNvPr id="59" name="Retângulo de cantos arredondados 42">
            <a:hlinkClick xmlns:r="http://schemas.openxmlformats.org/officeDocument/2006/relationships" r:id="rId21"/>
            <a:extLst>
              <a:ext uri="{FF2B5EF4-FFF2-40B4-BE49-F238E27FC236}">
                <a16:creationId xmlns="" xmlns:a16="http://schemas.microsoft.com/office/drawing/2014/main" id="{00000000-0008-0000-0400-00003B000000}"/>
              </a:ext>
            </a:extLst>
          </xdr:cNvPr>
          <xdr:cNvSpPr/>
        </xdr:nvSpPr>
        <xdr:spPr bwMode="auto">
          <a:xfrm>
            <a:off x="7125758" y="522817"/>
            <a:ext cx="758825" cy="318738"/>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50" b="0">
                <a:solidFill>
                  <a:schemeClr val="bg1"/>
                </a:solidFill>
                <a:latin typeface="Calibri Light" panose="020F0302020204030204" pitchFamily="34" charset="0"/>
                <a:cs typeface="Arial" pitchFamily="34" charset="0"/>
              </a:rPr>
              <a:t>Agrícolas e alt. do uso do solo</a:t>
            </a:r>
            <a:endParaRPr lang="pt-BR" sz="850" b="0" baseline="0">
              <a:solidFill>
                <a:schemeClr val="bg1"/>
              </a:solidFill>
              <a:latin typeface="Calibri Light" panose="020F0302020204030204" pitchFamily="34" charset="0"/>
              <a:cs typeface="Arial" pitchFamily="34" charset="0"/>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63500</xdr:colOff>
      <xdr:row>0</xdr:row>
      <xdr:rowOff>74083</xdr:rowOff>
    </xdr:from>
    <xdr:to>
      <xdr:col>2</xdr:col>
      <xdr:colOff>1204335</xdr:colOff>
      <xdr:row>6</xdr:row>
      <xdr:rowOff>105833</xdr:rowOff>
    </xdr:to>
    <xdr:pic>
      <xdr:nvPicPr>
        <xdr:cNvPr id="28" name="Imagem 27">
          <a:extLst>
            <a:ext uri="{FF2B5EF4-FFF2-40B4-BE49-F238E27FC236}">
              <a16:creationId xmlns="" xmlns:a16="http://schemas.microsoft.com/office/drawing/2014/main" id="{00000000-0008-0000-05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74083"/>
          <a:ext cx="3045835" cy="1174750"/>
        </a:xfrm>
        <a:prstGeom prst="rect">
          <a:avLst/>
        </a:prstGeom>
      </xdr:spPr>
    </xdr:pic>
    <xdr:clientData/>
  </xdr:twoCellAnchor>
  <xdr:twoCellAnchor>
    <xdr:from>
      <xdr:col>3</xdr:col>
      <xdr:colOff>381000</xdr:colOff>
      <xdr:row>0</xdr:row>
      <xdr:rowOff>95250</xdr:rowOff>
    </xdr:from>
    <xdr:to>
      <xdr:col>3</xdr:col>
      <xdr:colOff>1138825</xdr:colOff>
      <xdr:row>2</xdr:row>
      <xdr:rowOff>39338</xdr:rowOff>
    </xdr:to>
    <xdr:sp macro="" textlink="">
      <xdr:nvSpPr>
        <xdr:cNvPr id="33" name="Retângulo de cantos arredondados 37">
          <a:hlinkClick xmlns:r="http://schemas.openxmlformats.org/officeDocument/2006/relationships" r:id="rId2"/>
          <a:extLst>
            <a:ext uri="{FF2B5EF4-FFF2-40B4-BE49-F238E27FC236}">
              <a16:creationId xmlns="" xmlns:a16="http://schemas.microsoft.com/office/drawing/2014/main" id="{00000000-0008-0000-0500-000021000000}"/>
            </a:ext>
          </a:extLst>
        </xdr:cNvPr>
        <xdr:cNvSpPr/>
      </xdr:nvSpPr>
      <xdr:spPr bwMode="auto">
        <a:xfrm>
          <a:off x="4794250" y="95250"/>
          <a:ext cx="757825" cy="32508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clientData/>
  </xdr:twoCellAnchor>
  <xdr:twoCellAnchor>
    <xdr:from>
      <xdr:col>2</xdr:col>
      <xdr:colOff>1492250</xdr:colOff>
      <xdr:row>0</xdr:row>
      <xdr:rowOff>52917</xdr:rowOff>
    </xdr:from>
    <xdr:to>
      <xdr:col>7</xdr:col>
      <xdr:colOff>13198</xdr:colOff>
      <xdr:row>8</xdr:row>
      <xdr:rowOff>279543</xdr:rowOff>
    </xdr:to>
    <xdr:grpSp>
      <xdr:nvGrpSpPr>
        <xdr:cNvPr id="56" name="Grupo 55">
          <a:extLst>
            <a:ext uri="{FF2B5EF4-FFF2-40B4-BE49-F238E27FC236}">
              <a16:creationId xmlns="" xmlns:a16="http://schemas.microsoft.com/office/drawing/2014/main" id="{00000000-0008-0000-0500-000038000000}"/>
            </a:ext>
          </a:extLst>
        </xdr:cNvPr>
        <xdr:cNvGrpSpPr/>
      </xdr:nvGrpSpPr>
      <xdr:grpSpPr>
        <a:xfrm>
          <a:off x="3397250" y="52917"/>
          <a:ext cx="7283948" cy="1750626"/>
          <a:chOff x="3069167" y="114300"/>
          <a:chExt cx="7283948" cy="1549543"/>
        </a:xfrm>
      </xdr:grpSpPr>
      <xdr:grpSp>
        <xdr:nvGrpSpPr>
          <xdr:cNvPr id="57" name="Group 32">
            <a:extLst>
              <a:ext uri="{FF2B5EF4-FFF2-40B4-BE49-F238E27FC236}">
                <a16:creationId xmlns="" xmlns:a16="http://schemas.microsoft.com/office/drawing/2014/main" id="{00000000-0008-0000-0500-000039000000}"/>
              </a:ext>
            </a:extLst>
          </xdr:cNvPr>
          <xdr:cNvGrpSpPr/>
        </xdr:nvGrpSpPr>
        <xdr:grpSpPr>
          <a:xfrm>
            <a:off x="3069167" y="114300"/>
            <a:ext cx="7283948" cy="1549543"/>
            <a:chOff x="3514726" y="52774"/>
            <a:chExt cx="7219950" cy="1576001"/>
          </a:xfrm>
        </xdr:grpSpPr>
        <xdr:sp macro="" textlink="">
          <xdr:nvSpPr>
            <xdr:cNvPr id="60" name="Fluxograma: Processo 59">
              <a:extLst>
                <a:ext uri="{FF2B5EF4-FFF2-40B4-BE49-F238E27FC236}">
                  <a16:creationId xmlns="" xmlns:a16="http://schemas.microsoft.com/office/drawing/2014/main" id="{00000000-0008-0000-0500-00003C000000}"/>
                </a:ext>
              </a:extLst>
            </xdr:cNvPr>
            <xdr:cNvSpPr>
              <a:spLocks noChangeArrowheads="1"/>
            </xdr:cNvSpPr>
          </xdr:nvSpPr>
          <xdr:spPr bwMode="auto">
            <a:xfrm>
              <a:off x="3514726" y="52774"/>
              <a:ext cx="7219950" cy="1576001"/>
            </a:xfrm>
            <a:prstGeom prst="flowChartProcess">
              <a:avLst/>
            </a:prstGeom>
            <a:solidFill>
              <a:schemeClr val="accent1">
                <a:lumMod val="20000"/>
                <a:lumOff val="80000"/>
              </a:schemeClr>
            </a:solidFill>
            <a:ln w="19050" algn="ctr">
              <a:solidFill>
                <a:schemeClr val="accent1"/>
              </a:solidFill>
              <a:round/>
              <a:headEnd/>
              <a:tailEnd/>
            </a:ln>
            <a:effectLst/>
          </xdr:spPr>
          <xdr:txBody>
            <a:bodyPr/>
            <a:lstStyle/>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r>
                <a:rPr lang="pt-BR" sz="1400" b="1">
                  <a:latin typeface="Calibri Light" panose="020F0302020204030204" pitchFamily="34" charset="0"/>
                </a:rPr>
                <a:t>Menu de </a:t>
              </a:r>
            </a:p>
            <a:p>
              <a:pPr algn="r"/>
              <a:r>
                <a:rPr lang="pt-BR" sz="1400" b="1">
                  <a:latin typeface="Calibri Light" panose="020F0302020204030204" pitchFamily="34" charset="0"/>
                </a:rPr>
                <a:t>navegação</a:t>
              </a:r>
            </a:p>
          </xdr:txBody>
        </xdr:sp>
        <xdr:sp macro="" textlink="">
          <xdr:nvSpPr>
            <xdr:cNvPr id="61" name="Retângulo de cantos arredondados 34">
              <a:hlinkClick xmlns:r="http://schemas.openxmlformats.org/officeDocument/2006/relationships" r:id="rId3"/>
              <a:extLst>
                <a:ext uri="{FF2B5EF4-FFF2-40B4-BE49-F238E27FC236}">
                  <a16:creationId xmlns="" xmlns:a16="http://schemas.microsoft.com/office/drawing/2014/main" id="{00000000-0008-0000-0500-00003D000000}"/>
                </a:ext>
              </a:extLst>
            </xdr:cNvPr>
            <xdr:cNvSpPr/>
          </xdr:nvSpPr>
          <xdr:spPr bwMode="auto">
            <a:xfrm>
              <a:off x="4333251"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Introdução</a:t>
              </a:r>
            </a:p>
          </xdr:txBody>
        </xdr:sp>
        <xdr:sp macro="" textlink="">
          <xdr:nvSpPr>
            <xdr:cNvPr id="62" name="Retângulo de cantos arredondados 35">
              <a:hlinkClick xmlns:r="http://schemas.openxmlformats.org/officeDocument/2006/relationships" r:id="rId4"/>
              <a:extLst>
                <a:ext uri="{FF2B5EF4-FFF2-40B4-BE49-F238E27FC236}">
                  <a16:creationId xmlns="" xmlns:a16="http://schemas.microsoft.com/office/drawing/2014/main" id="{00000000-0008-0000-0500-00003E000000}"/>
                </a:ext>
              </a:extLst>
            </xdr:cNvPr>
            <xdr:cNvSpPr/>
          </xdr:nvSpPr>
          <xdr:spPr bwMode="auto">
            <a:xfrm>
              <a:off x="4333251"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lnSpc>
                  <a:spcPct val="80000"/>
                </a:lnSpc>
              </a:pPr>
              <a:r>
                <a:rPr lang="pt-BR" sz="900" b="0">
                  <a:solidFill>
                    <a:schemeClr val="bg1"/>
                  </a:solidFill>
                  <a:latin typeface="Calibri Light" panose="020F0302020204030204" pitchFamily="34" charset="0"/>
                  <a:cs typeface="Arial" pitchFamily="34" charset="0"/>
                </a:rPr>
                <a:t>Combustão</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estacionária</a:t>
              </a:r>
            </a:p>
          </xdr:txBody>
        </xdr:sp>
        <xdr:sp macro="" textlink="">
          <xdr:nvSpPr>
            <xdr:cNvPr id="63" name="Retângulo de cantos arredondados 36">
              <a:hlinkClick xmlns:r="http://schemas.openxmlformats.org/officeDocument/2006/relationships" r:id="rId5"/>
              <a:extLst>
                <a:ext uri="{FF2B5EF4-FFF2-40B4-BE49-F238E27FC236}">
                  <a16:creationId xmlns="" xmlns:a16="http://schemas.microsoft.com/office/drawing/2014/main" id="{00000000-0008-0000-0500-00003F000000}"/>
                </a:ext>
              </a:extLst>
            </xdr:cNvPr>
            <xdr:cNvSpPr/>
          </xdr:nvSpPr>
          <xdr:spPr bwMode="auto">
            <a:xfrm>
              <a:off x="5130292"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Combustão </a:t>
              </a:r>
            </a:p>
            <a:p>
              <a:pPr algn="ctr"/>
              <a:r>
                <a:rPr lang="pt-BR" sz="900" b="0">
                  <a:solidFill>
                    <a:schemeClr val="bg1"/>
                  </a:solidFill>
                  <a:latin typeface="Calibri Light" panose="020F0302020204030204" pitchFamily="34" charset="0"/>
                  <a:cs typeface="Arial" pitchFamily="34" charset="0"/>
                </a:rPr>
                <a:t>móvel</a:t>
              </a:r>
            </a:p>
          </xdr:txBody>
        </xdr:sp>
        <xdr:sp macro="" textlink="">
          <xdr:nvSpPr>
            <xdr:cNvPr id="64" name="Retângulo de cantos arredondados 37">
              <a:hlinkClick xmlns:r="http://schemas.openxmlformats.org/officeDocument/2006/relationships" r:id="rId6"/>
              <a:extLst>
                <a:ext uri="{FF2B5EF4-FFF2-40B4-BE49-F238E27FC236}">
                  <a16:creationId xmlns="" xmlns:a16="http://schemas.microsoft.com/office/drawing/2014/main" id="{00000000-0008-0000-0500-000040000000}"/>
                </a:ext>
              </a:extLst>
            </xdr:cNvPr>
            <xdr:cNvSpPr/>
          </xdr:nvSpPr>
          <xdr:spPr bwMode="auto">
            <a:xfrm>
              <a:off x="5932663"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Resumo</a:t>
              </a:r>
            </a:p>
          </xdr:txBody>
        </xdr:sp>
        <xdr:sp macro="" textlink="">
          <xdr:nvSpPr>
            <xdr:cNvPr id="65" name="Retângulo de cantos arredondados 38">
              <a:hlinkClick xmlns:r="http://schemas.openxmlformats.org/officeDocument/2006/relationships" r:id="rId7"/>
              <a:extLst>
                <a:ext uri="{FF2B5EF4-FFF2-40B4-BE49-F238E27FC236}">
                  <a16:creationId xmlns="" xmlns:a16="http://schemas.microsoft.com/office/drawing/2014/main" id="{00000000-0008-0000-0500-000041000000}"/>
                </a:ext>
              </a:extLst>
            </xdr:cNvPr>
            <xdr:cNvSpPr/>
          </xdr:nvSpPr>
          <xdr:spPr bwMode="auto">
            <a:xfrm>
              <a:off x="6719145"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Fatores </a:t>
              </a:r>
            </a:p>
            <a:p>
              <a:pPr algn="ctr"/>
              <a:r>
                <a:rPr lang="pt-BR" sz="900" b="0">
                  <a:latin typeface="Calibri Light" panose="020F0302020204030204" pitchFamily="34" charset="0"/>
                  <a:cs typeface="Arial" pitchFamily="34" charset="0"/>
                </a:rPr>
                <a:t>de emissão</a:t>
              </a:r>
            </a:p>
          </xdr:txBody>
        </xdr:sp>
        <xdr:sp macro="" textlink="">
          <xdr:nvSpPr>
            <xdr:cNvPr id="66" name="Fluxograma: Processo 65">
              <a:extLst>
                <a:ext uri="{FF2B5EF4-FFF2-40B4-BE49-F238E27FC236}">
                  <a16:creationId xmlns="" xmlns:a16="http://schemas.microsoft.com/office/drawing/2014/main" id="{00000000-0008-0000-0500-000042000000}"/>
                </a:ext>
              </a:extLst>
            </xdr:cNvPr>
            <xdr:cNvSpPr/>
          </xdr:nvSpPr>
          <xdr:spPr bwMode="auto">
            <a:xfrm>
              <a:off x="3604863" y="528178"/>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1</a:t>
              </a:r>
            </a:p>
          </xdr:txBody>
        </xdr:sp>
        <xdr:sp macro="" textlink="">
          <xdr:nvSpPr>
            <xdr:cNvPr id="67" name="Retângulo de cantos arredondados 40">
              <a:hlinkClick xmlns:r="http://schemas.openxmlformats.org/officeDocument/2006/relationships" r:id="rId8"/>
              <a:extLst>
                <a:ext uri="{FF2B5EF4-FFF2-40B4-BE49-F238E27FC236}">
                  <a16:creationId xmlns="" xmlns:a16="http://schemas.microsoft.com/office/drawing/2014/main" id="{00000000-0008-0000-0500-000043000000}"/>
                </a:ext>
              </a:extLst>
            </xdr:cNvPr>
            <xdr:cNvSpPr/>
          </xdr:nvSpPr>
          <xdr:spPr bwMode="auto">
            <a:xfrm>
              <a:off x="5927333"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00" b="0">
                  <a:solidFill>
                    <a:schemeClr val="bg1"/>
                  </a:solidFill>
                  <a:latin typeface="Calibri Light" panose="020F0302020204030204" pitchFamily="34" charset="0"/>
                  <a:cs typeface="Arial" pitchFamily="34" charset="0"/>
                </a:rPr>
                <a:t>Emissões </a:t>
              </a:r>
            </a:p>
            <a:p>
              <a:pPr algn="ctr"/>
              <a:r>
                <a:rPr lang="pt-BR" sz="800" b="0">
                  <a:solidFill>
                    <a:schemeClr val="bg1"/>
                  </a:solidFill>
                  <a:latin typeface="Calibri Light" panose="020F0302020204030204" pitchFamily="34" charset="0"/>
                  <a:cs typeface="Arial" pitchFamily="34" charset="0"/>
                </a:rPr>
                <a:t>fugitivas</a:t>
              </a:r>
            </a:p>
          </xdr:txBody>
        </xdr:sp>
        <xdr:sp macro="" textlink="">
          <xdr:nvSpPr>
            <xdr:cNvPr id="68" name="Retângulo de cantos arredondados 41">
              <a:hlinkClick xmlns:r="http://schemas.openxmlformats.org/officeDocument/2006/relationships" r:id="rId9"/>
              <a:extLst>
                <a:ext uri="{FF2B5EF4-FFF2-40B4-BE49-F238E27FC236}">
                  <a16:creationId xmlns="" xmlns:a16="http://schemas.microsoft.com/office/drawing/2014/main" id="{00000000-0008-0000-0500-000044000000}"/>
                </a:ext>
              </a:extLst>
            </xdr:cNvPr>
            <xdr:cNvSpPr/>
          </xdr:nvSpPr>
          <xdr:spPr bwMode="auto">
            <a:xfrm>
              <a:off x="6724374"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Processos</a:t>
              </a:r>
              <a:r>
                <a:rPr lang="pt-BR" sz="900" b="0" baseline="0">
                  <a:solidFill>
                    <a:schemeClr val="bg1"/>
                  </a:solidFill>
                  <a:latin typeface="Calibri Light" panose="020F0302020204030204" pitchFamily="34" charset="0"/>
                  <a:cs typeface="Arial" pitchFamily="34" charset="0"/>
                </a:rPr>
                <a:t> industriais</a:t>
              </a:r>
              <a:endParaRPr lang="pt-BR" sz="900" b="0">
                <a:solidFill>
                  <a:schemeClr val="bg1"/>
                </a:solidFill>
                <a:latin typeface="Calibri Light" panose="020F0302020204030204" pitchFamily="34" charset="0"/>
                <a:cs typeface="Arial" pitchFamily="34" charset="0"/>
              </a:endParaRPr>
            </a:p>
          </xdr:txBody>
        </xdr:sp>
        <xdr:sp macro="" textlink="">
          <xdr:nvSpPr>
            <xdr:cNvPr id="69" name="Retângulo de cantos arredondados 43">
              <a:hlinkClick xmlns:r="http://schemas.openxmlformats.org/officeDocument/2006/relationships" r:id="rId10"/>
              <a:extLst>
                <a:ext uri="{FF2B5EF4-FFF2-40B4-BE49-F238E27FC236}">
                  <a16:creationId xmlns="" xmlns:a16="http://schemas.microsoft.com/office/drawing/2014/main" id="{00000000-0008-0000-0500-000045000000}"/>
                </a:ext>
              </a:extLst>
            </xdr:cNvPr>
            <xdr:cNvSpPr/>
          </xdr:nvSpPr>
          <xdr:spPr bwMode="auto">
            <a:xfrm>
              <a:off x="8318456"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Resíduos</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sólidos</a:t>
              </a:r>
            </a:p>
          </xdr:txBody>
        </xdr:sp>
        <xdr:sp macro="" textlink="">
          <xdr:nvSpPr>
            <xdr:cNvPr id="70" name="Retângulo de cantos arredondados 44">
              <a:hlinkClick xmlns:r="http://schemas.openxmlformats.org/officeDocument/2006/relationships" r:id="rId11"/>
              <a:extLst>
                <a:ext uri="{FF2B5EF4-FFF2-40B4-BE49-F238E27FC236}">
                  <a16:creationId xmlns="" xmlns:a16="http://schemas.microsoft.com/office/drawing/2014/main" id="{00000000-0008-0000-0500-000046000000}"/>
                </a:ext>
              </a:extLst>
            </xdr:cNvPr>
            <xdr:cNvSpPr/>
          </xdr:nvSpPr>
          <xdr:spPr bwMode="auto">
            <a:xfrm>
              <a:off x="433325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lnSpc>
                  <a:spcPct val="80000"/>
                </a:lnSpc>
              </a:pPr>
              <a:r>
                <a:rPr lang="pt-BR" sz="900" b="0">
                  <a:latin typeface="Calibri Light" panose="020F0302020204030204" pitchFamily="34" charset="0"/>
                  <a:cs typeface="Arial" pitchFamily="34" charset="0"/>
                </a:rPr>
                <a:t>Compra de Energia</a:t>
              </a:r>
              <a:r>
                <a:rPr lang="pt-BR" sz="900" b="0" baseline="0">
                  <a:latin typeface="Calibri Light" panose="020F0302020204030204" pitchFamily="34" charset="0"/>
                  <a:cs typeface="Arial" pitchFamily="34" charset="0"/>
                </a:rPr>
                <a:t> Elétrica</a:t>
              </a:r>
            </a:p>
          </xdr:txBody>
        </xdr:sp>
        <xdr:sp macro="" textlink="">
          <xdr:nvSpPr>
            <xdr:cNvPr id="71" name="Retângulo de cantos arredondados 45">
              <a:hlinkClick xmlns:r="http://schemas.openxmlformats.org/officeDocument/2006/relationships" r:id="rId12"/>
              <a:extLst>
                <a:ext uri="{FF2B5EF4-FFF2-40B4-BE49-F238E27FC236}">
                  <a16:creationId xmlns="" xmlns:a16="http://schemas.microsoft.com/office/drawing/2014/main" id="{00000000-0008-0000-0500-000047000000}"/>
                </a:ext>
              </a:extLst>
            </xdr:cNvPr>
            <xdr:cNvSpPr/>
          </xdr:nvSpPr>
          <xdr:spPr bwMode="auto">
            <a:xfrm>
              <a:off x="513371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Compra de</a:t>
              </a:r>
              <a:r>
                <a:rPr lang="pt-BR" sz="900" b="0" baseline="0">
                  <a:latin typeface="Calibri Light" panose="020F0302020204030204" pitchFamily="34" charset="0"/>
                  <a:cs typeface="Arial" pitchFamily="34" charset="0"/>
                </a:rPr>
                <a:t> Energia Térmica</a:t>
              </a:r>
            </a:p>
          </xdr:txBody>
        </xdr:sp>
        <xdr:sp macro="" textlink="">
          <xdr:nvSpPr>
            <xdr:cNvPr id="72" name="Fluxograma: Processo 71">
              <a:extLst>
                <a:ext uri="{FF2B5EF4-FFF2-40B4-BE49-F238E27FC236}">
                  <a16:creationId xmlns="" xmlns:a16="http://schemas.microsoft.com/office/drawing/2014/main" id="{00000000-0008-0000-0500-000048000000}"/>
                </a:ext>
              </a:extLst>
            </xdr:cNvPr>
            <xdr:cNvSpPr/>
          </xdr:nvSpPr>
          <xdr:spPr bwMode="auto">
            <a:xfrm>
              <a:off x="3604863" y="909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2</a:t>
              </a:r>
            </a:p>
          </xdr:txBody>
        </xdr:sp>
        <xdr:sp macro="" textlink="">
          <xdr:nvSpPr>
            <xdr:cNvPr id="73" name="Fluxograma: Processo 72">
              <a:extLst>
                <a:ext uri="{FF2B5EF4-FFF2-40B4-BE49-F238E27FC236}">
                  <a16:creationId xmlns="" xmlns:a16="http://schemas.microsoft.com/office/drawing/2014/main" id="{00000000-0008-0000-0500-000049000000}"/>
                </a:ext>
              </a:extLst>
            </xdr:cNvPr>
            <xdr:cNvSpPr/>
          </xdr:nvSpPr>
          <xdr:spPr bwMode="auto">
            <a:xfrm>
              <a:off x="3604863" y="1290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3</a:t>
              </a:r>
            </a:p>
          </xdr:txBody>
        </xdr:sp>
        <xdr:sp macro="" textlink="">
          <xdr:nvSpPr>
            <xdr:cNvPr id="74" name="Retângulo de cantos arredondados 48">
              <a:hlinkClick xmlns:r="http://schemas.openxmlformats.org/officeDocument/2006/relationships" r:id="rId13"/>
              <a:extLst>
                <a:ext uri="{FF2B5EF4-FFF2-40B4-BE49-F238E27FC236}">
                  <a16:creationId xmlns="" xmlns:a16="http://schemas.microsoft.com/office/drawing/2014/main" id="{00000000-0008-0000-0500-00004A000000}"/>
                </a:ext>
              </a:extLst>
            </xdr:cNvPr>
            <xdr:cNvSpPr/>
          </xdr:nvSpPr>
          <xdr:spPr bwMode="auto">
            <a:xfrm>
              <a:off x="433325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lnSpc>
                  <a:spcPct val="80000"/>
                </a:lnSpc>
              </a:pPr>
              <a:r>
                <a:rPr lang="pt-BR" sz="900" b="0">
                  <a:solidFill>
                    <a:schemeClr val="bg1">
                      <a:lumMod val="50000"/>
                    </a:schemeClr>
                  </a:solidFill>
                  <a:latin typeface="Calibri Light" panose="020F0302020204030204" pitchFamily="34" charset="0"/>
                  <a:cs typeface="Arial" pitchFamily="34" charset="0"/>
                </a:rPr>
                <a:t>Categorias de Âmbito 3</a:t>
              </a:r>
              <a:endParaRPr lang="pt-BR" sz="900" b="0" baseline="0">
                <a:solidFill>
                  <a:schemeClr val="bg1">
                    <a:lumMod val="50000"/>
                  </a:schemeClr>
                </a:solidFill>
                <a:latin typeface="Calibri Light" panose="020F0302020204030204" pitchFamily="34" charset="0"/>
                <a:cs typeface="Arial" pitchFamily="34" charset="0"/>
              </a:endParaRPr>
            </a:p>
          </xdr:txBody>
        </xdr:sp>
        <xdr:sp macro="" textlink="">
          <xdr:nvSpPr>
            <xdr:cNvPr id="75" name="Retângulo de cantos arredondados 49">
              <a:hlinkClick xmlns:r="http://schemas.openxmlformats.org/officeDocument/2006/relationships" r:id="rId14"/>
              <a:extLst>
                <a:ext uri="{FF2B5EF4-FFF2-40B4-BE49-F238E27FC236}">
                  <a16:creationId xmlns="" xmlns:a16="http://schemas.microsoft.com/office/drawing/2014/main" id="{00000000-0008-0000-0500-00004B000000}"/>
                </a:ext>
              </a:extLst>
            </xdr:cNvPr>
            <xdr:cNvSpPr/>
          </xdr:nvSpPr>
          <xdr:spPr bwMode="auto">
            <a:xfrm>
              <a:off x="5925918"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Resíduos sólidos gerados na operação</a:t>
              </a:r>
            </a:p>
          </xdr:txBody>
        </xdr:sp>
        <xdr:sp macro="" textlink="">
          <xdr:nvSpPr>
            <xdr:cNvPr id="76" name="Retângulo de cantos arredondados 50">
              <a:hlinkClick xmlns:r="http://schemas.openxmlformats.org/officeDocument/2006/relationships" r:id="rId15"/>
              <a:extLst>
                <a:ext uri="{FF2B5EF4-FFF2-40B4-BE49-F238E27FC236}">
                  <a16:creationId xmlns="" xmlns:a16="http://schemas.microsoft.com/office/drawing/2014/main" id="{00000000-0008-0000-0500-00004C000000}"/>
                </a:ext>
              </a:extLst>
            </xdr:cNvPr>
            <xdr:cNvSpPr/>
          </xdr:nvSpPr>
          <xdr:spPr bwMode="auto">
            <a:xfrm>
              <a:off x="6722959"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Efluentes gerados na operação</a:t>
              </a:r>
            </a:p>
          </xdr:txBody>
        </xdr:sp>
        <xdr:sp macro="" textlink="">
          <xdr:nvSpPr>
            <xdr:cNvPr id="77" name="Retângulo de cantos arredondados 51">
              <a:hlinkClick xmlns:r="http://schemas.openxmlformats.org/officeDocument/2006/relationships" r:id="rId16"/>
              <a:extLst>
                <a:ext uri="{FF2B5EF4-FFF2-40B4-BE49-F238E27FC236}">
                  <a16:creationId xmlns="" xmlns:a16="http://schemas.microsoft.com/office/drawing/2014/main" id="{00000000-0008-0000-0500-00004D000000}"/>
                </a:ext>
              </a:extLst>
            </xdr:cNvPr>
            <xdr:cNvSpPr/>
          </xdr:nvSpPr>
          <xdr:spPr bwMode="auto">
            <a:xfrm>
              <a:off x="831704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(downstream)</a:t>
              </a:r>
            </a:p>
          </xdr:txBody>
        </xdr:sp>
        <xdr:sp macro="" textlink="">
          <xdr:nvSpPr>
            <xdr:cNvPr id="78" name="Retângulo de cantos arredondados 52">
              <a:hlinkClick xmlns:r="http://schemas.openxmlformats.org/officeDocument/2006/relationships" r:id="rId17"/>
              <a:extLst>
                <a:ext uri="{FF2B5EF4-FFF2-40B4-BE49-F238E27FC236}">
                  <a16:creationId xmlns="" xmlns:a16="http://schemas.microsoft.com/office/drawing/2014/main" id="{00000000-0008-0000-0500-00004E000000}"/>
                </a:ext>
              </a:extLst>
            </xdr:cNvPr>
            <xdr:cNvSpPr/>
          </xdr:nvSpPr>
          <xdr:spPr bwMode="auto">
            <a:xfrm>
              <a:off x="5135994" y="1228723"/>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(upstream)</a:t>
              </a:r>
            </a:p>
          </xdr:txBody>
        </xdr:sp>
        <xdr:sp macro="" textlink="">
          <xdr:nvSpPr>
            <xdr:cNvPr id="79" name="Retângulo de cantos arredondados 54">
              <a:hlinkClick xmlns:r="http://schemas.openxmlformats.org/officeDocument/2006/relationships" r:id="rId18"/>
              <a:extLst>
                <a:ext uri="{FF2B5EF4-FFF2-40B4-BE49-F238E27FC236}">
                  <a16:creationId xmlns="" xmlns:a16="http://schemas.microsoft.com/office/drawing/2014/main" id="{00000000-0008-0000-0500-00004F000000}"/>
                </a:ext>
              </a:extLst>
            </xdr:cNvPr>
            <xdr:cNvSpPr/>
          </xdr:nvSpPr>
          <xdr:spPr bwMode="auto">
            <a:xfrm>
              <a:off x="9115497"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Efluentes</a:t>
              </a:r>
            </a:p>
          </xdr:txBody>
        </xdr:sp>
        <xdr:sp macro="" textlink="">
          <xdr:nvSpPr>
            <xdr:cNvPr id="80" name="Retângulo de cantos arredondados 56">
              <a:hlinkClick xmlns:r="http://schemas.openxmlformats.org/officeDocument/2006/relationships" r:id="rId19"/>
              <a:extLst>
                <a:ext uri="{FF2B5EF4-FFF2-40B4-BE49-F238E27FC236}">
                  <a16:creationId xmlns="" xmlns:a16="http://schemas.microsoft.com/office/drawing/2014/main" id="{00000000-0008-0000-0500-000050000000}"/>
                </a:ext>
              </a:extLst>
            </xdr:cNvPr>
            <xdr:cNvSpPr/>
          </xdr:nvSpPr>
          <xdr:spPr bwMode="auto">
            <a:xfrm>
              <a:off x="7526519"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Conversão de unidades</a:t>
              </a:r>
            </a:p>
          </xdr:txBody>
        </xdr:sp>
        <xdr:sp macro="" textlink="">
          <xdr:nvSpPr>
            <xdr:cNvPr id="81" name="Retângulo de cantos arredondados 58">
              <a:hlinkClick xmlns:r="http://schemas.openxmlformats.org/officeDocument/2006/relationships" r:id="rId20"/>
              <a:extLst>
                <a:ext uri="{FF2B5EF4-FFF2-40B4-BE49-F238E27FC236}">
                  <a16:creationId xmlns="" xmlns:a16="http://schemas.microsoft.com/office/drawing/2014/main" id="{00000000-0008-0000-0500-000051000000}"/>
                </a:ext>
              </a:extLst>
            </xdr:cNvPr>
            <xdr:cNvSpPr/>
          </xdr:nvSpPr>
          <xdr:spPr bwMode="auto">
            <a:xfrm>
              <a:off x="7520000"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r>
                <a:rPr lang="pt-BR" sz="900" b="0">
                  <a:solidFill>
                    <a:schemeClr val="bg1">
                      <a:lumMod val="50000"/>
                    </a:schemeClr>
                  </a:solidFill>
                  <a:latin typeface="Calibri Light" panose="020F0302020204030204" pitchFamily="34" charset="0"/>
                  <a:cs typeface="Arial" pitchFamily="34" charset="0"/>
                </a:rPr>
                <a:t>Viagens a negócios</a:t>
              </a:r>
            </a:p>
          </xdr:txBody>
        </xdr:sp>
        <xdr:sp macro="" textlink="">
          <xdr:nvSpPr>
            <xdr:cNvPr id="82" name="Fluxograma: Processo 59">
              <a:extLst>
                <a:ext uri="{FF2B5EF4-FFF2-40B4-BE49-F238E27FC236}">
                  <a16:creationId xmlns="" xmlns:a16="http://schemas.microsoft.com/office/drawing/2014/main" id="{00000000-0008-0000-0500-000052000000}"/>
                </a:ext>
              </a:extLst>
            </xdr:cNvPr>
            <xdr:cNvSpPr/>
          </xdr:nvSpPr>
          <xdr:spPr bwMode="auto">
            <a:xfrm>
              <a:off x="3604863" y="156702"/>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Geral</a:t>
              </a:r>
            </a:p>
          </xdr:txBody>
        </xdr:sp>
      </xdr:grpSp>
      <xdr:sp macro="" textlink="">
        <xdr:nvSpPr>
          <xdr:cNvPr id="58" name="Retângulo de cantos arredondados 37">
            <a:hlinkClick xmlns:r="http://schemas.openxmlformats.org/officeDocument/2006/relationships" r:id="rId2"/>
            <a:extLst>
              <a:ext uri="{FF2B5EF4-FFF2-40B4-BE49-F238E27FC236}">
                <a16:creationId xmlns="" xmlns:a16="http://schemas.microsoft.com/office/drawing/2014/main" id="{00000000-0008-0000-0500-00003A000000}"/>
              </a:ext>
            </a:extLst>
          </xdr:cNvPr>
          <xdr:cNvSpPr/>
        </xdr:nvSpPr>
        <xdr:spPr bwMode="auto">
          <a:xfrm>
            <a:off x="4696884" y="162983"/>
            <a:ext cx="774700" cy="31873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sp macro="" textlink="">
        <xdr:nvSpPr>
          <xdr:cNvPr id="59" name="Retângulo de cantos arredondados 42">
            <a:hlinkClick xmlns:r="http://schemas.openxmlformats.org/officeDocument/2006/relationships" r:id="rId21"/>
            <a:extLst>
              <a:ext uri="{FF2B5EF4-FFF2-40B4-BE49-F238E27FC236}">
                <a16:creationId xmlns="" xmlns:a16="http://schemas.microsoft.com/office/drawing/2014/main" id="{00000000-0008-0000-0500-00003B000000}"/>
              </a:ext>
            </a:extLst>
          </xdr:cNvPr>
          <xdr:cNvSpPr/>
        </xdr:nvSpPr>
        <xdr:spPr bwMode="auto">
          <a:xfrm>
            <a:off x="7125758" y="522817"/>
            <a:ext cx="758825" cy="318738"/>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50" b="0">
                <a:solidFill>
                  <a:schemeClr val="bg1"/>
                </a:solidFill>
                <a:latin typeface="Calibri Light" panose="020F0302020204030204" pitchFamily="34" charset="0"/>
                <a:cs typeface="Arial" pitchFamily="34" charset="0"/>
              </a:rPr>
              <a:t>Agrícolas e alt. do uso do solo</a:t>
            </a:r>
            <a:endParaRPr lang="pt-BR" sz="850" b="0" baseline="0">
              <a:solidFill>
                <a:schemeClr val="bg1"/>
              </a:solidFill>
              <a:latin typeface="Calibri Light" panose="020F0302020204030204" pitchFamily="34" charset="0"/>
              <a:cs typeface="Arial" pitchFamily="34" charset="0"/>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42334</xdr:rowOff>
    </xdr:from>
    <xdr:to>
      <xdr:col>2</xdr:col>
      <xdr:colOff>2051002</xdr:colOff>
      <xdr:row>6</xdr:row>
      <xdr:rowOff>74084</xdr:rowOff>
    </xdr:to>
    <xdr:pic>
      <xdr:nvPicPr>
        <xdr:cNvPr id="28" name="Imagem 27">
          <a:extLst>
            <a:ext uri="{FF2B5EF4-FFF2-40B4-BE49-F238E27FC236}">
              <a16:creationId xmlns=""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42334"/>
          <a:ext cx="3045835" cy="1174750"/>
        </a:xfrm>
        <a:prstGeom prst="rect">
          <a:avLst/>
        </a:prstGeom>
      </xdr:spPr>
    </xdr:pic>
    <xdr:clientData/>
  </xdr:twoCellAnchor>
  <xdr:twoCellAnchor>
    <xdr:from>
      <xdr:col>3</xdr:col>
      <xdr:colOff>1513416</xdr:colOff>
      <xdr:row>0</xdr:row>
      <xdr:rowOff>95250</xdr:rowOff>
    </xdr:from>
    <xdr:to>
      <xdr:col>3</xdr:col>
      <xdr:colOff>2271241</xdr:colOff>
      <xdr:row>2</xdr:row>
      <xdr:rowOff>39338</xdr:rowOff>
    </xdr:to>
    <xdr:sp macro="" textlink="">
      <xdr:nvSpPr>
        <xdr:cNvPr id="29" name="Retângulo de cantos arredondados 37">
          <a:hlinkClick xmlns:r="http://schemas.openxmlformats.org/officeDocument/2006/relationships" r:id="rId2"/>
          <a:extLst>
            <a:ext uri="{FF2B5EF4-FFF2-40B4-BE49-F238E27FC236}">
              <a16:creationId xmlns="" xmlns:a16="http://schemas.microsoft.com/office/drawing/2014/main" id="{00000000-0008-0000-0600-00001D000000}"/>
            </a:ext>
          </a:extLst>
        </xdr:cNvPr>
        <xdr:cNvSpPr/>
      </xdr:nvSpPr>
      <xdr:spPr bwMode="auto">
        <a:xfrm>
          <a:off x="4815416" y="95250"/>
          <a:ext cx="757825" cy="32508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clientData/>
  </xdr:twoCellAnchor>
  <xdr:twoCellAnchor>
    <xdr:from>
      <xdr:col>3</xdr:col>
      <xdr:colOff>0</xdr:colOff>
      <xdr:row>0</xdr:row>
      <xdr:rowOff>21167</xdr:rowOff>
    </xdr:from>
    <xdr:to>
      <xdr:col>7</xdr:col>
      <xdr:colOff>521198</xdr:colOff>
      <xdr:row>8</xdr:row>
      <xdr:rowOff>247793</xdr:rowOff>
    </xdr:to>
    <xdr:grpSp>
      <xdr:nvGrpSpPr>
        <xdr:cNvPr id="30" name="Grupo 29">
          <a:extLst>
            <a:ext uri="{FF2B5EF4-FFF2-40B4-BE49-F238E27FC236}">
              <a16:creationId xmlns="" xmlns:a16="http://schemas.microsoft.com/office/drawing/2014/main" id="{00000000-0008-0000-0600-00001E000000}"/>
            </a:ext>
          </a:extLst>
        </xdr:cNvPr>
        <xdr:cNvGrpSpPr/>
      </xdr:nvGrpSpPr>
      <xdr:grpSpPr>
        <a:xfrm>
          <a:off x="3292929" y="21167"/>
          <a:ext cx="7270340" cy="1750626"/>
          <a:chOff x="3069167" y="114300"/>
          <a:chExt cx="7283948" cy="1549543"/>
        </a:xfrm>
      </xdr:grpSpPr>
      <xdr:grpSp>
        <xdr:nvGrpSpPr>
          <xdr:cNvPr id="33" name="Group 32">
            <a:extLst>
              <a:ext uri="{FF2B5EF4-FFF2-40B4-BE49-F238E27FC236}">
                <a16:creationId xmlns="" xmlns:a16="http://schemas.microsoft.com/office/drawing/2014/main" id="{00000000-0008-0000-0600-000021000000}"/>
              </a:ext>
            </a:extLst>
          </xdr:cNvPr>
          <xdr:cNvGrpSpPr/>
        </xdr:nvGrpSpPr>
        <xdr:grpSpPr>
          <a:xfrm>
            <a:off x="3069167" y="114300"/>
            <a:ext cx="7283948" cy="1549543"/>
            <a:chOff x="3514726" y="52774"/>
            <a:chExt cx="7219950" cy="1576001"/>
          </a:xfrm>
        </xdr:grpSpPr>
        <xdr:sp macro="" textlink="">
          <xdr:nvSpPr>
            <xdr:cNvPr id="60" name="Fluxograma: Processo 59">
              <a:extLst>
                <a:ext uri="{FF2B5EF4-FFF2-40B4-BE49-F238E27FC236}">
                  <a16:creationId xmlns="" xmlns:a16="http://schemas.microsoft.com/office/drawing/2014/main" id="{00000000-0008-0000-0600-00003C000000}"/>
                </a:ext>
              </a:extLst>
            </xdr:cNvPr>
            <xdr:cNvSpPr>
              <a:spLocks noChangeArrowheads="1"/>
            </xdr:cNvSpPr>
          </xdr:nvSpPr>
          <xdr:spPr bwMode="auto">
            <a:xfrm>
              <a:off x="3514726" y="52774"/>
              <a:ext cx="7219950" cy="1576001"/>
            </a:xfrm>
            <a:prstGeom prst="flowChartProcess">
              <a:avLst/>
            </a:prstGeom>
            <a:solidFill>
              <a:schemeClr val="accent1">
                <a:lumMod val="20000"/>
                <a:lumOff val="80000"/>
              </a:schemeClr>
            </a:solidFill>
            <a:ln w="19050" algn="ctr">
              <a:solidFill>
                <a:schemeClr val="accent1"/>
              </a:solidFill>
              <a:round/>
              <a:headEnd/>
              <a:tailEnd/>
            </a:ln>
            <a:effectLst/>
          </xdr:spPr>
          <xdr:txBody>
            <a:bodyPr/>
            <a:lstStyle/>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r>
                <a:rPr lang="pt-BR" sz="1400" b="1">
                  <a:latin typeface="Calibri Light" panose="020F0302020204030204" pitchFamily="34" charset="0"/>
                </a:rPr>
                <a:t>Menu de </a:t>
              </a:r>
            </a:p>
            <a:p>
              <a:pPr algn="r"/>
              <a:r>
                <a:rPr lang="pt-BR" sz="1400" b="1">
                  <a:latin typeface="Calibri Light" panose="020F0302020204030204" pitchFamily="34" charset="0"/>
                </a:rPr>
                <a:t>navegação</a:t>
              </a:r>
            </a:p>
          </xdr:txBody>
        </xdr:sp>
        <xdr:sp macro="" textlink="">
          <xdr:nvSpPr>
            <xdr:cNvPr id="61" name="Retângulo de cantos arredondados 34">
              <a:hlinkClick xmlns:r="http://schemas.openxmlformats.org/officeDocument/2006/relationships" r:id="rId3"/>
              <a:extLst>
                <a:ext uri="{FF2B5EF4-FFF2-40B4-BE49-F238E27FC236}">
                  <a16:creationId xmlns="" xmlns:a16="http://schemas.microsoft.com/office/drawing/2014/main" id="{00000000-0008-0000-0600-00003D000000}"/>
                </a:ext>
              </a:extLst>
            </xdr:cNvPr>
            <xdr:cNvSpPr/>
          </xdr:nvSpPr>
          <xdr:spPr bwMode="auto">
            <a:xfrm>
              <a:off x="4333251"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Introdução</a:t>
              </a:r>
            </a:p>
          </xdr:txBody>
        </xdr:sp>
        <xdr:sp macro="" textlink="">
          <xdr:nvSpPr>
            <xdr:cNvPr id="62" name="Retângulo de cantos arredondados 35">
              <a:hlinkClick xmlns:r="http://schemas.openxmlformats.org/officeDocument/2006/relationships" r:id="rId4"/>
              <a:extLst>
                <a:ext uri="{FF2B5EF4-FFF2-40B4-BE49-F238E27FC236}">
                  <a16:creationId xmlns="" xmlns:a16="http://schemas.microsoft.com/office/drawing/2014/main" id="{00000000-0008-0000-0600-00003E000000}"/>
                </a:ext>
              </a:extLst>
            </xdr:cNvPr>
            <xdr:cNvSpPr/>
          </xdr:nvSpPr>
          <xdr:spPr bwMode="auto">
            <a:xfrm>
              <a:off x="4333251"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lnSpc>
                  <a:spcPct val="80000"/>
                </a:lnSpc>
              </a:pPr>
              <a:r>
                <a:rPr lang="pt-BR" sz="900" b="0">
                  <a:solidFill>
                    <a:schemeClr val="bg1"/>
                  </a:solidFill>
                  <a:latin typeface="Calibri Light" panose="020F0302020204030204" pitchFamily="34" charset="0"/>
                  <a:cs typeface="Arial" pitchFamily="34" charset="0"/>
                </a:rPr>
                <a:t>Combustão</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estacionária</a:t>
              </a:r>
            </a:p>
          </xdr:txBody>
        </xdr:sp>
        <xdr:sp macro="" textlink="">
          <xdr:nvSpPr>
            <xdr:cNvPr id="63" name="Retângulo de cantos arredondados 36">
              <a:hlinkClick xmlns:r="http://schemas.openxmlformats.org/officeDocument/2006/relationships" r:id="rId5"/>
              <a:extLst>
                <a:ext uri="{FF2B5EF4-FFF2-40B4-BE49-F238E27FC236}">
                  <a16:creationId xmlns="" xmlns:a16="http://schemas.microsoft.com/office/drawing/2014/main" id="{00000000-0008-0000-0600-00003F000000}"/>
                </a:ext>
              </a:extLst>
            </xdr:cNvPr>
            <xdr:cNvSpPr/>
          </xdr:nvSpPr>
          <xdr:spPr bwMode="auto">
            <a:xfrm>
              <a:off x="5130292"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Combustão </a:t>
              </a:r>
            </a:p>
            <a:p>
              <a:pPr algn="ctr"/>
              <a:r>
                <a:rPr lang="pt-BR" sz="900" b="0">
                  <a:solidFill>
                    <a:schemeClr val="bg1"/>
                  </a:solidFill>
                  <a:latin typeface="Calibri Light" panose="020F0302020204030204" pitchFamily="34" charset="0"/>
                  <a:cs typeface="Arial" pitchFamily="34" charset="0"/>
                </a:rPr>
                <a:t>móvel</a:t>
              </a:r>
            </a:p>
          </xdr:txBody>
        </xdr:sp>
        <xdr:sp macro="" textlink="">
          <xdr:nvSpPr>
            <xdr:cNvPr id="64" name="Retângulo de cantos arredondados 37">
              <a:hlinkClick xmlns:r="http://schemas.openxmlformats.org/officeDocument/2006/relationships" r:id="rId6"/>
              <a:extLst>
                <a:ext uri="{FF2B5EF4-FFF2-40B4-BE49-F238E27FC236}">
                  <a16:creationId xmlns="" xmlns:a16="http://schemas.microsoft.com/office/drawing/2014/main" id="{00000000-0008-0000-0600-000040000000}"/>
                </a:ext>
              </a:extLst>
            </xdr:cNvPr>
            <xdr:cNvSpPr/>
          </xdr:nvSpPr>
          <xdr:spPr bwMode="auto">
            <a:xfrm>
              <a:off x="5932663"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Resumo</a:t>
              </a:r>
            </a:p>
          </xdr:txBody>
        </xdr:sp>
        <xdr:sp macro="" textlink="">
          <xdr:nvSpPr>
            <xdr:cNvPr id="65" name="Retângulo de cantos arredondados 38">
              <a:hlinkClick xmlns:r="http://schemas.openxmlformats.org/officeDocument/2006/relationships" r:id="rId7"/>
              <a:extLst>
                <a:ext uri="{FF2B5EF4-FFF2-40B4-BE49-F238E27FC236}">
                  <a16:creationId xmlns="" xmlns:a16="http://schemas.microsoft.com/office/drawing/2014/main" id="{00000000-0008-0000-0600-000041000000}"/>
                </a:ext>
              </a:extLst>
            </xdr:cNvPr>
            <xdr:cNvSpPr/>
          </xdr:nvSpPr>
          <xdr:spPr bwMode="auto">
            <a:xfrm>
              <a:off x="6719145"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Fatores </a:t>
              </a:r>
            </a:p>
            <a:p>
              <a:pPr algn="ctr"/>
              <a:r>
                <a:rPr lang="pt-BR" sz="900" b="0">
                  <a:latin typeface="Calibri Light" panose="020F0302020204030204" pitchFamily="34" charset="0"/>
                  <a:cs typeface="Arial" pitchFamily="34" charset="0"/>
                </a:rPr>
                <a:t>de emissão</a:t>
              </a:r>
            </a:p>
          </xdr:txBody>
        </xdr:sp>
        <xdr:sp macro="" textlink="">
          <xdr:nvSpPr>
            <xdr:cNvPr id="66" name="Fluxograma: Processo 65">
              <a:extLst>
                <a:ext uri="{FF2B5EF4-FFF2-40B4-BE49-F238E27FC236}">
                  <a16:creationId xmlns="" xmlns:a16="http://schemas.microsoft.com/office/drawing/2014/main" id="{00000000-0008-0000-0600-000042000000}"/>
                </a:ext>
              </a:extLst>
            </xdr:cNvPr>
            <xdr:cNvSpPr/>
          </xdr:nvSpPr>
          <xdr:spPr bwMode="auto">
            <a:xfrm>
              <a:off x="3604863" y="528178"/>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1</a:t>
              </a:r>
            </a:p>
          </xdr:txBody>
        </xdr:sp>
        <xdr:sp macro="" textlink="">
          <xdr:nvSpPr>
            <xdr:cNvPr id="67" name="Retângulo de cantos arredondados 40">
              <a:hlinkClick xmlns:r="http://schemas.openxmlformats.org/officeDocument/2006/relationships" r:id="rId8"/>
              <a:extLst>
                <a:ext uri="{FF2B5EF4-FFF2-40B4-BE49-F238E27FC236}">
                  <a16:creationId xmlns="" xmlns:a16="http://schemas.microsoft.com/office/drawing/2014/main" id="{00000000-0008-0000-0600-000043000000}"/>
                </a:ext>
              </a:extLst>
            </xdr:cNvPr>
            <xdr:cNvSpPr/>
          </xdr:nvSpPr>
          <xdr:spPr bwMode="auto">
            <a:xfrm>
              <a:off x="5927333"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00" b="0">
                  <a:solidFill>
                    <a:schemeClr val="bg1"/>
                  </a:solidFill>
                  <a:latin typeface="Calibri Light" panose="020F0302020204030204" pitchFamily="34" charset="0"/>
                  <a:cs typeface="Arial" pitchFamily="34" charset="0"/>
                </a:rPr>
                <a:t>Emissões </a:t>
              </a:r>
            </a:p>
            <a:p>
              <a:pPr algn="ctr"/>
              <a:r>
                <a:rPr lang="pt-BR" sz="800" b="0">
                  <a:solidFill>
                    <a:schemeClr val="bg1"/>
                  </a:solidFill>
                  <a:latin typeface="Calibri Light" panose="020F0302020204030204" pitchFamily="34" charset="0"/>
                  <a:cs typeface="Arial" pitchFamily="34" charset="0"/>
                </a:rPr>
                <a:t>fugitivas</a:t>
              </a:r>
            </a:p>
          </xdr:txBody>
        </xdr:sp>
        <xdr:sp macro="" textlink="">
          <xdr:nvSpPr>
            <xdr:cNvPr id="68" name="Retângulo de cantos arredondados 41">
              <a:hlinkClick xmlns:r="http://schemas.openxmlformats.org/officeDocument/2006/relationships" r:id="rId9"/>
              <a:extLst>
                <a:ext uri="{FF2B5EF4-FFF2-40B4-BE49-F238E27FC236}">
                  <a16:creationId xmlns="" xmlns:a16="http://schemas.microsoft.com/office/drawing/2014/main" id="{00000000-0008-0000-0600-000044000000}"/>
                </a:ext>
              </a:extLst>
            </xdr:cNvPr>
            <xdr:cNvSpPr/>
          </xdr:nvSpPr>
          <xdr:spPr bwMode="auto">
            <a:xfrm>
              <a:off x="6724374"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Processos</a:t>
              </a:r>
              <a:r>
                <a:rPr lang="pt-BR" sz="900" b="0" baseline="0">
                  <a:solidFill>
                    <a:schemeClr val="bg1"/>
                  </a:solidFill>
                  <a:latin typeface="Calibri Light" panose="020F0302020204030204" pitchFamily="34" charset="0"/>
                  <a:cs typeface="Arial" pitchFamily="34" charset="0"/>
                </a:rPr>
                <a:t> industriais</a:t>
              </a:r>
              <a:endParaRPr lang="pt-BR" sz="900" b="0">
                <a:solidFill>
                  <a:schemeClr val="bg1"/>
                </a:solidFill>
                <a:latin typeface="Calibri Light" panose="020F0302020204030204" pitchFamily="34" charset="0"/>
                <a:cs typeface="Arial" pitchFamily="34" charset="0"/>
              </a:endParaRPr>
            </a:p>
          </xdr:txBody>
        </xdr:sp>
        <xdr:sp macro="" textlink="">
          <xdr:nvSpPr>
            <xdr:cNvPr id="69" name="Retângulo de cantos arredondados 43">
              <a:hlinkClick xmlns:r="http://schemas.openxmlformats.org/officeDocument/2006/relationships" r:id="rId10"/>
              <a:extLst>
                <a:ext uri="{FF2B5EF4-FFF2-40B4-BE49-F238E27FC236}">
                  <a16:creationId xmlns="" xmlns:a16="http://schemas.microsoft.com/office/drawing/2014/main" id="{00000000-0008-0000-0600-000045000000}"/>
                </a:ext>
              </a:extLst>
            </xdr:cNvPr>
            <xdr:cNvSpPr/>
          </xdr:nvSpPr>
          <xdr:spPr bwMode="auto">
            <a:xfrm>
              <a:off x="8318456"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Resíduos</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sólidos</a:t>
              </a:r>
            </a:p>
          </xdr:txBody>
        </xdr:sp>
        <xdr:sp macro="" textlink="">
          <xdr:nvSpPr>
            <xdr:cNvPr id="70" name="Retângulo de cantos arredondados 44">
              <a:hlinkClick xmlns:r="http://schemas.openxmlformats.org/officeDocument/2006/relationships" r:id="rId11"/>
              <a:extLst>
                <a:ext uri="{FF2B5EF4-FFF2-40B4-BE49-F238E27FC236}">
                  <a16:creationId xmlns="" xmlns:a16="http://schemas.microsoft.com/office/drawing/2014/main" id="{00000000-0008-0000-0600-000046000000}"/>
                </a:ext>
              </a:extLst>
            </xdr:cNvPr>
            <xdr:cNvSpPr/>
          </xdr:nvSpPr>
          <xdr:spPr bwMode="auto">
            <a:xfrm>
              <a:off x="433325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lnSpc>
                  <a:spcPct val="80000"/>
                </a:lnSpc>
              </a:pPr>
              <a:r>
                <a:rPr lang="pt-BR" sz="900" b="0">
                  <a:latin typeface="Calibri Light" panose="020F0302020204030204" pitchFamily="34" charset="0"/>
                  <a:cs typeface="Arial" pitchFamily="34" charset="0"/>
                </a:rPr>
                <a:t>Compra de Energia</a:t>
              </a:r>
              <a:r>
                <a:rPr lang="pt-BR" sz="900" b="0" baseline="0">
                  <a:latin typeface="Calibri Light" panose="020F0302020204030204" pitchFamily="34" charset="0"/>
                  <a:cs typeface="Arial" pitchFamily="34" charset="0"/>
                </a:rPr>
                <a:t> Elétrica</a:t>
              </a:r>
            </a:p>
          </xdr:txBody>
        </xdr:sp>
        <xdr:sp macro="" textlink="">
          <xdr:nvSpPr>
            <xdr:cNvPr id="71" name="Retângulo de cantos arredondados 45">
              <a:hlinkClick xmlns:r="http://schemas.openxmlformats.org/officeDocument/2006/relationships" r:id="rId12"/>
              <a:extLst>
                <a:ext uri="{FF2B5EF4-FFF2-40B4-BE49-F238E27FC236}">
                  <a16:creationId xmlns="" xmlns:a16="http://schemas.microsoft.com/office/drawing/2014/main" id="{00000000-0008-0000-0600-000047000000}"/>
                </a:ext>
              </a:extLst>
            </xdr:cNvPr>
            <xdr:cNvSpPr/>
          </xdr:nvSpPr>
          <xdr:spPr bwMode="auto">
            <a:xfrm>
              <a:off x="513371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Compra de</a:t>
              </a:r>
              <a:r>
                <a:rPr lang="pt-BR" sz="900" b="0" baseline="0">
                  <a:latin typeface="Calibri Light" panose="020F0302020204030204" pitchFamily="34" charset="0"/>
                  <a:cs typeface="Arial" pitchFamily="34" charset="0"/>
                </a:rPr>
                <a:t> Energia Térmica</a:t>
              </a:r>
            </a:p>
          </xdr:txBody>
        </xdr:sp>
        <xdr:sp macro="" textlink="">
          <xdr:nvSpPr>
            <xdr:cNvPr id="72" name="Fluxograma: Processo 71">
              <a:extLst>
                <a:ext uri="{FF2B5EF4-FFF2-40B4-BE49-F238E27FC236}">
                  <a16:creationId xmlns="" xmlns:a16="http://schemas.microsoft.com/office/drawing/2014/main" id="{00000000-0008-0000-0600-000048000000}"/>
                </a:ext>
              </a:extLst>
            </xdr:cNvPr>
            <xdr:cNvSpPr/>
          </xdr:nvSpPr>
          <xdr:spPr bwMode="auto">
            <a:xfrm>
              <a:off x="3604863" y="909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2</a:t>
              </a:r>
            </a:p>
          </xdr:txBody>
        </xdr:sp>
        <xdr:sp macro="" textlink="">
          <xdr:nvSpPr>
            <xdr:cNvPr id="73" name="Fluxograma: Processo 72">
              <a:extLst>
                <a:ext uri="{FF2B5EF4-FFF2-40B4-BE49-F238E27FC236}">
                  <a16:creationId xmlns="" xmlns:a16="http://schemas.microsoft.com/office/drawing/2014/main" id="{00000000-0008-0000-0600-000049000000}"/>
                </a:ext>
              </a:extLst>
            </xdr:cNvPr>
            <xdr:cNvSpPr/>
          </xdr:nvSpPr>
          <xdr:spPr bwMode="auto">
            <a:xfrm>
              <a:off x="3604863" y="1290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3</a:t>
              </a:r>
            </a:p>
          </xdr:txBody>
        </xdr:sp>
        <xdr:sp macro="" textlink="">
          <xdr:nvSpPr>
            <xdr:cNvPr id="74" name="Retângulo de cantos arredondados 48">
              <a:hlinkClick xmlns:r="http://schemas.openxmlformats.org/officeDocument/2006/relationships" r:id="rId13"/>
              <a:extLst>
                <a:ext uri="{FF2B5EF4-FFF2-40B4-BE49-F238E27FC236}">
                  <a16:creationId xmlns="" xmlns:a16="http://schemas.microsoft.com/office/drawing/2014/main" id="{00000000-0008-0000-0600-00004A000000}"/>
                </a:ext>
              </a:extLst>
            </xdr:cNvPr>
            <xdr:cNvSpPr/>
          </xdr:nvSpPr>
          <xdr:spPr bwMode="auto">
            <a:xfrm>
              <a:off x="433325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lnSpc>
                  <a:spcPct val="80000"/>
                </a:lnSpc>
              </a:pPr>
              <a:r>
                <a:rPr lang="pt-BR" sz="900" b="0">
                  <a:solidFill>
                    <a:schemeClr val="bg1">
                      <a:lumMod val="50000"/>
                    </a:schemeClr>
                  </a:solidFill>
                  <a:latin typeface="Calibri Light" panose="020F0302020204030204" pitchFamily="34" charset="0"/>
                  <a:cs typeface="Arial" pitchFamily="34" charset="0"/>
                </a:rPr>
                <a:t>Categorias de Âmbito 3</a:t>
              </a:r>
              <a:endParaRPr lang="pt-BR" sz="900" b="0" baseline="0">
                <a:solidFill>
                  <a:schemeClr val="bg1">
                    <a:lumMod val="50000"/>
                  </a:schemeClr>
                </a:solidFill>
                <a:latin typeface="Calibri Light" panose="020F0302020204030204" pitchFamily="34" charset="0"/>
                <a:cs typeface="Arial" pitchFamily="34" charset="0"/>
              </a:endParaRPr>
            </a:p>
          </xdr:txBody>
        </xdr:sp>
        <xdr:sp macro="" textlink="">
          <xdr:nvSpPr>
            <xdr:cNvPr id="75" name="Retângulo de cantos arredondados 49">
              <a:hlinkClick xmlns:r="http://schemas.openxmlformats.org/officeDocument/2006/relationships" r:id="rId14"/>
              <a:extLst>
                <a:ext uri="{FF2B5EF4-FFF2-40B4-BE49-F238E27FC236}">
                  <a16:creationId xmlns="" xmlns:a16="http://schemas.microsoft.com/office/drawing/2014/main" id="{00000000-0008-0000-0600-00004B000000}"/>
                </a:ext>
              </a:extLst>
            </xdr:cNvPr>
            <xdr:cNvSpPr/>
          </xdr:nvSpPr>
          <xdr:spPr bwMode="auto">
            <a:xfrm>
              <a:off x="5925918"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Resíduos sólidos gerados na operação</a:t>
              </a:r>
            </a:p>
          </xdr:txBody>
        </xdr:sp>
        <xdr:sp macro="" textlink="">
          <xdr:nvSpPr>
            <xdr:cNvPr id="76" name="Retângulo de cantos arredondados 50">
              <a:hlinkClick xmlns:r="http://schemas.openxmlformats.org/officeDocument/2006/relationships" r:id="rId15"/>
              <a:extLst>
                <a:ext uri="{FF2B5EF4-FFF2-40B4-BE49-F238E27FC236}">
                  <a16:creationId xmlns="" xmlns:a16="http://schemas.microsoft.com/office/drawing/2014/main" id="{00000000-0008-0000-0600-00004C000000}"/>
                </a:ext>
              </a:extLst>
            </xdr:cNvPr>
            <xdr:cNvSpPr/>
          </xdr:nvSpPr>
          <xdr:spPr bwMode="auto">
            <a:xfrm>
              <a:off x="6722959"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Efluentes gerados na operação</a:t>
              </a:r>
            </a:p>
          </xdr:txBody>
        </xdr:sp>
        <xdr:sp macro="" textlink="">
          <xdr:nvSpPr>
            <xdr:cNvPr id="77" name="Retângulo de cantos arredondados 51">
              <a:hlinkClick xmlns:r="http://schemas.openxmlformats.org/officeDocument/2006/relationships" r:id="rId16"/>
              <a:extLst>
                <a:ext uri="{FF2B5EF4-FFF2-40B4-BE49-F238E27FC236}">
                  <a16:creationId xmlns="" xmlns:a16="http://schemas.microsoft.com/office/drawing/2014/main" id="{00000000-0008-0000-0600-00004D000000}"/>
                </a:ext>
              </a:extLst>
            </xdr:cNvPr>
            <xdr:cNvSpPr/>
          </xdr:nvSpPr>
          <xdr:spPr bwMode="auto">
            <a:xfrm>
              <a:off x="831704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(downstream)</a:t>
              </a:r>
            </a:p>
          </xdr:txBody>
        </xdr:sp>
        <xdr:sp macro="" textlink="">
          <xdr:nvSpPr>
            <xdr:cNvPr id="78" name="Retângulo de cantos arredondados 52">
              <a:hlinkClick xmlns:r="http://schemas.openxmlformats.org/officeDocument/2006/relationships" r:id="rId17"/>
              <a:extLst>
                <a:ext uri="{FF2B5EF4-FFF2-40B4-BE49-F238E27FC236}">
                  <a16:creationId xmlns="" xmlns:a16="http://schemas.microsoft.com/office/drawing/2014/main" id="{00000000-0008-0000-0600-00004E000000}"/>
                </a:ext>
              </a:extLst>
            </xdr:cNvPr>
            <xdr:cNvSpPr/>
          </xdr:nvSpPr>
          <xdr:spPr bwMode="auto">
            <a:xfrm>
              <a:off x="5135994" y="1228723"/>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(upstream)</a:t>
              </a:r>
            </a:p>
          </xdr:txBody>
        </xdr:sp>
        <xdr:sp macro="" textlink="">
          <xdr:nvSpPr>
            <xdr:cNvPr id="79" name="Retângulo de cantos arredondados 54">
              <a:hlinkClick xmlns:r="http://schemas.openxmlformats.org/officeDocument/2006/relationships" r:id="rId18"/>
              <a:extLst>
                <a:ext uri="{FF2B5EF4-FFF2-40B4-BE49-F238E27FC236}">
                  <a16:creationId xmlns="" xmlns:a16="http://schemas.microsoft.com/office/drawing/2014/main" id="{00000000-0008-0000-0600-00004F000000}"/>
                </a:ext>
              </a:extLst>
            </xdr:cNvPr>
            <xdr:cNvSpPr/>
          </xdr:nvSpPr>
          <xdr:spPr bwMode="auto">
            <a:xfrm>
              <a:off x="9115497"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Efluentes</a:t>
              </a:r>
            </a:p>
          </xdr:txBody>
        </xdr:sp>
        <xdr:sp macro="" textlink="">
          <xdr:nvSpPr>
            <xdr:cNvPr id="80" name="Retângulo de cantos arredondados 56">
              <a:hlinkClick xmlns:r="http://schemas.openxmlformats.org/officeDocument/2006/relationships" r:id="rId19"/>
              <a:extLst>
                <a:ext uri="{FF2B5EF4-FFF2-40B4-BE49-F238E27FC236}">
                  <a16:creationId xmlns="" xmlns:a16="http://schemas.microsoft.com/office/drawing/2014/main" id="{00000000-0008-0000-0600-000050000000}"/>
                </a:ext>
              </a:extLst>
            </xdr:cNvPr>
            <xdr:cNvSpPr/>
          </xdr:nvSpPr>
          <xdr:spPr bwMode="auto">
            <a:xfrm>
              <a:off x="7526519"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Conversão de unidades</a:t>
              </a:r>
            </a:p>
          </xdr:txBody>
        </xdr:sp>
        <xdr:sp macro="" textlink="">
          <xdr:nvSpPr>
            <xdr:cNvPr id="81" name="Retângulo de cantos arredondados 58">
              <a:hlinkClick xmlns:r="http://schemas.openxmlformats.org/officeDocument/2006/relationships" r:id="rId20"/>
              <a:extLst>
                <a:ext uri="{FF2B5EF4-FFF2-40B4-BE49-F238E27FC236}">
                  <a16:creationId xmlns="" xmlns:a16="http://schemas.microsoft.com/office/drawing/2014/main" id="{00000000-0008-0000-0600-000051000000}"/>
                </a:ext>
              </a:extLst>
            </xdr:cNvPr>
            <xdr:cNvSpPr/>
          </xdr:nvSpPr>
          <xdr:spPr bwMode="auto">
            <a:xfrm>
              <a:off x="7520000"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r>
                <a:rPr lang="pt-BR" sz="900" b="0">
                  <a:solidFill>
                    <a:schemeClr val="bg1">
                      <a:lumMod val="50000"/>
                    </a:schemeClr>
                  </a:solidFill>
                  <a:latin typeface="Calibri Light" panose="020F0302020204030204" pitchFamily="34" charset="0"/>
                  <a:cs typeface="Arial" pitchFamily="34" charset="0"/>
                </a:rPr>
                <a:t>Viagens a negócios</a:t>
              </a:r>
            </a:p>
          </xdr:txBody>
        </xdr:sp>
        <xdr:sp macro="" textlink="">
          <xdr:nvSpPr>
            <xdr:cNvPr id="82" name="Fluxograma: Processo 59">
              <a:extLst>
                <a:ext uri="{FF2B5EF4-FFF2-40B4-BE49-F238E27FC236}">
                  <a16:creationId xmlns="" xmlns:a16="http://schemas.microsoft.com/office/drawing/2014/main" id="{00000000-0008-0000-0600-000052000000}"/>
                </a:ext>
              </a:extLst>
            </xdr:cNvPr>
            <xdr:cNvSpPr/>
          </xdr:nvSpPr>
          <xdr:spPr bwMode="auto">
            <a:xfrm>
              <a:off x="3604863" y="156702"/>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Geral</a:t>
              </a:r>
            </a:p>
          </xdr:txBody>
        </xdr:sp>
      </xdr:grpSp>
      <xdr:sp macro="" textlink="">
        <xdr:nvSpPr>
          <xdr:cNvPr id="34" name="Retângulo de cantos arredondados 37">
            <a:hlinkClick xmlns:r="http://schemas.openxmlformats.org/officeDocument/2006/relationships" r:id="rId2"/>
            <a:extLst>
              <a:ext uri="{FF2B5EF4-FFF2-40B4-BE49-F238E27FC236}">
                <a16:creationId xmlns="" xmlns:a16="http://schemas.microsoft.com/office/drawing/2014/main" id="{00000000-0008-0000-0600-000022000000}"/>
              </a:ext>
            </a:extLst>
          </xdr:cNvPr>
          <xdr:cNvSpPr/>
        </xdr:nvSpPr>
        <xdr:spPr bwMode="auto">
          <a:xfrm>
            <a:off x="4696884" y="162983"/>
            <a:ext cx="774700" cy="31873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sp macro="" textlink="">
        <xdr:nvSpPr>
          <xdr:cNvPr id="59" name="Retângulo de cantos arredondados 42">
            <a:hlinkClick xmlns:r="http://schemas.openxmlformats.org/officeDocument/2006/relationships" r:id="rId21"/>
            <a:extLst>
              <a:ext uri="{FF2B5EF4-FFF2-40B4-BE49-F238E27FC236}">
                <a16:creationId xmlns="" xmlns:a16="http://schemas.microsoft.com/office/drawing/2014/main" id="{00000000-0008-0000-0600-00003B000000}"/>
              </a:ext>
            </a:extLst>
          </xdr:cNvPr>
          <xdr:cNvSpPr/>
        </xdr:nvSpPr>
        <xdr:spPr bwMode="auto">
          <a:xfrm>
            <a:off x="7125758" y="522817"/>
            <a:ext cx="758825" cy="318738"/>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50" b="0">
                <a:solidFill>
                  <a:schemeClr val="bg1"/>
                </a:solidFill>
                <a:latin typeface="Calibri Light" panose="020F0302020204030204" pitchFamily="34" charset="0"/>
                <a:cs typeface="Arial" pitchFamily="34" charset="0"/>
              </a:rPr>
              <a:t>Agrícolas e alt. do uso do solo</a:t>
            </a:r>
            <a:endParaRPr lang="pt-BR" sz="850" b="0" baseline="0">
              <a:solidFill>
                <a:schemeClr val="bg1"/>
              </a:solidFill>
              <a:latin typeface="Calibri Light" panose="020F0302020204030204" pitchFamily="34" charset="0"/>
              <a:cs typeface="Arial" pitchFamily="34" charset="0"/>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42334</xdr:colOff>
      <xdr:row>0</xdr:row>
      <xdr:rowOff>63500</xdr:rowOff>
    </xdr:from>
    <xdr:to>
      <xdr:col>2</xdr:col>
      <xdr:colOff>2021417</xdr:colOff>
      <xdr:row>5</xdr:row>
      <xdr:rowOff>165791</xdr:rowOff>
    </xdr:to>
    <xdr:pic>
      <xdr:nvPicPr>
        <xdr:cNvPr id="28" name="Imagem 27">
          <a:extLst>
            <a:ext uri="{FF2B5EF4-FFF2-40B4-BE49-F238E27FC236}">
              <a16:creationId xmlns="" xmlns:a16="http://schemas.microsoft.com/office/drawing/2014/main" id="{00000000-0008-0000-07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4" y="63500"/>
          <a:ext cx="2762250" cy="1065374"/>
        </a:xfrm>
        <a:prstGeom prst="rect">
          <a:avLst/>
        </a:prstGeom>
      </xdr:spPr>
    </xdr:pic>
    <xdr:clientData/>
  </xdr:twoCellAnchor>
  <xdr:twoCellAnchor>
    <xdr:from>
      <xdr:col>2</xdr:col>
      <xdr:colOff>3672416</xdr:colOff>
      <xdr:row>0</xdr:row>
      <xdr:rowOff>84667</xdr:rowOff>
    </xdr:from>
    <xdr:to>
      <xdr:col>3</xdr:col>
      <xdr:colOff>662575</xdr:colOff>
      <xdr:row>2</xdr:row>
      <xdr:rowOff>18172</xdr:rowOff>
    </xdr:to>
    <xdr:sp macro="" textlink="">
      <xdr:nvSpPr>
        <xdr:cNvPr id="30" name="Retângulo de cantos arredondados 37">
          <a:hlinkClick xmlns:r="http://schemas.openxmlformats.org/officeDocument/2006/relationships" r:id="rId2"/>
          <a:extLst>
            <a:ext uri="{FF2B5EF4-FFF2-40B4-BE49-F238E27FC236}">
              <a16:creationId xmlns="" xmlns:a16="http://schemas.microsoft.com/office/drawing/2014/main" id="{00000000-0008-0000-0700-00001E000000}"/>
            </a:ext>
          </a:extLst>
        </xdr:cNvPr>
        <xdr:cNvSpPr/>
      </xdr:nvSpPr>
      <xdr:spPr bwMode="auto">
        <a:xfrm>
          <a:off x="4455583" y="84667"/>
          <a:ext cx="757825" cy="32508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clientData/>
  </xdr:twoCellAnchor>
  <xdr:twoCellAnchor>
    <xdr:from>
      <xdr:col>2</xdr:col>
      <xdr:colOff>1979083</xdr:colOff>
      <xdr:row>0</xdr:row>
      <xdr:rowOff>0</xdr:rowOff>
    </xdr:from>
    <xdr:to>
      <xdr:col>8</xdr:col>
      <xdr:colOff>552948</xdr:colOff>
      <xdr:row>9</xdr:row>
      <xdr:rowOff>25543</xdr:rowOff>
    </xdr:to>
    <xdr:grpSp>
      <xdr:nvGrpSpPr>
        <xdr:cNvPr id="34" name="Grupo 33">
          <a:extLst>
            <a:ext uri="{FF2B5EF4-FFF2-40B4-BE49-F238E27FC236}">
              <a16:creationId xmlns="" xmlns:a16="http://schemas.microsoft.com/office/drawing/2014/main" id="{00000000-0008-0000-0700-000022000000}"/>
            </a:ext>
          </a:extLst>
        </xdr:cNvPr>
        <xdr:cNvGrpSpPr/>
      </xdr:nvGrpSpPr>
      <xdr:grpSpPr>
        <a:xfrm>
          <a:off x="2762250" y="0"/>
          <a:ext cx="7283948" cy="1835293"/>
          <a:chOff x="3069167" y="114300"/>
          <a:chExt cx="7283948" cy="1549543"/>
        </a:xfrm>
      </xdr:grpSpPr>
      <xdr:grpSp>
        <xdr:nvGrpSpPr>
          <xdr:cNvPr id="35" name="Group 32">
            <a:extLst>
              <a:ext uri="{FF2B5EF4-FFF2-40B4-BE49-F238E27FC236}">
                <a16:creationId xmlns="" xmlns:a16="http://schemas.microsoft.com/office/drawing/2014/main" id="{00000000-0008-0000-0700-000023000000}"/>
              </a:ext>
            </a:extLst>
          </xdr:cNvPr>
          <xdr:cNvGrpSpPr/>
        </xdr:nvGrpSpPr>
        <xdr:grpSpPr>
          <a:xfrm>
            <a:off x="3069167" y="114300"/>
            <a:ext cx="7283948" cy="1549543"/>
            <a:chOff x="3514726" y="52774"/>
            <a:chExt cx="7219950" cy="1576001"/>
          </a:xfrm>
        </xdr:grpSpPr>
        <xdr:sp macro="" textlink="">
          <xdr:nvSpPr>
            <xdr:cNvPr id="61" name="Fluxograma: Processo 60">
              <a:extLst>
                <a:ext uri="{FF2B5EF4-FFF2-40B4-BE49-F238E27FC236}">
                  <a16:creationId xmlns="" xmlns:a16="http://schemas.microsoft.com/office/drawing/2014/main" id="{00000000-0008-0000-0700-00003D000000}"/>
                </a:ext>
              </a:extLst>
            </xdr:cNvPr>
            <xdr:cNvSpPr>
              <a:spLocks noChangeArrowheads="1"/>
            </xdr:cNvSpPr>
          </xdr:nvSpPr>
          <xdr:spPr bwMode="auto">
            <a:xfrm>
              <a:off x="3514726" y="52774"/>
              <a:ext cx="7219950" cy="1576001"/>
            </a:xfrm>
            <a:prstGeom prst="flowChartProcess">
              <a:avLst/>
            </a:prstGeom>
            <a:solidFill>
              <a:schemeClr val="accent1">
                <a:lumMod val="20000"/>
                <a:lumOff val="80000"/>
              </a:schemeClr>
            </a:solidFill>
            <a:ln w="19050" algn="ctr">
              <a:solidFill>
                <a:schemeClr val="accent1"/>
              </a:solidFill>
              <a:round/>
              <a:headEnd/>
              <a:tailEnd/>
            </a:ln>
            <a:effectLst/>
          </xdr:spPr>
          <xdr:txBody>
            <a:bodyPr/>
            <a:lstStyle/>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r>
                <a:rPr lang="pt-BR" sz="1400" b="1">
                  <a:latin typeface="Calibri Light" panose="020F0302020204030204" pitchFamily="34" charset="0"/>
                </a:rPr>
                <a:t>Menu de </a:t>
              </a:r>
            </a:p>
            <a:p>
              <a:pPr algn="r"/>
              <a:r>
                <a:rPr lang="pt-BR" sz="1400" b="1">
                  <a:latin typeface="Calibri Light" panose="020F0302020204030204" pitchFamily="34" charset="0"/>
                </a:rPr>
                <a:t>navegação</a:t>
              </a:r>
            </a:p>
          </xdr:txBody>
        </xdr:sp>
        <xdr:sp macro="" textlink="">
          <xdr:nvSpPr>
            <xdr:cNvPr id="62" name="Retângulo de cantos arredondados 34">
              <a:hlinkClick xmlns:r="http://schemas.openxmlformats.org/officeDocument/2006/relationships" r:id="rId3"/>
              <a:extLst>
                <a:ext uri="{FF2B5EF4-FFF2-40B4-BE49-F238E27FC236}">
                  <a16:creationId xmlns="" xmlns:a16="http://schemas.microsoft.com/office/drawing/2014/main" id="{00000000-0008-0000-0700-00003E000000}"/>
                </a:ext>
              </a:extLst>
            </xdr:cNvPr>
            <xdr:cNvSpPr/>
          </xdr:nvSpPr>
          <xdr:spPr bwMode="auto">
            <a:xfrm>
              <a:off x="4333251"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Introdução</a:t>
              </a:r>
            </a:p>
          </xdr:txBody>
        </xdr:sp>
        <xdr:sp macro="" textlink="">
          <xdr:nvSpPr>
            <xdr:cNvPr id="63" name="Retângulo de cantos arredondados 35">
              <a:hlinkClick xmlns:r="http://schemas.openxmlformats.org/officeDocument/2006/relationships" r:id="rId4"/>
              <a:extLst>
                <a:ext uri="{FF2B5EF4-FFF2-40B4-BE49-F238E27FC236}">
                  <a16:creationId xmlns="" xmlns:a16="http://schemas.microsoft.com/office/drawing/2014/main" id="{00000000-0008-0000-0700-00003F000000}"/>
                </a:ext>
              </a:extLst>
            </xdr:cNvPr>
            <xdr:cNvSpPr/>
          </xdr:nvSpPr>
          <xdr:spPr bwMode="auto">
            <a:xfrm>
              <a:off x="4333251"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lnSpc>
                  <a:spcPct val="80000"/>
                </a:lnSpc>
              </a:pPr>
              <a:r>
                <a:rPr lang="pt-BR" sz="900" b="0">
                  <a:solidFill>
                    <a:schemeClr val="bg1"/>
                  </a:solidFill>
                  <a:latin typeface="Calibri Light" panose="020F0302020204030204" pitchFamily="34" charset="0"/>
                  <a:cs typeface="Arial" pitchFamily="34" charset="0"/>
                </a:rPr>
                <a:t>Combustão</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estacionária</a:t>
              </a:r>
            </a:p>
          </xdr:txBody>
        </xdr:sp>
        <xdr:sp macro="" textlink="">
          <xdr:nvSpPr>
            <xdr:cNvPr id="64" name="Retângulo de cantos arredondados 36">
              <a:hlinkClick xmlns:r="http://schemas.openxmlformats.org/officeDocument/2006/relationships" r:id="rId5"/>
              <a:extLst>
                <a:ext uri="{FF2B5EF4-FFF2-40B4-BE49-F238E27FC236}">
                  <a16:creationId xmlns="" xmlns:a16="http://schemas.microsoft.com/office/drawing/2014/main" id="{00000000-0008-0000-0700-000040000000}"/>
                </a:ext>
              </a:extLst>
            </xdr:cNvPr>
            <xdr:cNvSpPr/>
          </xdr:nvSpPr>
          <xdr:spPr bwMode="auto">
            <a:xfrm>
              <a:off x="5130292"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Combustão </a:t>
              </a:r>
            </a:p>
            <a:p>
              <a:pPr algn="ctr"/>
              <a:r>
                <a:rPr lang="pt-BR" sz="900" b="0">
                  <a:solidFill>
                    <a:schemeClr val="bg1"/>
                  </a:solidFill>
                  <a:latin typeface="Calibri Light" panose="020F0302020204030204" pitchFamily="34" charset="0"/>
                  <a:cs typeface="Arial" pitchFamily="34" charset="0"/>
                </a:rPr>
                <a:t>móvel</a:t>
              </a:r>
            </a:p>
          </xdr:txBody>
        </xdr:sp>
        <xdr:sp macro="" textlink="">
          <xdr:nvSpPr>
            <xdr:cNvPr id="65" name="Retângulo de cantos arredondados 37">
              <a:hlinkClick xmlns:r="http://schemas.openxmlformats.org/officeDocument/2006/relationships" r:id="rId6"/>
              <a:extLst>
                <a:ext uri="{FF2B5EF4-FFF2-40B4-BE49-F238E27FC236}">
                  <a16:creationId xmlns="" xmlns:a16="http://schemas.microsoft.com/office/drawing/2014/main" id="{00000000-0008-0000-0700-000041000000}"/>
                </a:ext>
              </a:extLst>
            </xdr:cNvPr>
            <xdr:cNvSpPr/>
          </xdr:nvSpPr>
          <xdr:spPr bwMode="auto">
            <a:xfrm>
              <a:off x="5932663"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Resumo</a:t>
              </a:r>
            </a:p>
          </xdr:txBody>
        </xdr:sp>
        <xdr:sp macro="" textlink="">
          <xdr:nvSpPr>
            <xdr:cNvPr id="66" name="Retângulo de cantos arredondados 38">
              <a:hlinkClick xmlns:r="http://schemas.openxmlformats.org/officeDocument/2006/relationships" r:id="rId7"/>
              <a:extLst>
                <a:ext uri="{FF2B5EF4-FFF2-40B4-BE49-F238E27FC236}">
                  <a16:creationId xmlns="" xmlns:a16="http://schemas.microsoft.com/office/drawing/2014/main" id="{00000000-0008-0000-0700-000042000000}"/>
                </a:ext>
              </a:extLst>
            </xdr:cNvPr>
            <xdr:cNvSpPr/>
          </xdr:nvSpPr>
          <xdr:spPr bwMode="auto">
            <a:xfrm>
              <a:off x="6719145"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Fatores </a:t>
              </a:r>
            </a:p>
            <a:p>
              <a:pPr algn="ctr"/>
              <a:r>
                <a:rPr lang="pt-BR" sz="900" b="0">
                  <a:latin typeface="Calibri Light" panose="020F0302020204030204" pitchFamily="34" charset="0"/>
                  <a:cs typeface="Arial" pitchFamily="34" charset="0"/>
                </a:rPr>
                <a:t>de emissão</a:t>
              </a:r>
            </a:p>
          </xdr:txBody>
        </xdr:sp>
        <xdr:sp macro="" textlink="">
          <xdr:nvSpPr>
            <xdr:cNvPr id="67" name="Fluxograma: Processo 66">
              <a:extLst>
                <a:ext uri="{FF2B5EF4-FFF2-40B4-BE49-F238E27FC236}">
                  <a16:creationId xmlns="" xmlns:a16="http://schemas.microsoft.com/office/drawing/2014/main" id="{00000000-0008-0000-0700-000043000000}"/>
                </a:ext>
              </a:extLst>
            </xdr:cNvPr>
            <xdr:cNvSpPr/>
          </xdr:nvSpPr>
          <xdr:spPr bwMode="auto">
            <a:xfrm>
              <a:off x="3604863" y="528178"/>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1</a:t>
              </a:r>
            </a:p>
          </xdr:txBody>
        </xdr:sp>
        <xdr:sp macro="" textlink="">
          <xdr:nvSpPr>
            <xdr:cNvPr id="68" name="Retângulo de cantos arredondados 40">
              <a:hlinkClick xmlns:r="http://schemas.openxmlformats.org/officeDocument/2006/relationships" r:id="rId8"/>
              <a:extLst>
                <a:ext uri="{FF2B5EF4-FFF2-40B4-BE49-F238E27FC236}">
                  <a16:creationId xmlns="" xmlns:a16="http://schemas.microsoft.com/office/drawing/2014/main" id="{00000000-0008-0000-0700-000044000000}"/>
                </a:ext>
              </a:extLst>
            </xdr:cNvPr>
            <xdr:cNvSpPr/>
          </xdr:nvSpPr>
          <xdr:spPr bwMode="auto">
            <a:xfrm>
              <a:off x="5927333"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00" b="0">
                  <a:solidFill>
                    <a:schemeClr val="bg1"/>
                  </a:solidFill>
                  <a:latin typeface="Calibri Light" panose="020F0302020204030204" pitchFamily="34" charset="0"/>
                  <a:cs typeface="Arial" pitchFamily="34" charset="0"/>
                </a:rPr>
                <a:t>Emissões </a:t>
              </a:r>
            </a:p>
            <a:p>
              <a:pPr algn="ctr"/>
              <a:r>
                <a:rPr lang="pt-BR" sz="800" b="0">
                  <a:solidFill>
                    <a:schemeClr val="bg1"/>
                  </a:solidFill>
                  <a:latin typeface="Calibri Light" panose="020F0302020204030204" pitchFamily="34" charset="0"/>
                  <a:cs typeface="Arial" pitchFamily="34" charset="0"/>
                </a:rPr>
                <a:t>fugitivas</a:t>
              </a:r>
            </a:p>
          </xdr:txBody>
        </xdr:sp>
        <xdr:sp macro="" textlink="">
          <xdr:nvSpPr>
            <xdr:cNvPr id="69" name="Retângulo de cantos arredondados 41">
              <a:hlinkClick xmlns:r="http://schemas.openxmlformats.org/officeDocument/2006/relationships" r:id="rId9"/>
              <a:extLst>
                <a:ext uri="{FF2B5EF4-FFF2-40B4-BE49-F238E27FC236}">
                  <a16:creationId xmlns="" xmlns:a16="http://schemas.microsoft.com/office/drawing/2014/main" id="{00000000-0008-0000-0700-000045000000}"/>
                </a:ext>
              </a:extLst>
            </xdr:cNvPr>
            <xdr:cNvSpPr/>
          </xdr:nvSpPr>
          <xdr:spPr bwMode="auto">
            <a:xfrm>
              <a:off x="6724374"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Processos</a:t>
              </a:r>
              <a:r>
                <a:rPr lang="pt-BR" sz="900" b="0" baseline="0">
                  <a:solidFill>
                    <a:schemeClr val="bg1"/>
                  </a:solidFill>
                  <a:latin typeface="Calibri Light" panose="020F0302020204030204" pitchFamily="34" charset="0"/>
                  <a:cs typeface="Arial" pitchFamily="34" charset="0"/>
                </a:rPr>
                <a:t> industriais</a:t>
              </a:r>
              <a:endParaRPr lang="pt-BR" sz="900" b="0">
                <a:solidFill>
                  <a:schemeClr val="bg1"/>
                </a:solidFill>
                <a:latin typeface="Calibri Light" panose="020F0302020204030204" pitchFamily="34" charset="0"/>
                <a:cs typeface="Arial" pitchFamily="34" charset="0"/>
              </a:endParaRPr>
            </a:p>
          </xdr:txBody>
        </xdr:sp>
        <xdr:sp macro="" textlink="">
          <xdr:nvSpPr>
            <xdr:cNvPr id="70" name="Retângulo de cantos arredondados 43">
              <a:hlinkClick xmlns:r="http://schemas.openxmlformats.org/officeDocument/2006/relationships" r:id="rId10"/>
              <a:extLst>
                <a:ext uri="{FF2B5EF4-FFF2-40B4-BE49-F238E27FC236}">
                  <a16:creationId xmlns="" xmlns:a16="http://schemas.microsoft.com/office/drawing/2014/main" id="{00000000-0008-0000-0700-000046000000}"/>
                </a:ext>
              </a:extLst>
            </xdr:cNvPr>
            <xdr:cNvSpPr/>
          </xdr:nvSpPr>
          <xdr:spPr bwMode="auto">
            <a:xfrm>
              <a:off x="8318456"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Resíduos</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sólidos</a:t>
              </a:r>
            </a:p>
          </xdr:txBody>
        </xdr:sp>
        <xdr:sp macro="" textlink="">
          <xdr:nvSpPr>
            <xdr:cNvPr id="71" name="Retângulo de cantos arredondados 44">
              <a:hlinkClick xmlns:r="http://schemas.openxmlformats.org/officeDocument/2006/relationships" r:id="rId11"/>
              <a:extLst>
                <a:ext uri="{FF2B5EF4-FFF2-40B4-BE49-F238E27FC236}">
                  <a16:creationId xmlns="" xmlns:a16="http://schemas.microsoft.com/office/drawing/2014/main" id="{00000000-0008-0000-0700-000047000000}"/>
                </a:ext>
              </a:extLst>
            </xdr:cNvPr>
            <xdr:cNvSpPr/>
          </xdr:nvSpPr>
          <xdr:spPr bwMode="auto">
            <a:xfrm>
              <a:off x="433325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lnSpc>
                  <a:spcPct val="80000"/>
                </a:lnSpc>
              </a:pPr>
              <a:r>
                <a:rPr lang="pt-BR" sz="900" b="0">
                  <a:latin typeface="Calibri Light" panose="020F0302020204030204" pitchFamily="34" charset="0"/>
                  <a:cs typeface="Arial" pitchFamily="34" charset="0"/>
                </a:rPr>
                <a:t>Compra de Energia</a:t>
              </a:r>
              <a:r>
                <a:rPr lang="pt-BR" sz="900" b="0" baseline="0">
                  <a:latin typeface="Calibri Light" panose="020F0302020204030204" pitchFamily="34" charset="0"/>
                  <a:cs typeface="Arial" pitchFamily="34" charset="0"/>
                </a:rPr>
                <a:t> Elétrica</a:t>
              </a:r>
            </a:p>
          </xdr:txBody>
        </xdr:sp>
        <xdr:sp macro="" textlink="">
          <xdr:nvSpPr>
            <xdr:cNvPr id="72" name="Retângulo de cantos arredondados 45">
              <a:hlinkClick xmlns:r="http://schemas.openxmlformats.org/officeDocument/2006/relationships" r:id="rId12"/>
              <a:extLst>
                <a:ext uri="{FF2B5EF4-FFF2-40B4-BE49-F238E27FC236}">
                  <a16:creationId xmlns="" xmlns:a16="http://schemas.microsoft.com/office/drawing/2014/main" id="{00000000-0008-0000-0700-000048000000}"/>
                </a:ext>
              </a:extLst>
            </xdr:cNvPr>
            <xdr:cNvSpPr/>
          </xdr:nvSpPr>
          <xdr:spPr bwMode="auto">
            <a:xfrm>
              <a:off x="513371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Compra de</a:t>
              </a:r>
              <a:r>
                <a:rPr lang="pt-BR" sz="900" b="0" baseline="0">
                  <a:latin typeface="Calibri Light" panose="020F0302020204030204" pitchFamily="34" charset="0"/>
                  <a:cs typeface="Arial" pitchFamily="34" charset="0"/>
                </a:rPr>
                <a:t> Energia Térmica</a:t>
              </a:r>
            </a:p>
          </xdr:txBody>
        </xdr:sp>
        <xdr:sp macro="" textlink="">
          <xdr:nvSpPr>
            <xdr:cNvPr id="73" name="Fluxograma: Processo 72">
              <a:extLst>
                <a:ext uri="{FF2B5EF4-FFF2-40B4-BE49-F238E27FC236}">
                  <a16:creationId xmlns="" xmlns:a16="http://schemas.microsoft.com/office/drawing/2014/main" id="{00000000-0008-0000-0700-000049000000}"/>
                </a:ext>
              </a:extLst>
            </xdr:cNvPr>
            <xdr:cNvSpPr/>
          </xdr:nvSpPr>
          <xdr:spPr bwMode="auto">
            <a:xfrm>
              <a:off x="3604863" y="909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2</a:t>
              </a:r>
            </a:p>
          </xdr:txBody>
        </xdr:sp>
        <xdr:sp macro="" textlink="">
          <xdr:nvSpPr>
            <xdr:cNvPr id="74" name="Fluxograma: Processo 73">
              <a:extLst>
                <a:ext uri="{FF2B5EF4-FFF2-40B4-BE49-F238E27FC236}">
                  <a16:creationId xmlns="" xmlns:a16="http://schemas.microsoft.com/office/drawing/2014/main" id="{00000000-0008-0000-0700-00004A000000}"/>
                </a:ext>
              </a:extLst>
            </xdr:cNvPr>
            <xdr:cNvSpPr/>
          </xdr:nvSpPr>
          <xdr:spPr bwMode="auto">
            <a:xfrm>
              <a:off x="3604863" y="1290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3</a:t>
              </a:r>
            </a:p>
          </xdr:txBody>
        </xdr:sp>
        <xdr:sp macro="" textlink="">
          <xdr:nvSpPr>
            <xdr:cNvPr id="75" name="Retângulo de cantos arredondados 48">
              <a:hlinkClick xmlns:r="http://schemas.openxmlformats.org/officeDocument/2006/relationships" r:id="rId13"/>
              <a:extLst>
                <a:ext uri="{FF2B5EF4-FFF2-40B4-BE49-F238E27FC236}">
                  <a16:creationId xmlns="" xmlns:a16="http://schemas.microsoft.com/office/drawing/2014/main" id="{00000000-0008-0000-0700-00004B000000}"/>
                </a:ext>
              </a:extLst>
            </xdr:cNvPr>
            <xdr:cNvSpPr/>
          </xdr:nvSpPr>
          <xdr:spPr bwMode="auto">
            <a:xfrm>
              <a:off x="433325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lnSpc>
                  <a:spcPct val="80000"/>
                </a:lnSpc>
              </a:pPr>
              <a:r>
                <a:rPr lang="pt-BR" sz="900" b="0">
                  <a:solidFill>
                    <a:schemeClr val="bg1">
                      <a:lumMod val="50000"/>
                    </a:schemeClr>
                  </a:solidFill>
                  <a:latin typeface="Calibri Light" panose="020F0302020204030204" pitchFamily="34" charset="0"/>
                  <a:cs typeface="Arial" pitchFamily="34" charset="0"/>
                </a:rPr>
                <a:t>Categorias de Âmbito 3</a:t>
              </a:r>
              <a:endParaRPr lang="pt-BR" sz="900" b="0" baseline="0">
                <a:solidFill>
                  <a:schemeClr val="bg1">
                    <a:lumMod val="50000"/>
                  </a:schemeClr>
                </a:solidFill>
                <a:latin typeface="Calibri Light" panose="020F0302020204030204" pitchFamily="34" charset="0"/>
                <a:cs typeface="Arial" pitchFamily="34" charset="0"/>
              </a:endParaRPr>
            </a:p>
          </xdr:txBody>
        </xdr:sp>
        <xdr:sp macro="" textlink="">
          <xdr:nvSpPr>
            <xdr:cNvPr id="76" name="Retângulo de cantos arredondados 49">
              <a:hlinkClick xmlns:r="http://schemas.openxmlformats.org/officeDocument/2006/relationships" r:id="rId14"/>
              <a:extLst>
                <a:ext uri="{FF2B5EF4-FFF2-40B4-BE49-F238E27FC236}">
                  <a16:creationId xmlns="" xmlns:a16="http://schemas.microsoft.com/office/drawing/2014/main" id="{00000000-0008-0000-0700-00004C000000}"/>
                </a:ext>
              </a:extLst>
            </xdr:cNvPr>
            <xdr:cNvSpPr/>
          </xdr:nvSpPr>
          <xdr:spPr bwMode="auto">
            <a:xfrm>
              <a:off x="5925918"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Resíduos sólidos gerados na operação</a:t>
              </a:r>
            </a:p>
          </xdr:txBody>
        </xdr:sp>
        <xdr:sp macro="" textlink="">
          <xdr:nvSpPr>
            <xdr:cNvPr id="77" name="Retângulo de cantos arredondados 50">
              <a:hlinkClick xmlns:r="http://schemas.openxmlformats.org/officeDocument/2006/relationships" r:id="rId15"/>
              <a:extLst>
                <a:ext uri="{FF2B5EF4-FFF2-40B4-BE49-F238E27FC236}">
                  <a16:creationId xmlns="" xmlns:a16="http://schemas.microsoft.com/office/drawing/2014/main" id="{00000000-0008-0000-0700-00004D000000}"/>
                </a:ext>
              </a:extLst>
            </xdr:cNvPr>
            <xdr:cNvSpPr/>
          </xdr:nvSpPr>
          <xdr:spPr bwMode="auto">
            <a:xfrm>
              <a:off x="6722959"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Efluentes gerados na operação</a:t>
              </a:r>
            </a:p>
          </xdr:txBody>
        </xdr:sp>
        <xdr:sp macro="" textlink="">
          <xdr:nvSpPr>
            <xdr:cNvPr id="78" name="Retângulo de cantos arredondados 51">
              <a:hlinkClick xmlns:r="http://schemas.openxmlformats.org/officeDocument/2006/relationships" r:id="rId16"/>
              <a:extLst>
                <a:ext uri="{FF2B5EF4-FFF2-40B4-BE49-F238E27FC236}">
                  <a16:creationId xmlns="" xmlns:a16="http://schemas.microsoft.com/office/drawing/2014/main" id="{00000000-0008-0000-0700-00004E000000}"/>
                </a:ext>
              </a:extLst>
            </xdr:cNvPr>
            <xdr:cNvSpPr/>
          </xdr:nvSpPr>
          <xdr:spPr bwMode="auto">
            <a:xfrm>
              <a:off x="831704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(downstream)</a:t>
              </a:r>
            </a:p>
          </xdr:txBody>
        </xdr:sp>
        <xdr:sp macro="" textlink="">
          <xdr:nvSpPr>
            <xdr:cNvPr id="79" name="Retângulo de cantos arredondados 52">
              <a:hlinkClick xmlns:r="http://schemas.openxmlformats.org/officeDocument/2006/relationships" r:id="rId17"/>
              <a:extLst>
                <a:ext uri="{FF2B5EF4-FFF2-40B4-BE49-F238E27FC236}">
                  <a16:creationId xmlns="" xmlns:a16="http://schemas.microsoft.com/office/drawing/2014/main" id="{00000000-0008-0000-0700-00004F000000}"/>
                </a:ext>
              </a:extLst>
            </xdr:cNvPr>
            <xdr:cNvSpPr/>
          </xdr:nvSpPr>
          <xdr:spPr bwMode="auto">
            <a:xfrm>
              <a:off x="5135994" y="1228723"/>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(upstream)</a:t>
              </a:r>
            </a:p>
          </xdr:txBody>
        </xdr:sp>
        <xdr:sp macro="" textlink="">
          <xdr:nvSpPr>
            <xdr:cNvPr id="80" name="Retângulo de cantos arredondados 54">
              <a:hlinkClick xmlns:r="http://schemas.openxmlformats.org/officeDocument/2006/relationships" r:id="rId18"/>
              <a:extLst>
                <a:ext uri="{FF2B5EF4-FFF2-40B4-BE49-F238E27FC236}">
                  <a16:creationId xmlns="" xmlns:a16="http://schemas.microsoft.com/office/drawing/2014/main" id="{00000000-0008-0000-0700-000050000000}"/>
                </a:ext>
              </a:extLst>
            </xdr:cNvPr>
            <xdr:cNvSpPr/>
          </xdr:nvSpPr>
          <xdr:spPr bwMode="auto">
            <a:xfrm>
              <a:off x="9115497"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Efluentes</a:t>
              </a:r>
            </a:p>
          </xdr:txBody>
        </xdr:sp>
        <xdr:sp macro="" textlink="">
          <xdr:nvSpPr>
            <xdr:cNvPr id="81" name="Retângulo de cantos arredondados 56">
              <a:hlinkClick xmlns:r="http://schemas.openxmlformats.org/officeDocument/2006/relationships" r:id="rId19"/>
              <a:extLst>
                <a:ext uri="{FF2B5EF4-FFF2-40B4-BE49-F238E27FC236}">
                  <a16:creationId xmlns="" xmlns:a16="http://schemas.microsoft.com/office/drawing/2014/main" id="{00000000-0008-0000-0700-000051000000}"/>
                </a:ext>
              </a:extLst>
            </xdr:cNvPr>
            <xdr:cNvSpPr/>
          </xdr:nvSpPr>
          <xdr:spPr bwMode="auto">
            <a:xfrm>
              <a:off x="7526519"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Conversão de unidades</a:t>
              </a:r>
            </a:p>
          </xdr:txBody>
        </xdr:sp>
        <xdr:sp macro="" textlink="">
          <xdr:nvSpPr>
            <xdr:cNvPr id="82" name="Retângulo de cantos arredondados 58">
              <a:hlinkClick xmlns:r="http://schemas.openxmlformats.org/officeDocument/2006/relationships" r:id="rId20"/>
              <a:extLst>
                <a:ext uri="{FF2B5EF4-FFF2-40B4-BE49-F238E27FC236}">
                  <a16:creationId xmlns="" xmlns:a16="http://schemas.microsoft.com/office/drawing/2014/main" id="{00000000-0008-0000-0700-000052000000}"/>
                </a:ext>
              </a:extLst>
            </xdr:cNvPr>
            <xdr:cNvSpPr/>
          </xdr:nvSpPr>
          <xdr:spPr bwMode="auto">
            <a:xfrm>
              <a:off x="7520000"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r>
                <a:rPr lang="pt-BR" sz="900" b="0">
                  <a:solidFill>
                    <a:schemeClr val="bg1">
                      <a:lumMod val="50000"/>
                    </a:schemeClr>
                  </a:solidFill>
                  <a:latin typeface="Calibri Light" panose="020F0302020204030204" pitchFamily="34" charset="0"/>
                  <a:cs typeface="Arial" pitchFamily="34" charset="0"/>
                </a:rPr>
                <a:t>Viagens a negócios</a:t>
              </a:r>
            </a:p>
          </xdr:txBody>
        </xdr:sp>
        <xdr:sp macro="" textlink="">
          <xdr:nvSpPr>
            <xdr:cNvPr id="83" name="Fluxograma: Processo 59">
              <a:extLst>
                <a:ext uri="{FF2B5EF4-FFF2-40B4-BE49-F238E27FC236}">
                  <a16:creationId xmlns="" xmlns:a16="http://schemas.microsoft.com/office/drawing/2014/main" id="{00000000-0008-0000-0700-000053000000}"/>
                </a:ext>
              </a:extLst>
            </xdr:cNvPr>
            <xdr:cNvSpPr/>
          </xdr:nvSpPr>
          <xdr:spPr bwMode="auto">
            <a:xfrm>
              <a:off x="3604863" y="156702"/>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Geral</a:t>
              </a:r>
            </a:p>
          </xdr:txBody>
        </xdr:sp>
      </xdr:grpSp>
      <xdr:sp macro="" textlink="">
        <xdr:nvSpPr>
          <xdr:cNvPr id="59" name="Retângulo de cantos arredondados 37">
            <a:hlinkClick xmlns:r="http://schemas.openxmlformats.org/officeDocument/2006/relationships" r:id="rId2"/>
            <a:extLst>
              <a:ext uri="{FF2B5EF4-FFF2-40B4-BE49-F238E27FC236}">
                <a16:creationId xmlns="" xmlns:a16="http://schemas.microsoft.com/office/drawing/2014/main" id="{00000000-0008-0000-0700-00003B000000}"/>
              </a:ext>
            </a:extLst>
          </xdr:cNvPr>
          <xdr:cNvSpPr/>
        </xdr:nvSpPr>
        <xdr:spPr bwMode="auto">
          <a:xfrm>
            <a:off x="4696884" y="162983"/>
            <a:ext cx="774700" cy="31873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sp macro="" textlink="">
        <xdr:nvSpPr>
          <xdr:cNvPr id="60" name="Retângulo de cantos arredondados 42">
            <a:hlinkClick xmlns:r="http://schemas.openxmlformats.org/officeDocument/2006/relationships" r:id="rId21"/>
            <a:extLst>
              <a:ext uri="{FF2B5EF4-FFF2-40B4-BE49-F238E27FC236}">
                <a16:creationId xmlns="" xmlns:a16="http://schemas.microsoft.com/office/drawing/2014/main" id="{00000000-0008-0000-0700-00003C000000}"/>
              </a:ext>
            </a:extLst>
          </xdr:cNvPr>
          <xdr:cNvSpPr/>
        </xdr:nvSpPr>
        <xdr:spPr bwMode="auto">
          <a:xfrm>
            <a:off x="7125758" y="522817"/>
            <a:ext cx="758825" cy="318738"/>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50" b="0">
                <a:solidFill>
                  <a:schemeClr val="bg1"/>
                </a:solidFill>
                <a:latin typeface="Calibri Light" panose="020F0302020204030204" pitchFamily="34" charset="0"/>
                <a:cs typeface="Arial" pitchFamily="34" charset="0"/>
              </a:rPr>
              <a:t>Agrícolas e alt. do uso do solo</a:t>
            </a:r>
            <a:endParaRPr lang="pt-BR" sz="850" b="0" baseline="0">
              <a:solidFill>
                <a:schemeClr val="bg1"/>
              </a:solidFill>
              <a:latin typeface="Calibri Light" panose="020F0302020204030204" pitchFamily="34" charset="0"/>
              <a:cs typeface="Arial" pitchFamily="34" charset="0"/>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42334</xdr:colOff>
      <xdr:row>0</xdr:row>
      <xdr:rowOff>84666</xdr:rowOff>
    </xdr:from>
    <xdr:to>
      <xdr:col>2</xdr:col>
      <xdr:colOff>1809751</xdr:colOff>
      <xdr:row>5</xdr:row>
      <xdr:rowOff>144623</xdr:rowOff>
    </xdr:to>
    <xdr:pic>
      <xdr:nvPicPr>
        <xdr:cNvPr id="28" name="Imagem 27">
          <a:extLst>
            <a:ext uri="{FF2B5EF4-FFF2-40B4-BE49-F238E27FC236}">
              <a16:creationId xmlns="" xmlns:a16="http://schemas.microsoft.com/office/drawing/2014/main" id="{00000000-0008-0000-08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4" y="84666"/>
          <a:ext cx="2762250" cy="1065374"/>
        </a:xfrm>
        <a:prstGeom prst="rect">
          <a:avLst/>
        </a:prstGeom>
      </xdr:spPr>
    </xdr:pic>
    <xdr:clientData/>
  </xdr:twoCellAnchor>
  <xdr:twoCellAnchor>
    <xdr:from>
      <xdr:col>2</xdr:col>
      <xdr:colOff>3460750</xdr:colOff>
      <xdr:row>0</xdr:row>
      <xdr:rowOff>105833</xdr:rowOff>
    </xdr:from>
    <xdr:to>
      <xdr:col>2</xdr:col>
      <xdr:colOff>4218575</xdr:colOff>
      <xdr:row>2</xdr:row>
      <xdr:rowOff>28754</xdr:rowOff>
    </xdr:to>
    <xdr:sp macro="" textlink="">
      <xdr:nvSpPr>
        <xdr:cNvPr id="29" name="Retângulo de cantos arredondados 37">
          <a:hlinkClick xmlns:r="http://schemas.openxmlformats.org/officeDocument/2006/relationships" r:id="rId2"/>
          <a:extLst>
            <a:ext uri="{FF2B5EF4-FFF2-40B4-BE49-F238E27FC236}">
              <a16:creationId xmlns="" xmlns:a16="http://schemas.microsoft.com/office/drawing/2014/main" id="{00000000-0008-0000-0800-00001D000000}"/>
            </a:ext>
          </a:extLst>
        </xdr:cNvPr>
        <xdr:cNvSpPr/>
      </xdr:nvSpPr>
      <xdr:spPr bwMode="auto">
        <a:xfrm>
          <a:off x="4455583" y="105833"/>
          <a:ext cx="757825" cy="32508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clientData/>
  </xdr:twoCellAnchor>
  <xdr:twoCellAnchor>
    <xdr:from>
      <xdr:col>2</xdr:col>
      <xdr:colOff>1767416</xdr:colOff>
      <xdr:row>0</xdr:row>
      <xdr:rowOff>63500</xdr:rowOff>
    </xdr:from>
    <xdr:to>
      <xdr:col>7</xdr:col>
      <xdr:colOff>119030</xdr:colOff>
      <xdr:row>8</xdr:row>
      <xdr:rowOff>205459</xdr:rowOff>
    </xdr:to>
    <xdr:grpSp>
      <xdr:nvGrpSpPr>
        <xdr:cNvPr id="30" name="Grupo 29">
          <a:extLst>
            <a:ext uri="{FF2B5EF4-FFF2-40B4-BE49-F238E27FC236}">
              <a16:creationId xmlns="" xmlns:a16="http://schemas.microsoft.com/office/drawing/2014/main" id="{00000000-0008-0000-0800-00001E000000}"/>
            </a:ext>
          </a:extLst>
        </xdr:cNvPr>
        <xdr:cNvGrpSpPr/>
      </xdr:nvGrpSpPr>
      <xdr:grpSpPr>
        <a:xfrm>
          <a:off x="2762249" y="63500"/>
          <a:ext cx="7283948" cy="1750626"/>
          <a:chOff x="3069167" y="114300"/>
          <a:chExt cx="7283948" cy="1549543"/>
        </a:xfrm>
      </xdr:grpSpPr>
      <xdr:grpSp>
        <xdr:nvGrpSpPr>
          <xdr:cNvPr id="31" name="Group 32">
            <a:extLst>
              <a:ext uri="{FF2B5EF4-FFF2-40B4-BE49-F238E27FC236}">
                <a16:creationId xmlns="" xmlns:a16="http://schemas.microsoft.com/office/drawing/2014/main" id="{00000000-0008-0000-0800-00001F000000}"/>
              </a:ext>
            </a:extLst>
          </xdr:cNvPr>
          <xdr:cNvGrpSpPr/>
        </xdr:nvGrpSpPr>
        <xdr:grpSpPr>
          <a:xfrm>
            <a:off x="3069167" y="114300"/>
            <a:ext cx="7283948" cy="1549543"/>
            <a:chOff x="3514726" y="52774"/>
            <a:chExt cx="7219950" cy="1576001"/>
          </a:xfrm>
        </xdr:grpSpPr>
        <xdr:sp macro="" textlink="">
          <xdr:nvSpPr>
            <xdr:cNvPr id="34" name="Fluxograma: Processo 60">
              <a:extLst>
                <a:ext uri="{FF2B5EF4-FFF2-40B4-BE49-F238E27FC236}">
                  <a16:creationId xmlns="" xmlns:a16="http://schemas.microsoft.com/office/drawing/2014/main" id="{00000000-0008-0000-0800-000022000000}"/>
                </a:ext>
              </a:extLst>
            </xdr:cNvPr>
            <xdr:cNvSpPr>
              <a:spLocks noChangeArrowheads="1"/>
            </xdr:cNvSpPr>
          </xdr:nvSpPr>
          <xdr:spPr bwMode="auto">
            <a:xfrm>
              <a:off x="3514726" y="52774"/>
              <a:ext cx="7219950" cy="1576001"/>
            </a:xfrm>
            <a:prstGeom prst="flowChartProcess">
              <a:avLst/>
            </a:prstGeom>
            <a:solidFill>
              <a:schemeClr val="accent1">
                <a:lumMod val="20000"/>
                <a:lumOff val="80000"/>
              </a:schemeClr>
            </a:solidFill>
            <a:ln w="19050" algn="ctr">
              <a:solidFill>
                <a:schemeClr val="accent1"/>
              </a:solidFill>
              <a:round/>
              <a:headEnd/>
              <a:tailEnd/>
            </a:ln>
            <a:effectLst/>
          </xdr:spPr>
          <xdr:txBody>
            <a:bodyPr/>
            <a:lstStyle/>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endParaRPr lang="pt-BR" sz="1400" b="1">
                <a:latin typeface="Calibri Light" panose="020F0302020204030204" pitchFamily="34" charset="0"/>
              </a:endParaRPr>
            </a:p>
            <a:p>
              <a:pPr algn="r"/>
              <a:r>
                <a:rPr lang="pt-BR" sz="1400" b="1">
                  <a:latin typeface="Calibri Light" panose="020F0302020204030204" pitchFamily="34" charset="0"/>
                </a:rPr>
                <a:t>Menu de </a:t>
              </a:r>
            </a:p>
            <a:p>
              <a:pPr algn="r"/>
              <a:r>
                <a:rPr lang="pt-BR" sz="1400" b="1">
                  <a:latin typeface="Calibri Light" panose="020F0302020204030204" pitchFamily="34" charset="0"/>
                </a:rPr>
                <a:t>navegação</a:t>
              </a:r>
            </a:p>
          </xdr:txBody>
        </xdr:sp>
        <xdr:sp macro="" textlink="">
          <xdr:nvSpPr>
            <xdr:cNvPr id="35" name="Retângulo de cantos arredondados 34">
              <a:hlinkClick xmlns:r="http://schemas.openxmlformats.org/officeDocument/2006/relationships" r:id="rId3"/>
              <a:extLst>
                <a:ext uri="{FF2B5EF4-FFF2-40B4-BE49-F238E27FC236}">
                  <a16:creationId xmlns="" xmlns:a16="http://schemas.microsoft.com/office/drawing/2014/main" id="{00000000-0008-0000-0800-000023000000}"/>
                </a:ext>
              </a:extLst>
            </xdr:cNvPr>
            <xdr:cNvSpPr/>
          </xdr:nvSpPr>
          <xdr:spPr bwMode="auto">
            <a:xfrm>
              <a:off x="4333251"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Introdução</a:t>
              </a:r>
            </a:p>
          </xdr:txBody>
        </xdr:sp>
        <xdr:sp macro="" textlink="">
          <xdr:nvSpPr>
            <xdr:cNvPr id="36" name="Retângulo de cantos arredondados 35">
              <a:hlinkClick xmlns:r="http://schemas.openxmlformats.org/officeDocument/2006/relationships" r:id="rId4"/>
              <a:extLst>
                <a:ext uri="{FF2B5EF4-FFF2-40B4-BE49-F238E27FC236}">
                  <a16:creationId xmlns="" xmlns:a16="http://schemas.microsoft.com/office/drawing/2014/main" id="{00000000-0008-0000-0800-000024000000}"/>
                </a:ext>
              </a:extLst>
            </xdr:cNvPr>
            <xdr:cNvSpPr/>
          </xdr:nvSpPr>
          <xdr:spPr bwMode="auto">
            <a:xfrm>
              <a:off x="4333251"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lnSpc>
                  <a:spcPct val="80000"/>
                </a:lnSpc>
              </a:pPr>
              <a:r>
                <a:rPr lang="pt-BR" sz="900" b="0">
                  <a:solidFill>
                    <a:schemeClr val="bg1"/>
                  </a:solidFill>
                  <a:latin typeface="Calibri Light" panose="020F0302020204030204" pitchFamily="34" charset="0"/>
                  <a:cs typeface="Arial" pitchFamily="34" charset="0"/>
                </a:rPr>
                <a:t>Combustão</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estacionária</a:t>
              </a:r>
            </a:p>
          </xdr:txBody>
        </xdr:sp>
        <xdr:sp macro="" textlink="">
          <xdr:nvSpPr>
            <xdr:cNvPr id="37" name="Retângulo de cantos arredondados 36">
              <a:hlinkClick xmlns:r="http://schemas.openxmlformats.org/officeDocument/2006/relationships" r:id="rId5"/>
              <a:extLst>
                <a:ext uri="{FF2B5EF4-FFF2-40B4-BE49-F238E27FC236}">
                  <a16:creationId xmlns="" xmlns:a16="http://schemas.microsoft.com/office/drawing/2014/main" id="{00000000-0008-0000-0800-000025000000}"/>
                </a:ext>
              </a:extLst>
            </xdr:cNvPr>
            <xdr:cNvSpPr/>
          </xdr:nvSpPr>
          <xdr:spPr bwMode="auto">
            <a:xfrm>
              <a:off x="5130292"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Combustão </a:t>
              </a:r>
            </a:p>
            <a:p>
              <a:pPr algn="ctr"/>
              <a:r>
                <a:rPr lang="pt-BR" sz="900" b="0">
                  <a:solidFill>
                    <a:schemeClr val="bg1"/>
                  </a:solidFill>
                  <a:latin typeface="Calibri Light" panose="020F0302020204030204" pitchFamily="34" charset="0"/>
                  <a:cs typeface="Arial" pitchFamily="34" charset="0"/>
                </a:rPr>
                <a:t>móvel</a:t>
              </a:r>
            </a:p>
          </xdr:txBody>
        </xdr:sp>
        <xdr:sp macro="" textlink="">
          <xdr:nvSpPr>
            <xdr:cNvPr id="38" name="Retângulo de cantos arredondados 37">
              <a:hlinkClick xmlns:r="http://schemas.openxmlformats.org/officeDocument/2006/relationships" r:id="rId6"/>
              <a:extLst>
                <a:ext uri="{FF2B5EF4-FFF2-40B4-BE49-F238E27FC236}">
                  <a16:creationId xmlns="" xmlns:a16="http://schemas.microsoft.com/office/drawing/2014/main" id="{00000000-0008-0000-0800-000026000000}"/>
                </a:ext>
              </a:extLst>
            </xdr:cNvPr>
            <xdr:cNvSpPr/>
          </xdr:nvSpPr>
          <xdr:spPr bwMode="auto">
            <a:xfrm>
              <a:off x="5932663"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Resumo</a:t>
              </a:r>
            </a:p>
          </xdr:txBody>
        </xdr:sp>
        <xdr:sp macro="" textlink="">
          <xdr:nvSpPr>
            <xdr:cNvPr id="39" name="Retângulo de cantos arredondados 38">
              <a:hlinkClick xmlns:r="http://schemas.openxmlformats.org/officeDocument/2006/relationships" r:id="rId7"/>
              <a:extLst>
                <a:ext uri="{FF2B5EF4-FFF2-40B4-BE49-F238E27FC236}">
                  <a16:creationId xmlns="" xmlns:a16="http://schemas.microsoft.com/office/drawing/2014/main" id="{00000000-0008-0000-0800-000027000000}"/>
                </a:ext>
              </a:extLst>
            </xdr:cNvPr>
            <xdr:cNvSpPr/>
          </xdr:nvSpPr>
          <xdr:spPr bwMode="auto">
            <a:xfrm>
              <a:off x="6719145"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Fatores </a:t>
              </a:r>
            </a:p>
            <a:p>
              <a:pPr algn="ctr"/>
              <a:r>
                <a:rPr lang="pt-BR" sz="900" b="0">
                  <a:latin typeface="Calibri Light" panose="020F0302020204030204" pitchFamily="34" charset="0"/>
                  <a:cs typeface="Arial" pitchFamily="34" charset="0"/>
                </a:rPr>
                <a:t>de emissão</a:t>
              </a:r>
            </a:p>
          </xdr:txBody>
        </xdr:sp>
        <xdr:sp macro="" textlink="">
          <xdr:nvSpPr>
            <xdr:cNvPr id="40" name="Fluxograma: Processo 39">
              <a:extLst>
                <a:ext uri="{FF2B5EF4-FFF2-40B4-BE49-F238E27FC236}">
                  <a16:creationId xmlns="" xmlns:a16="http://schemas.microsoft.com/office/drawing/2014/main" id="{00000000-0008-0000-0800-000028000000}"/>
                </a:ext>
              </a:extLst>
            </xdr:cNvPr>
            <xdr:cNvSpPr/>
          </xdr:nvSpPr>
          <xdr:spPr bwMode="auto">
            <a:xfrm>
              <a:off x="3604863" y="528178"/>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1</a:t>
              </a:r>
            </a:p>
          </xdr:txBody>
        </xdr:sp>
        <xdr:sp macro="" textlink="">
          <xdr:nvSpPr>
            <xdr:cNvPr id="41" name="Retângulo de cantos arredondados 40">
              <a:hlinkClick xmlns:r="http://schemas.openxmlformats.org/officeDocument/2006/relationships" r:id="rId8"/>
              <a:extLst>
                <a:ext uri="{FF2B5EF4-FFF2-40B4-BE49-F238E27FC236}">
                  <a16:creationId xmlns="" xmlns:a16="http://schemas.microsoft.com/office/drawing/2014/main" id="{00000000-0008-0000-0800-000029000000}"/>
                </a:ext>
              </a:extLst>
            </xdr:cNvPr>
            <xdr:cNvSpPr/>
          </xdr:nvSpPr>
          <xdr:spPr bwMode="auto">
            <a:xfrm>
              <a:off x="5927333"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00" b="0">
                  <a:solidFill>
                    <a:schemeClr val="bg1"/>
                  </a:solidFill>
                  <a:latin typeface="Calibri Light" panose="020F0302020204030204" pitchFamily="34" charset="0"/>
                  <a:cs typeface="Arial" pitchFamily="34" charset="0"/>
                </a:rPr>
                <a:t>Emissões </a:t>
              </a:r>
            </a:p>
            <a:p>
              <a:pPr algn="ctr"/>
              <a:r>
                <a:rPr lang="pt-BR" sz="800" b="0">
                  <a:solidFill>
                    <a:schemeClr val="bg1"/>
                  </a:solidFill>
                  <a:latin typeface="Calibri Light" panose="020F0302020204030204" pitchFamily="34" charset="0"/>
                  <a:cs typeface="Arial" pitchFamily="34" charset="0"/>
                </a:rPr>
                <a:t>fugitivas</a:t>
              </a:r>
            </a:p>
          </xdr:txBody>
        </xdr:sp>
        <xdr:sp macro="" textlink="">
          <xdr:nvSpPr>
            <xdr:cNvPr id="42" name="Retângulo de cantos arredondados 41">
              <a:hlinkClick xmlns:r="http://schemas.openxmlformats.org/officeDocument/2006/relationships" r:id="rId9"/>
              <a:extLst>
                <a:ext uri="{FF2B5EF4-FFF2-40B4-BE49-F238E27FC236}">
                  <a16:creationId xmlns="" xmlns:a16="http://schemas.microsoft.com/office/drawing/2014/main" id="{00000000-0008-0000-0800-00002A000000}"/>
                </a:ext>
              </a:extLst>
            </xdr:cNvPr>
            <xdr:cNvSpPr/>
          </xdr:nvSpPr>
          <xdr:spPr bwMode="auto">
            <a:xfrm>
              <a:off x="6724374"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Processos</a:t>
              </a:r>
              <a:r>
                <a:rPr lang="pt-BR" sz="900" b="0" baseline="0">
                  <a:solidFill>
                    <a:schemeClr val="bg1"/>
                  </a:solidFill>
                  <a:latin typeface="Calibri Light" panose="020F0302020204030204" pitchFamily="34" charset="0"/>
                  <a:cs typeface="Arial" pitchFamily="34" charset="0"/>
                </a:rPr>
                <a:t> industriais</a:t>
              </a:r>
              <a:endParaRPr lang="pt-BR" sz="900" b="0">
                <a:solidFill>
                  <a:schemeClr val="bg1"/>
                </a:solidFill>
                <a:latin typeface="Calibri Light" panose="020F0302020204030204" pitchFamily="34" charset="0"/>
                <a:cs typeface="Arial" pitchFamily="34" charset="0"/>
              </a:endParaRPr>
            </a:p>
          </xdr:txBody>
        </xdr:sp>
        <xdr:sp macro="" textlink="">
          <xdr:nvSpPr>
            <xdr:cNvPr id="43" name="Retângulo de cantos arredondados 43">
              <a:hlinkClick xmlns:r="http://schemas.openxmlformats.org/officeDocument/2006/relationships" r:id="rId10"/>
              <a:extLst>
                <a:ext uri="{FF2B5EF4-FFF2-40B4-BE49-F238E27FC236}">
                  <a16:creationId xmlns="" xmlns:a16="http://schemas.microsoft.com/office/drawing/2014/main" id="{00000000-0008-0000-0800-00002B000000}"/>
                </a:ext>
              </a:extLst>
            </xdr:cNvPr>
            <xdr:cNvSpPr/>
          </xdr:nvSpPr>
          <xdr:spPr bwMode="auto">
            <a:xfrm>
              <a:off x="8318456"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Resíduos</a:t>
              </a:r>
              <a:br>
                <a:rPr lang="pt-BR" sz="900" b="0">
                  <a:solidFill>
                    <a:schemeClr val="bg1"/>
                  </a:solidFill>
                  <a:latin typeface="Calibri Light" panose="020F0302020204030204" pitchFamily="34" charset="0"/>
                  <a:cs typeface="Arial" pitchFamily="34" charset="0"/>
                </a:rPr>
              </a:br>
              <a:r>
                <a:rPr lang="pt-BR" sz="900" b="0">
                  <a:solidFill>
                    <a:schemeClr val="bg1"/>
                  </a:solidFill>
                  <a:latin typeface="Calibri Light" panose="020F0302020204030204" pitchFamily="34" charset="0"/>
                  <a:cs typeface="Arial" pitchFamily="34" charset="0"/>
                </a:rPr>
                <a:t>sólidos</a:t>
              </a:r>
            </a:p>
          </xdr:txBody>
        </xdr:sp>
        <xdr:sp macro="" textlink="">
          <xdr:nvSpPr>
            <xdr:cNvPr id="44" name="Retângulo de cantos arredondados 44">
              <a:hlinkClick xmlns:r="http://schemas.openxmlformats.org/officeDocument/2006/relationships" r:id="rId11"/>
              <a:extLst>
                <a:ext uri="{FF2B5EF4-FFF2-40B4-BE49-F238E27FC236}">
                  <a16:creationId xmlns="" xmlns:a16="http://schemas.microsoft.com/office/drawing/2014/main" id="{00000000-0008-0000-0800-00002C000000}"/>
                </a:ext>
              </a:extLst>
            </xdr:cNvPr>
            <xdr:cNvSpPr/>
          </xdr:nvSpPr>
          <xdr:spPr bwMode="auto">
            <a:xfrm>
              <a:off x="433325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lnSpc>
                  <a:spcPct val="80000"/>
                </a:lnSpc>
              </a:pPr>
              <a:r>
                <a:rPr lang="pt-BR" sz="900" b="0">
                  <a:latin typeface="Calibri Light" panose="020F0302020204030204" pitchFamily="34" charset="0"/>
                  <a:cs typeface="Arial" pitchFamily="34" charset="0"/>
                </a:rPr>
                <a:t>Compra de Energia</a:t>
              </a:r>
              <a:r>
                <a:rPr lang="pt-BR" sz="900" b="0" baseline="0">
                  <a:latin typeface="Calibri Light" panose="020F0302020204030204" pitchFamily="34" charset="0"/>
                  <a:cs typeface="Arial" pitchFamily="34" charset="0"/>
                </a:rPr>
                <a:t> Elétrica</a:t>
              </a:r>
            </a:p>
          </xdr:txBody>
        </xdr:sp>
        <xdr:sp macro="" textlink="">
          <xdr:nvSpPr>
            <xdr:cNvPr id="45" name="Retângulo de cantos arredondados 45">
              <a:hlinkClick xmlns:r="http://schemas.openxmlformats.org/officeDocument/2006/relationships" r:id="rId12"/>
              <a:extLst>
                <a:ext uri="{FF2B5EF4-FFF2-40B4-BE49-F238E27FC236}">
                  <a16:creationId xmlns="" xmlns:a16="http://schemas.microsoft.com/office/drawing/2014/main" id="{00000000-0008-0000-0800-00002D000000}"/>
                </a:ext>
              </a:extLst>
            </xdr:cNvPr>
            <xdr:cNvSpPr/>
          </xdr:nvSpPr>
          <xdr:spPr bwMode="auto">
            <a:xfrm>
              <a:off x="5133711" y="847724"/>
              <a:ext cx="756000" cy="324000"/>
            </a:xfrm>
            <a:prstGeom prst="rect">
              <a:avLst/>
            </a:prstGeom>
            <a:ln>
              <a:headEnd type="none" w="med" len="med"/>
              <a:tailEnd type="none" w="med" len="med"/>
            </a:ln>
          </xdr:spPr>
          <xdr:style>
            <a:lnRef idx="1">
              <a:schemeClr val="accent6"/>
            </a:lnRef>
            <a:fillRef idx="3">
              <a:schemeClr val="accent6"/>
            </a:fillRef>
            <a:effectRef idx="2">
              <a:schemeClr val="accent6"/>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Compra de</a:t>
              </a:r>
              <a:r>
                <a:rPr lang="pt-BR" sz="900" b="0" baseline="0">
                  <a:latin typeface="Calibri Light" panose="020F0302020204030204" pitchFamily="34" charset="0"/>
                  <a:cs typeface="Arial" pitchFamily="34" charset="0"/>
                </a:rPr>
                <a:t> Energia Térmica</a:t>
              </a:r>
            </a:p>
          </xdr:txBody>
        </xdr:sp>
        <xdr:sp macro="" textlink="">
          <xdr:nvSpPr>
            <xdr:cNvPr id="46" name="Fluxograma: Processo 45">
              <a:extLst>
                <a:ext uri="{FF2B5EF4-FFF2-40B4-BE49-F238E27FC236}">
                  <a16:creationId xmlns="" xmlns:a16="http://schemas.microsoft.com/office/drawing/2014/main" id="{00000000-0008-0000-0800-00002E000000}"/>
                </a:ext>
              </a:extLst>
            </xdr:cNvPr>
            <xdr:cNvSpPr/>
          </xdr:nvSpPr>
          <xdr:spPr bwMode="auto">
            <a:xfrm>
              <a:off x="3604863" y="909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2</a:t>
              </a:r>
            </a:p>
          </xdr:txBody>
        </xdr:sp>
        <xdr:sp macro="" textlink="">
          <xdr:nvSpPr>
            <xdr:cNvPr id="47" name="Fluxograma: Processo 46">
              <a:extLst>
                <a:ext uri="{FF2B5EF4-FFF2-40B4-BE49-F238E27FC236}">
                  <a16:creationId xmlns="" xmlns:a16="http://schemas.microsoft.com/office/drawing/2014/main" id="{00000000-0008-0000-0800-00002F000000}"/>
                </a:ext>
              </a:extLst>
            </xdr:cNvPr>
            <xdr:cNvSpPr/>
          </xdr:nvSpPr>
          <xdr:spPr bwMode="auto">
            <a:xfrm>
              <a:off x="3604863" y="1290176"/>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Âmbito 3</a:t>
              </a:r>
            </a:p>
          </xdr:txBody>
        </xdr:sp>
        <xdr:sp macro="" textlink="">
          <xdr:nvSpPr>
            <xdr:cNvPr id="48" name="Retângulo de cantos arredondados 48">
              <a:hlinkClick xmlns:r="http://schemas.openxmlformats.org/officeDocument/2006/relationships" r:id="rId13"/>
              <a:extLst>
                <a:ext uri="{FF2B5EF4-FFF2-40B4-BE49-F238E27FC236}">
                  <a16:creationId xmlns="" xmlns:a16="http://schemas.microsoft.com/office/drawing/2014/main" id="{00000000-0008-0000-0800-000030000000}"/>
                </a:ext>
              </a:extLst>
            </xdr:cNvPr>
            <xdr:cNvSpPr/>
          </xdr:nvSpPr>
          <xdr:spPr bwMode="auto">
            <a:xfrm>
              <a:off x="433325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lnSpc>
                  <a:spcPct val="80000"/>
                </a:lnSpc>
              </a:pPr>
              <a:r>
                <a:rPr lang="pt-BR" sz="900" b="0">
                  <a:solidFill>
                    <a:schemeClr val="bg1">
                      <a:lumMod val="50000"/>
                    </a:schemeClr>
                  </a:solidFill>
                  <a:latin typeface="Calibri Light" panose="020F0302020204030204" pitchFamily="34" charset="0"/>
                  <a:cs typeface="Arial" pitchFamily="34" charset="0"/>
                </a:rPr>
                <a:t>Categorias de Âmbito 3</a:t>
              </a:r>
              <a:endParaRPr lang="pt-BR" sz="900" b="0" baseline="0">
                <a:solidFill>
                  <a:schemeClr val="bg1">
                    <a:lumMod val="50000"/>
                  </a:schemeClr>
                </a:solidFill>
                <a:latin typeface="Calibri Light" panose="020F0302020204030204" pitchFamily="34" charset="0"/>
                <a:cs typeface="Arial" pitchFamily="34" charset="0"/>
              </a:endParaRPr>
            </a:p>
          </xdr:txBody>
        </xdr:sp>
        <xdr:sp macro="" textlink="">
          <xdr:nvSpPr>
            <xdr:cNvPr id="49" name="Retângulo de cantos arredondados 49">
              <a:hlinkClick xmlns:r="http://schemas.openxmlformats.org/officeDocument/2006/relationships" r:id="rId14"/>
              <a:extLst>
                <a:ext uri="{FF2B5EF4-FFF2-40B4-BE49-F238E27FC236}">
                  <a16:creationId xmlns="" xmlns:a16="http://schemas.microsoft.com/office/drawing/2014/main" id="{00000000-0008-0000-0800-000031000000}"/>
                </a:ext>
              </a:extLst>
            </xdr:cNvPr>
            <xdr:cNvSpPr/>
          </xdr:nvSpPr>
          <xdr:spPr bwMode="auto">
            <a:xfrm>
              <a:off x="5925918"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Resíduos sólidos gerados na operação</a:t>
              </a:r>
            </a:p>
          </xdr:txBody>
        </xdr:sp>
        <xdr:sp macro="" textlink="">
          <xdr:nvSpPr>
            <xdr:cNvPr id="50" name="Retângulo de cantos arredondados 50">
              <a:hlinkClick xmlns:r="http://schemas.openxmlformats.org/officeDocument/2006/relationships" r:id="rId15"/>
              <a:extLst>
                <a:ext uri="{FF2B5EF4-FFF2-40B4-BE49-F238E27FC236}">
                  <a16:creationId xmlns="" xmlns:a16="http://schemas.microsoft.com/office/drawing/2014/main" id="{00000000-0008-0000-0800-000032000000}"/>
                </a:ext>
              </a:extLst>
            </xdr:cNvPr>
            <xdr:cNvSpPr/>
          </xdr:nvSpPr>
          <xdr:spPr bwMode="auto">
            <a:xfrm>
              <a:off x="6722959"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Efluentes gerados na operação</a:t>
              </a:r>
            </a:p>
          </xdr:txBody>
        </xdr:sp>
        <xdr:sp macro="" textlink="">
          <xdr:nvSpPr>
            <xdr:cNvPr id="51" name="Retângulo de cantos arredondados 51">
              <a:hlinkClick xmlns:r="http://schemas.openxmlformats.org/officeDocument/2006/relationships" r:id="rId16"/>
              <a:extLst>
                <a:ext uri="{FF2B5EF4-FFF2-40B4-BE49-F238E27FC236}">
                  <a16:creationId xmlns="" xmlns:a16="http://schemas.microsoft.com/office/drawing/2014/main" id="{00000000-0008-0000-0800-000033000000}"/>
                </a:ext>
              </a:extLst>
            </xdr:cNvPr>
            <xdr:cNvSpPr/>
          </xdr:nvSpPr>
          <xdr:spPr bwMode="auto">
            <a:xfrm>
              <a:off x="8317041"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(downstream)</a:t>
              </a:r>
            </a:p>
          </xdr:txBody>
        </xdr:sp>
        <xdr:sp macro="" textlink="">
          <xdr:nvSpPr>
            <xdr:cNvPr id="52" name="Retângulo de cantos arredondados 52">
              <a:hlinkClick xmlns:r="http://schemas.openxmlformats.org/officeDocument/2006/relationships" r:id="rId17"/>
              <a:extLst>
                <a:ext uri="{FF2B5EF4-FFF2-40B4-BE49-F238E27FC236}">
                  <a16:creationId xmlns="" xmlns:a16="http://schemas.microsoft.com/office/drawing/2014/main" id="{00000000-0008-0000-0800-000034000000}"/>
                </a:ext>
              </a:extLst>
            </xdr:cNvPr>
            <xdr:cNvSpPr/>
          </xdr:nvSpPr>
          <xdr:spPr bwMode="auto">
            <a:xfrm>
              <a:off x="5135994" y="1228723"/>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marL="0" marR="0" lvl="0" indent="0" algn="ctr" defTabSz="914400" eaLnBrk="1" fontAlgn="auto" latinLnBrk="0" hangingPunct="1">
                <a:lnSpc>
                  <a:spcPct val="80000"/>
                </a:lnSpc>
                <a:spcBef>
                  <a:spcPts val="0"/>
                </a:spcBef>
                <a:spcAft>
                  <a:spcPts val="0"/>
                </a:spcAft>
                <a:buClrTx/>
                <a:buSzTx/>
                <a:buFontTx/>
                <a:buNone/>
                <a:tabLst/>
                <a:defRPr/>
              </a:pPr>
              <a:r>
                <a:rPr kumimoji="0" lang="pt-BR" sz="850" b="0" i="0" u="none" strike="noStrike" kern="0" cap="none" spc="0" normalizeH="0" baseline="0" noProof="0">
                  <a:ln>
                    <a:noFill/>
                  </a:ln>
                  <a:solidFill>
                    <a:prstClr val="white">
                      <a:lumMod val="50000"/>
                    </a:prstClr>
                  </a:solidFill>
                  <a:effectLst/>
                  <a:uLnTx/>
                  <a:uFillTx/>
                  <a:latin typeface="Calibri Light" panose="020F0302020204030204" pitchFamily="34" charset="0"/>
                  <a:ea typeface="+mn-ea"/>
                  <a:cs typeface="Arial" pitchFamily="34" charset="0"/>
                </a:rPr>
                <a:t>Transporte &amp; Distribuição (upstream)</a:t>
              </a:r>
            </a:p>
          </xdr:txBody>
        </xdr:sp>
        <xdr:sp macro="" textlink="">
          <xdr:nvSpPr>
            <xdr:cNvPr id="53" name="Retângulo de cantos arredondados 54">
              <a:hlinkClick xmlns:r="http://schemas.openxmlformats.org/officeDocument/2006/relationships" r:id="rId18"/>
              <a:extLst>
                <a:ext uri="{FF2B5EF4-FFF2-40B4-BE49-F238E27FC236}">
                  <a16:creationId xmlns="" xmlns:a16="http://schemas.microsoft.com/office/drawing/2014/main" id="{00000000-0008-0000-0800-000035000000}"/>
                </a:ext>
              </a:extLst>
            </xdr:cNvPr>
            <xdr:cNvSpPr/>
          </xdr:nvSpPr>
          <xdr:spPr bwMode="auto">
            <a:xfrm>
              <a:off x="9115497" y="466725"/>
              <a:ext cx="756000" cy="324000"/>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900" b="0">
                  <a:solidFill>
                    <a:schemeClr val="bg1"/>
                  </a:solidFill>
                  <a:latin typeface="Calibri Light" panose="020F0302020204030204" pitchFamily="34" charset="0"/>
                  <a:cs typeface="Arial" pitchFamily="34" charset="0"/>
                </a:rPr>
                <a:t>Efluentes</a:t>
              </a:r>
            </a:p>
          </xdr:txBody>
        </xdr:sp>
        <xdr:sp macro="" textlink="">
          <xdr:nvSpPr>
            <xdr:cNvPr id="54" name="Retângulo de cantos arredondados 56">
              <a:hlinkClick xmlns:r="http://schemas.openxmlformats.org/officeDocument/2006/relationships" r:id="rId19"/>
              <a:extLst>
                <a:ext uri="{FF2B5EF4-FFF2-40B4-BE49-F238E27FC236}">
                  <a16:creationId xmlns="" xmlns:a16="http://schemas.microsoft.com/office/drawing/2014/main" id="{00000000-0008-0000-0800-000036000000}"/>
                </a:ext>
              </a:extLst>
            </xdr:cNvPr>
            <xdr:cNvSpPr/>
          </xdr:nvSpPr>
          <xdr:spPr bwMode="auto">
            <a:xfrm>
              <a:off x="7526519" y="95250"/>
              <a:ext cx="756000" cy="324000"/>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Conversão de unidades</a:t>
              </a:r>
            </a:p>
          </xdr:txBody>
        </xdr:sp>
        <xdr:sp macro="" textlink="">
          <xdr:nvSpPr>
            <xdr:cNvPr id="55" name="Retângulo de cantos arredondados 58">
              <a:hlinkClick xmlns:r="http://schemas.openxmlformats.org/officeDocument/2006/relationships" r:id="rId20"/>
              <a:extLst>
                <a:ext uri="{FF2B5EF4-FFF2-40B4-BE49-F238E27FC236}">
                  <a16:creationId xmlns="" xmlns:a16="http://schemas.microsoft.com/office/drawing/2014/main" id="{00000000-0008-0000-0800-000037000000}"/>
                </a:ext>
              </a:extLst>
            </xdr:cNvPr>
            <xdr:cNvSpPr/>
          </xdr:nvSpPr>
          <xdr:spPr bwMode="auto">
            <a:xfrm>
              <a:off x="7520000" y="1228724"/>
              <a:ext cx="756000" cy="324000"/>
            </a:xfrm>
            <a:prstGeom prst="rect">
              <a:avLst/>
            </a:prstGeom>
            <a:solidFill>
              <a:srgbClr val="FFFF00"/>
            </a:solidFill>
            <a:ln>
              <a:noFill/>
              <a:headEnd type="none" w="med" len="med"/>
              <a:tailEnd type="none" w="med" len="med"/>
            </a:ln>
          </xdr:spPr>
          <xdr:style>
            <a:lnRef idx="1">
              <a:schemeClr val="accent4"/>
            </a:lnRef>
            <a:fillRef idx="3">
              <a:schemeClr val="accent4"/>
            </a:fillRef>
            <a:effectRef idx="2">
              <a:schemeClr val="accent4"/>
            </a:effectRef>
            <a:fontRef idx="minor">
              <a:schemeClr val="lt1"/>
            </a:fontRef>
          </xdr:style>
          <xdr:txBody>
            <a:bodyPr vertOverflow="clip" wrap="square" lIns="18288" tIns="0" rIns="0" bIns="0" rtlCol="0" anchor="ctr" upright="1"/>
            <a:lstStyle/>
            <a:p>
              <a:pPr algn="ctr"/>
              <a:r>
                <a:rPr lang="pt-BR" sz="900" b="0">
                  <a:solidFill>
                    <a:schemeClr val="bg1">
                      <a:lumMod val="50000"/>
                    </a:schemeClr>
                  </a:solidFill>
                  <a:latin typeface="Calibri Light" panose="020F0302020204030204" pitchFamily="34" charset="0"/>
                  <a:cs typeface="Arial" pitchFamily="34" charset="0"/>
                </a:rPr>
                <a:t>Viagens a negócios</a:t>
              </a:r>
            </a:p>
          </xdr:txBody>
        </xdr:sp>
        <xdr:sp macro="" textlink="">
          <xdr:nvSpPr>
            <xdr:cNvPr id="56" name="Fluxograma: Processo 59">
              <a:extLst>
                <a:ext uri="{FF2B5EF4-FFF2-40B4-BE49-F238E27FC236}">
                  <a16:creationId xmlns="" xmlns:a16="http://schemas.microsoft.com/office/drawing/2014/main" id="{00000000-0008-0000-0800-000038000000}"/>
                </a:ext>
              </a:extLst>
            </xdr:cNvPr>
            <xdr:cNvSpPr/>
          </xdr:nvSpPr>
          <xdr:spPr bwMode="auto">
            <a:xfrm>
              <a:off x="3604863" y="156702"/>
              <a:ext cx="684000" cy="180000"/>
            </a:xfrm>
            <a:prstGeom prst="flowChartProcess">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pt-BR" sz="1100" b="1">
                  <a:latin typeface="Calibri Light" panose="020F0302020204030204" pitchFamily="34" charset="0"/>
                  <a:cs typeface="Arial" pitchFamily="34" charset="0"/>
                </a:rPr>
                <a:t>Geral</a:t>
              </a:r>
            </a:p>
          </xdr:txBody>
        </xdr:sp>
      </xdr:grpSp>
      <xdr:sp macro="" textlink="">
        <xdr:nvSpPr>
          <xdr:cNvPr id="32" name="Retângulo de cantos arredondados 37">
            <a:hlinkClick xmlns:r="http://schemas.openxmlformats.org/officeDocument/2006/relationships" r:id="rId2"/>
            <a:extLst>
              <a:ext uri="{FF2B5EF4-FFF2-40B4-BE49-F238E27FC236}">
                <a16:creationId xmlns="" xmlns:a16="http://schemas.microsoft.com/office/drawing/2014/main" id="{00000000-0008-0000-0800-000020000000}"/>
              </a:ext>
            </a:extLst>
          </xdr:cNvPr>
          <xdr:cNvSpPr/>
        </xdr:nvSpPr>
        <xdr:spPr bwMode="auto">
          <a:xfrm>
            <a:off x="4696884" y="162983"/>
            <a:ext cx="774700" cy="318738"/>
          </a:xfrm>
          <a:prstGeom prst="rect">
            <a:avLst/>
          </a:prstGeom>
          <a:ln>
            <a:headEnd type="none" w="med" len="med"/>
            <a:tailEnd type="none" w="med" len="med"/>
          </a:ln>
        </xdr:spPr>
        <xdr:style>
          <a:lnRef idx="1">
            <a:schemeClr val="accent3"/>
          </a:lnRef>
          <a:fillRef idx="3">
            <a:schemeClr val="accent3"/>
          </a:fillRef>
          <a:effectRef idx="2">
            <a:schemeClr val="accent3"/>
          </a:effectRef>
          <a:fontRef idx="minor">
            <a:schemeClr val="lt1"/>
          </a:fontRef>
        </xdr:style>
        <xdr:txBody>
          <a:bodyPr vertOverflow="clip" wrap="square" lIns="18288" tIns="0" rIns="0" bIns="0" rtlCol="0" anchor="ctr" upright="1"/>
          <a:lstStyle/>
          <a:p>
            <a:pPr algn="ctr"/>
            <a:r>
              <a:rPr lang="pt-BR" sz="900" b="0">
                <a:latin typeface="Calibri Light" panose="020F0302020204030204" pitchFamily="34" charset="0"/>
                <a:cs typeface="Arial" pitchFamily="34" charset="0"/>
              </a:rPr>
              <a:t>GRI</a:t>
            </a:r>
          </a:p>
        </xdr:txBody>
      </xdr:sp>
      <xdr:sp macro="" textlink="">
        <xdr:nvSpPr>
          <xdr:cNvPr id="33" name="Retângulo de cantos arredondados 42">
            <a:hlinkClick xmlns:r="http://schemas.openxmlformats.org/officeDocument/2006/relationships" r:id="rId21"/>
            <a:extLst>
              <a:ext uri="{FF2B5EF4-FFF2-40B4-BE49-F238E27FC236}">
                <a16:creationId xmlns="" xmlns:a16="http://schemas.microsoft.com/office/drawing/2014/main" id="{00000000-0008-0000-0800-000021000000}"/>
              </a:ext>
            </a:extLst>
          </xdr:cNvPr>
          <xdr:cNvSpPr/>
        </xdr:nvSpPr>
        <xdr:spPr bwMode="auto">
          <a:xfrm>
            <a:off x="7125758" y="522817"/>
            <a:ext cx="758825" cy="318738"/>
          </a:xfrm>
          <a:prstGeom prst="rect">
            <a:avLst/>
          </a:prstGeom>
          <a:solidFill>
            <a:schemeClr val="accent1"/>
          </a:solidFill>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pt-BR" sz="850" b="0">
                <a:solidFill>
                  <a:schemeClr val="bg1"/>
                </a:solidFill>
                <a:latin typeface="Calibri Light" panose="020F0302020204030204" pitchFamily="34" charset="0"/>
                <a:cs typeface="Arial" pitchFamily="34" charset="0"/>
              </a:rPr>
              <a:t>Agrícolas e alt. do uso do solo</a:t>
            </a:r>
            <a:endParaRPr lang="pt-BR" sz="850" b="0" baseline="0">
              <a:solidFill>
                <a:schemeClr val="bg1"/>
              </a:solidFill>
              <a:latin typeface="Calibri Light" panose="020F0302020204030204" pitchFamily="34" charset="0"/>
              <a:cs typeface="Arial" pitchFamily="34" charset="0"/>
            </a:endParaRP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ghgprotocol.org/feature/download-new-ghg-protocol-corporate-value-chain-scope-3-standard"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0.bin"/><Relationship Id="rId3" Type="http://schemas.openxmlformats.org/officeDocument/2006/relationships/hyperlink" Target="https://ben.epe.gov.br/default.aspx" TargetMode="External"/><Relationship Id="rId7" Type="http://schemas.openxmlformats.org/officeDocument/2006/relationships/hyperlink" Target="http://unfccc.int/national_reports/annex_i_ghg_inventories/national_inventories_submissions/items/10116.php" TargetMode="External"/><Relationship Id="rId2" Type="http://schemas.openxmlformats.org/officeDocument/2006/relationships/hyperlink" Target="http://www.ipcc.ch/pdf/assessment-report/ar4/wg1/ar4-wg1-errata.pdf" TargetMode="External"/><Relationship Id="rId1" Type="http://schemas.openxmlformats.org/officeDocument/2006/relationships/hyperlink" Target="http://www.anp.gov.br/" TargetMode="External"/><Relationship Id="rId6" Type="http://schemas.openxmlformats.org/officeDocument/2006/relationships/hyperlink" Target="http://www.galpenergia.com/PT/Paginas/Home.aspx" TargetMode="External"/><Relationship Id="rId11" Type="http://schemas.openxmlformats.org/officeDocument/2006/relationships/comments" Target="../comments6.xml"/><Relationship Id="rId5" Type="http://schemas.openxmlformats.org/officeDocument/2006/relationships/hyperlink" Target="https://www.ren.pt/" TargetMode="External"/><Relationship Id="rId10" Type="http://schemas.openxmlformats.org/officeDocument/2006/relationships/vmlDrawing" Target="../drawings/vmlDrawing6.vml"/><Relationship Id="rId4" Type="http://schemas.openxmlformats.org/officeDocument/2006/relationships/hyperlink" Target="http://www.ukconversionfactorscarbonsmart.co.uk/" TargetMode="External"/><Relationship Id="rId9"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ghgprotocol.org/calculation-tools/all-tools"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H38"/>
  <sheetViews>
    <sheetView showGridLines="0" showRowColHeaders="0" tabSelected="1" zoomScaleNormal="100" zoomScaleSheetLayoutView="100" workbookViewId="0">
      <selection activeCell="M17" sqref="M16:M17"/>
    </sheetView>
  </sheetViews>
  <sheetFormatPr defaultColWidth="9.140625" defaultRowHeight="12.75" x14ac:dyDescent="0.2"/>
  <cols>
    <col min="1" max="16384" width="9.140625" style="1012"/>
  </cols>
  <sheetData>
    <row r="5" spans="2:8" x14ac:dyDescent="0.2">
      <c r="B5" s="1230" t="s">
        <v>349</v>
      </c>
      <c r="C5" s="1230"/>
      <c r="D5" s="1230"/>
      <c r="E5" s="1230"/>
      <c r="F5" s="1230"/>
      <c r="G5" s="1230"/>
      <c r="H5" s="1230"/>
    </row>
    <row r="38" spans="2:7" x14ac:dyDescent="0.2">
      <c r="B38" s="1229" t="s">
        <v>2321</v>
      </c>
      <c r="C38" s="1229"/>
      <c r="D38" s="1229"/>
      <c r="E38" s="1229"/>
      <c r="F38" s="1229"/>
      <c r="G38" s="1229"/>
    </row>
  </sheetData>
  <sheetProtection algorithmName="SHA-512" hashValue="2ivJQERVEjU8EdyXEcmO0JpN/Vem9Ea7oSwMnswu9Vy6ujI40uhFY7s1CpZGQ0kmLbY3aHija/x+KBJ8aObtSQ==" saltValue="uVQYjRg+mn4s66ufJnVvBA==" spinCount="100000" sheet="1" formatCells="0" formatColumns="0" formatRows="0" insertColumns="0" insertRows="0" insertHyperlinks="0" deleteColumns="0" deleteRows="0" sort="0" autoFilter="0" pivotTables="0"/>
  <mergeCells count="2">
    <mergeCell ref="B38:G38"/>
    <mergeCell ref="B5:H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249977111117893"/>
    <outlinePr summaryBelow="0"/>
  </sheetPr>
  <dimension ref="A1:CU316"/>
  <sheetViews>
    <sheetView showGridLines="0" zoomScale="80" zoomScaleNormal="80" workbookViewId="0">
      <selection activeCell="B20" sqref="B20:B21"/>
    </sheetView>
  </sheetViews>
  <sheetFormatPr defaultColWidth="0" defaultRowHeight="12.75" zeroHeight="1" outlineLevelRow="2" x14ac:dyDescent="0.2"/>
  <cols>
    <col min="1" max="1" width="5.7109375" customWidth="1"/>
    <col min="2" max="2" width="21.85546875" customWidth="1"/>
    <col min="3" max="3" width="40.7109375" customWidth="1"/>
    <col min="4" max="4" width="21.7109375" customWidth="1"/>
    <col min="5" max="5" width="21" customWidth="1"/>
    <col min="6" max="9" width="10.5703125" customWidth="1"/>
    <col min="10" max="15" width="10.7109375" customWidth="1"/>
    <col min="16" max="16" width="30.7109375" customWidth="1"/>
    <col min="17" max="17" width="17.85546875" customWidth="1"/>
    <col min="18" max="29" width="10.7109375" customWidth="1"/>
    <col min="30" max="33" width="20.7109375" customWidth="1"/>
    <col min="34" max="34" width="19.140625" customWidth="1"/>
    <col min="35" max="35" width="13" customWidth="1"/>
    <col min="36" max="36" width="11.28515625" customWidth="1"/>
    <col min="37" max="37" width="9.140625" customWidth="1"/>
    <col min="38" max="38" width="6.7109375" customWidth="1"/>
    <col min="39" max="99" width="9.140625" hidden="1" customWidth="1"/>
    <col min="100" max="16384" width="8.85546875" hidden="1"/>
  </cols>
  <sheetData>
    <row r="1" spans="1:38" ht="15.75" customHeight="1" x14ac:dyDescent="0.2">
      <c r="A1" s="339"/>
      <c r="B1" s="339"/>
      <c r="C1" s="339"/>
      <c r="D1" s="339"/>
      <c r="E1" s="339"/>
      <c r="F1" s="339"/>
      <c r="G1" s="339"/>
      <c r="H1" s="339"/>
      <c r="I1" s="339"/>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195"/>
    </row>
    <row r="2" spans="1:38" ht="15.75" customHeight="1" x14ac:dyDescent="0.2">
      <c r="A2" s="339"/>
      <c r="B2" s="339"/>
      <c r="C2" s="339"/>
      <c r="D2" s="339"/>
      <c r="E2" s="339"/>
      <c r="F2" s="339"/>
      <c r="G2" s="339"/>
      <c r="H2" s="339"/>
      <c r="I2" s="339"/>
      <c r="J2" s="339"/>
      <c r="K2" s="339"/>
      <c r="L2" s="339"/>
      <c r="M2" s="339"/>
      <c r="N2" s="339"/>
      <c r="O2" s="339"/>
      <c r="P2" s="339"/>
      <c r="Q2" s="339"/>
      <c r="R2" s="339"/>
      <c r="S2" s="339"/>
      <c r="T2" s="339"/>
      <c r="U2" s="339"/>
      <c r="V2" s="339"/>
      <c r="W2" s="339"/>
      <c r="X2" s="339"/>
      <c r="Y2" s="339"/>
      <c r="Z2" s="339"/>
      <c r="AA2" s="339"/>
      <c r="AB2" s="339"/>
      <c r="AC2" s="339"/>
      <c r="AD2" s="339"/>
      <c r="AE2" s="339"/>
      <c r="AF2" s="339"/>
      <c r="AG2" s="339"/>
      <c r="AH2" s="339"/>
      <c r="AI2" s="339"/>
      <c r="AJ2" s="339"/>
      <c r="AK2" s="339"/>
      <c r="AL2" s="195"/>
    </row>
    <row r="3" spans="1:38" ht="15.75" customHeight="1" x14ac:dyDescent="0.2">
      <c r="A3" s="339"/>
      <c r="B3" s="339"/>
      <c r="C3" s="339"/>
      <c r="D3" s="339"/>
      <c r="E3" s="339"/>
      <c r="F3" s="339"/>
      <c r="G3" s="339"/>
      <c r="H3" s="339"/>
      <c r="I3" s="339"/>
      <c r="J3" s="339"/>
      <c r="K3" s="339"/>
      <c r="L3" s="339"/>
      <c r="M3" s="339"/>
      <c r="N3" s="339"/>
      <c r="O3" s="339"/>
      <c r="P3" s="339"/>
      <c r="Q3" s="339"/>
      <c r="R3" s="339"/>
      <c r="S3" s="339"/>
      <c r="T3" s="339"/>
      <c r="U3" s="339"/>
      <c r="V3" s="339"/>
      <c r="W3" s="339"/>
      <c r="X3" s="339"/>
      <c r="Y3" s="339"/>
      <c r="Z3" s="339"/>
      <c r="AA3" s="339"/>
      <c r="AB3" s="339"/>
      <c r="AC3" s="339"/>
      <c r="AD3" s="339"/>
      <c r="AE3" s="339"/>
      <c r="AF3" s="339"/>
      <c r="AG3" s="339"/>
      <c r="AH3" s="339"/>
      <c r="AI3" s="339"/>
      <c r="AJ3" s="339"/>
      <c r="AK3" s="339"/>
      <c r="AL3" s="195"/>
    </row>
    <row r="4" spans="1:38" ht="15.75" customHeight="1" x14ac:dyDescent="0.2">
      <c r="A4" s="339"/>
      <c r="B4" s="339"/>
      <c r="C4" s="339"/>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c r="AK4" s="339"/>
      <c r="AL4" s="195"/>
    </row>
    <row r="5" spans="1:38" ht="15.75" customHeight="1" x14ac:dyDescent="0.2">
      <c r="A5" s="339"/>
      <c r="B5" s="339"/>
      <c r="C5" s="339"/>
      <c r="D5" s="339"/>
      <c r="E5" s="339"/>
      <c r="F5" s="339"/>
      <c r="G5" s="339"/>
      <c r="H5" s="339"/>
      <c r="I5" s="339"/>
      <c r="J5" s="339"/>
      <c r="K5" s="339"/>
      <c r="L5" s="339"/>
      <c r="M5" s="339"/>
      <c r="N5" s="339"/>
      <c r="O5" s="339"/>
      <c r="P5" s="339"/>
      <c r="Q5" s="339"/>
      <c r="R5" s="339"/>
      <c r="S5" s="339"/>
      <c r="T5" s="339"/>
      <c r="U5" s="339"/>
      <c r="V5" s="339"/>
      <c r="W5" s="339"/>
      <c r="X5" s="339"/>
      <c r="Y5" s="339"/>
      <c r="Z5" s="339"/>
      <c r="AA5" s="339"/>
      <c r="AB5" s="339"/>
      <c r="AC5" s="339"/>
      <c r="AD5" s="339"/>
      <c r="AE5" s="339"/>
      <c r="AF5" s="339"/>
      <c r="AG5" s="339"/>
      <c r="AH5" s="339"/>
      <c r="AI5" s="339"/>
      <c r="AJ5" s="339"/>
      <c r="AK5" s="339"/>
      <c r="AL5" s="195"/>
    </row>
    <row r="6" spans="1:38" ht="15.75" customHeight="1" x14ac:dyDescent="0.2">
      <c r="A6" s="339"/>
      <c r="B6" s="339"/>
      <c r="C6" s="339"/>
      <c r="D6" s="339"/>
      <c r="E6" s="339"/>
      <c r="F6" s="339"/>
      <c r="G6" s="339"/>
      <c r="H6" s="339"/>
      <c r="I6" s="339"/>
      <c r="J6" s="339"/>
      <c r="K6" s="339"/>
      <c r="L6" s="339"/>
      <c r="M6" s="339"/>
      <c r="N6" s="339"/>
      <c r="O6" s="339"/>
      <c r="P6" s="339"/>
      <c r="Q6" s="339"/>
      <c r="R6" s="339"/>
      <c r="S6" s="339"/>
      <c r="T6" s="339"/>
      <c r="U6" s="339"/>
      <c r="V6" s="339"/>
      <c r="W6" s="339"/>
      <c r="X6" s="339"/>
      <c r="Y6" s="339"/>
      <c r="Z6" s="339"/>
      <c r="AA6" s="339"/>
      <c r="AB6" s="339"/>
      <c r="AC6" s="339"/>
      <c r="AD6" s="339"/>
      <c r="AE6" s="339"/>
      <c r="AF6" s="339"/>
      <c r="AG6" s="339"/>
      <c r="AH6" s="339"/>
      <c r="AI6" s="339"/>
      <c r="AJ6" s="339"/>
      <c r="AK6" s="339"/>
      <c r="AL6" s="195"/>
    </row>
    <row r="7" spans="1:38" ht="15.75" customHeight="1" x14ac:dyDescent="0.2">
      <c r="A7" s="339"/>
      <c r="B7" s="339"/>
      <c r="C7" s="339"/>
      <c r="D7" s="339"/>
      <c r="E7" s="339"/>
      <c r="F7" s="339"/>
      <c r="G7" s="339"/>
      <c r="H7" s="339"/>
      <c r="I7" s="339"/>
      <c r="J7" s="339"/>
      <c r="K7" s="339"/>
      <c r="L7" s="339"/>
      <c r="M7" s="339"/>
      <c r="N7" s="339"/>
      <c r="O7" s="339"/>
      <c r="P7" s="339"/>
      <c r="Q7" s="339"/>
      <c r="R7" s="339"/>
      <c r="S7" s="339"/>
      <c r="T7" s="339"/>
      <c r="U7" s="339"/>
      <c r="V7" s="339"/>
      <c r="W7" s="339"/>
      <c r="X7" s="339"/>
      <c r="Y7" s="339"/>
      <c r="Z7" s="339"/>
      <c r="AA7" s="339"/>
      <c r="AB7" s="339"/>
      <c r="AC7" s="339"/>
      <c r="AD7" s="339"/>
      <c r="AE7" s="339"/>
      <c r="AF7" s="339"/>
      <c r="AG7" s="339"/>
      <c r="AH7" s="339"/>
      <c r="AI7" s="339"/>
      <c r="AJ7" s="339"/>
      <c r="AK7" s="339"/>
      <c r="AL7" s="195"/>
    </row>
    <row r="8" spans="1:38" ht="15" customHeight="1" x14ac:dyDescent="0.2">
      <c r="A8" s="339"/>
      <c r="B8" s="339"/>
      <c r="C8" s="339"/>
      <c r="D8" s="339"/>
      <c r="E8" s="339"/>
      <c r="F8" s="339"/>
      <c r="G8" s="339"/>
      <c r="H8" s="339"/>
      <c r="I8" s="339"/>
      <c r="J8" s="339"/>
      <c r="K8" s="339"/>
      <c r="L8" s="339"/>
      <c r="M8" s="339"/>
      <c r="N8" s="339"/>
      <c r="O8" s="339"/>
      <c r="P8" s="339"/>
      <c r="Q8" s="339"/>
      <c r="R8" s="339"/>
      <c r="S8" s="339"/>
      <c r="T8" s="339"/>
      <c r="U8" s="339"/>
      <c r="V8" s="339"/>
      <c r="W8" s="339"/>
      <c r="X8" s="339"/>
      <c r="Y8" s="339"/>
      <c r="Z8" s="339"/>
      <c r="AA8" s="339"/>
      <c r="AB8" s="339"/>
      <c r="AC8" s="339"/>
      <c r="AD8" s="339"/>
      <c r="AE8" s="339"/>
      <c r="AF8" s="339"/>
      <c r="AG8" s="339"/>
      <c r="AH8" s="339"/>
      <c r="AI8" s="339"/>
      <c r="AJ8" s="339"/>
      <c r="AK8" s="339"/>
      <c r="AL8" s="195"/>
    </row>
    <row r="9" spans="1:38" ht="15" customHeight="1" x14ac:dyDescent="0.2">
      <c r="A9" s="339"/>
      <c r="B9" s="339"/>
      <c r="C9" s="339"/>
      <c r="D9" s="339"/>
      <c r="E9" s="339"/>
      <c r="F9" s="339"/>
      <c r="G9" s="339"/>
      <c r="H9" s="339"/>
      <c r="I9" s="339"/>
      <c r="J9" s="339"/>
      <c r="K9" s="339"/>
      <c r="L9" s="339"/>
      <c r="M9" s="339"/>
      <c r="N9" s="339"/>
      <c r="O9" s="339"/>
      <c r="P9" s="339"/>
      <c r="Q9" s="339"/>
      <c r="R9" s="339"/>
      <c r="S9" s="339"/>
      <c r="T9" s="339"/>
      <c r="U9" s="339"/>
      <c r="V9" s="339"/>
      <c r="W9" s="339"/>
      <c r="X9" s="339"/>
      <c r="Y9" s="339"/>
      <c r="Z9" s="339"/>
      <c r="AA9" s="339"/>
      <c r="AB9" s="339"/>
      <c r="AC9" s="339"/>
      <c r="AD9" s="339"/>
      <c r="AE9" s="339"/>
      <c r="AF9" s="339"/>
      <c r="AG9" s="339"/>
      <c r="AH9" s="339"/>
      <c r="AI9" s="339"/>
      <c r="AJ9" s="339"/>
      <c r="AK9" s="339"/>
      <c r="AL9" s="195"/>
    </row>
    <row r="10" spans="1:38" ht="15" customHeight="1" x14ac:dyDescent="0.3">
      <c r="A10" s="339"/>
      <c r="B10" s="208" t="s">
        <v>351</v>
      </c>
      <c r="C10" s="339"/>
      <c r="D10" s="339"/>
      <c r="E10" s="339"/>
      <c r="F10" s="339"/>
      <c r="G10" s="339"/>
      <c r="H10" s="339"/>
      <c r="I10" s="339"/>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39"/>
      <c r="AG10" s="339"/>
      <c r="AH10" s="339"/>
      <c r="AI10" s="339"/>
      <c r="AJ10" s="339"/>
      <c r="AK10" s="339"/>
      <c r="AL10" s="195"/>
    </row>
    <row r="11" spans="1:38" ht="15" customHeight="1" x14ac:dyDescent="0.25">
      <c r="A11" s="339"/>
      <c r="B11" s="919"/>
      <c r="C11" s="339"/>
      <c r="D11" s="339"/>
      <c r="E11" s="339"/>
      <c r="F11" s="339"/>
      <c r="G11" s="339"/>
      <c r="H11" s="339"/>
      <c r="I11" s="339"/>
      <c r="J11" s="339"/>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339"/>
      <c r="AK11" s="339"/>
      <c r="AL11" s="195"/>
    </row>
    <row r="12" spans="1:38" ht="15" customHeight="1" x14ac:dyDescent="0.2">
      <c r="A12" s="339"/>
      <c r="B12" s="339"/>
      <c r="C12" s="510" t="s">
        <v>142</v>
      </c>
      <c r="D12" s="1297">
        <f>IF(OR(Ano="Selecione",Ano=0),"Escolha o ano do inventário na aba 'Introdução'",Ano)</f>
        <v>2030</v>
      </c>
      <c r="E12" s="1297"/>
      <c r="F12" s="1297"/>
      <c r="G12" s="1297"/>
      <c r="H12" s="1297"/>
      <c r="I12" s="339"/>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195"/>
    </row>
    <row r="13" spans="1:38" ht="15" customHeight="1" x14ac:dyDescent="0.25">
      <c r="A13" s="339"/>
      <c r="B13" s="523" t="s">
        <v>4</v>
      </c>
      <c r="C13" s="363"/>
      <c r="D13" s="339"/>
      <c r="E13" s="339"/>
      <c r="F13" s="339"/>
      <c r="G13" s="339"/>
      <c r="H13" s="339"/>
      <c r="I13" s="339"/>
      <c r="J13" s="339"/>
      <c r="K13" s="339"/>
      <c r="L13" s="339"/>
      <c r="M13" s="339"/>
      <c r="N13" s="339"/>
      <c r="O13" s="339"/>
      <c r="P13" s="339"/>
      <c r="Q13" s="339"/>
      <c r="R13" s="339"/>
      <c r="S13" s="339"/>
      <c r="T13" s="339"/>
      <c r="U13" s="339"/>
      <c r="V13" s="339"/>
      <c r="W13" s="339"/>
      <c r="X13" s="339"/>
      <c r="Y13" s="339"/>
      <c r="Z13" s="339"/>
      <c r="AA13" s="339"/>
      <c r="AB13" s="339"/>
      <c r="AC13" s="339"/>
      <c r="AD13" s="339"/>
      <c r="AE13" s="339"/>
      <c r="AF13" s="339"/>
      <c r="AG13" s="339"/>
      <c r="AH13" s="339"/>
      <c r="AI13" s="339"/>
      <c r="AJ13" s="339"/>
      <c r="AK13" s="339"/>
      <c r="AL13" s="195"/>
    </row>
    <row r="14" spans="1:38" ht="15" customHeight="1" x14ac:dyDescent="0.25">
      <c r="A14" s="363"/>
      <c r="B14" s="1162" t="s">
        <v>2089</v>
      </c>
      <c r="C14" s="656"/>
      <c r="D14" s="656"/>
      <c r="E14" s="656"/>
      <c r="F14" s="656"/>
      <c r="G14" s="656"/>
      <c r="H14" s="656"/>
      <c r="I14" s="656"/>
      <c r="J14" s="656"/>
      <c r="K14" s="656"/>
      <c r="L14" s="656"/>
      <c r="M14" s="656"/>
      <c r="N14" s="656"/>
      <c r="O14" s="656"/>
      <c r="P14" s="656"/>
      <c r="Q14" s="656"/>
      <c r="R14" s="656"/>
      <c r="S14" s="656"/>
      <c r="T14" s="363"/>
      <c r="U14" s="363"/>
      <c r="V14" s="363"/>
      <c r="W14" s="363"/>
      <c r="X14" s="363"/>
      <c r="Y14" s="363"/>
      <c r="Z14" s="363"/>
      <c r="AA14" s="363"/>
      <c r="AB14" s="363"/>
      <c r="AC14" s="363"/>
      <c r="AD14" s="363"/>
      <c r="AE14" s="363"/>
      <c r="AF14" s="363"/>
      <c r="AG14" s="363"/>
      <c r="AH14" s="363"/>
      <c r="AI14" s="363"/>
      <c r="AJ14" s="363"/>
      <c r="AK14" s="363"/>
      <c r="AL14" s="237"/>
    </row>
    <row r="15" spans="1:38" ht="15" customHeight="1" x14ac:dyDescent="0.25">
      <c r="A15" s="363"/>
      <c r="B15" s="925" t="s">
        <v>2086</v>
      </c>
      <c r="C15" s="524"/>
      <c r="D15" s="524"/>
      <c r="E15" s="363"/>
      <c r="F15" s="363"/>
      <c r="G15" s="363"/>
      <c r="H15" s="363"/>
      <c r="I15" s="363"/>
      <c r="J15" s="363"/>
      <c r="K15" s="363"/>
      <c r="L15" s="363"/>
      <c r="M15" s="363"/>
      <c r="N15" s="363"/>
      <c r="O15" s="363"/>
      <c r="P15" s="363"/>
      <c r="Q15" s="363"/>
      <c r="R15" s="363"/>
      <c r="S15" s="363"/>
      <c r="T15" s="363"/>
      <c r="U15" s="363"/>
      <c r="V15" s="363"/>
      <c r="W15" s="363"/>
      <c r="X15" s="363"/>
      <c r="Y15" s="363"/>
      <c r="Z15" s="363"/>
      <c r="AA15" s="363"/>
      <c r="AB15" s="363"/>
      <c r="AC15" s="363"/>
      <c r="AD15" s="363"/>
      <c r="AE15" s="363"/>
      <c r="AF15" s="363"/>
      <c r="AG15" s="363"/>
      <c r="AH15" s="363"/>
      <c r="AI15" s="363"/>
      <c r="AJ15" s="363"/>
      <c r="AK15" s="363"/>
      <c r="AL15" s="237"/>
    </row>
    <row r="16" spans="1:38" ht="15" customHeight="1" x14ac:dyDescent="0.25">
      <c r="A16" s="363"/>
      <c r="B16" s="925" t="s">
        <v>2087</v>
      </c>
      <c r="C16" s="524"/>
      <c r="D16" s="524"/>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237"/>
    </row>
    <row r="17" spans="1:38" ht="15" customHeight="1" x14ac:dyDescent="0.25">
      <c r="A17" s="363"/>
      <c r="B17" s="925" t="s">
        <v>2088</v>
      </c>
      <c r="C17" s="524"/>
      <c r="D17" s="524"/>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363"/>
      <c r="AE17" s="363"/>
      <c r="AF17" s="363"/>
      <c r="AG17" s="363"/>
      <c r="AH17" s="363"/>
      <c r="AI17" s="363"/>
      <c r="AJ17" s="363"/>
      <c r="AK17" s="363"/>
      <c r="AL17" s="237"/>
    </row>
    <row r="18" spans="1:38" ht="15" customHeight="1" x14ac:dyDescent="0.25">
      <c r="A18" s="363"/>
      <c r="B18" s="926" t="s">
        <v>2090</v>
      </c>
      <c r="C18" s="363"/>
      <c r="D18" s="363"/>
      <c r="E18" s="363"/>
      <c r="F18" s="363"/>
      <c r="G18" s="363"/>
      <c r="H18" s="363"/>
      <c r="I18" s="363"/>
      <c r="J18" s="363"/>
      <c r="K18" s="363"/>
      <c r="L18" s="363"/>
      <c r="M18" s="363"/>
      <c r="N18" s="363"/>
      <c r="O18" s="363"/>
      <c r="P18" s="363"/>
      <c r="Q18" s="363"/>
      <c r="R18" s="363"/>
      <c r="S18" s="363"/>
      <c r="T18" s="363"/>
      <c r="U18" s="363"/>
      <c r="V18" s="363"/>
      <c r="W18" s="363"/>
      <c r="X18" s="363"/>
      <c r="Y18" s="363"/>
      <c r="Z18" s="363"/>
      <c r="AA18" s="363"/>
      <c r="AB18" s="363"/>
      <c r="AC18" s="363"/>
      <c r="AD18" s="363"/>
      <c r="AE18" s="363"/>
      <c r="AF18" s="363"/>
      <c r="AG18" s="363"/>
      <c r="AH18" s="363"/>
      <c r="AI18" s="363"/>
      <c r="AJ18" s="363"/>
      <c r="AK18" s="363"/>
      <c r="AL18" s="237"/>
    </row>
    <row r="19" spans="1:38" ht="15" customHeight="1" x14ac:dyDescent="0.25">
      <c r="A19" s="363"/>
      <c r="B19" s="927" t="s">
        <v>2091</v>
      </c>
      <c r="C19" s="363"/>
      <c r="D19" s="363"/>
      <c r="E19" s="363"/>
      <c r="F19" s="363"/>
      <c r="G19" s="363"/>
      <c r="H19" s="363"/>
      <c r="I19" s="363"/>
      <c r="J19" s="363"/>
      <c r="K19" s="363"/>
      <c r="L19" s="363"/>
      <c r="M19" s="363"/>
      <c r="N19" s="363"/>
      <c r="O19" s="363"/>
      <c r="P19" s="363"/>
      <c r="Q19" s="363"/>
      <c r="R19" s="363"/>
      <c r="S19" s="363"/>
      <c r="T19" s="363"/>
      <c r="U19" s="363"/>
      <c r="V19" s="363"/>
      <c r="W19" s="363"/>
      <c r="X19" s="363"/>
      <c r="Y19" s="363"/>
      <c r="Z19" s="363"/>
      <c r="AA19" s="363"/>
      <c r="AB19" s="363"/>
      <c r="AC19" s="363"/>
      <c r="AD19" s="363"/>
      <c r="AE19" s="363"/>
      <c r="AF19" s="363"/>
      <c r="AG19" s="363"/>
      <c r="AH19" s="363"/>
      <c r="AI19" s="363"/>
      <c r="AJ19" s="363"/>
      <c r="AK19" s="363"/>
      <c r="AL19" s="237"/>
    </row>
    <row r="20" spans="1:38" s="94" customFormat="1" ht="15" customHeight="1" x14ac:dyDescent="0.25">
      <c r="A20" s="363"/>
      <c r="B20" s="927" t="s">
        <v>2317</v>
      </c>
      <c r="C20" s="363"/>
      <c r="D20" s="363"/>
      <c r="E20" s="363"/>
      <c r="F20" s="363"/>
      <c r="G20" s="363"/>
      <c r="H20" s="363"/>
      <c r="I20" s="363"/>
      <c r="J20" s="363"/>
      <c r="K20" s="363"/>
      <c r="L20" s="363"/>
      <c r="M20" s="363"/>
      <c r="N20" s="363"/>
      <c r="O20" s="363"/>
      <c r="P20" s="363"/>
      <c r="Q20" s="363"/>
      <c r="R20" s="363"/>
      <c r="S20" s="363"/>
      <c r="T20" s="363"/>
      <c r="U20" s="363"/>
      <c r="V20" s="363"/>
      <c r="W20" s="363"/>
      <c r="X20" s="363"/>
      <c r="Y20" s="363"/>
      <c r="Z20" s="363"/>
      <c r="AA20" s="363"/>
      <c r="AB20" s="363"/>
      <c r="AC20" s="363"/>
      <c r="AD20" s="363"/>
      <c r="AE20" s="363"/>
      <c r="AF20" s="363"/>
      <c r="AG20" s="363"/>
      <c r="AH20" s="363"/>
      <c r="AI20" s="363"/>
      <c r="AJ20" s="363"/>
      <c r="AK20" s="363"/>
      <c r="AL20" s="237"/>
    </row>
    <row r="21" spans="1:38" ht="15" customHeight="1" x14ac:dyDescent="0.25">
      <c r="A21" s="363"/>
      <c r="B21" s="237" t="s">
        <v>2318</v>
      </c>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237"/>
    </row>
    <row r="22" spans="1:38" ht="15" customHeight="1" outlineLevel="1" x14ac:dyDescent="0.25">
      <c r="A22" s="363"/>
      <c r="B22" s="362"/>
      <c r="C22" s="363"/>
      <c r="D22" s="363"/>
      <c r="E22" s="363"/>
      <c r="F22" s="363"/>
      <c r="G22" s="363"/>
      <c r="H22" s="237"/>
      <c r="I22" s="237"/>
      <c r="J22" s="237"/>
      <c r="K22" s="237"/>
      <c r="L22" s="237"/>
      <c r="M22" s="363"/>
      <c r="N22" s="363"/>
      <c r="O22" s="363"/>
      <c r="P22" s="363"/>
      <c r="Q22" s="363"/>
      <c r="R22" s="363"/>
      <c r="S22" s="363"/>
      <c r="T22" s="363"/>
      <c r="U22" s="363"/>
      <c r="V22" s="363"/>
      <c r="W22" s="363"/>
      <c r="X22" s="363"/>
      <c r="Y22" s="363"/>
      <c r="Z22" s="363"/>
      <c r="AA22" s="363"/>
      <c r="AB22" s="363"/>
      <c r="AC22" s="363"/>
      <c r="AD22" s="363"/>
      <c r="AE22" s="363"/>
      <c r="AF22" s="363"/>
      <c r="AG22" s="363"/>
      <c r="AH22" s="363"/>
      <c r="AI22" s="363"/>
      <c r="AJ22" s="363"/>
      <c r="AK22" s="363"/>
      <c r="AL22" s="237"/>
    </row>
    <row r="23" spans="1:38" ht="15" customHeight="1" outlineLevel="1" x14ac:dyDescent="0.25">
      <c r="A23" s="363"/>
      <c r="B23" s="217" t="s">
        <v>2081</v>
      </c>
      <c r="C23" s="363"/>
      <c r="D23" s="363"/>
      <c r="E23" s="363"/>
      <c r="F23" s="363"/>
      <c r="G23" s="237"/>
      <c r="H23" s="1358"/>
      <c r="I23" s="1358"/>
      <c r="J23" s="1358"/>
      <c r="K23" s="1358"/>
      <c r="L23" s="1358"/>
      <c r="M23" s="237"/>
      <c r="N23" s="237"/>
      <c r="O23" s="363"/>
      <c r="P23" s="363"/>
      <c r="Q23" s="363"/>
      <c r="R23" s="363"/>
      <c r="S23" s="363"/>
      <c r="T23" s="363"/>
      <c r="U23" s="363"/>
      <c r="V23" s="363"/>
      <c r="W23" s="363"/>
      <c r="X23" s="363"/>
      <c r="Y23" s="363"/>
      <c r="Z23" s="363"/>
      <c r="AA23" s="363"/>
      <c r="AB23" s="363"/>
      <c r="AC23" s="363"/>
      <c r="AD23" s="928" t="str">
        <f>IF(D28="","",IF(SUM(#REF!)=0,"",(D28*#REF!/1000)))</f>
        <v/>
      </c>
      <c r="AE23" s="363"/>
      <c r="AF23" s="363"/>
      <c r="AG23" s="363"/>
      <c r="AH23" s="363"/>
      <c r="AI23" s="363"/>
      <c r="AJ23" s="363"/>
      <c r="AK23" s="363"/>
      <c r="AL23" s="237"/>
    </row>
    <row r="24" spans="1:38" ht="20.100000000000001" customHeight="1" outlineLevel="1" x14ac:dyDescent="0.25">
      <c r="A24" s="363"/>
      <c r="B24" s="1243" t="s">
        <v>1842</v>
      </c>
      <c r="C24" s="1278" t="s">
        <v>133</v>
      </c>
      <c r="D24" s="1249" t="s">
        <v>1334</v>
      </c>
      <c r="E24" s="1249" t="s">
        <v>2084</v>
      </c>
      <c r="F24" s="1284" t="s">
        <v>1484</v>
      </c>
      <c r="G24" s="1359" t="s">
        <v>1485</v>
      </c>
      <c r="H24" s="1362" t="s">
        <v>1486</v>
      </c>
      <c r="I24" s="237"/>
      <c r="J24" s="373"/>
      <c r="K24" s="373"/>
      <c r="L24" s="373"/>
      <c r="M24" s="363"/>
      <c r="N24" s="237"/>
    </row>
    <row r="25" spans="1:38" ht="20.100000000000001" customHeight="1" outlineLevel="1" x14ac:dyDescent="0.25">
      <c r="A25" s="363"/>
      <c r="B25" s="1243"/>
      <c r="C25" s="1278"/>
      <c r="D25" s="1266"/>
      <c r="E25" s="1266"/>
      <c r="F25" s="1301"/>
      <c r="G25" s="1360"/>
      <c r="H25" s="1363"/>
      <c r="I25" s="237"/>
      <c r="J25" s="237"/>
      <c r="K25" s="237"/>
      <c r="L25" s="373"/>
      <c r="M25" s="237"/>
      <c r="N25" s="237"/>
    </row>
    <row r="26" spans="1:38" ht="20.100000000000001" customHeight="1" outlineLevel="1" x14ac:dyDescent="0.25">
      <c r="A26" s="363"/>
      <c r="B26" s="1243"/>
      <c r="C26" s="1278"/>
      <c r="D26" s="1250"/>
      <c r="E26" s="1250"/>
      <c r="F26" s="1286"/>
      <c r="G26" s="1361"/>
      <c r="H26" s="1364"/>
      <c r="I26" s="237"/>
      <c r="J26" s="237"/>
      <c r="K26" s="237"/>
      <c r="L26" s="373"/>
      <c r="M26" s="237"/>
      <c r="N26" s="237"/>
    </row>
    <row r="27" spans="1:38" ht="15" customHeight="1" outlineLevel="1" x14ac:dyDescent="0.25">
      <c r="A27" s="363"/>
      <c r="B27" s="929" t="s">
        <v>2082</v>
      </c>
      <c r="C27" s="929" t="s">
        <v>2083</v>
      </c>
      <c r="D27" s="929">
        <v>3000</v>
      </c>
      <c r="E27" s="929">
        <v>480</v>
      </c>
      <c r="F27" s="930">
        <f>IF(D27&lt;&gt;"",(D27*E27/1000000),"")</f>
        <v>1.44</v>
      </c>
      <c r="G27" s="931"/>
      <c r="H27" s="931"/>
      <c r="I27" s="237"/>
      <c r="J27" s="237"/>
      <c r="K27" s="237"/>
      <c r="L27" s="932"/>
      <c r="M27" s="237"/>
      <c r="N27" s="237"/>
    </row>
    <row r="28" spans="1:38" ht="15" customHeight="1" outlineLevel="1" x14ac:dyDescent="0.25">
      <c r="A28" s="363"/>
      <c r="B28" s="933"/>
      <c r="C28" s="934"/>
      <c r="D28" s="438"/>
      <c r="E28" s="438"/>
      <c r="F28" s="935" t="str">
        <f>IF(D28&lt;&gt;"",(D28*E28/1000000),"")</f>
        <v/>
      </c>
      <c r="G28" s="931"/>
      <c r="H28" s="931"/>
      <c r="I28" s="237"/>
      <c r="J28" s="237"/>
      <c r="K28" s="237"/>
      <c r="L28" s="363"/>
      <c r="M28" s="237"/>
      <c r="N28" s="237"/>
    </row>
    <row r="29" spans="1:38" ht="15" customHeight="1" outlineLevel="1" x14ac:dyDescent="0.25">
      <c r="A29" s="363"/>
      <c r="B29" s="933"/>
      <c r="C29" s="934"/>
      <c r="D29" s="438"/>
      <c r="E29" s="438"/>
      <c r="F29" s="935" t="str">
        <f t="shared" ref="F29:F92" si="0">IF(D29&lt;&gt;"",(D29*E29/1000000),"")</f>
        <v/>
      </c>
      <c r="G29" s="931"/>
      <c r="H29" s="931"/>
      <c r="I29" s="237"/>
      <c r="J29" s="237"/>
      <c r="K29" s="237"/>
      <c r="L29" s="363"/>
      <c r="M29" s="237"/>
      <c r="N29" s="237"/>
    </row>
    <row r="30" spans="1:38" ht="15" customHeight="1" outlineLevel="1" x14ac:dyDescent="0.25">
      <c r="A30" s="363"/>
      <c r="B30" s="933"/>
      <c r="C30" s="934"/>
      <c r="D30" s="438"/>
      <c r="E30" s="438"/>
      <c r="F30" s="935" t="str">
        <f t="shared" si="0"/>
        <v/>
      </c>
      <c r="G30" s="931"/>
      <c r="H30" s="931"/>
      <c r="I30" s="237"/>
      <c r="J30" s="237"/>
      <c r="K30" s="237"/>
      <c r="L30" s="363"/>
      <c r="M30" s="237"/>
      <c r="N30" s="237"/>
    </row>
    <row r="31" spans="1:38" ht="15" customHeight="1" outlineLevel="1" x14ac:dyDescent="0.25">
      <c r="A31" s="363"/>
      <c r="B31" s="933"/>
      <c r="C31" s="934"/>
      <c r="D31" s="438"/>
      <c r="E31" s="438"/>
      <c r="F31" s="935" t="str">
        <f t="shared" si="0"/>
        <v/>
      </c>
      <c r="G31" s="931"/>
      <c r="H31" s="931"/>
      <c r="I31" s="237"/>
      <c r="J31" s="237"/>
      <c r="K31" s="237"/>
      <c r="L31" s="363"/>
      <c r="M31" s="237"/>
      <c r="N31" s="237"/>
    </row>
    <row r="32" spans="1:38" ht="15" customHeight="1" outlineLevel="1" x14ac:dyDescent="0.25">
      <c r="A32" s="363"/>
      <c r="B32" s="933"/>
      <c r="C32" s="934"/>
      <c r="D32" s="438"/>
      <c r="E32" s="438"/>
      <c r="F32" s="935" t="str">
        <f t="shared" si="0"/>
        <v/>
      </c>
      <c r="G32" s="936"/>
      <c r="H32" s="936"/>
      <c r="I32" s="237"/>
      <c r="J32" s="237"/>
      <c r="K32" s="237"/>
      <c r="L32" s="363"/>
      <c r="M32" s="237"/>
      <c r="N32" s="237"/>
    </row>
    <row r="33" spans="1:14" ht="15" customHeight="1" outlineLevel="1" x14ac:dyDescent="0.25">
      <c r="A33" s="363"/>
      <c r="B33" s="933"/>
      <c r="C33" s="934"/>
      <c r="D33" s="438"/>
      <c r="E33" s="438"/>
      <c r="F33" s="935" t="str">
        <f t="shared" si="0"/>
        <v/>
      </c>
      <c r="G33" s="936"/>
      <c r="H33" s="936"/>
      <c r="I33" s="237"/>
      <c r="J33" s="237"/>
      <c r="K33" s="237"/>
      <c r="L33" s="363"/>
      <c r="M33" s="237"/>
      <c r="N33" s="237"/>
    </row>
    <row r="34" spans="1:14" ht="15" customHeight="1" outlineLevel="1" x14ac:dyDescent="0.25">
      <c r="A34" s="363"/>
      <c r="B34" s="933"/>
      <c r="C34" s="934"/>
      <c r="D34" s="438"/>
      <c r="E34" s="438"/>
      <c r="F34" s="935" t="str">
        <f t="shared" si="0"/>
        <v/>
      </c>
      <c r="G34" s="936"/>
      <c r="H34" s="936"/>
      <c r="I34" s="237"/>
      <c r="J34" s="237"/>
      <c r="K34" s="237"/>
      <c r="L34" s="363"/>
      <c r="M34" s="237"/>
      <c r="N34" s="237"/>
    </row>
    <row r="35" spans="1:14" ht="15" customHeight="1" outlineLevel="1" x14ac:dyDescent="0.25">
      <c r="A35" s="363"/>
      <c r="B35" s="933"/>
      <c r="C35" s="934"/>
      <c r="D35" s="438"/>
      <c r="E35" s="438"/>
      <c r="F35" s="935" t="str">
        <f t="shared" si="0"/>
        <v/>
      </c>
      <c r="G35" s="936"/>
      <c r="H35" s="936"/>
      <c r="I35" s="237"/>
      <c r="J35" s="237"/>
      <c r="K35" s="237"/>
      <c r="L35" s="363"/>
      <c r="M35" s="237"/>
      <c r="N35" s="237"/>
    </row>
    <row r="36" spans="1:14" ht="15" customHeight="1" outlineLevel="1" x14ac:dyDescent="0.25">
      <c r="A36" s="363"/>
      <c r="B36" s="933"/>
      <c r="C36" s="934"/>
      <c r="D36" s="438"/>
      <c r="E36" s="438"/>
      <c r="F36" s="935" t="str">
        <f t="shared" si="0"/>
        <v/>
      </c>
      <c r="G36" s="936"/>
      <c r="H36" s="936"/>
      <c r="I36" s="237"/>
      <c r="J36" s="237"/>
      <c r="K36" s="237"/>
      <c r="L36" s="363"/>
      <c r="M36" s="237"/>
      <c r="N36" s="237"/>
    </row>
    <row r="37" spans="1:14" ht="15" customHeight="1" outlineLevel="1" x14ac:dyDescent="0.25">
      <c r="A37" s="363"/>
      <c r="B37" s="933"/>
      <c r="C37" s="934"/>
      <c r="D37" s="438"/>
      <c r="E37" s="438"/>
      <c r="F37" s="935" t="str">
        <f t="shared" si="0"/>
        <v/>
      </c>
      <c r="G37" s="936"/>
      <c r="H37" s="936"/>
      <c r="I37" s="237"/>
      <c r="J37" s="237"/>
      <c r="K37" s="237"/>
      <c r="L37" s="363"/>
      <c r="M37" s="237"/>
      <c r="N37" s="237"/>
    </row>
    <row r="38" spans="1:14" ht="15" customHeight="1" outlineLevel="1" collapsed="1" x14ac:dyDescent="0.25">
      <c r="A38" s="363"/>
      <c r="B38" s="933"/>
      <c r="C38" s="934"/>
      <c r="D38" s="438"/>
      <c r="E38" s="438"/>
      <c r="F38" s="935" t="str">
        <f t="shared" si="0"/>
        <v/>
      </c>
      <c r="G38" s="936"/>
      <c r="H38" s="936"/>
      <c r="I38" s="237"/>
      <c r="J38" s="237"/>
      <c r="K38" s="237"/>
      <c r="L38" s="363"/>
      <c r="M38" s="237"/>
      <c r="N38" s="237"/>
    </row>
    <row r="39" spans="1:14" ht="15" hidden="1" customHeight="1" outlineLevel="2" x14ac:dyDescent="0.25">
      <c r="A39" s="363"/>
      <c r="B39" s="933"/>
      <c r="C39" s="934"/>
      <c r="D39" s="438"/>
      <c r="E39" s="438"/>
      <c r="F39" s="935" t="str">
        <f t="shared" si="0"/>
        <v/>
      </c>
      <c r="G39" s="936"/>
      <c r="H39" s="936"/>
      <c r="I39" s="237"/>
      <c r="J39" s="237"/>
      <c r="K39" s="237"/>
      <c r="L39" s="363"/>
      <c r="M39" s="237"/>
      <c r="N39" s="237"/>
    </row>
    <row r="40" spans="1:14" ht="15" hidden="1" customHeight="1" outlineLevel="2" x14ac:dyDescent="0.25">
      <c r="A40" s="363"/>
      <c r="B40" s="933"/>
      <c r="C40" s="934"/>
      <c r="D40" s="438"/>
      <c r="E40" s="438"/>
      <c r="F40" s="935" t="str">
        <f t="shared" si="0"/>
        <v/>
      </c>
      <c r="G40" s="936"/>
      <c r="H40" s="936"/>
      <c r="I40" s="237"/>
      <c r="J40" s="237"/>
      <c r="K40" s="237"/>
      <c r="L40" s="363"/>
      <c r="M40" s="237"/>
      <c r="N40" s="237"/>
    </row>
    <row r="41" spans="1:14" ht="15" hidden="1" customHeight="1" outlineLevel="2" x14ac:dyDescent="0.25">
      <c r="A41" s="363"/>
      <c r="B41" s="933"/>
      <c r="C41" s="934"/>
      <c r="D41" s="438"/>
      <c r="E41" s="438"/>
      <c r="F41" s="935" t="str">
        <f t="shared" si="0"/>
        <v/>
      </c>
      <c r="G41" s="936"/>
      <c r="H41" s="936"/>
      <c r="I41" s="237"/>
      <c r="J41" s="237"/>
      <c r="K41" s="237"/>
      <c r="L41" s="363"/>
      <c r="M41" s="237"/>
      <c r="N41" s="237"/>
    </row>
    <row r="42" spans="1:14" ht="15" hidden="1" customHeight="1" outlineLevel="2" x14ac:dyDescent="0.25">
      <c r="A42" s="363"/>
      <c r="B42" s="933"/>
      <c r="C42" s="934"/>
      <c r="D42" s="438"/>
      <c r="E42" s="438"/>
      <c r="F42" s="935" t="str">
        <f t="shared" si="0"/>
        <v/>
      </c>
      <c r="G42" s="936"/>
      <c r="H42" s="936"/>
      <c r="I42" s="237"/>
      <c r="J42" s="237"/>
      <c r="K42" s="237"/>
      <c r="L42" s="363"/>
      <c r="M42" s="237"/>
      <c r="N42" s="237"/>
    </row>
    <row r="43" spans="1:14" ht="15" hidden="1" customHeight="1" outlineLevel="2" x14ac:dyDescent="0.25">
      <c r="A43" s="363"/>
      <c r="B43" s="933"/>
      <c r="C43" s="934"/>
      <c r="D43" s="438"/>
      <c r="E43" s="438"/>
      <c r="F43" s="935" t="str">
        <f t="shared" si="0"/>
        <v/>
      </c>
      <c r="G43" s="936"/>
      <c r="H43" s="936"/>
      <c r="I43" s="237"/>
      <c r="J43" s="237"/>
      <c r="K43" s="237"/>
      <c r="L43" s="363"/>
      <c r="M43" s="237"/>
      <c r="N43" s="237"/>
    </row>
    <row r="44" spans="1:14" ht="15" hidden="1" customHeight="1" outlineLevel="2" x14ac:dyDescent="0.25">
      <c r="A44" s="363"/>
      <c r="B44" s="933"/>
      <c r="C44" s="934"/>
      <c r="D44" s="438"/>
      <c r="E44" s="438"/>
      <c r="F44" s="935" t="str">
        <f t="shared" si="0"/>
        <v/>
      </c>
      <c r="G44" s="936"/>
      <c r="H44" s="936"/>
      <c r="I44" s="237"/>
      <c r="J44" s="237"/>
      <c r="K44" s="237"/>
      <c r="L44" s="363"/>
      <c r="M44" s="237"/>
      <c r="N44" s="237"/>
    </row>
    <row r="45" spans="1:14" ht="15" hidden="1" customHeight="1" outlineLevel="2" x14ac:dyDescent="0.25">
      <c r="A45" s="363"/>
      <c r="B45" s="933"/>
      <c r="C45" s="934"/>
      <c r="D45" s="438"/>
      <c r="E45" s="438"/>
      <c r="F45" s="935" t="str">
        <f t="shared" si="0"/>
        <v/>
      </c>
      <c r="G45" s="936"/>
      <c r="H45" s="936"/>
      <c r="I45" s="237"/>
      <c r="J45" s="237"/>
      <c r="K45" s="237"/>
      <c r="L45" s="363"/>
      <c r="M45" s="237"/>
      <c r="N45" s="237"/>
    </row>
    <row r="46" spans="1:14" ht="15" hidden="1" customHeight="1" outlineLevel="2" x14ac:dyDescent="0.25">
      <c r="A46" s="363"/>
      <c r="B46" s="933"/>
      <c r="C46" s="934"/>
      <c r="D46" s="438"/>
      <c r="E46" s="438"/>
      <c r="F46" s="935" t="str">
        <f t="shared" si="0"/>
        <v/>
      </c>
      <c r="G46" s="936"/>
      <c r="H46" s="936"/>
      <c r="I46" s="237"/>
      <c r="J46" s="237"/>
      <c r="K46" s="237"/>
      <c r="L46" s="363"/>
      <c r="M46" s="237"/>
      <c r="N46" s="237"/>
    </row>
    <row r="47" spans="1:14" ht="15" hidden="1" customHeight="1" outlineLevel="2" x14ac:dyDescent="0.25">
      <c r="A47" s="363"/>
      <c r="B47" s="933"/>
      <c r="C47" s="934"/>
      <c r="D47" s="438"/>
      <c r="E47" s="438"/>
      <c r="F47" s="935" t="str">
        <f t="shared" si="0"/>
        <v/>
      </c>
      <c r="G47" s="936"/>
      <c r="H47" s="936"/>
      <c r="I47" s="237"/>
      <c r="J47" s="237"/>
      <c r="K47" s="237"/>
      <c r="L47" s="363"/>
      <c r="M47" s="237"/>
      <c r="N47" s="237"/>
    </row>
    <row r="48" spans="1:14" ht="15" hidden="1" customHeight="1" outlineLevel="2" x14ac:dyDescent="0.25">
      <c r="A48" s="363"/>
      <c r="B48" s="933"/>
      <c r="C48" s="934"/>
      <c r="D48" s="438"/>
      <c r="E48" s="438"/>
      <c r="F48" s="935" t="str">
        <f t="shared" si="0"/>
        <v/>
      </c>
      <c r="G48" s="936"/>
      <c r="H48" s="936"/>
      <c r="I48" s="237"/>
      <c r="J48" s="237"/>
      <c r="K48" s="237"/>
      <c r="L48" s="363"/>
      <c r="M48" s="237"/>
      <c r="N48" s="237"/>
    </row>
    <row r="49" spans="1:14" ht="15" hidden="1" customHeight="1" outlineLevel="2" x14ac:dyDescent="0.25">
      <c r="A49" s="363"/>
      <c r="B49" s="933"/>
      <c r="C49" s="934"/>
      <c r="D49" s="438"/>
      <c r="E49" s="438"/>
      <c r="F49" s="935" t="str">
        <f t="shared" si="0"/>
        <v/>
      </c>
      <c r="G49" s="936"/>
      <c r="H49" s="936"/>
      <c r="I49" s="237"/>
      <c r="J49" s="237"/>
      <c r="K49" s="237"/>
      <c r="L49" s="363"/>
      <c r="M49" s="237"/>
      <c r="N49" s="237"/>
    </row>
    <row r="50" spans="1:14" ht="15" hidden="1" customHeight="1" outlineLevel="2" x14ac:dyDescent="0.25">
      <c r="A50" s="363"/>
      <c r="B50" s="933"/>
      <c r="C50" s="934"/>
      <c r="D50" s="438"/>
      <c r="E50" s="438"/>
      <c r="F50" s="935" t="str">
        <f t="shared" si="0"/>
        <v/>
      </c>
      <c r="G50" s="936"/>
      <c r="H50" s="936"/>
      <c r="I50" s="237"/>
      <c r="J50" s="237"/>
      <c r="K50" s="237"/>
      <c r="L50" s="363"/>
      <c r="M50" s="237"/>
      <c r="N50" s="237"/>
    </row>
    <row r="51" spans="1:14" ht="15" hidden="1" customHeight="1" outlineLevel="2" x14ac:dyDescent="0.25">
      <c r="A51" s="363"/>
      <c r="B51" s="933"/>
      <c r="C51" s="934"/>
      <c r="D51" s="438"/>
      <c r="E51" s="438"/>
      <c r="F51" s="935" t="str">
        <f t="shared" si="0"/>
        <v/>
      </c>
      <c r="G51" s="936"/>
      <c r="H51" s="936"/>
      <c r="I51" s="237"/>
      <c r="J51" s="237"/>
      <c r="K51" s="237"/>
      <c r="L51" s="363"/>
      <c r="M51" s="237"/>
      <c r="N51" s="237"/>
    </row>
    <row r="52" spans="1:14" ht="15" hidden="1" customHeight="1" outlineLevel="2" x14ac:dyDescent="0.25">
      <c r="A52" s="363"/>
      <c r="B52" s="933"/>
      <c r="C52" s="934"/>
      <c r="D52" s="438"/>
      <c r="E52" s="438"/>
      <c r="F52" s="935" t="str">
        <f t="shared" si="0"/>
        <v/>
      </c>
      <c r="G52" s="936"/>
      <c r="H52" s="936"/>
      <c r="I52" s="237"/>
      <c r="J52" s="237"/>
      <c r="K52" s="237"/>
      <c r="L52" s="363"/>
      <c r="M52" s="237"/>
      <c r="N52" s="237"/>
    </row>
    <row r="53" spans="1:14" ht="15" hidden="1" customHeight="1" outlineLevel="2" x14ac:dyDescent="0.25">
      <c r="A53" s="363"/>
      <c r="B53" s="933"/>
      <c r="C53" s="934"/>
      <c r="D53" s="438"/>
      <c r="E53" s="438"/>
      <c r="F53" s="935" t="str">
        <f t="shared" si="0"/>
        <v/>
      </c>
      <c r="G53" s="936"/>
      <c r="H53" s="936"/>
      <c r="I53" s="237"/>
      <c r="J53" s="237"/>
      <c r="K53" s="237"/>
      <c r="L53" s="363"/>
      <c r="M53" s="237"/>
      <c r="N53" s="237"/>
    </row>
    <row r="54" spans="1:14" ht="15" hidden="1" customHeight="1" outlineLevel="2" x14ac:dyDescent="0.25">
      <c r="A54" s="363"/>
      <c r="B54" s="933"/>
      <c r="C54" s="934"/>
      <c r="D54" s="438"/>
      <c r="E54" s="438"/>
      <c r="F54" s="935" t="str">
        <f t="shared" si="0"/>
        <v/>
      </c>
      <c r="G54" s="936"/>
      <c r="H54" s="936"/>
      <c r="I54" s="237"/>
      <c r="J54" s="237"/>
      <c r="K54" s="237"/>
      <c r="L54" s="363"/>
      <c r="M54" s="237"/>
      <c r="N54" s="237"/>
    </row>
    <row r="55" spans="1:14" ht="15" hidden="1" customHeight="1" outlineLevel="2" x14ac:dyDescent="0.25">
      <c r="A55" s="363"/>
      <c r="B55" s="933"/>
      <c r="C55" s="934"/>
      <c r="D55" s="438"/>
      <c r="E55" s="438"/>
      <c r="F55" s="935" t="str">
        <f t="shared" si="0"/>
        <v/>
      </c>
      <c r="G55" s="936"/>
      <c r="H55" s="936"/>
      <c r="I55" s="237"/>
      <c r="J55" s="237"/>
      <c r="K55" s="237"/>
      <c r="L55" s="363"/>
      <c r="M55" s="237"/>
      <c r="N55" s="237"/>
    </row>
    <row r="56" spans="1:14" ht="15" hidden="1" customHeight="1" outlineLevel="2" x14ac:dyDescent="0.25">
      <c r="A56" s="363"/>
      <c r="B56" s="933"/>
      <c r="C56" s="934"/>
      <c r="D56" s="438"/>
      <c r="E56" s="438"/>
      <c r="F56" s="935" t="str">
        <f t="shared" si="0"/>
        <v/>
      </c>
      <c r="G56" s="936"/>
      <c r="H56" s="936"/>
      <c r="I56" s="237"/>
      <c r="J56" s="237"/>
      <c r="K56" s="237"/>
      <c r="L56" s="363"/>
      <c r="M56" s="237"/>
      <c r="N56" s="237"/>
    </row>
    <row r="57" spans="1:14" ht="15" hidden="1" customHeight="1" outlineLevel="2" x14ac:dyDescent="0.25">
      <c r="A57" s="363"/>
      <c r="B57" s="933"/>
      <c r="C57" s="934"/>
      <c r="D57" s="438"/>
      <c r="E57" s="438"/>
      <c r="F57" s="935" t="str">
        <f t="shared" si="0"/>
        <v/>
      </c>
      <c r="G57" s="936"/>
      <c r="H57" s="936"/>
      <c r="I57" s="237"/>
      <c r="J57" s="237"/>
      <c r="K57" s="237"/>
      <c r="L57" s="363"/>
      <c r="M57" s="237"/>
      <c r="N57" s="237"/>
    </row>
    <row r="58" spans="1:14" ht="15" hidden="1" customHeight="1" outlineLevel="2" x14ac:dyDescent="0.25">
      <c r="A58" s="363"/>
      <c r="B58" s="933"/>
      <c r="C58" s="934"/>
      <c r="D58" s="438"/>
      <c r="E58" s="438"/>
      <c r="F58" s="935" t="str">
        <f t="shared" si="0"/>
        <v/>
      </c>
      <c r="G58" s="936"/>
      <c r="H58" s="936"/>
      <c r="I58" s="237"/>
      <c r="J58" s="237"/>
      <c r="K58" s="237"/>
      <c r="L58" s="363"/>
      <c r="M58" s="237"/>
      <c r="N58" s="237"/>
    </row>
    <row r="59" spans="1:14" ht="15" hidden="1" customHeight="1" outlineLevel="2" x14ac:dyDescent="0.25">
      <c r="A59" s="363"/>
      <c r="B59" s="933"/>
      <c r="C59" s="934"/>
      <c r="D59" s="438"/>
      <c r="E59" s="438"/>
      <c r="F59" s="935" t="str">
        <f t="shared" si="0"/>
        <v/>
      </c>
      <c r="G59" s="936"/>
      <c r="H59" s="936"/>
      <c r="I59" s="237"/>
      <c r="J59" s="237"/>
      <c r="K59" s="237"/>
      <c r="L59" s="363"/>
      <c r="M59" s="237"/>
      <c r="N59" s="237"/>
    </row>
    <row r="60" spans="1:14" ht="15" hidden="1" customHeight="1" outlineLevel="2" x14ac:dyDescent="0.25">
      <c r="A60" s="363"/>
      <c r="B60" s="933"/>
      <c r="C60" s="934"/>
      <c r="D60" s="438"/>
      <c r="E60" s="438"/>
      <c r="F60" s="935" t="str">
        <f t="shared" si="0"/>
        <v/>
      </c>
      <c r="G60" s="936"/>
      <c r="H60" s="936"/>
      <c r="I60" s="237"/>
      <c r="J60" s="237"/>
      <c r="K60" s="237"/>
      <c r="L60" s="363"/>
      <c r="M60" s="237"/>
      <c r="N60" s="237"/>
    </row>
    <row r="61" spans="1:14" ht="15" hidden="1" customHeight="1" outlineLevel="2" x14ac:dyDescent="0.25">
      <c r="A61" s="363"/>
      <c r="B61" s="933"/>
      <c r="C61" s="934"/>
      <c r="D61" s="438"/>
      <c r="E61" s="438"/>
      <c r="F61" s="935" t="str">
        <f t="shared" si="0"/>
        <v/>
      </c>
      <c r="G61" s="936"/>
      <c r="H61" s="936"/>
      <c r="I61" s="237"/>
      <c r="J61" s="237"/>
      <c r="K61" s="237"/>
      <c r="L61" s="363"/>
      <c r="M61" s="237"/>
      <c r="N61" s="237"/>
    </row>
    <row r="62" spans="1:14" ht="15" hidden="1" customHeight="1" outlineLevel="2" x14ac:dyDescent="0.25">
      <c r="A62" s="363"/>
      <c r="B62" s="933"/>
      <c r="C62" s="934"/>
      <c r="D62" s="438"/>
      <c r="E62" s="438"/>
      <c r="F62" s="935" t="str">
        <f t="shared" si="0"/>
        <v/>
      </c>
      <c r="G62" s="936"/>
      <c r="H62" s="936"/>
      <c r="I62" s="237"/>
      <c r="J62" s="237"/>
      <c r="K62" s="237"/>
      <c r="L62" s="363"/>
      <c r="M62" s="237"/>
      <c r="N62" s="237"/>
    </row>
    <row r="63" spans="1:14" ht="15" hidden="1" customHeight="1" outlineLevel="2" x14ac:dyDescent="0.25">
      <c r="A63" s="363"/>
      <c r="B63" s="933"/>
      <c r="C63" s="934"/>
      <c r="D63" s="438"/>
      <c r="E63" s="438"/>
      <c r="F63" s="935" t="str">
        <f t="shared" si="0"/>
        <v/>
      </c>
      <c r="G63" s="936"/>
      <c r="H63" s="936"/>
      <c r="I63" s="237"/>
      <c r="J63" s="237"/>
      <c r="K63" s="237"/>
      <c r="L63" s="363"/>
      <c r="M63" s="237"/>
      <c r="N63" s="237"/>
    </row>
    <row r="64" spans="1:14" ht="15" hidden="1" customHeight="1" outlineLevel="2" x14ac:dyDescent="0.25">
      <c r="A64" s="363"/>
      <c r="B64" s="933"/>
      <c r="C64" s="934"/>
      <c r="D64" s="438"/>
      <c r="E64" s="438"/>
      <c r="F64" s="935" t="str">
        <f t="shared" si="0"/>
        <v/>
      </c>
      <c r="G64" s="936"/>
      <c r="H64" s="936"/>
      <c r="I64" s="237"/>
      <c r="J64" s="237"/>
      <c r="K64" s="237"/>
      <c r="L64" s="363"/>
      <c r="M64" s="237"/>
      <c r="N64" s="237"/>
    </row>
    <row r="65" spans="1:14" ht="15" hidden="1" customHeight="1" outlineLevel="2" x14ac:dyDescent="0.25">
      <c r="A65" s="363"/>
      <c r="B65" s="933"/>
      <c r="C65" s="934"/>
      <c r="D65" s="438"/>
      <c r="E65" s="438"/>
      <c r="F65" s="935" t="str">
        <f t="shared" si="0"/>
        <v/>
      </c>
      <c r="G65" s="936"/>
      <c r="H65" s="936"/>
      <c r="I65" s="237"/>
      <c r="J65" s="237"/>
      <c r="K65" s="237"/>
      <c r="L65" s="363"/>
      <c r="M65" s="237"/>
      <c r="N65" s="237"/>
    </row>
    <row r="66" spans="1:14" ht="15" hidden="1" customHeight="1" outlineLevel="2" x14ac:dyDescent="0.25">
      <c r="A66" s="363"/>
      <c r="B66" s="933"/>
      <c r="C66" s="934"/>
      <c r="D66" s="438"/>
      <c r="E66" s="438"/>
      <c r="F66" s="935" t="str">
        <f t="shared" si="0"/>
        <v/>
      </c>
      <c r="G66" s="936"/>
      <c r="H66" s="936"/>
      <c r="I66" s="237"/>
      <c r="J66" s="237"/>
      <c r="K66" s="237"/>
      <c r="L66" s="363"/>
      <c r="M66" s="237"/>
      <c r="N66" s="237"/>
    </row>
    <row r="67" spans="1:14" ht="15" hidden="1" customHeight="1" outlineLevel="2" x14ac:dyDescent="0.25">
      <c r="A67" s="363"/>
      <c r="B67" s="933"/>
      <c r="C67" s="934"/>
      <c r="D67" s="438"/>
      <c r="E67" s="438"/>
      <c r="F67" s="935" t="str">
        <f t="shared" si="0"/>
        <v/>
      </c>
      <c r="G67" s="936"/>
      <c r="H67" s="936"/>
      <c r="I67" s="237"/>
      <c r="J67" s="237"/>
      <c r="K67" s="237"/>
      <c r="L67" s="363"/>
      <c r="M67" s="237"/>
      <c r="N67" s="237"/>
    </row>
    <row r="68" spans="1:14" ht="15" hidden="1" customHeight="1" outlineLevel="2" x14ac:dyDescent="0.25">
      <c r="A68" s="363"/>
      <c r="B68" s="933"/>
      <c r="C68" s="934"/>
      <c r="D68" s="438"/>
      <c r="E68" s="438"/>
      <c r="F68" s="935" t="str">
        <f t="shared" si="0"/>
        <v/>
      </c>
      <c r="G68" s="936"/>
      <c r="H68" s="936"/>
      <c r="I68" s="237"/>
      <c r="J68" s="237"/>
      <c r="K68" s="237"/>
      <c r="L68" s="363"/>
      <c r="M68" s="237"/>
      <c r="N68" s="237"/>
    </row>
    <row r="69" spans="1:14" ht="15" hidden="1" customHeight="1" outlineLevel="2" x14ac:dyDescent="0.25">
      <c r="A69" s="363"/>
      <c r="B69" s="933"/>
      <c r="C69" s="934"/>
      <c r="D69" s="438"/>
      <c r="E69" s="438"/>
      <c r="F69" s="935" t="str">
        <f>IF(D69&lt;&gt;"",(D69*E69/1000000),"")</f>
        <v/>
      </c>
      <c r="G69" s="936"/>
      <c r="H69" s="936"/>
      <c r="I69" s="237"/>
      <c r="J69" s="237"/>
      <c r="K69" s="237"/>
      <c r="L69" s="363"/>
      <c r="M69" s="237"/>
      <c r="N69" s="237"/>
    </row>
    <row r="70" spans="1:14" ht="15" hidden="1" customHeight="1" outlineLevel="2" x14ac:dyDescent="0.25">
      <c r="A70" s="363"/>
      <c r="B70" s="933"/>
      <c r="C70" s="934"/>
      <c r="D70" s="438"/>
      <c r="E70" s="438"/>
      <c r="F70" s="935" t="str">
        <f t="shared" si="0"/>
        <v/>
      </c>
      <c r="G70" s="936"/>
      <c r="H70" s="936"/>
      <c r="I70" s="237"/>
      <c r="J70" s="237"/>
      <c r="K70" s="237"/>
      <c r="L70" s="363"/>
      <c r="M70" s="237"/>
      <c r="N70" s="237"/>
    </row>
    <row r="71" spans="1:14" ht="15" hidden="1" customHeight="1" outlineLevel="2" x14ac:dyDescent="0.25">
      <c r="A71" s="363"/>
      <c r="B71" s="933"/>
      <c r="C71" s="934"/>
      <c r="D71" s="438"/>
      <c r="E71" s="438"/>
      <c r="F71" s="935" t="str">
        <f t="shared" si="0"/>
        <v/>
      </c>
      <c r="G71" s="936"/>
      <c r="H71" s="936"/>
      <c r="I71" s="237"/>
      <c r="J71" s="237"/>
      <c r="K71" s="237"/>
      <c r="L71" s="363"/>
      <c r="M71" s="237"/>
      <c r="N71" s="237"/>
    </row>
    <row r="72" spans="1:14" ht="15" hidden="1" customHeight="1" outlineLevel="2" x14ac:dyDescent="0.25">
      <c r="A72" s="363"/>
      <c r="B72" s="933"/>
      <c r="C72" s="934"/>
      <c r="D72" s="438"/>
      <c r="E72" s="438"/>
      <c r="F72" s="935" t="str">
        <f t="shared" si="0"/>
        <v/>
      </c>
      <c r="G72" s="936"/>
      <c r="H72" s="936"/>
      <c r="I72" s="237"/>
      <c r="J72" s="237"/>
      <c r="K72" s="237"/>
      <c r="L72" s="363"/>
      <c r="M72" s="237"/>
      <c r="N72" s="237"/>
    </row>
    <row r="73" spans="1:14" ht="15" hidden="1" customHeight="1" outlineLevel="2" x14ac:dyDescent="0.25">
      <c r="A73" s="363"/>
      <c r="B73" s="933"/>
      <c r="C73" s="934"/>
      <c r="D73" s="438"/>
      <c r="E73" s="438"/>
      <c r="F73" s="935" t="str">
        <f t="shared" si="0"/>
        <v/>
      </c>
      <c r="G73" s="936"/>
      <c r="H73" s="936"/>
      <c r="I73" s="237"/>
      <c r="J73" s="237"/>
      <c r="K73" s="237"/>
      <c r="L73" s="363"/>
      <c r="M73" s="237"/>
      <c r="N73" s="237"/>
    </row>
    <row r="74" spans="1:14" ht="15" hidden="1" customHeight="1" outlineLevel="2" x14ac:dyDescent="0.25">
      <c r="A74" s="363"/>
      <c r="B74" s="933"/>
      <c r="C74" s="934"/>
      <c r="D74" s="438"/>
      <c r="E74" s="438"/>
      <c r="F74" s="935" t="str">
        <f t="shared" si="0"/>
        <v/>
      </c>
      <c r="G74" s="936"/>
      <c r="H74" s="936"/>
      <c r="I74" s="237"/>
      <c r="J74" s="237"/>
      <c r="K74" s="237"/>
      <c r="L74" s="363"/>
      <c r="M74" s="237"/>
      <c r="N74" s="237"/>
    </row>
    <row r="75" spans="1:14" ht="15" hidden="1" customHeight="1" outlineLevel="2" x14ac:dyDescent="0.25">
      <c r="A75" s="363"/>
      <c r="B75" s="933"/>
      <c r="C75" s="934"/>
      <c r="D75" s="438"/>
      <c r="E75" s="438"/>
      <c r="F75" s="935" t="str">
        <f t="shared" si="0"/>
        <v/>
      </c>
      <c r="G75" s="936"/>
      <c r="H75" s="936"/>
      <c r="I75" s="237"/>
      <c r="J75" s="237"/>
      <c r="K75" s="237"/>
      <c r="L75" s="363"/>
      <c r="M75" s="237"/>
      <c r="N75" s="237"/>
    </row>
    <row r="76" spans="1:14" ht="15" hidden="1" customHeight="1" outlineLevel="2" x14ac:dyDescent="0.25">
      <c r="A76" s="363"/>
      <c r="B76" s="933"/>
      <c r="C76" s="934"/>
      <c r="D76" s="438"/>
      <c r="E76" s="438"/>
      <c r="F76" s="935" t="str">
        <f t="shared" si="0"/>
        <v/>
      </c>
      <c r="G76" s="936"/>
      <c r="H76" s="936"/>
      <c r="I76" s="237"/>
      <c r="J76" s="237"/>
      <c r="K76" s="237"/>
      <c r="L76" s="363"/>
      <c r="M76" s="237"/>
      <c r="N76" s="237"/>
    </row>
    <row r="77" spans="1:14" ht="15" hidden="1" customHeight="1" outlineLevel="2" x14ac:dyDescent="0.25">
      <c r="A77" s="363"/>
      <c r="B77" s="933"/>
      <c r="C77" s="934"/>
      <c r="D77" s="438"/>
      <c r="E77" s="438"/>
      <c r="F77" s="935" t="str">
        <f t="shared" si="0"/>
        <v/>
      </c>
      <c r="G77" s="936"/>
      <c r="H77" s="936"/>
      <c r="I77" s="237"/>
      <c r="J77" s="237"/>
      <c r="K77" s="237"/>
      <c r="L77" s="363"/>
      <c r="M77" s="237"/>
      <c r="N77" s="237"/>
    </row>
    <row r="78" spans="1:14" ht="15" hidden="1" customHeight="1" outlineLevel="2" x14ac:dyDescent="0.25">
      <c r="A78" s="363"/>
      <c r="B78" s="933"/>
      <c r="C78" s="934"/>
      <c r="D78" s="438"/>
      <c r="E78" s="438"/>
      <c r="F78" s="935" t="str">
        <f t="shared" si="0"/>
        <v/>
      </c>
      <c r="G78" s="936"/>
      <c r="H78" s="936"/>
      <c r="I78" s="237"/>
      <c r="J78" s="237"/>
      <c r="K78" s="237"/>
      <c r="L78" s="363"/>
      <c r="M78" s="237"/>
      <c r="N78" s="237"/>
    </row>
    <row r="79" spans="1:14" ht="15" hidden="1" customHeight="1" outlineLevel="2" x14ac:dyDescent="0.25">
      <c r="A79" s="363"/>
      <c r="B79" s="933"/>
      <c r="C79" s="934"/>
      <c r="D79" s="438"/>
      <c r="E79" s="438"/>
      <c r="F79" s="935" t="str">
        <f t="shared" si="0"/>
        <v/>
      </c>
      <c r="G79" s="936"/>
      <c r="H79" s="936"/>
      <c r="I79" s="237"/>
      <c r="J79" s="237"/>
      <c r="K79" s="237"/>
      <c r="L79" s="363"/>
      <c r="M79" s="237"/>
      <c r="N79" s="237"/>
    </row>
    <row r="80" spans="1:14" ht="15" hidden="1" customHeight="1" outlineLevel="2" x14ac:dyDescent="0.25">
      <c r="A80" s="363"/>
      <c r="B80" s="933"/>
      <c r="C80" s="934"/>
      <c r="D80" s="438"/>
      <c r="E80" s="438"/>
      <c r="F80" s="935" t="str">
        <f t="shared" si="0"/>
        <v/>
      </c>
      <c r="G80" s="936"/>
      <c r="H80" s="936"/>
      <c r="I80" s="237"/>
      <c r="J80" s="237"/>
      <c r="K80" s="237"/>
      <c r="L80" s="363"/>
      <c r="M80" s="237"/>
      <c r="N80" s="237"/>
    </row>
    <row r="81" spans="1:14" ht="15" hidden="1" customHeight="1" outlineLevel="2" x14ac:dyDescent="0.25">
      <c r="A81" s="363"/>
      <c r="B81" s="933"/>
      <c r="C81" s="934"/>
      <c r="D81" s="438"/>
      <c r="E81" s="438"/>
      <c r="F81" s="935" t="str">
        <f t="shared" si="0"/>
        <v/>
      </c>
      <c r="G81" s="936"/>
      <c r="H81" s="936"/>
      <c r="I81" s="237"/>
      <c r="J81" s="237"/>
      <c r="K81" s="237"/>
      <c r="L81" s="363"/>
      <c r="M81" s="237"/>
      <c r="N81" s="237"/>
    </row>
    <row r="82" spans="1:14" ht="15" hidden="1" customHeight="1" outlineLevel="2" x14ac:dyDescent="0.25">
      <c r="A82" s="363"/>
      <c r="B82" s="933"/>
      <c r="C82" s="934"/>
      <c r="D82" s="438"/>
      <c r="E82" s="438"/>
      <c r="F82" s="935" t="str">
        <f t="shared" si="0"/>
        <v/>
      </c>
      <c r="G82" s="936"/>
      <c r="H82" s="936"/>
      <c r="I82" s="237"/>
      <c r="J82" s="237"/>
      <c r="K82" s="237"/>
      <c r="L82" s="363"/>
      <c r="M82" s="237"/>
      <c r="N82" s="237"/>
    </row>
    <row r="83" spans="1:14" ht="15" hidden="1" customHeight="1" outlineLevel="2" x14ac:dyDescent="0.25">
      <c r="A83" s="363"/>
      <c r="B83" s="933"/>
      <c r="C83" s="934"/>
      <c r="D83" s="438"/>
      <c r="E83" s="438"/>
      <c r="F83" s="935" t="str">
        <f t="shared" si="0"/>
        <v/>
      </c>
      <c r="G83" s="936"/>
      <c r="H83" s="936"/>
      <c r="I83" s="237"/>
      <c r="J83" s="237"/>
      <c r="K83" s="237"/>
      <c r="L83" s="363"/>
      <c r="M83" s="237"/>
      <c r="N83" s="237"/>
    </row>
    <row r="84" spans="1:14" ht="15" hidden="1" customHeight="1" outlineLevel="2" x14ac:dyDescent="0.25">
      <c r="A84" s="363"/>
      <c r="B84" s="933"/>
      <c r="C84" s="934"/>
      <c r="D84" s="438"/>
      <c r="E84" s="438"/>
      <c r="F84" s="935" t="str">
        <f t="shared" si="0"/>
        <v/>
      </c>
      <c r="G84" s="936"/>
      <c r="H84" s="936"/>
      <c r="I84" s="237"/>
      <c r="J84" s="237"/>
      <c r="K84" s="237"/>
      <c r="L84" s="363"/>
      <c r="M84" s="237"/>
      <c r="N84" s="237"/>
    </row>
    <row r="85" spans="1:14" ht="15" hidden="1" customHeight="1" outlineLevel="2" x14ac:dyDescent="0.25">
      <c r="A85" s="363"/>
      <c r="B85" s="933"/>
      <c r="C85" s="934"/>
      <c r="D85" s="438"/>
      <c r="E85" s="438"/>
      <c r="F85" s="935" t="str">
        <f>IF(D85&lt;&gt;"",(D85*E85/1000000),"")</f>
        <v/>
      </c>
      <c r="G85" s="936"/>
      <c r="H85" s="936"/>
      <c r="I85" s="237"/>
      <c r="J85" s="237"/>
      <c r="K85" s="237"/>
      <c r="L85" s="363"/>
      <c r="M85" s="237"/>
      <c r="N85" s="237"/>
    </row>
    <row r="86" spans="1:14" ht="15" hidden="1" customHeight="1" outlineLevel="2" x14ac:dyDescent="0.25">
      <c r="A86" s="363"/>
      <c r="B86" s="933"/>
      <c r="C86" s="934"/>
      <c r="D86" s="438"/>
      <c r="E86" s="438"/>
      <c r="F86" s="935" t="str">
        <f t="shared" si="0"/>
        <v/>
      </c>
      <c r="G86" s="936"/>
      <c r="H86" s="936"/>
      <c r="I86" s="237"/>
      <c r="J86" s="237"/>
      <c r="K86" s="237"/>
      <c r="L86" s="363"/>
      <c r="M86" s="237"/>
      <c r="N86" s="237"/>
    </row>
    <row r="87" spans="1:14" ht="15" hidden="1" customHeight="1" outlineLevel="2" x14ac:dyDescent="0.25">
      <c r="A87" s="363"/>
      <c r="B87" s="933"/>
      <c r="C87" s="934"/>
      <c r="D87" s="438"/>
      <c r="E87" s="438"/>
      <c r="F87" s="935" t="str">
        <f t="shared" si="0"/>
        <v/>
      </c>
      <c r="G87" s="936"/>
      <c r="H87" s="936"/>
      <c r="I87" s="237"/>
      <c r="J87" s="237"/>
      <c r="K87" s="237"/>
      <c r="L87" s="363"/>
      <c r="M87" s="237"/>
      <c r="N87" s="237"/>
    </row>
    <row r="88" spans="1:14" ht="15" hidden="1" customHeight="1" outlineLevel="2" x14ac:dyDescent="0.25">
      <c r="A88" s="363"/>
      <c r="B88" s="933"/>
      <c r="C88" s="934"/>
      <c r="D88" s="438"/>
      <c r="E88" s="438"/>
      <c r="F88" s="935" t="str">
        <f t="shared" si="0"/>
        <v/>
      </c>
      <c r="G88" s="936"/>
      <c r="H88" s="936"/>
      <c r="I88" s="237"/>
      <c r="J88" s="237"/>
      <c r="K88" s="237"/>
      <c r="L88" s="363"/>
      <c r="M88" s="237"/>
      <c r="N88" s="237"/>
    </row>
    <row r="89" spans="1:14" ht="15" hidden="1" customHeight="1" outlineLevel="2" x14ac:dyDescent="0.25">
      <c r="A89" s="363"/>
      <c r="B89" s="933"/>
      <c r="C89" s="934"/>
      <c r="D89" s="438"/>
      <c r="E89" s="438"/>
      <c r="F89" s="935" t="str">
        <f t="shared" si="0"/>
        <v/>
      </c>
      <c r="G89" s="936"/>
      <c r="H89" s="936"/>
      <c r="I89" s="237"/>
      <c r="J89" s="237"/>
      <c r="K89" s="237"/>
      <c r="L89" s="363"/>
      <c r="M89" s="237"/>
      <c r="N89" s="237"/>
    </row>
    <row r="90" spans="1:14" ht="15" hidden="1" customHeight="1" outlineLevel="2" x14ac:dyDescent="0.25">
      <c r="A90" s="363"/>
      <c r="B90" s="933"/>
      <c r="C90" s="934"/>
      <c r="D90" s="438"/>
      <c r="E90" s="438"/>
      <c r="F90" s="935" t="str">
        <f t="shared" si="0"/>
        <v/>
      </c>
      <c r="G90" s="936"/>
      <c r="H90" s="936"/>
      <c r="I90" s="237"/>
      <c r="J90" s="237"/>
      <c r="K90" s="237"/>
      <c r="L90" s="363"/>
      <c r="M90" s="237"/>
      <c r="N90" s="237"/>
    </row>
    <row r="91" spans="1:14" ht="15" hidden="1" customHeight="1" outlineLevel="2" x14ac:dyDescent="0.25">
      <c r="A91" s="363"/>
      <c r="B91" s="933"/>
      <c r="C91" s="934"/>
      <c r="D91" s="438"/>
      <c r="E91" s="438"/>
      <c r="F91" s="935" t="str">
        <f t="shared" si="0"/>
        <v/>
      </c>
      <c r="G91" s="936"/>
      <c r="H91" s="936"/>
      <c r="I91" s="237"/>
      <c r="J91" s="237"/>
      <c r="K91" s="237"/>
      <c r="L91" s="363"/>
      <c r="M91" s="237"/>
      <c r="N91" s="237"/>
    </row>
    <row r="92" spans="1:14" ht="15" hidden="1" customHeight="1" outlineLevel="2" x14ac:dyDescent="0.25">
      <c r="A92" s="363"/>
      <c r="B92" s="933"/>
      <c r="C92" s="934"/>
      <c r="D92" s="438"/>
      <c r="E92" s="438"/>
      <c r="F92" s="935" t="str">
        <f t="shared" si="0"/>
        <v/>
      </c>
      <c r="G92" s="936"/>
      <c r="H92" s="936"/>
      <c r="I92" s="237"/>
      <c r="J92" s="237"/>
      <c r="K92" s="237"/>
      <c r="L92" s="363"/>
      <c r="M92" s="237"/>
      <c r="N92" s="237"/>
    </row>
    <row r="93" spans="1:14" ht="15" hidden="1" customHeight="1" outlineLevel="2" x14ac:dyDescent="0.25">
      <c r="A93" s="363"/>
      <c r="B93" s="933"/>
      <c r="C93" s="934"/>
      <c r="D93" s="438"/>
      <c r="E93" s="438"/>
      <c r="F93" s="935" t="str">
        <f t="shared" ref="F93:F98" si="1">IF(D93&lt;&gt;"",(D93*E93/1000000),"")</f>
        <v/>
      </c>
      <c r="G93" s="936"/>
      <c r="H93" s="936"/>
      <c r="I93" s="237"/>
      <c r="J93" s="237"/>
      <c r="K93" s="237"/>
      <c r="L93" s="363"/>
      <c r="M93" s="237"/>
      <c r="N93" s="237"/>
    </row>
    <row r="94" spans="1:14" ht="15" hidden="1" customHeight="1" outlineLevel="2" x14ac:dyDescent="0.25">
      <c r="A94" s="363"/>
      <c r="B94" s="933"/>
      <c r="C94" s="934"/>
      <c r="D94" s="438"/>
      <c r="E94" s="438"/>
      <c r="F94" s="935" t="str">
        <f t="shared" si="1"/>
        <v/>
      </c>
      <c r="G94" s="936"/>
      <c r="H94" s="936"/>
      <c r="I94" s="237"/>
      <c r="J94" s="237"/>
      <c r="K94" s="237"/>
      <c r="L94" s="363"/>
      <c r="M94" s="237"/>
      <c r="N94" s="237"/>
    </row>
    <row r="95" spans="1:14" ht="15" hidden="1" customHeight="1" outlineLevel="2" x14ac:dyDescent="0.25">
      <c r="A95" s="363"/>
      <c r="B95" s="933"/>
      <c r="C95" s="934"/>
      <c r="D95" s="438"/>
      <c r="E95" s="438"/>
      <c r="F95" s="935" t="str">
        <f t="shared" si="1"/>
        <v/>
      </c>
      <c r="G95" s="936"/>
      <c r="H95" s="936"/>
      <c r="I95" s="237"/>
      <c r="J95" s="237"/>
      <c r="K95" s="237"/>
      <c r="L95" s="363"/>
      <c r="M95" s="237"/>
      <c r="N95" s="237"/>
    </row>
    <row r="96" spans="1:14" ht="15" hidden="1" customHeight="1" outlineLevel="2" x14ac:dyDescent="0.25">
      <c r="A96" s="363"/>
      <c r="B96" s="933"/>
      <c r="C96" s="934"/>
      <c r="D96" s="438"/>
      <c r="E96" s="438"/>
      <c r="F96" s="935" t="str">
        <f t="shared" si="1"/>
        <v/>
      </c>
      <c r="G96" s="936"/>
      <c r="H96" s="936"/>
      <c r="I96" s="237"/>
      <c r="J96" s="237"/>
      <c r="K96" s="237"/>
      <c r="L96" s="363"/>
      <c r="M96" s="237"/>
      <c r="N96" s="237"/>
    </row>
    <row r="97" spans="1:38" ht="15" hidden="1" customHeight="1" outlineLevel="2" x14ac:dyDescent="0.25">
      <c r="A97" s="363"/>
      <c r="B97" s="933"/>
      <c r="C97" s="934"/>
      <c r="D97" s="438"/>
      <c r="E97" s="438"/>
      <c r="F97" s="935" t="str">
        <f t="shared" si="1"/>
        <v/>
      </c>
      <c r="G97" s="936"/>
      <c r="H97" s="936"/>
      <c r="I97" s="237"/>
      <c r="J97" s="237"/>
      <c r="K97" s="237"/>
      <c r="L97" s="363"/>
      <c r="M97" s="237"/>
      <c r="N97" s="237"/>
    </row>
    <row r="98" spans="1:38" ht="15" hidden="1" customHeight="1" outlineLevel="2" x14ac:dyDescent="0.25">
      <c r="A98" s="363"/>
      <c r="B98" s="933"/>
      <c r="C98" s="934"/>
      <c r="D98" s="438"/>
      <c r="E98" s="438"/>
      <c r="F98" s="935" t="str">
        <f t="shared" si="1"/>
        <v/>
      </c>
      <c r="G98" s="936"/>
      <c r="H98" s="936"/>
      <c r="I98" s="237"/>
      <c r="J98" s="237"/>
      <c r="K98" s="237"/>
      <c r="L98" s="363"/>
      <c r="M98" s="237"/>
      <c r="N98" s="237"/>
    </row>
    <row r="99" spans="1:38" ht="15" customHeight="1" outlineLevel="1" x14ac:dyDescent="0.25">
      <c r="A99" s="363"/>
      <c r="B99" s="1295" t="s">
        <v>78</v>
      </c>
      <c r="C99" s="1296"/>
      <c r="D99" s="1192">
        <f t="shared" ref="D99:F99" si="2">SUM(D28:D98)</f>
        <v>0</v>
      </c>
      <c r="E99" s="1192"/>
      <c r="F99" s="1193">
        <f t="shared" si="2"/>
        <v>0</v>
      </c>
      <c r="G99" s="1192"/>
      <c r="H99" s="1192"/>
      <c r="I99" s="237"/>
      <c r="J99" s="237"/>
      <c r="K99" s="237"/>
      <c r="L99" s="363"/>
      <c r="M99" s="237"/>
      <c r="N99" s="237"/>
    </row>
    <row r="100" spans="1:38" ht="15" customHeight="1" outlineLevel="1" x14ac:dyDescent="0.25">
      <c r="A100" s="363"/>
      <c r="B100" s="1356"/>
      <c r="C100" s="1356"/>
      <c r="D100" s="1356"/>
      <c r="E100" s="1356"/>
      <c r="F100" s="1357"/>
      <c r="G100" s="1357"/>
      <c r="H100" s="1357"/>
      <c r="I100" s="1355"/>
      <c r="J100" s="1355"/>
      <c r="K100" s="1355"/>
      <c r="L100" s="1355"/>
      <c r="M100" s="1355"/>
      <c r="N100" s="1355"/>
      <c r="O100" s="373"/>
      <c r="P100" s="363"/>
      <c r="Q100" s="363"/>
      <c r="R100" s="363"/>
      <c r="S100" s="363"/>
      <c r="T100" s="363"/>
      <c r="U100" s="363"/>
      <c r="V100" s="363"/>
      <c r="W100" s="363"/>
      <c r="X100" s="363"/>
      <c r="Y100" s="363"/>
      <c r="Z100" s="363"/>
      <c r="AA100" s="363"/>
      <c r="AB100" s="363"/>
      <c r="AC100" s="363"/>
      <c r="AD100" s="312"/>
      <c r="AE100" s="312"/>
      <c r="AF100" s="312"/>
      <c r="AG100" s="312"/>
      <c r="AH100" s="312"/>
      <c r="AI100" s="363"/>
      <c r="AJ100" s="363"/>
      <c r="AK100" s="363"/>
      <c r="AL100" s="237"/>
    </row>
    <row r="101" spans="1:38" ht="15" customHeight="1" x14ac:dyDescent="0.25">
      <c r="A101" s="363"/>
      <c r="B101" s="363"/>
      <c r="C101" s="363"/>
      <c r="D101" s="363"/>
      <c r="E101" s="363"/>
      <c r="F101" s="363"/>
      <c r="G101" s="363"/>
      <c r="H101" s="363"/>
      <c r="I101" s="363"/>
      <c r="J101" s="363"/>
      <c r="K101" s="363"/>
      <c r="L101" s="363"/>
      <c r="M101" s="363"/>
      <c r="N101" s="363"/>
      <c r="O101" s="363"/>
      <c r="P101" s="363"/>
      <c r="Q101" s="363"/>
      <c r="R101" s="940"/>
      <c r="S101" s="940"/>
      <c r="T101" s="363"/>
      <c r="U101" s="363"/>
      <c r="V101" s="363"/>
      <c r="W101" s="363"/>
      <c r="X101" s="363"/>
      <c r="Y101" s="363"/>
      <c r="Z101" s="363"/>
      <c r="AA101" s="363"/>
      <c r="AB101" s="363"/>
      <c r="AC101" s="363"/>
      <c r="AD101" s="363"/>
      <c r="AE101" s="363"/>
      <c r="AF101" s="363"/>
      <c r="AG101" s="363"/>
      <c r="AH101" s="363"/>
      <c r="AI101" s="363"/>
      <c r="AJ101" s="363"/>
      <c r="AK101" s="363"/>
      <c r="AL101" s="237"/>
    </row>
    <row r="102" spans="1:38" ht="15" customHeight="1" x14ac:dyDescent="0.25">
      <c r="A102" s="363"/>
      <c r="B102" s="364"/>
      <c r="C102" s="364"/>
      <c r="D102" s="364"/>
      <c r="E102" s="364"/>
      <c r="F102" s="941"/>
      <c r="G102" s="941"/>
      <c r="H102" s="941"/>
      <c r="I102" s="942"/>
      <c r="J102" s="942"/>
      <c r="K102" s="942"/>
      <c r="L102" s="942"/>
      <c r="M102" s="942"/>
      <c r="N102" s="942"/>
      <c r="O102" s="373"/>
      <c r="P102" s="363"/>
      <c r="Q102" s="363"/>
      <c r="R102" s="363"/>
      <c r="S102" s="363"/>
      <c r="T102" s="363"/>
      <c r="U102" s="363"/>
      <c r="V102" s="363"/>
      <c r="W102" s="363"/>
      <c r="X102" s="363"/>
      <c r="Y102" s="363"/>
      <c r="Z102" s="363"/>
      <c r="AA102" s="363"/>
      <c r="AB102" s="363"/>
      <c r="AC102" s="363"/>
      <c r="AD102" s="363"/>
      <c r="AE102" s="363"/>
      <c r="AF102" s="363"/>
      <c r="AG102" s="363"/>
      <c r="AH102" s="363"/>
      <c r="AI102" s="363"/>
      <c r="AJ102" s="363"/>
      <c r="AK102" s="363"/>
      <c r="AL102" s="237"/>
    </row>
    <row r="103" spans="1:38" s="94" customFormat="1" ht="15" customHeight="1" x14ac:dyDescent="0.25">
      <c r="A103" s="363"/>
      <c r="B103" s="985"/>
      <c r="C103" s="985"/>
      <c r="D103" s="985"/>
      <c r="E103" s="985"/>
      <c r="F103" s="984"/>
      <c r="G103" s="984"/>
      <c r="H103" s="984"/>
      <c r="I103" s="983"/>
      <c r="J103" s="983"/>
      <c r="K103" s="983"/>
      <c r="L103" s="983"/>
      <c r="M103" s="983"/>
      <c r="N103" s="983"/>
      <c r="O103" s="373"/>
      <c r="P103" s="363"/>
      <c r="Q103" s="363"/>
      <c r="R103" s="363"/>
      <c r="S103" s="363"/>
      <c r="T103" s="363"/>
      <c r="U103" s="363"/>
      <c r="V103" s="363"/>
      <c r="W103" s="363"/>
      <c r="X103" s="363"/>
      <c r="Y103" s="363"/>
      <c r="Z103" s="363"/>
      <c r="AA103" s="363"/>
      <c r="AB103" s="363"/>
      <c r="AC103" s="363"/>
      <c r="AD103" s="363"/>
      <c r="AE103" s="363"/>
      <c r="AF103" s="363"/>
      <c r="AG103" s="363"/>
      <c r="AH103" s="363"/>
      <c r="AI103" s="363"/>
      <c r="AJ103" s="363"/>
      <c r="AK103" s="363"/>
      <c r="AL103" s="237"/>
    </row>
    <row r="104" spans="1:38" ht="15" customHeight="1" x14ac:dyDescent="0.25">
      <c r="A104" s="363"/>
      <c r="B104" s="362" t="s">
        <v>2085</v>
      </c>
      <c r="C104" s="363"/>
      <c r="D104" s="363"/>
      <c r="E104" s="363"/>
      <c r="F104" s="363"/>
      <c r="G104" s="363"/>
      <c r="H104" s="363"/>
      <c r="I104" s="363"/>
      <c r="J104" s="363"/>
      <c r="K104" s="363"/>
      <c r="L104" s="363"/>
      <c r="M104" s="363"/>
      <c r="N104" s="363"/>
      <c r="O104" s="363"/>
      <c r="P104" s="363"/>
      <c r="Q104" s="363"/>
      <c r="R104" s="363"/>
      <c r="S104" s="363"/>
      <c r="T104" s="363"/>
      <c r="U104" s="363"/>
      <c r="V104" s="363"/>
      <c r="W104" s="363"/>
      <c r="X104" s="363"/>
      <c r="Y104" s="363"/>
      <c r="Z104" s="363"/>
      <c r="AA104" s="363"/>
      <c r="AB104" s="363"/>
      <c r="AC104" s="363"/>
      <c r="AD104" s="363"/>
      <c r="AE104" s="363"/>
      <c r="AF104" s="363"/>
      <c r="AG104" s="363"/>
      <c r="AH104" s="363"/>
      <c r="AI104" s="363"/>
      <c r="AJ104" s="363"/>
      <c r="AK104" s="363"/>
      <c r="AL104" s="237"/>
    </row>
    <row r="105" spans="1:38" ht="4.5" customHeight="1" thickBot="1" x14ac:dyDescent="0.25">
      <c r="A105" s="195"/>
      <c r="B105" s="195"/>
      <c r="C105" s="195"/>
      <c r="D105" s="195"/>
      <c r="E105" s="195"/>
      <c r="F105" s="195"/>
      <c r="G105" s="195"/>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row>
    <row r="106" spans="1:38" ht="30" customHeight="1" thickBot="1" x14ac:dyDescent="0.25">
      <c r="A106" s="339"/>
      <c r="B106" s="943" t="s">
        <v>1407</v>
      </c>
      <c r="C106" s="921"/>
      <c r="D106" s="921"/>
      <c r="E106" s="921"/>
      <c r="F106" s="922"/>
      <c r="G106" s="922"/>
      <c r="H106" s="1353">
        <f>total_ee_sin</f>
        <v>0</v>
      </c>
      <c r="I106" s="1353"/>
      <c r="J106" s="1354"/>
      <c r="K106" s="923"/>
      <c r="L106" s="339"/>
      <c r="M106" s="339"/>
      <c r="N106" s="339"/>
      <c r="O106" s="339"/>
      <c r="P106" s="339"/>
      <c r="Q106" s="339"/>
      <c r="R106" s="339"/>
      <c r="S106" s="339"/>
      <c r="T106" s="339"/>
      <c r="U106" s="339"/>
      <c r="V106" s="339"/>
      <c r="W106" s="339"/>
      <c r="X106" s="339"/>
      <c r="Y106" s="339"/>
      <c r="Z106" s="339"/>
      <c r="AA106" s="339"/>
      <c r="AB106" s="339"/>
      <c r="AC106" s="339"/>
      <c r="AD106" s="339"/>
      <c r="AE106" s="339"/>
      <c r="AF106" s="339"/>
      <c r="AG106" s="339"/>
      <c r="AH106" s="339"/>
      <c r="AI106" s="195"/>
    </row>
    <row r="107" spans="1:38" ht="5.0999999999999996" customHeight="1" x14ac:dyDescent="0.2">
      <c r="A107" s="339"/>
      <c r="B107" s="339"/>
      <c r="C107" s="339"/>
      <c r="D107" s="339"/>
      <c r="E107" s="339"/>
      <c r="F107" s="339"/>
      <c r="G107" s="339"/>
      <c r="H107" s="195"/>
      <c r="I107" s="195"/>
      <c r="J107" s="195"/>
      <c r="K107" s="339"/>
      <c r="L107" s="339"/>
      <c r="M107" s="339"/>
      <c r="N107" s="339"/>
      <c r="O107" s="339"/>
      <c r="P107" s="339"/>
      <c r="Q107" s="339"/>
      <c r="R107" s="339"/>
      <c r="S107" s="339"/>
      <c r="T107" s="339"/>
      <c r="U107" s="339"/>
      <c r="V107" s="339"/>
      <c r="W107" s="339"/>
      <c r="X107" s="339"/>
      <c r="Y107" s="339"/>
      <c r="Z107" s="339"/>
      <c r="AA107" s="339"/>
      <c r="AB107" s="339"/>
      <c r="AC107" s="339"/>
      <c r="AD107" s="339"/>
      <c r="AE107" s="339"/>
      <c r="AF107" s="339"/>
      <c r="AG107" s="339"/>
      <c r="AH107" s="339"/>
      <c r="AI107" s="195"/>
    </row>
    <row r="108" spans="1:38" x14ac:dyDescent="0.2">
      <c r="A108" s="339"/>
      <c r="B108" s="339"/>
      <c r="C108" s="339"/>
      <c r="D108" s="339"/>
      <c r="E108" s="339"/>
      <c r="F108" s="924"/>
      <c r="G108" s="924"/>
      <c r="H108" s="924"/>
      <c r="I108" s="924"/>
      <c r="J108" s="924"/>
      <c r="K108" s="924"/>
      <c r="L108" s="924"/>
      <c r="M108" s="924"/>
      <c r="N108" s="924"/>
      <c r="O108" s="924"/>
      <c r="P108" s="924"/>
      <c r="Q108" s="924"/>
      <c r="R108" s="924"/>
      <c r="S108" s="924"/>
      <c r="T108" s="339"/>
      <c r="U108" s="339"/>
      <c r="V108" s="339"/>
      <c r="W108" s="339"/>
      <c r="X108" s="339"/>
      <c r="Y108" s="339"/>
      <c r="Z108" s="339"/>
      <c r="AA108" s="339"/>
      <c r="AB108" s="339"/>
      <c r="AC108" s="339"/>
      <c r="AD108" s="339"/>
      <c r="AE108" s="339"/>
      <c r="AF108" s="339"/>
      <c r="AG108" s="339"/>
      <c r="AH108" s="339"/>
      <c r="AI108" s="339"/>
      <c r="AJ108" s="339"/>
      <c r="AK108" s="339"/>
      <c r="AL108" s="195"/>
    </row>
    <row r="109" spans="1:38" x14ac:dyDescent="0.2">
      <c r="A109" s="339"/>
      <c r="B109" s="195"/>
      <c r="C109" s="195"/>
      <c r="D109" s="195"/>
      <c r="E109" s="195"/>
      <c r="F109" s="195"/>
      <c r="G109" s="195"/>
      <c r="H109" s="195"/>
      <c r="I109" s="195"/>
      <c r="J109" s="195"/>
      <c r="K109" s="195"/>
      <c r="L109" s="195"/>
      <c r="M109" s="195"/>
      <c r="N109" s="195"/>
      <c r="O109" s="195"/>
      <c r="P109" s="195"/>
      <c r="Q109" s="195"/>
      <c r="R109" s="195"/>
      <c r="S109" s="195"/>
      <c r="T109" s="339"/>
      <c r="U109" s="339"/>
      <c r="V109" s="339"/>
      <c r="W109" s="339"/>
      <c r="X109" s="339"/>
      <c r="Y109" s="339"/>
      <c r="Z109" s="339"/>
      <c r="AA109" s="339"/>
      <c r="AB109" s="339"/>
      <c r="AC109" s="339"/>
      <c r="AD109" s="339"/>
      <c r="AE109" s="339"/>
      <c r="AF109" s="339"/>
      <c r="AG109" s="339"/>
      <c r="AH109" s="339"/>
      <c r="AI109" s="339"/>
      <c r="AJ109" s="339"/>
      <c r="AK109" s="339"/>
      <c r="AL109" s="195"/>
    </row>
    <row r="110" spans="1:38" x14ac:dyDescent="0.2"/>
    <row r="111" spans="1:38" x14ac:dyDescent="0.2"/>
    <row r="112" spans="1:38" x14ac:dyDescent="0.2"/>
    <row r="113" x14ac:dyDescent="0.2"/>
    <row r="114" x14ac:dyDescent="0.2"/>
    <row r="115" x14ac:dyDescent="0.2"/>
    <row r="116" s="94" customFormat="1" x14ac:dyDescent="0.2"/>
    <row r="117" s="94" customFormat="1" x14ac:dyDescent="0.2"/>
    <row r="118" s="94" customFormat="1" x14ac:dyDescent="0.2"/>
    <row r="119" s="94" customFormat="1"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sheetData>
  <mergeCells count="16">
    <mergeCell ref="D12:H12"/>
    <mergeCell ref="H23:L23"/>
    <mergeCell ref="F24:F26"/>
    <mergeCell ref="D24:D26"/>
    <mergeCell ref="E24:E26"/>
    <mergeCell ref="G24:G26"/>
    <mergeCell ref="H24:H26"/>
    <mergeCell ref="H106:J106"/>
    <mergeCell ref="M100:N100"/>
    <mergeCell ref="K100:L100"/>
    <mergeCell ref="B24:B26"/>
    <mergeCell ref="C24:C26"/>
    <mergeCell ref="I100:J100"/>
    <mergeCell ref="B100:E100"/>
    <mergeCell ref="B99:C99"/>
    <mergeCell ref="F100:H100"/>
  </mergeCells>
  <phoneticPr fontId="8" type="noConversion"/>
  <conditionalFormatting sqref="C12:D12">
    <cfRule type="expression" dxfId="9377" priority="1308" stopIfTrue="1">
      <formula>NOT(ISERROR(SEARCH("ESCOLHA",C12)))</formula>
    </cfRule>
  </conditionalFormatting>
  <conditionalFormatting sqref="H23">
    <cfRule type="expression" dxfId="9376" priority="1307" stopIfTrue="1">
      <formula>NOT(ISERROR(SEARCH("ESCOLHA",H23)))</formula>
    </cfRule>
  </conditionalFormatting>
  <conditionalFormatting sqref="E28:E98">
    <cfRule type="expression" dxfId="9375" priority="1292" stopIfTrue="1">
      <formula>#REF!&lt;&gt;""</formula>
    </cfRule>
    <cfRule type="expression" dxfId="9374" priority="1293">
      <formula>#REF!&lt;&gt;""</formula>
    </cfRule>
    <cfRule type="expression" dxfId="9373" priority="1294">
      <formula>#REF!&lt;&gt;""</formula>
    </cfRule>
    <cfRule type="expression" dxfId="9372" priority="1295">
      <formula>#REF!&lt;&gt;""</formula>
    </cfRule>
    <cfRule type="expression" dxfId="9371" priority="1296">
      <formula>#REF!&lt;&gt;""</formula>
    </cfRule>
    <cfRule type="expression" dxfId="9370" priority="1297">
      <formula>#REF!&lt;&gt;""</formula>
    </cfRule>
    <cfRule type="expression" dxfId="9369" priority="1298">
      <formula>#REF!&lt;&gt;""</formula>
    </cfRule>
    <cfRule type="expression" dxfId="9368" priority="1299">
      <formula>#REF!&lt;&gt;""</formula>
    </cfRule>
    <cfRule type="expression" dxfId="9367" priority="1300">
      <formula>#REF!&lt;&gt;""</formula>
    </cfRule>
    <cfRule type="expression" dxfId="9366" priority="1301">
      <formula>#REF!&lt;&gt;""</formula>
    </cfRule>
    <cfRule type="expression" dxfId="9365" priority="1302">
      <formula>#REF!&lt;&gt;""</formula>
    </cfRule>
    <cfRule type="expression" dxfId="9364" priority="1303">
      <formula>#REF!&lt;&gt;""</formula>
    </cfRule>
  </conditionalFormatting>
  <dataValidations count="1">
    <dataValidation allowBlank="1" showInputMessage="1" showErrorMessage="1" errorTitle="Qual o ano do inventário?" error="Escolha o ano do inventário na aba &quot;Introdução&quot; para que os fatores de emissão corretos sejam considerados." sqref="D28:E98"/>
  </dataValidations>
  <pageMargins left="0.25" right="0.25" top="0.25" bottom="0.5" header="0.5" footer="0.25"/>
  <pageSetup orientation="portrait" r:id="rId1"/>
  <headerFooter alignWithMargins="0">
    <oddFooter>&amp;L&amp;"Arial,Italic"&amp;9EPA Climate Leaders Simplified GHG Emissions Calculator (Indirect 1.0)&amp;R&amp;"Arial,Italic"&amp;9&amp;P of &amp;N</oddFooter>
  </headerFooter>
  <ignoredErrors>
    <ignoredError sqref="D99 F99"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outlinePr summaryBelow="0"/>
  </sheetPr>
  <dimension ref="A1:CU316"/>
  <sheetViews>
    <sheetView showGridLines="0" zoomScale="90" zoomScaleNormal="90" workbookViewId="0">
      <selection activeCell="B22" sqref="B22"/>
    </sheetView>
  </sheetViews>
  <sheetFormatPr defaultColWidth="0" defaultRowHeight="12.75" customHeight="1" zeroHeight="1" outlineLevelRow="2" x14ac:dyDescent="0.2"/>
  <cols>
    <col min="1" max="1" width="5.7109375" style="94" customWidth="1"/>
    <col min="2" max="2" width="21.85546875" style="94" customWidth="1"/>
    <col min="3" max="3" width="40.7109375" style="94" customWidth="1"/>
    <col min="4" max="4" width="21.7109375" style="94" customWidth="1"/>
    <col min="5" max="5" width="21" style="94" customWidth="1"/>
    <col min="6" max="9" width="10.5703125" style="94" customWidth="1"/>
    <col min="10" max="15" width="10.7109375" style="94" customWidth="1"/>
    <col min="16" max="16" width="30.7109375" style="94" customWidth="1"/>
    <col min="17" max="17" width="17.85546875" style="94" customWidth="1"/>
    <col min="18" max="29" width="10.7109375" style="94" customWidth="1"/>
    <col min="30" max="33" width="20.7109375" style="94" customWidth="1"/>
    <col min="34" max="34" width="19.140625" style="94" customWidth="1"/>
    <col min="35" max="35" width="13" style="94" customWidth="1"/>
    <col min="36" max="36" width="11.28515625" style="94" customWidth="1"/>
    <col min="37" max="37" width="9.140625" style="94" customWidth="1"/>
    <col min="38" max="38" width="6.7109375" style="94" customWidth="1"/>
    <col min="39" max="99" width="9.140625" style="94" hidden="1" customWidth="1"/>
    <col min="100" max="16384" width="8.85546875" style="94" hidden="1"/>
  </cols>
  <sheetData>
    <row r="1" spans="1:38" ht="15.75" customHeight="1" x14ac:dyDescent="0.2">
      <c r="A1" s="339"/>
      <c r="B1" s="339"/>
      <c r="C1" s="339"/>
      <c r="D1" s="339"/>
      <c r="E1" s="339"/>
      <c r="F1" s="339"/>
      <c r="G1" s="339"/>
      <c r="H1" s="339"/>
      <c r="I1" s="339"/>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195"/>
    </row>
    <row r="2" spans="1:38" ht="15.75" customHeight="1" x14ac:dyDescent="0.2">
      <c r="A2" s="339"/>
      <c r="B2" s="339"/>
      <c r="C2" s="339"/>
      <c r="D2" s="339"/>
      <c r="E2" s="339"/>
      <c r="F2" s="339"/>
      <c r="G2" s="339"/>
      <c r="H2" s="339"/>
      <c r="I2" s="339"/>
      <c r="J2" s="339"/>
      <c r="K2" s="339"/>
      <c r="L2" s="339"/>
      <c r="M2" s="339"/>
      <c r="N2" s="339"/>
      <c r="O2" s="339"/>
      <c r="P2" s="339"/>
      <c r="Q2" s="339"/>
      <c r="R2" s="339"/>
      <c r="S2" s="339"/>
      <c r="T2" s="339"/>
      <c r="U2" s="339"/>
      <c r="V2" s="339"/>
      <c r="W2" s="339"/>
      <c r="X2" s="339"/>
      <c r="Y2" s="339"/>
      <c r="Z2" s="339"/>
      <c r="AA2" s="339"/>
      <c r="AB2" s="339"/>
      <c r="AC2" s="339"/>
      <c r="AD2" s="339"/>
      <c r="AE2" s="339"/>
      <c r="AF2" s="339"/>
      <c r="AG2" s="339"/>
      <c r="AH2" s="339"/>
      <c r="AI2" s="339"/>
      <c r="AJ2" s="339"/>
      <c r="AK2" s="339"/>
      <c r="AL2" s="195"/>
    </row>
    <row r="3" spans="1:38" ht="15.75" customHeight="1" x14ac:dyDescent="0.2">
      <c r="A3" s="339"/>
      <c r="B3" s="339"/>
      <c r="C3" s="339"/>
      <c r="D3" s="339"/>
      <c r="E3" s="339"/>
      <c r="F3" s="339"/>
      <c r="G3" s="339"/>
      <c r="H3" s="339"/>
      <c r="I3" s="339"/>
      <c r="J3" s="339"/>
      <c r="K3" s="339"/>
      <c r="L3" s="339"/>
      <c r="M3" s="339"/>
      <c r="N3" s="339"/>
      <c r="O3" s="339"/>
      <c r="P3" s="339"/>
      <c r="Q3" s="339"/>
      <c r="R3" s="339"/>
      <c r="S3" s="339"/>
      <c r="T3" s="339"/>
      <c r="U3" s="339"/>
      <c r="V3" s="339"/>
      <c r="W3" s="339"/>
      <c r="X3" s="339"/>
      <c r="Y3" s="339"/>
      <c r="Z3" s="339"/>
      <c r="AA3" s="339"/>
      <c r="AB3" s="339"/>
      <c r="AC3" s="339"/>
      <c r="AD3" s="339"/>
      <c r="AE3" s="339"/>
      <c r="AF3" s="339"/>
      <c r="AG3" s="339"/>
      <c r="AH3" s="339"/>
      <c r="AI3" s="339"/>
      <c r="AJ3" s="339"/>
      <c r="AK3" s="339"/>
      <c r="AL3" s="195"/>
    </row>
    <row r="4" spans="1:38" ht="15.75" customHeight="1" x14ac:dyDescent="0.2">
      <c r="A4" s="339"/>
      <c r="B4" s="339"/>
      <c r="C4" s="339"/>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c r="AK4" s="339"/>
      <c r="AL4" s="195"/>
    </row>
    <row r="5" spans="1:38" ht="15.75" customHeight="1" x14ac:dyDescent="0.2">
      <c r="A5" s="339"/>
      <c r="B5" s="339"/>
      <c r="C5" s="339"/>
      <c r="D5" s="339"/>
      <c r="E5" s="339"/>
      <c r="F5" s="339"/>
      <c r="G5" s="339"/>
      <c r="H5" s="339"/>
      <c r="I5" s="339"/>
      <c r="J5" s="339"/>
      <c r="K5" s="339"/>
      <c r="L5" s="339"/>
      <c r="M5" s="339"/>
      <c r="N5" s="339"/>
      <c r="O5" s="339"/>
      <c r="P5" s="339"/>
      <c r="Q5" s="339"/>
      <c r="R5" s="339"/>
      <c r="S5" s="339"/>
      <c r="T5" s="339"/>
      <c r="U5" s="339"/>
      <c r="V5" s="339"/>
      <c r="W5" s="339"/>
      <c r="X5" s="339"/>
      <c r="Y5" s="339"/>
      <c r="Z5" s="339"/>
      <c r="AA5" s="339"/>
      <c r="AB5" s="339"/>
      <c r="AC5" s="339"/>
      <c r="AD5" s="339"/>
      <c r="AE5" s="339"/>
      <c r="AF5" s="339"/>
      <c r="AG5" s="339"/>
      <c r="AH5" s="339"/>
      <c r="AI5" s="339"/>
      <c r="AJ5" s="339"/>
      <c r="AK5" s="339"/>
      <c r="AL5" s="195"/>
    </row>
    <row r="6" spans="1:38" ht="15.75" customHeight="1" x14ac:dyDescent="0.2">
      <c r="A6" s="339"/>
      <c r="B6" s="339"/>
      <c r="C6" s="339"/>
      <c r="D6" s="339"/>
      <c r="E6" s="339"/>
      <c r="F6" s="339"/>
      <c r="G6" s="339"/>
      <c r="H6" s="339"/>
      <c r="I6" s="339"/>
      <c r="J6" s="339"/>
      <c r="K6" s="339"/>
      <c r="L6" s="339"/>
      <c r="M6" s="339"/>
      <c r="N6" s="339"/>
      <c r="O6" s="339"/>
      <c r="P6" s="339"/>
      <c r="Q6" s="339"/>
      <c r="R6" s="339"/>
      <c r="S6" s="339"/>
      <c r="T6" s="339"/>
      <c r="U6" s="339"/>
      <c r="V6" s="339"/>
      <c r="W6" s="339"/>
      <c r="X6" s="339"/>
      <c r="Y6" s="339"/>
      <c r="Z6" s="339"/>
      <c r="AA6" s="339"/>
      <c r="AB6" s="339"/>
      <c r="AC6" s="339"/>
      <c r="AD6" s="339"/>
      <c r="AE6" s="339"/>
      <c r="AF6" s="339"/>
      <c r="AG6" s="339"/>
      <c r="AH6" s="339"/>
      <c r="AI6" s="339"/>
      <c r="AJ6" s="339"/>
      <c r="AK6" s="339"/>
      <c r="AL6" s="195"/>
    </row>
    <row r="7" spans="1:38" ht="15.75" customHeight="1" x14ac:dyDescent="0.2">
      <c r="A7" s="339"/>
      <c r="B7" s="339"/>
      <c r="C7" s="339"/>
      <c r="D7" s="339"/>
      <c r="E7" s="339"/>
      <c r="F7" s="339"/>
      <c r="G7" s="339"/>
      <c r="H7" s="339"/>
      <c r="I7" s="339"/>
      <c r="J7" s="339"/>
      <c r="K7" s="339"/>
      <c r="L7" s="339"/>
      <c r="M7" s="339"/>
      <c r="N7" s="339"/>
      <c r="O7" s="339"/>
      <c r="P7" s="339"/>
      <c r="Q7" s="339"/>
      <c r="R7" s="339"/>
      <c r="S7" s="339"/>
      <c r="T7" s="339"/>
      <c r="U7" s="339"/>
      <c r="V7" s="339"/>
      <c r="W7" s="339"/>
      <c r="X7" s="339"/>
      <c r="Y7" s="339"/>
      <c r="Z7" s="339"/>
      <c r="AA7" s="339"/>
      <c r="AB7" s="339"/>
      <c r="AC7" s="339"/>
      <c r="AD7" s="339"/>
      <c r="AE7" s="339"/>
      <c r="AF7" s="339"/>
      <c r="AG7" s="339"/>
      <c r="AH7" s="339"/>
      <c r="AI7" s="339"/>
      <c r="AJ7" s="339"/>
      <c r="AK7" s="339"/>
      <c r="AL7" s="195"/>
    </row>
    <row r="8" spans="1:38" ht="15" customHeight="1" x14ac:dyDescent="0.2">
      <c r="A8" s="339"/>
      <c r="B8" s="339"/>
      <c r="C8" s="339"/>
      <c r="D8" s="339"/>
      <c r="E8" s="339"/>
      <c r="F8" s="339"/>
      <c r="G8" s="339"/>
      <c r="H8" s="339"/>
      <c r="I8" s="339"/>
      <c r="J8" s="339"/>
      <c r="K8" s="339"/>
      <c r="L8" s="339"/>
      <c r="M8" s="339"/>
      <c r="N8" s="339"/>
      <c r="O8" s="339"/>
      <c r="P8" s="339"/>
      <c r="Q8" s="339"/>
      <c r="R8" s="339"/>
      <c r="S8" s="339"/>
      <c r="T8" s="339"/>
      <c r="U8" s="339"/>
      <c r="V8" s="339"/>
      <c r="W8" s="339"/>
      <c r="X8" s="339"/>
      <c r="Y8" s="339"/>
      <c r="Z8" s="339"/>
      <c r="AA8" s="339"/>
      <c r="AB8" s="339"/>
      <c r="AC8" s="339"/>
      <c r="AD8" s="339"/>
      <c r="AE8" s="339"/>
      <c r="AF8" s="339"/>
      <c r="AG8" s="339"/>
      <c r="AH8" s="339"/>
      <c r="AI8" s="339"/>
      <c r="AJ8" s="339"/>
      <c r="AK8" s="339"/>
      <c r="AL8" s="195"/>
    </row>
    <row r="9" spans="1:38" ht="15" customHeight="1" x14ac:dyDescent="0.2">
      <c r="A9" s="339"/>
      <c r="B9" s="339"/>
      <c r="C9" s="339"/>
      <c r="D9" s="339"/>
      <c r="E9" s="339"/>
      <c r="F9" s="339"/>
      <c r="G9" s="339"/>
      <c r="H9" s="339"/>
      <c r="I9" s="339"/>
      <c r="J9" s="339"/>
      <c r="K9" s="339"/>
      <c r="L9" s="339"/>
      <c r="M9" s="339"/>
      <c r="N9" s="339"/>
      <c r="O9" s="339"/>
      <c r="P9" s="339"/>
      <c r="Q9" s="339"/>
      <c r="R9" s="339"/>
      <c r="S9" s="339"/>
      <c r="T9" s="339"/>
      <c r="U9" s="339"/>
      <c r="V9" s="339"/>
      <c r="W9" s="339"/>
      <c r="X9" s="339"/>
      <c r="Y9" s="339"/>
      <c r="Z9" s="339"/>
      <c r="AA9" s="339"/>
      <c r="AB9" s="339"/>
      <c r="AC9" s="339"/>
      <c r="AD9" s="339"/>
      <c r="AE9" s="339"/>
      <c r="AF9" s="339"/>
      <c r="AG9" s="339"/>
      <c r="AH9" s="339"/>
      <c r="AI9" s="339"/>
      <c r="AJ9" s="339"/>
      <c r="AK9" s="339"/>
      <c r="AL9" s="195"/>
    </row>
    <row r="10" spans="1:38" ht="15" customHeight="1" x14ac:dyDescent="0.3">
      <c r="A10" s="339"/>
      <c r="B10" s="208" t="s">
        <v>2096</v>
      </c>
      <c r="C10" s="339"/>
      <c r="D10" s="339"/>
      <c r="E10" s="339"/>
      <c r="F10" s="339"/>
      <c r="G10" s="339"/>
      <c r="H10" s="339"/>
      <c r="I10" s="339"/>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39"/>
      <c r="AG10" s="339"/>
      <c r="AH10" s="339"/>
      <c r="AI10" s="339"/>
      <c r="AJ10" s="339"/>
      <c r="AK10" s="339"/>
      <c r="AL10" s="195"/>
    </row>
    <row r="11" spans="1:38" ht="15" customHeight="1" x14ac:dyDescent="0.25">
      <c r="A11" s="339"/>
      <c r="B11" s="919"/>
      <c r="C11" s="339"/>
      <c r="D11" s="339"/>
      <c r="E11" s="339"/>
      <c r="F11" s="339"/>
      <c r="G11" s="339"/>
      <c r="H11" s="339"/>
      <c r="I11" s="339"/>
      <c r="J11" s="339"/>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339"/>
      <c r="AK11" s="339"/>
      <c r="AL11" s="195"/>
    </row>
    <row r="12" spans="1:38" ht="15" customHeight="1" x14ac:dyDescent="0.2">
      <c r="A12" s="339"/>
      <c r="B12" s="339"/>
      <c r="C12" s="510" t="s">
        <v>142</v>
      </c>
      <c r="D12" s="1297">
        <f>IF(OR(Ano="Selecione",Ano=0),"Escolha o ano do inventário na aba 'Introdução'",Ano)</f>
        <v>2030</v>
      </c>
      <c r="E12" s="1297"/>
      <c r="F12" s="1297"/>
      <c r="G12" s="1297"/>
      <c r="H12" s="1297"/>
      <c r="I12" s="339"/>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195"/>
    </row>
    <row r="13" spans="1:38" ht="15" customHeight="1" x14ac:dyDescent="0.25">
      <c r="A13" s="339"/>
      <c r="B13" s="523" t="s">
        <v>4</v>
      </c>
      <c r="C13" s="363"/>
      <c r="D13" s="339"/>
      <c r="E13" s="339"/>
      <c r="F13" s="339"/>
      <c r="G13" s="339"/>
      <c r="H13" s="339"/>
      <c r="I13" s="339"/>
      <c r="J13" s="339"/>
      <c r="K13" s="339"/>
      <c r="L13" s="339"/>
      <c r="M13" s="339"/>
      <c r="N13" s="339"/>
      <c r="O13" s="339"/>
      <c r="P13" s="339"/>
      <c r="Q13" s="339"/>
      <c r="R13" s="339"/>
      <c r="S13" s="339"/>
      <c r="T13" s="339"/>
      <c r="U13" s="339"/>
      <c r="V13" s="339"/>
      <c r="W13" s="339"/>
      <c r="X13" s="339"/>
      <c r="Y13" s="339"/>
      <c r="Z13" s="339"/>
      <c r="AA13" s="339"/>
      <c r="AB13" s="339"/>
      <c r="AC13" s="339"/>
      <c r="AD13" s="339"/>
      <c r="AE13" s="339"/>
      <c r="AF13" s="339"/>
      <c r="AG13" s="339"/>
      <c r="AH13" s="339"/>
      <c r="AI13" s="339"/>
      <c r="AJ13" s="339"/>
      <c r="AK13" s="339"/>
      <c r="AL13" s="195"/>
    </row>
    <row r="14" spans="1:38" ht="15" customHeight="1" x14ac:dyDescent="0.25">
      <c r="A14" s="363"/>
      <c r="B14" s="1162" t="s">
        <v>2097</v>
      </c>
      <c r="C14" s="656"/>
      <c r="D14" s="656"/>
      <c r="E14" s="656"/>
      <c r="F14" s="656"/>
      <c r="G14" s="656"/>
      <c r="H14" s="656"/>
      <c r="I14" s="656"/>
      <c r="J14" s="656"/>
      <c r="K14" s="656"/>
      <c r="L14" s="656"/>
      <c r="M14" s="656"/>
      <c r="N14" s="656"/>
      <c r="O14" s="656"/>
      <c r="P14" s="656"/>
      <c r="Q14" s="656"/>
      <c r="R14" s="656"/>
      <c r="S14" s="656"/>
      <c r="T14" s="363"/>
      <c r="U14" s="363"/>
      <c r="V14" s="363"/>
      <c r="W14" s="363"/>
      <c r="X14" s="363"/>
      <c r="Y14" s="363"/>
      <c r="Z14" s="363"/>
      <c r="AA14" s="363"/>
      <c r="AB14" s="363"/>
      <c r="AC14" s="363"/>
      <c r="AD14" s="363"/>
      <c r="AE14" s="363"/>
      <c r="AF14" s="363"/>
      <c r="AG14" s="363"/>
      <c r="AH14" s="363"/>
      <c r="AI14" s="363"/>
      <c r="AJ14" s="363"/>
      <c r="AK14" s="363"/>
      <c r="AL14" s="237"/>
    </row>
    <row r="15" spans="1:38" ht="15" customHeight="1" x14ac:dyDescent="0.25">
      <c r="A15" s="363"/>
      <c r="B15" s="925" t="s">
        <v>2098</v>
      </c>
      <c r="C15" s="524"/>
      <c r="D15" s="524"/>
      <c r="E15" s="363"/>
      <c r="F15" s="363"/>
      <c r="G15" s="363"/>
      <c r="H15" s="363"/>
      <c r="I15" s="363"/>
      <c r="J15" s="363"/>
      <c r="K15" s="363"/>
      <c r="L15" s="363"/>
      <c r="M15" s="363"/>
      <c r="N15" s="363"/>
      <c r="O15" s="363"/>
      <c r="P15" s="363"/>
      <c r="Q15" s="363"/>
      <c r="R15" s="363"/>
      <c r="S15" s="363"/>
      <c r="T15" s="363"/>
      <c r="U15" s="363"/>
      <c r="V15" s="363"/>
      <c r="W15" s="363"/>
      <c r="X15" s="363"/>
      <c r="Y15" s="363"/>
      <c r="Z15" s="363"/>
      <c r="AA15" s="363"/>
      <c r="AB15" s="363"/>
      <c r="AC15" s="363"/>
      <c r="AD15" s="363"/>
      <c r="AE15" s="363"/>
      <c r="AF15" s="363"/>
      <c r="AG15" s="363"/>
      <c r="AH15" s="363"/>
      <c r="AI15" s="363"/>
      <c r="AJ15" s="363"/>
      <c r="AK15" s="363"/>
      <c r="AL15" s="237"/>
    </row>
    <row r="16" spans="1:38" ht="15" customHeight="1" x14ac:dyDescent="0.25">
      <c r="A16" s="363"/>
      <c r="B16" s="925" t="s">
        <v>2099</v>
      </c>
      <c r="C16" s="524"/>
      <c r="D16" s="524"/>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237"/>
    </row>
    <row r="17" spans="1:38" ht="15" customHeight="1" x14ac:dyDescent="0.25">
      <c r="A17" s="363"/>
      <c r="B17" s="925" t="s">
        <v>2100</v>
      </c>
      <c r="C17" s="524"/>
      <c r="D17" s="524"/>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363"/>
      <c r="AE17" s="363"/>
      <c r="AF17" s="363"/>
      <c r="AG17" s="363"/>
      <c r="AH17" s="363"/>
      <c r="AI17" s="363"/>
      <c r="AJ17" s="363"/>
      <c r="AK17" s="363"/>
      <c r="AL17" s="237"/>
    </row>
    <row r="18" spans="1:38" ht="15" customHeight="1" x14ac:dyDescent="0.25">
      <c r="A18" s="363"/>
      <c r="B18" s="926" t="s">
        <v>2090</v>
      </c>
      <c r="C18" s="363"/>
      <c r="D18" s="363"/>
      <c r="E18" s="363"/>
      <c r="F18" s="363"/>
      <c r="G18" s="363"/>
      <c r="H18" s="363"/>
      <c r="I18" s="363"/>
      <c r="J18" s="363"/>
      <c r="K18" s="363"/>
      <c r="L18" s="363"/>
      <c r="M18" s="363"/>
      <c r="N18" s="363"/>
      <c r="O18" s="363"/>
      <c r="P18" s="363"/>
      <c r="Q18" s="363"/>
      <c r="R18" s="363"/>
      <c r="S18" s="363"/>
      <c r="T18" s="363"/>
      <c r="U18" s="363"/>
      <c r="V18" s="363"/>
      <c r="W18" s="363"/>
      <c r="X18" s="363"/>
      <c r="Y18" s="363"/>
      <c r="Z18" s="363"/>
      <c r="AA18" s="363"/>
      <c r="AB18" s="363"/>
      <c r="AC18" s="363"/>
      <c r="AD18" s="363"/>
      <c r="AE18" s="363"/>
      <c r="AF18" s="363"/>
      <c r="AG18" s="363"/>
      <c r="AH18" s="363"/>
      <c r="AI18" s="363"/>
      <c r="AJ18" s="363"/>
      <c r="AK18" s="363"/>
      <c r="AL18" s="237"/>
    </row>
    <row r="19" spans="1:38" ht="15" customHeight="1" x14ac:dyDescent="0.25">
      <c r="A19" s="363"/>
      <c r="B19" s="927" t="s">
        <v>2091</v>
      </c>
      <c r="C19" s="363"/>
      <c r="D19" s="363"/>
      <c r="E19" s="363"/>
      <c r="F19" s="363"/>
      <c r="G19" s="363"/>
      <c r="H19" s="363"/>
      <c r="I19" s="363"/>
      <c r="J19" s="363"/>
      <c r="K19" s="363"/>
      <c r="L19" s="363"/>
      <c r="M19" s="363"/>
      <c r="N19" s="363"/>
      <c r="O19" s="363"/>
      <c r="P19" s="363"/>
      <c r="Q19" s="363"/>
      <c r="R19" s="363"/>
      <c r="S19" s="363"/>
      <c r="T19" s="363"/>
      <c r="U19" s="363"/>
      <c r="V19" s="363"/>
      <c r="W19" s="363"/>
      <c r="X19" s="363"/>
      <c r="Y19" s="363"/>
      <c r="Z19" s="363"/>
      <c r="AA19" s="363"/>
      <c r="AB19" s="363"/>
      <c r="AC19" s="363"/>
      <c r="AD19" s="363"/>
      <c r="AE19" s="363"/>
      <c r="AF19" s="363"/>
      <c r="AG19" s="363"/>
      <c r="AH19" s="363"/>
      <c r="AI19" s="363"/>
      <c r="AJ19" s="363"/>
      <c r="AK19" s="363"/>
      <c r="AL19" s="237"/>
    </row>
    <row r="20" spans="1:38" ht="15" customHeight="1" x14ac:dyDescent="0.25">
      <c r="A20" s="363"/>
      <c r="B20" s="927" t="s">
        <v>2317</v>
      </c>
      <c r="C20" s="363"/>
      <c r="D20" s="363"/>
      <c r="E20" s="363"/>
      <c r="F20" s="363"/>
      <c r="G20" s="363"/>
      <c r="H20" s="363"/>
      <c r="I20" s="363"/>
      <c r="J20" s="363"/>
      <c r="K20" s="363"/>
      <c r="L20" s="363"/>
      <c r="M20" s="363"/>
      <c r="N20" s="363"/>
      <c r="O20" s="363"/>
      <c r="P20" s="363"/>
      <c r="Q20" s="363"/>
      <c r="R20" s="363"/>
      <c r="S20" s="363"/>
      <c r="T20" s="363"/>
      <c r="U20" s="363"/>
      <c r="V20" s="363"/>
      <c r="W20" s="363"/>
      <c r="X20" s="363"/>
      <c r="Y20" s="363"/>
      <c r="Z20" s="363"/>
      <c r="AA20" s="363"/>
      <c r="AB20" s="363"/>
      <c r="AC20" s="363"/>
      <c r="AD20" s="363"/>
      <c r="AE20" s="363"/>
      <c r="AF20" s="363"/>
      <c r="AG20" s="363"/>
      <c r="AH20" s="363"/>
      <c r="AI20" s="363"/>
      <c r="AJ20" s="363"/>
      <c r="AK20" s="363"/>
      <c r="AL20" s="237"/>
    </row>
    <row r="21" spans="1:38" ht="15" customHeight="1" x14ac:dyDescent="0.25">
      <c r="A21" s="363"/>
      <c r="B21" s="237" t="s">
        <v>2318</v>
      </c>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237"/>
    </row>
    <row r="22" spans="1:38" ht="15" customHeight="1" outlineLevel="1" x14ac:dyDescent="0.25">
      <c r="A22" s="363"/>
      <c r="B22" s="362"/>
      <c r="C22" s="363"/>
      <c r="D22" s="363"/>
      <c r="E22" s="363"/>
      <c r="F22" s="363"/>
      <c r="G22" s="363"/>
      <c r="H22" s="237"/>
      <c r="I22" s="237"/>
      <c r="J22" s="237"/>
      <c r="K22" s="237"/>
      <c r="L22" s="237"/>
      <c r="M22" s="363"/>
      <c r="N22" s="363"/>
      <c r="O22" s="363"/>
      <c r="P22" s="363"/>
      <c r="Q22" s="363"/>
      <c r="R22" s="363"/>
      <c r="S22" s="363"/>
      <c r="T22" s="363"/>
      <c r="U22" s="363"/>
      <c r="V22" s="363"/>
      <c r="W22" s="363"/>
      <c r="X22" s="363"/>
      <c r="Y22" s="363"/>
      <c r="Z22" s="363"/>
      <c r="AA22" s="363"/>
      <c r="AB22" s="363"/>
      <c r="AC22" s="363"/>
      <c r="AD22" s="363"/>
      <c r="AE22" s="363"/>
      <c r="AF22" s="363"/>
      <c r="AG22" s="363"/>
      <c r="AH22" s="363"/>
      <c r="AI22" s="363"/>
      <c r="AJ22" s="363"/>
      <c r="AK22" s="363"/>
      <c r="AL22" s="237"/>
    </row>
    <row r="23" spans="1:38" ht="15" customHeight="1" outlineLevel="1" x14ac:dyDescent="0.25">
      <c r="A23" s="363"/>
      <c r="B23" s="217" t="s">
        <v>2093</v>
      </c>
      <c r="C23" s="363"/>
      <c r="D23" s="363"/>
      <c r="E23" s="363"/>
      <c r="F23" s="363"/>
      <c r="G23" s="237"/>
      <c r="H23" s="1358"/>
      <c r="I23" s="1358"/>
      <c r="J23" s="1358"/>
      <c r="K23" s="1358"/>
      <c r="L23" s="1358"/>
      <c r="M23" s="237"/>
      <c r="N23" s="237"/>
      <c r="O23" s="363"/>
      <c r="P23" s="363"/>
      <c r="Q23" s="363"/>
      <c r="R23" s="363"/>
      <c r="S23" s="363"/>
      <c r="T23" s="363"/>
      <c r="U23" s="363"/>
      <c r="V23" s="363"/>
      <c r="W23" s="363"/>
      <c r="X23" s="363"/>
      <c r="Y23" s="363"/>
      <c r="Z23" s="363"/>
      <c r="AA23" s="363"/>
      <c r="AB23" s="363"/>
      <c r="AC23" s="363"/>
      <c r="AD23" s="928" t="str">
        <f>IF(D28="","",IF(SUM(#REF!)=0,"",(D28*#REF!/1000)))</f>
        <v/>
      </c>
      <c r="AE23" s="363"/>
      <c r="AF23" s="363"/>
      <c r="AG23" s="363"/>
      <c r="AH23" s="363"/>
      <c r="AI23" s="363"/>
      <c r="AJ23" s="363"/>
      <c r="AK23" s="363"/>
      <c r="AL23" s="237"/>
    </row>
    <row r="24" spans="1:38" ht="20.100000000000001" customHeight="1" outlineLevel="1" x14ac:dyDescent="0.25">
      <c r="A24" s="363"/>
      <c r="B24" s="1243" t="s">
        <v>1842</v>
      </c>
      <c r="C24" s="1278" t="s">
        <v>133</v>
      </c>
      <c r="D24" s="1249" t="s">
        <v>2095</v>
      </c>
      <c r="E24" s="1249" t="s">
        <v>2084</v>
      </c>
      <c r="F24" s="1284" t="s">
        <v>1484</v>
      </c>
      <c r="G24" s="1359" t="s">
        <v>1485</v>
      </c>
      <c r="H24" s="1362" t="s">
        <v>1486</v>
      </c>
      <c r="I24" s="237"/>
      <c r="J24" s="373"/>
      <c r="K24" s="373"/>
      <c r="L24" s="373"/>
      <c r="M24" s="363"/>
      <c r="N24" s="237"/>
    </row>
    <row r="25" spans="1:38" ht="20.100000000000001" customHeight="1" outlineLevel="1" x14ac:dyDescent="0.25">
      <c r="A25" s="363"/>
      <c r="B25" s="1243"/>
      <c r="C25" s="1278"/>
      <c r="D25" s="1266"/>
      <c r="E25" s="1266"/>
      <c r="F25" s="1301"/>
      <c r="G25" s="1360"/>
      <c r="H25" s="1363"/>
      <c r="I25" s="237"/>
      <c r="J25" s="237"/>
      <c r="K25" s="237"/>
      <c r="L25" s="373"/>
      <c r="M25" s="237"/>
      <c r="N25" s="237"/>
    </row>
    <row r="26" spans="1:38" ht="20.100000000000001" customHeight="1" outlineLevel="1" x14ac:dyDescent="0.25">
      <c r="A26" s="363"/>
      <c r="B26" s="1243"/>
      <c r="C26" s="1278"/>
      <c r="D26" s="1250"/>
      <c r="E26" s="1250"/>
      <c r="F26" s="1286"/>
      <c r="G26" s="1361"/>
      <c r="H26" s="1364"/>
      <c r="I26" s="237"/>
      <c r="J26" s="237"/>
      <c r="K26" s="237"/>
      <c r="L26" s="373"/>
      <c r="M26" s="237"/>
      <c r="N26" s="237"/>
    </row>
    <row r="27" spans="1:38" ht="15" customHeight="1" outlineLevel="1" x14ac:dyDescent="0.25">
      <c r="A27" s="363"/>
      <c r="B27" s="929" t="s">
        <v>2082</v>
      </c>
      <c r="C27" s="929" t="s">
        <v>2094</v>
      </c>
      <c r="D27" s="929">
        <v>5000</v>
      </c>
      <c r="E27" s="929">
        <v>230</v>
      </c>
      <c r="F27" s="1163">
        <f>IF(D27&lt;&gt;"",(D27*E27/1000000),"")</f>
        <v>1.1499999999999999</v>
      </c>
      <c r="G27" s="931"/>
      <c r="H27" s="931"/>
      <c r="I27" s="237"/>
      <c r="J27" s="237"/>
      <c r="K27" s="237"/>
      <c r="L27" s="932"/>
      <c r="M27" s="237"/>
      <c r="N27" s="237"/>
    </row>
    <row r="28" spans="1:38" ht="15" customHeight="1" outlineLevel="1" x14ac:dyDescent="0.25">
      <c r="A28" s="363"/>
      <c r="B28" s="933"/>
      <c r="C28" s="934"/>
      <c r="D28" s="438"/>
      <c r="E28" s="438"/>
      <c r="F28" s="1164" t="str">
        <f>IF(D28&lt;&gt;"",(D28*E28/1000000),"")</f>
        <v/>
      </c>
      <c r="G28" s="931"/>
      <c r="H28" s="931"/>
      <c r="I28" s="237"/>
      <c r="J28" s="237"/>
      <c r="K28" s="237"/>
      <c r="L28" s="363"/>
      <c r="M28" s="237"/>
      <c r="N28" s="237"/>
    </row>
    <row r="29" spans="1:38" ht="15" customHeight="1" outlineLevel="1" x14ac:dyDescent="0.25">
      <c r="A29" s="363"/>
      <c r="B29" s="933"/>
      <c r="C29" s="934"/>
      <c r="D29" s="438"/>
      <c r="E29" s="438"/>
      <c r="F29" s="935" t="str">
        <f t="shared" ref="F29:F92" si="0">IF(D29&lt;&gt;"",(D29*E29/1000000),"")</f>
        <v/>
      </c>
      <c r="G29" s="931"/>
      <c r="H29" s="931"/>
      <c r="I29" s="237"/>
      <c r="J29" s="237"/>
      <c r="K29" s="237"/>
      <c r="L29" s="363"/>
      <c r="M29" s="237"/>
      <c r="N29" s="237"/>
    </row>
    <row r="30" spans="1:38" ht="15" customHeight="1" outlineLevel="1" x14ac:dyDescent="0.25">
      <c r="A30" s="363"/>
      <c r="B30" s="933"/>
      <c r="C30" s="934"/>
      <c r="D30" s="438"/>
      <c r="E30" s="438"/>
      <c r="F30" s="935" t="str">
        <f t="shared" si="0"/>
        <v/>
      </c>
      <c r="G30" s="931"/>
      <c r="H30" s="931"/>
      <c r="I30" s="237"/>
      <c r="J30" s="237"/>
      <c r="K30" s="237"/>
      <c r="L30" s="363"/>
      <c r="M30" s="237"/>
      <c r="N30" s="237"/>
    </row>
    <row r="31" spans="1:38" ht="15" customHeight="1" outlineLevel="1" x14ac:dyDescent="0.25">
      <c r="A31" s="363"/>
      <c r="B31" s="933"/>
      <c r="C31" s="934"/>
      <c r="D31" s="438"/>
      <c r="E31" s="438"/>
      <c r="F31" s="935" t="str">
        <f t="shared" si="0"/>
        <v/>
      </c>
      <c r="G31" s="931"/>
      <c r="H31" s="931"/>
      <c r="I31" s="237"/>
      <c r="J31" s="237"/>
      <c r="K31" s="237"/>
      <c r="L31" s="363"/>
      <c r="M31" s="237"/>
      <c r="N31" s="237"/>
    </row>
    <row r="32" spans="1:38" ht="15" customHeight="1" outlineLevel="1" x14ac:dyDescent="0.25">
      <c r="A32" s="363"/>
      <c r="B32" s="933"/>
      <c r="C32" s="934"/>
      <c r="D32" s="438"/>
      <c r="E32" s="438"/>
      <c r="F32" s="935" t="str">
        <f t="shared" si="0"/>
        <v/>
      </c>
      <c r="G32" s="936"/>
      <c r="H32" s="936"/>
      <c r="I32" s="237"/>
      <c r="J32" s="237"/>
      <c r="K32" s="237"/>
      <c r="L32" s="363"/>
      <c r="M32" s="237"/>
      <c r="N32" s="237"/>
    </row>
    <row r="33" spans="1:14" ht="15" customHeight="1" outlineLevel="1" x14ac:dyDescent="0.25">
      <c r="A33" s="363"/>
      <c r="B33" s="933"/>
      <c r="C33" s="934"/>
      <c r="D33" s="438"/>
      <c r="E33" s="438"/>
      <c r="F33" s="935" t="str">
        <f t="shared" si="0"/>
        <v/>
      </c>
      <c r="G33" s="936"/>
      <c r="H33" s="936"/>
      <c r="I33" s="237"/>
      <c r="J33" s="237"/>
      <c r="K33" s="237"/>
      <c r="L33" s="363"/>
      <c r="M33" s="237"/>
      <c r="N33" s="237"/>
    </row>
    <row r="34" spans="1:14" ht="15" customHeight="1" outlineLevel="1" x14ac:dyDescent="0.25">
      <c r="A34" s="363"/>
      <c r="B34" s="933"/>
      <c r="C34" s="934"/>
      <c r="D34" s="438"/>
      <c r="E34" s="438"/>
      <c r="F34" s="935" t="str">
        <f t="shared" si="0"/>
        <v/>
      </c>
      <c r="G34" s="936"/>
      <c r="H34" s="936"/>
      <c r="I34" s="237"/>
      <c r="J34" s="237"/>
      <c r="K34" s="237"/>
      <c r="L34" s="363"/>
      <c r="M34" s="237"/>
      <c r="N34" s="237"/>
    </row>
    <row r="35" spans="1:14" ht="15" customHeight="1" outlineLevel="1" x14ac:dyDescent="0.25">
      <c r="A35" s="363"/>
      <c r="B35" s="933"/>
      <c r="C35" s="934"/>
      <c r="D35" s="438"/>
      <c r="E35" s="438"/>
      <c r="F35" s="935" t="str">
        <f t="shared" si="0"/>
        <v/>
      </c>
      <c r="G35" s="936"/>
      <c r="H35" s="936"/>
      <c r="I35" s="237"/>
      <c r="J35" s="237"/>
      <c r="K35" s="237"/>
      <c r="L35" s="363"/>
      <c r="M35" s="237"/>
      <c r="N35" s="237"/>
    </row>
    <row r="36" spans="1:14" ht="15" customHeight="1" outlineLevel="1" x14ac:dyDescent="0.25">
      <c r="A36" s="363"/>
      <c r="B36" s="933"/>
      <c r="C36" s="934"/>
      <c r="D36" s="438"/>
      <c r="E36" s="438"/>
      <c r="F36" s="935" t="str">
        <f t="shared" si="0"/>
        <v/>
      </c>
      <c r="G36" s="936"/>
      <c r="H36" s="936"/>
      <c r="I36" s="237"/>
      <c r="J36" s="237"/>
      <c r="K36" s="237"/>
      <c r="L36" s="363"/>
      <c r="M36" s="237"/>
      <c r="N36" s="237"/>
    </row>
    <row r="37" spans="1:14" ht="15" customHeight="1" outlineLevel="1" x14ac:dyDescent="0.25">
      <c r="A37" s="363"/>
      <c r="B37" s="933"/>
      <c r="C37" s="934"/>
      <c r="D37" s="438"/>
      <c r="E37" s="438"/>
      <c r="F37" s="935" t="str">
        <f t="shared" si="0"/>
        <v/>
      </c>
      <c r="G37" s="936"/>
      <c r="H37" s="936"/>
      <c r="I37" s="237"/>
      <c r="J37" s="237"/>
      <c r="K37" s="237"/>
      <c r="L37" s="363"/>
      <c r="M37" s="237"/>
      <c r="N37" s="237"/>
    </row>
    <row r="38" spans="1:14" ht="15" customHeight="1" outlineLevel="1" collapsed="1" x14ac:dyDescent="0.25">
      <c r="A38" s="363"/>
      <c r="B38" s="933"/>
      <c r="C38" s="934"/>
      <c r="D38" s="438"/>
      <c r="E38" s="438"/>
      <c r="F38" s="935" t="str">
        <f t="shared" si="0"/>
        <v/>
      </c>
      <c r="G38" s="936"/>
      <c r="H38" s="936"/>
      <c r="I38" s="237"/>
      <c r="J38" s="237"/>
      <c r="K38" s="237"/>
      <c r="L38" s="363"/>
      <c r="M38" s="237"/>
      <c r="N38" s="237"/>
    </row>
    <row r="39" spans="1:14" ht="15" hidden="1" customHeight="1" outlineLevel="2" x14ac:dyDescent="0.25">
      <c r="A39" s="363"/>
      <c r="B39" s="933"/>
      <c r="C39" s="934"/>
      <c r="D39" s="438"/>
      <c r="E39" s="438"/>
      <c r="F39" s="935" t="str">
        <f t="shared" si="0"/>
        <v/>
      </c>
      <c r="G39" s="936"/>
      <c r="H39" s="936"/>
      <c r="I39" s="237"/>
      <c r="J39" s="237"/>
      <c r="K39" s="237"/>
      <c r="L39" s="363"/>
      <c r="M39" s="237"/>
      <c r="N39" s="237"/>
    </row>
    <row r="40" spans="1:14" ht="15" hidden="1" customHeight="1" outlineLevel="2" x14ac:dyDescent="0.25">
      <c r="A40" s="363"/>
      <c r="B40" s="933"/>
      <c r="C40" s="934"/>
      <c r="D40" s="438"/>
      <c r="E40" s="438"/>
      <c r="F40" s="935" t="str">
        <f t="shared" si="0"/>
        <v/>
      </c>
      <c r="G40" s="936"/>
      <c r="H40" s="936"/>
      <c r="I40" s="237"/>
      <c r="J40" s="237"/>
      <c r="K40" s="237"/>
      <c r="L40" s="363"/>
      <c r="M40" s="237"/>
      <c r="N40" s="237"/>
    </row>
    <row r="41" spans="1:14" ht="15" hidden="1" customHeight="1" outlineLevel="2" x14ac:dyDescent="0.25">
      <c r="A41" s="363"/>
      <c r="B41" s="933"/>
      <c r="C41" s="934"/>
      <c r="D41" s="438"/>
      <c r="E41" s="438"/>
      <c r="F41" s="935" t="str">
        <f t="shared" si="0"/>
        <v/>
      </c>
      <c r="G41" s="936"/>
      <c r="H41" s="936"/>
      <c r="I41" s="237"/>
      <c r="J41" s="237"/>
      <c r="K41" s="237"/>
      <c r="L41" s="363"/>
      <c r="M41" s="237"/>
      <c r="N41" s="237"/>
    </row>
    <row r="42" spans="1:14" ht="15" hidden="1" customHeight="1" outlineLevel="2" x14ac:dyDescent="0.25">
      <c r="A42" s="363"/>
      <c r="B42" s="933"/>
      <c r="C42" s="934"/>
      <c r="D42" s="438"/>
      <c r="E42" s="438"/>
      <c r="F42" s="935" t="str">
        <f t="shared" si="0"/>
        <v/>
      </c>
      <c r="G42" s="936"/>
      <c r="H42" s="936"/>
      <c r="I42" s="237"/>
      <c r="J42" s="237"/>
      <c r="K42" s="237"/>
      <c r="L42" s="363"/>
      <c r="M42" s="237"/>
      <c r="N42" s="237"/>
    </row>
    <row r="43" spans="1:14" ht="15" hidden="1" customHeight="1" outlineLevel="2" x14ac:dyDescent="0.25">
      <c r="A43" s="363"/>
      <c r="B43" s="933"/>
      <c r="C43" s="934"/>
      <c r="D43" s="438"/>
      <c r="E43" s="438"/>
      <c r="F43" s="935" t="str">
        <f t="shared" si="0"/>
        <v/>
      </c>
      <c r="G43" s="936"/>
      <c r="H43" s="936"/>
      <c r="I43" s="237"/>
      <c r="J43" s="237"/>
      <c r="K43" s="237"/>
      <c r="L43" s="363"/>
      <c r="M43" s="237"/>
      <c r="N43" s="237"/>
    </row>
    <row r="44" spans="1:14" ht="15" hidden="1" customHeight="1" outlineLevel="2" x14ac:dyDescent="0.25">
      <c r="A44" s="363"/>
      <c r="B44" s="933"/>
      <c r="C44" s="934"/>
      <c r="D44" s="438"/>
      <c r="E44" s="438"/>
      <c r="F44" s="935" t="str">
        <f t="shared" si="0"/>
        <v/>
      </c>
      <c r="G44" s="936"/>
      <c r="H44" s="936"/>
      <c r="I44" s="237"/>
      <c r="J44" s="237"/>
      <c r="K44" s="237"/>
      <c r="L44" s="363"/>
      <c r="M44" s="237"/>
      <c r="N44" s="237"/>
    </row>
    <row r="45" spans="1:14" ht="15" hidden="1" customHeight="1" outlineLevel="2" x14ac:dyDescent="0.25">
      <c r="A45" s="363"/>
      <c r="B45" s="933"/>
      <c r="C45" s="934"/>
      <c r="D45" s="438"/>
      <c r="E45" s="438"/>
      <c r="F45" s="935" t="str">
        <f t="shared" si="0"/>
        <v/>
      </c>
      <c r="G45" s="936"/>
      <c r="H45" s="936"/>
      <c r="I45" s="237"/>
      <c r="J45" s="237"/>
      <c r="K45" s="237"/>
      <c r="L45" s="363"/>
      <c r="M45" s="237"/>
      <c r="N45" s="237"/>
    </row>
    <row r="46" spans="1:14" ht="15" hidden="1" customHeight="1" outlineLevel="2" x14ac:dyDescent="0.25">
      <c r="A46" s="363"/>
      <c r="B46" s="933"/>
      <c r="C46" s="934"/>
      <c r="D46" s="438"/>
      <c r="E46" s="438"/>
      <c r="F46" s="935" t="str">
        <f t="shared" si="0"/>
        <v/>
      </c>
      <c r="G46" s="936"/>
      <c r="H46" s="936"/>
      <c r="I46" s="237"/>
      <c r="J46" s="237"/>
      <c r="K46" s="237"/>
      <c r="L46" s="363"/>
      <c r="M46" s="237"/>
      <c r="N46" s="237"/>
    </row>
    <row r="47" spans="1:14" ht="15" hidden="1" customHeight="1" outlineLevel="2" x14ac:dyDescent="0.25">
      <c r="A47" s="363"/>
      <c r="B47" s="933"/>
      <c r="C47" s="934"/>
      <c r="D47" s="438"/>
      <c r="E47" s="438"/>
      <c r="F47" s="935" t="str">
        <f t="shared" si="0"/>
        <v/>
      </c>
      <c r="G47" s="936"/>
      <c r="H47" s="936"/>
      <c r="I47" s="237"/>
      <c r="J47" s="237"/>
      <c r="K47" s="237"/>
      <c r="L47" s="363"/>
      <c r="M47" s="237"/>
      <c r="N47" s="237"/>
    </row>
    <row r="48" spans="1:14" ht="15" hidden="1" customHeight="1" outlineLevel="2" x14ac:dyDescent="0.25">
      <c r="A48" s="363"/>
      <c r="B48" s="933"/>
      <c r="C48" s="934"/>
      <c r="D48" s="438"/>
      <c r="E48" s="438"/>
      <c r="F48" s="935" t="str">
        <f t="shared" si="0"/>
        <v/>
      </c>
      <c r="G48" s="936"/>
      <c r="H48" s="936"/>
      <c r="I48" s="237"/>
      <c r="J48" s="237"/>
      <c r="K48" s="237"/>
      <c r="L48" s="363"/>
      <c r="M48" s="237"/>
      <c r="N48" s="237"/>
    </row>
    <row r="49" spans="1:14" ht="15" hidden="1" customHeight="1" outlineLevel="2" x14ac:dyDescent="0.25">
      <c r="A49" s="363"/>
      <c r="B49" s="933"/>
      <c r="C49" s="934"/>
      <c r="D49" s="438"/>
      <c r="E49" s="438"/>
      <c r="F49" s="935" t="str">
        <f t="shared" si="0"/>
        <v/>
      </c>
      <c r="G49" s="936"/>
      <c r="H49" s="936"/>
      <c r="I49" s="237"/>
      <c r="J49" s="237"/>
      <c r="K49" s="237"/>
      <c r="L49" s="363"/>
      <c r="M49" s="237"/>
      <c r="N49" s="237"/>
    </row>
    <row r="50" spans="1:14" ht="15" hidden="1" customHeight="1" outlineLevel="2" x14ac:dyDescent="0.25">
      <c r="A50" s="363"/>
      <c r="B50" s="933"/>
      <c r="C50" s="934"/>
      <c r="D50" s="438"/>
      <c r="E50" s="438"/>
      <c r="F50" s="935" t="str">
        <f t="shared" si="0"/>
        <v/>
      </c>
      <c r="G50" s="936"/>
      <c r="H50" s="936"/>
      <c r="I50" s="237"/>
      <c r="J50" s="237"/>
      <c r="K50" s="237"/>
      <c r="L50" s="363"/>
      <c r="M50" s="237"/>
      <c r="N50" s="237"/>
    </row>
    <row r="51" spans="1:14" ht="15" hidden="1" customHeight="1" outlineLevel="2" x14ac:dyDescent="0.25">
      <c r="A51" s="363"/>
      <c r="B51" s="933"/>
      <c r="C51" s="934"/>
      <c r="D51" s="438"/>
      <c r="E51" s="438"/>
      <c r="F51" s="935" t="str">
        <f t="shared" si="0"/>
        <v/>
      </c>
      <c r="G51" s="936"/>
      <c r="H51" s="936"/>
      <c r="I51" s="237"/>
      <c r="J51" s="237"/>
      <c r="K51" s="237"/>
      <c r="L51" s="363"/>
      <c r="M51" s="237"/>
      <c r="N51" s="237"/>
    </row>
    <row r="52" spans="1:14" ht="15" hidden="1" customHeight="1" outlineLevel="2" x14ac:dyDescent="0.25">
      <c r="A52" s="363"/>
      <c r="B52" s="933"/>
      <c r="C52" s="934"/>
      <c r="D52" s="438"/>
      <c r="E52" s="438"/>
      <c r="F52" s="935" t="str">
        <f t="shared" si="0"/>
        <v/>
      </c>
      <c r="G52" s="936"/>
      <c r="H52" s="936"/>
      <c r="I52" s="237"/>
      <c r="J52" s="237"/>
      <c r="K52" s="237"/>
      <c r="L52" s="363"/>
      <c r="M52" s="237"/>
      <c r="N52" s="237"/>
    </row>
    <row r="53" spans="1:14" ht="15" hidden="1" customHeight="1" outlineLevel="2" x14ac:dyDescent="0.25">
      <c r="A53" s="363"/>
      <c r="B53" s="933"/>
      <c r="C53" s="934"/>
      <c r="D53" s="438"/>
      <c r="E53" s="438"/>
      <c r="F53" s="935" t="str">
        <f t="shared" si="0"/>
        <v/>
      </c>
      <c r="G53" s="936"/>
      <c r="H53" s="936"/>
      <c r="I53" s="237"/>
      <c r="J53" s="237"/>
      <c r="K53" s="237"/>
      <c r="L53" s="363"/>
      <c r="M53" s="237"/>
      <c r="N53" s="237"/>
    </row>
    <row r="54" spans="1:14" ht="15" hidden="1" customHeight="1" outlineLevel="2" x14ac:dyDescent="0.25">
      <c r="A54" s="363"/>
      <c r="B54" s="933"/>
      <c r="C54" s="934"/>
      <c r="D54" s="438"/>
      <c r="E54" s="438"/>
      <c r="F54" s="935" t="str">
        <f t="shared" si="0"/>
        <v/>
      </c>
      <c r="G54" s="936"/>
      <c r="H54" s="936"/>
      <c r="I54" s="237"/>
      <c r="J54" s="237"/>
      <c r="K54" s="237"/>
      <c r="L54" s="363"/>
      <c r="M54" s="237"/>
      <c r="N54" s="237"/>
    </row>
    <row r="55" spans="1:14" ht="15" hidden="1" customHeight="1" outlineLevel="2" x14ac:dyDescent="0.25">
      <c r="A55" s="363"/>
      <c r="B55" s="933"/>
      <c r="C55" s="934"/>
      <c r="D55" s="438"/>
      <c r="E55" s="438"/>
      <c r="F55" s="935" t="str">
        <f t="shared" si="0"/>
        <v/>
      </c>
      <c r="G55" s="936"/>
      <c r="H55" s="936"/>
      <c r="I55" s="237"/>
      <c r="J55" s="237"/>
      <c r="K55" s="237"/>
      <c r="L55" s="363"/>
      <c r="M55" s="237"/>
      <c r="N55" s="237"/>
    </row>
    <row r="56" spans="1:14" ht="15" hidden="1" customHeight="1" outlineLevel="2" x14ac:dyDescent="0.25">
      <c r="A56" s="363"/>
      <c r="B56" s="933"/>
      <c r="C56" s="934"/>
      <c r="D56" s="438"/>
      <c r="E56" s="438"/>
      <c r="F56" s="935" t="str">
        <f t="shared" si="0"/>
        <v/>
      </c>
      <c r="G56" s="936"/>
      <c r="H56" s="936"/>
      <c r="I56" s="237"/>
      <c r="J56" s="237"/>
      <c r="K56" s="237"/>
      <c r="L56" s="363"/>
      <c r="M56" s="237"/>
      <c r="N56" s="237"/>
    </row>
    <row r="57" spans="1:14" ht="15" hidden="1" customHeight="1" outlineLevel="2" x14ac:dyDescent="0.25">
      <c r="A57" s="363"/>
      <c r="B57" s="933"/>
      <c r="C57" s="934"/>
      <c r="D57" s="438"/>
      <c r="E57" s="438"/>
      <c r="F57" s="935" t="str">
        <f t="shared" si="0"/>
        <v/>
      </c>
      <c r="G57" s="936"/>
      <c r="H57" s="936"/>
      <c r="I57" s="237"/>
      <c r="J57" s="237"/>
      <c r="K57" s="237"/>
      <c r="L57" s="363"/>
      <c r="M57" s="237"/>
      <c r="N57" s="237"/>
    </row>
    <row r="58" spans="1:14" ht="15" hidden="1" customHeight="1" outlineLevel="2" x14ac:dyDescent="0.25">
      <c r="A58" s="363"/>
      <c r="B58" s="933"/>
      <c r="C58" s="934"/>
      <c r="D58" s="438"/>
      <c r="E58" s="438"/>
      <c r="F58" s="935" t="str">
        <f t="shared" si="0"/>
        <v/>
      </c>
      <c r="G58" s="936"/>
      <c r="H58" s="936"/>
      <c r="I58" s="237"/>
      <c r="J58" s="237"/>
      <c r="K58" s="237"/>
      <c r="L58" s="363"/>
      <c r="M58" s="237"/>
      <c r="N58" s="237"/>
    </row>
    <row r="59" spans="1:14" ht="15" hidden="1" customHeight="1" outlineLevel="2" x14ac:dyDescent="0.25">
      <c r="A59" s="363"/>
      <c r="B59" s="933"/>
      <c r="C59" s="934"/>
      <c r="D59" s="438"/>
      <c r="E59" s="438"/>
      <c r="F59" s="935" t="str">
        <f t="shared" si="0"/>
        <v/>
      </c>
      <c r="G59" s="936"/>
      <c r="H59" s="936"/>
      <c r="I59" s="237"/>
      <c r="J59" s="237"/>
      <c r="K59" s="237"/>
      <c r="L59" s="363"/>
      <c r="M59" s="237"/>
      <c r="N59" s="237"/>
    </row>
    <row r="60" spans="1:14" ht="15" hidden="1" customHeight="1" outlineLevel="2" x14ac:dyDescent="0.25">
      <c r="A60" s="363"/>
      <c r="B60" s="933"/>
      <c r="C60" s="934"/>
      <c r="D60" s="438"/>
      <c r="E60" s="438"/>
      <c r="F60" s="935" t="str">
        <f t="shared" si="0"/>
        <v/>
      </c>
      <c r="G60" s="936"/>
      <c r="H60" s="936"/>
      <c r="I60" s="237"/>
      <c r="J60" s="237"/>
      <c r="K60" s="237"/>
      <c r="L60" s="363"/>
      <c r="M60" s="237"/>
      <c r="N60" s="237"/>
    </row>
    <row r="61" spans="1:14" ht="15" hidden="1" customHeight="1" outlineLevel="2" x14ac:dyDescent="0.25">
      <c r="A61" s="363"/>
      <c r="B61" s="933"/>
      <c r="C61" s="934"/>
      <c r="D61" s="438"/>
      <c r="E61" s="438"/>
      <c r="F61" s="935" t="str">
        <f t="shared" si="0"/>
        <v/>
      </c>
      <c r="G61" s="936"/>
      <c r="H61" s="936"/>
      <c r="I61" s="237"/>
      <c r="J61" s="237"/>
      <c r="K61" s="237"/>
      <c r="L61" s="363"/>
      <c r="M61" s="237"/>
      <c r="N61" s="237"/>
    </row>
    <row r="62" spans="1:14" ht="15" hidden="1" customHeight="1" outlineLevel="2" x14ac:dyDescent="0.25">
      <c r="A62" s="363"/>
      <c r="B62" s="933"/>
      <c r="C62" s="934"/>
      <c r="D62" s="438"/>
      <c r="E62" s="438"/>
      <c r="F62" s="935" t="str">
        <f t="shared" si="0"/>
        <v/>
      </c>
      <c r="G62" s="936"/>
      <c r="H62" s="936"/>
      <c r="I62" s="237"/>
      <c r="J62" s="237"/>
      <c r="K62" s="237"/>
      <c r="L62" s="363"/>
      <c r="M62" s="237"/>
      <c r="N62" s="237"/>
    </row>
    <row r="63" spans="1:14" ht="15" hidden="1" customHeight="1" outlineLevel="2" x14ac:dyDescent="0.25">
      <c r="A63" s="363"/>
      <c r="B63" s="933"/>
      <c r="C63" s="934"/>
      <c r="D63" s="438"/>
      <c r="E63" s="438"/>
      <c r="F63" s="935" t="str">
        <f t="shared" si="0"/>
        <v/>
      </c>
      <c r="G63" s="936"/>
      <c r="H63" s="936"/>
      <c r="I63" s="237"/>
      <c r="J63" s="237"/>
      <c r="K63" s="237"/>
      <c r="L63" s="363"/>
      <c r="M63" s="237"/>
      <c r="N63" s="237"/>
    </row>
    <row r="64" spans="1:14" ht="15" hidden="1" customHeight="1" outlineLevel="2" x14ac:dyDescent="0.25">
      <c r="A64" s="363"/>
      <c r="B64" s="933"/>
      <c r="C64" s="934"/>
      <c r="D64" s="438"/>
      <c r="E64" s="438"/>
      <c r="F64" s="935" t="str">
        <f t="shared" si="0"/>
        <v/>
      </c>
      <c r="G64" s="936"/>
      <c r="H64" s="936"/>
      <c r="I64" s="237"/>
      <c r="J64" s="237"/>
      <c r="K64" s="237"/>
      <c r="L64" s="363"/>
      <c r="M64" s="237"/>
      <c r="N64" s="237"/>
    </row>
    <row r="65" spans="1:14" ht="15" hidden="1" customHeight="1" outlineLevel="2" x14ac:dyDescent="0.25">
      <c r="A65" s="363"/>
      <c r="B65" s="933"/>
      <c r="C65" s="934"/>
      <c r="D65" s="438"/>
      <c r="E65" s="438"/>
      <c r="F65" s="935" t="str">
        <f t="shared" si="0"/>
        <v/>
      </c>
      <c r="G65" s="936"/>
      <c r="H65" s="936"/>
      <c r="I65" s="237"/>
      <c r="J65" s="237"/>
      <c r="K65" s="237"/>
      <c r="L65" s="363"/>
      <c r="M65" s="237"/>
      <c r="N65" s="237"/>
    </row>
    <row r="66" spans="1:14" ht="15" hidden="1" customHeight="1" outlineLevel="2" x14ac:dyDescent="0.25">
      <c r="A66" s="363"/>
      <c r="B66" s="933"/>
      <c r="C66" s="934"/>
      <c r="D66" s="438"/>
      <c r="E66" s="438"/>
      <c r="F66" s="935" t="str">
        <f t="shared" si="0"/>
        <v/>
      </c>
      <c r="G66" s="936"/>
      <c r="H66" s="936"/>
      <c r="I66" s="237"/>
      <c r="J66" s="237"/>
      <c r="K66" s="237"/>
      <c r="L66" s="363"/>
      <c r="M66" s="237"/>
      <c r="N66" s="237"/>
    </row>
    <row r="67" spans="1:14" ht="15" hidden="1" customHeight="1" outlineLevel="2" x14ac:dyDescent="0.25">
      <c r="A67" s="363"/>
      <c r="B67" s="933"/>
      <c r="C67" s="934"/>
      <c r="D67" s="438"/>
      <c r="E67" s="438"/>
      <c r="F67" s="935" t="str">
        <f t="shared" si="0"/>
        <v/>
      </c>
      <c r="G67" s="936"/>
      <c r="H67" s="936"/>
      <c r="I67" s="237"/>
      <c r="J67" s="237"/>
      <c r="K67" s="237"/>
      <c r="L67" s="363"/>
      <c r="M67" s="237"/>
      <c r="N67" s="237"/>
    </row>
    <row r="68" spans="1:14" ht="15" hidden="1" customHeight="1" outlineLevel="2" x14ac:dyDescent="0.25">
      <c r="A68" s="363"/>
      <c r="B68" s="933"/>
      <c r="C68" s="934"/>
      <c r="D68" s="438"/>
      <c r="E68" s="438"/>
      <c r="F68" s="935" t="str">
        <f t="shared" si="0"/>
        <v/>
      </c>
      <c r="G68" s="936"/>
      <c r="H68" s="936"/>
      <c r="I68" s="237"/>
      <c r="J68" s="237"/>
      <c r="K68" s="237"/>
      <c r="L68" s="363"/>
      <c r="M68" s="237"/>
      <c r="N68" s="237"/>
    </row>
    <row r="69" spans="1:14" ht="15" hidden="1" customHeight="1" outlineLevel="2" x14ac:dyDescent="0.25">
      <c r="A69" s="363"/>
      <c r="B69" s="933"/>
      <c r="C69" s="934"/>
      <c r="D69" s="438"/>
      <c r="E69" s="438"/>
      <c r="F69" s="935" t="str">
        <f>IF(D69&lt;&gt;"",(D69*E69/1000000),"")</f>
        <v/>
      </c>
      <c r="G69" s="936"/>
      <c r="H69" s="936"/>
      <c r="I69" s="237"/>
      <c r="J69" s="237"/>
      <c r="K69" s="237"/>
      <c r="L69" s="363"/>
      <c r="M69" s="237"/>
      <c r="N69" s="237"/>
    </row>
    <row r="70" spans="1:14" ht="15" hidden="1" customHeight="1" outlineLevel="2" x14ac:dyDescent="0.25">
      <c r="A70" s="363"/>
      <c r="B70" s="933"/>
      <c r="C70" s="934"/>
      <c r="D70" s="438"/>
      <c r="E70" s="438"/>
      <c r="F70" s="935" t="str">
        <f t="shared" si="0"/>
        <v/>
      </c>
      <c r="G70" s="936"/>
      <c r="H70" s="936"/>
      <c r="I70" s="237"/>
      <c r="J70" s="237"/>
      <c r="K70" s="237"/>
      <c r="L70" s="363"/>
      <c r="M70" s="237"/>
      <c r="N70" s="237"/>
    </row>
    <row r="71" spans="1:14" ht="15" hidden="1" customHeight="1" outlineLevel="2" x14ac:dyDescent="0.25">
      <c r="A71" s="363"/>
      <c r="B71" s="933"/>
      <c r="C71" s="934"/>
      <c r="D71" s="438"/>
      <c r="E71" s="438"/>
      <c r="F71" s="935" t="str">
        <f t="shared" si="0"/>
        <v/>
      </c>
      <c r="G71" s="936"/>
      <c r="H71" s="936"/>
      <c r="I71" s="237"/>
      <c r="J71" s="237"/>
      <c r="K71" s="237"/>
      <c r="L71" s="363"/>
      <c r="M71" s="237"/>
      <c r="N71" s="237"/>
    </row>
    <row r="72" spans="1:14" ht="15" hidden="1" customHeight="1" outlineLevel="2" x14ac:dyDescent="0.25">
      <c r="A72" s="363"/>
      <c r="B72" s="933"/>
      <c r="C72" s="934"/>
      <c r="D72" s="438"/>
      <c r="E72" s="438"/>
      <c r="F72" s="935" t="str">
        <f t="shared" si="0"/>
        <v/>
      </c>
      <c r="G72" s="936"/>
      <c r="H72" s="936"/>
      <c r="I72" s="237"/>
      <c r="J72" s="237"/>
      <c r="K72" s="237"/>
      <c r="L72" s="363"/>
      <c r="M72" s="237"/>
      <c r="N72" s="237"/>
    </row>
    <row r="73" spans="1:14" ht="15" hidden="1" customHeight="1" outlineLevel="2" x14ac:dyDescent="0.25">
      <c r="A73" s="363"/>
      <c r="B73" s="933"/>
      <c r="C73" s="934"/>
      <c r="D73" s="438"/>
      <c r="E73" s="438"/>
      <c r="F73" s="935" t="str">
        <f t="shared" si="0"/>
        <v/>
      </c>
      <c r="G73" s="936"/>
      <c r="H73" s="936"/>
      <c r="I73" s="237"/>
      <c r="J73" s="237"/>
      <c r="K73" s="237"/>
      <c r="L73" s="363"/>
      <c r="M73" s="237"/>
      <c r="N73" s="237"/>
    </row>
    <row r="74" spans="1:14" ht="15" hidden="1" customHeight="1" outlineLevel="2" x14ac:dyDescent="0.25">
      <c r="A74" s="363"/>
      <c r="B74" s="933"/>
      <c r="C74" s="934"/>
      <c r="D74" s="438"/>
      <c r="E74" s="438"/>
      <c r="F74" s="935" t="str">
        <f t="shared" si="0"/>
        <v/>
      </c>
      <c r="G74" s="936"/>
      <c r="H74" s="936"/>
      <c r="I74" s="237"/>
      <c r="J74" s="237"/>
      <c r="K74" s="237"/>
      <c r="L74" s="363"/>
      <c r="M74" s="237"/>
      <c r="N74" s="237"/>
    </row>
    <row r="75" spans="1:14" ht="15" hidden="1" customHeight="1" outlineLevel="2" x14ac:dyDescent="0.25">
      <c r="A75" s="363"/>
      <c r="B75" s="933"/>
      <c r="C75" s="934"/>
      <c r="D75" s="438"/>
      <c r="E75" s="438"/>
      <c r="F75" s="935" t="str">
        <f t="shared" si="0"/>
        <v/>
      </c>
      <c r="G75" s="936"/>
      <c r="H75" s="936"/>
      <c r="I75" s="237"/>
      <c r="J75" s="237"/>
      <c r="K75" s="237"/>
      <c r="L75" s="363"/>
      <c r="M75" s="237"/>
      <c r="N75" s="237"/>
    </row>
    <row r="76" spans="1:14" ht="15" hidden="1" customHeight="1" outlineLevel="2" x14ac:dyDescent="0.25">
      <c r="A76" s="363"/>
      <c r="B76" s="933"/>
      <c r="C76" s="934"/>
      <c r="D76" s="438"/>
      <c r="E76" s="438"/>
      <c r="F76" s="935" t="str">
        <f t="shared" si="0"/>
        <v/>
      </c>
      <c r="G76" s="936"/>
      <c r="H76" s="936"/>
      <c r="I76" s="237"/>
      <c r="J76" s="237"/>
      <c r="K76" s="237"/>
      <c r="L76" s="363"/>
      <c r="M76" s="237"/>
      <c r="N76" s="237"/>
    </row>
    <row r="77" spans="1:14" ht="15" hidden="1" customHeight="1" outlineLevel="2" x14ac:dyDescent="0.25">
      <c r="A77" s="363"/>
      <c r="B77" s="933"/>
      <c r="C77" s="934"/>
      <c r="D77" s="438"/>
      <c r="E77" s="438"/>
      <c r="F77" s="935" t="str">
        <f t="shared" si="0"/>
        <v/>
      </c>
      <c r="G77" s="936"/>
      <c r="H77" s="936"/>
      <c r="I77" s="237"/>
      <c r="J77" s="237"/>
      <c r="K77" s="237"/>
      <c r="L77" s="363"/>
      <c r="M77" s="237"/>
      <c r="N77" s="237"/>
    </row>
    <row r="78" spans="1:14" ht="15" hidden="1" customHeight="1" outlineLevel="2" x14ac:dyDescent="0.25">
      <c r="A78" s="363"/>
      <c r="B78" s="933"/>
      <c r="C78" s="934"/>
      <c r="D78" s="438"/>
      <c r="E78" s="438"/>
      <c r="F78" s="935" t="str">
        <f t="shared" si="0"/>
        <v/>
      </c>
      <c r="G78" s="936"/>
      <c r="H78" s="936"/>
      <c r="I78" s="237"/>
      <c r="J78" s="237"/>
      <c r="K78" s="237"/>
      <c r="L78" s="363"/>
      <c r="M78" s="237"/>
      <c r="N78" s="237"/>
    </row>
    <row r="79" spans="1:14" ht="15" hidden="1" customHeight="1" outlineLevel="2" x14ac:dyDescent="0.25">
      <c r="A79" s="363"/>
      <c r="B79" s="933"/>
      <c r="C79" s="934"/>
      <c r="D79" s="438"/>
      <c r="E79" s="438"/>
      <c r="F79" s="935" t="str">
        <f t="shared" si="0"/>
        <v/>
      </c>
      <c r="G79" s="936"/>
      <c r="H79" s="936"/>
      <c r="I79" s="237"/>
      <c r="J79" s="237"/>
      <c r="K79" s="237"/>
      <c r="L79" s="363"/>
      <c r="M79" s="237"/>
      <c r="N79" s="237"/>
    </row>
    <row r="80" spans="1:14" ht="15" hidden="1" customHeight="1" outlineLevel="2" x14ac:dyDescent="0.25">
      <c r="A80" s="363"/>
      <c r="B80" s="933"/>
      <c r="C80" s="934"/>
      <c r="D80" s="438"/>
      <c r="E80" s="438"/>
      <c r="F80" s="935" t="str">
        <f t="shared" si="0"/>
        <v/>
      </c>
      <c r="G80" s="936"/>
      <c r="H80" s="936"/>
      <c r="I80" s="237"/>
      <c r="J80" s="237"/>
      <c r="K80" s="237"/>
      <c r="L80" s="363"/>
      <c r="M80" s="237"/>
      <c r="N80" s="237"/>
    </row>
    <row r="81" spans="1:14" ht="15" hidden="1" customHeight="1" outlineLevel="2" x14ac:dyDescent="0.25">
      <c r="A81" s="363"/>
      <c r="B81" s="933"/>
      <c r="C81" s="934"/>
      <c r="D81" s="438"/>
      <c r="E81" s="438"/>
      <c r="F81" s="935" t="str">
        <f t="shared" si="0"/>
        <v/>
      </c>
      <c r="G81" s="936"/>
      <c r="H81" s="936"/>
      <c r="I81" s="237"/>
      <c r="J81" s="237"/>
      <c r="K81" s="237"/>
      <c r="L81" s="363"/>
      <c r="M81" s="237"/>
      <c r="N81" s="237"/>
    </row>
    <row r="82" spans="1:14" ht="15" hidden="1" customHeight="1" outlineLevel="2" x14ac:dyDescent="0.25">
      <c r="A82" s="363"/>
      <c r="B82" s="933"/>
      <c r="C82" s="934"/>
      <c r="D82" s="438"/>
      <c r="E82" s="438"/>
      <c r="F82" s="935" t="str">
        <f t="shared" si="0"/>
        <v/>
      </c>
      <c r="G82" s="936"/>
      <c r="H82" s="936"/>
      <c r="I82" s="237"/>
      <c r="J82" s="237"/>
      <c r="K82" s="237"/>
      <c r="L82" s="363"/>
      <c r="M82" s="237"/>
      <c r="N82" s="237"/>
    </row>
    <row r="83" spans="1:14" ht="15" hidden="1" customHeight="1" outlineLevel="2" x14ac:dyDescent="0.25">
      <c r="A83" s="363"/>
      <c r="B83" s="933"/>
      <c r="C83" s="934"/>
      <c r="D83" s="438"/>
      <c r="E83" s="438"/>
      <c r="F83" s="935" t="str">
        <f t="shared" si="0"/>
        <v/>
      </c>
      <c r="G83" s="936"/>
      <c r="H83" s="936"/>
      <c r="I83" s="237"/>
      <c r="J83" s="237"/>
      <c r="K83" s="237"/>
      <c r="L83" s="363"/>
      <c r="M83" s="237"/>
      <c r="N83" s="237"/>
    </row>
    <row r="84" spans="1:14" ht="15" hidden="1" customHeight="1" outlineLevel="2" x14ac:dyDescent="0.25">
      <c r="A84" s="363"/>
      <c r="B84" s="933"/>
      <c r="C84" s="934"/>
      <c r="D84" s="438"/>
      <c r="E84" s="438"/>
      <c r="F84" s="935" t="str">
        <f t="shared" si="0"/>
        <v/>
      </c>
      <c r="G84" s="936"/>
      <c r="H84" s="936"/>
      <c r="I84" s="237"/>
      <c r="J84" s="237"/>
      <c r="K84" s="237"/>
      <c r="L84" s="363"/>
      <c r="M84" s="237"/>
      <c r="N84" s="237"/>
    </row>
    <row r="85" spans="1:14" ht="15" hidden="1" customHeight="1" outlineLevel="2" x14ac:dyDescent="0.25">
      <c r="A85" s="363"/>
      <c r="B85" s="933"/>
      <c r="C85" s="934"/>
      <c r="D85" s="438"/>
      <c r="E85" s="438"/>
      <c r="F85" s="935" t="str">
        <f>IF(D85&lt;&gt;"",(D85*E85/1000000),"")</f>
        <v/>
      </c>
      <c r="G85" s="936"/>
      <c r="H85" s="936"/>
      <c r="I85" s="237"/>
      <c r="J85" s="237"/>
      <c r="K85" s="237"/>
      <c r="L85" s="363"/>
      <c r="M85" s="237"/>
      <c r="N85" s="237"/>
    </row>
    <row r="86" spans="1:14" ht="15" hidden="1" customHeight="1" outlineLevel="2" x14ac:dyDescent="0.25">
      <c r="A86" s="363"/>
      <c r="B86" s="933"/>
      <c r="C86" s="934"/>
      <c r="D86" s="438"/>
      <c r="E86" s="438"/>
      <c r="F86" s="935" t="str">
        <f t="shared" si="0"/>
        <v/>
      </c>
      <c r="G86" s="936"/>
      <c r="H86" s="936"/>
      <c r="I86" s="237"/>
      <c r="J86" s="237"/>
      <c r="K86" s="237"/>
      <c r="L86" s="363"/>
      <c r="M86" s="237"/>
      <c r="N86" s="237"/>
    </row>
    <row r="87" spans="1:14" ht="15" hidden="1" customHeight="1" outlineLevel="2" x14ac:dyDescent="0.25">
      <c r="A87" s="363"/>
      <c r="B87" s="933"/>
      <c r="C87" s="934"/>
      <c r="D87" s="438"/>
      <c r="E87" s="438"/>
      <c r="F87" s="935" t="str">
        <f t="shared" si="0"/>
        <v/>
      </c>
      <c r="G87" s="936"/>
      <c r="H87" s="936"/>
      <c r="I87" s="237"/>
      <c r="J87" s="237"/>
      <c r="K87" s="237"/>
      <c r="L87" s="363"/>
      <c r="M87" s="237"/>
      <c r="N87" s="237"/>
    </row>
    <row r="88" spans="1:14" ht="15" hidden="1" customHeight="1" outlineLevel="2" x14ac:dyDescent="0.25">
      <c r="A88" s="363"/>
      <c r="B88" s="933"/>
      <c r="C88" s="934"/>
      <c r="D88" s="438"/>
      <c r="E88" s="438"/>
      <c r="F88" s="935" t="str">
        <f t="shared" si="0"/>
        <v/>
      </c>
      <c r="G88" s="936"/>
      <c r="H88" s="936"/>
      <c r="I88" s="237"/>
      <c r="J88" s="237"/>
      <c r="K88" s="237"/>
      <c r="L88" s="363"/>
      <c r="M88" s="237"/>
      <c r="N88" s="237"/>
    </row>
    <row r="89" spans="1:14" ht="15" hidden="1" customHeight="1" outlineLevel="2" x14ac:dyDescent="0.25">
      <c r="A89" s="363"/>
      <c r="B89" s="933"/>
      <c r="C89" s="934"/>
      <c r="D89" s="438"/>
      <c r="E89" s="438"/>
      <c r="F89" s="935" t="str">
        <f t="shared" si="0"/>
        <v/>
      </c>
      <c r="G89" s="936"/>
      <c r="H89" s="936"/>
      <c r="I89" s="237"/>
      <c r="J89" s="237"/>
      <c r="K89" s="237"/>
      <c r="L89" s="363"/>
      <c r="M89" s="237"/>
      <c r="N89" s="237"/>
    </row>
    <row r="90" spans="1:14" ht="15" hidden="1" customHeight="1" outlineLevel="2" x14ac:dyDescent="0.25">
      <c r="A90" s="363"/>
      <c r="B90" s="933"/>
      <c r="C90" s="934"/>
      <c r="D90" s="438"/>
      <c r="E90" s="438"/>
      <c r="F90" s="935" t="str">
        <f t="shared" si="0"/>
        <v/>
      </c>
      <c r="G90" s="936"/>
      <c r="H90" s="936"/>
      <c r="I90" s="237"/>
      <c r="J90" s="237"/>
      <c r="K90" s="237"/>
      <c r="L90" s="363"/>
      <c r="M90" s="237"/>
      <c r="N90" s="237"/>
    </row>
    <row r="91" spans="1:14" ht="15" hidden="1" customHeight="1" outlineLevel="2" x14ac:dyDescent="0.25">
      <c r="A91" s="363"/>
      <c r="B91" s="933"/>
      <c r="C91" s="934"/>
      <c r="D91" s="438"/>
      <c r="E91" s="438"/>
      <c r="F91" s="935" t="str">
        <f t="shared" si="0"/>
        <v/>
      </c>
      <c r="G91" s="936"/>
      <c r="H91" s="936"/>
      <c r="I91" s="237"/>
      <c r="J91" s="237"/>
      <c r="K91" s="237"/>
      <c r="L91" s="363"/>
      <c r="M91" s="237"/>
      <c r="N91" s="237"/>
    </row>
    <row r="92" spans="1:14" ht="15" hidden="1" customHeight="1" outlineLevel="2" x14ac:dyDescent="0.25">
      <c r="A92" s="363"/>
      <c r="B92" s="933"/>
      <c r="C92" s="934"/>
      <c r="D92" s="438"/>
      <c r="E92" s="438"/>
      <c r="F92" s="935" t="str">
        <f t="shared" si="0"/>
        <v/>
      </c>
      <c r="G92" s="936"/>
      <c r="H92" s="936"/>
      <c r="I92" s="237"/>
      <c r="J92" s="237"/>
      <c r="K92" s="237"/>
      <c r="L92" s="363"/>
      <c r="M92" s="237"/>
      <c r="N92" s="237"/>
    </row>
    <row r="93" spans="1:14" ht="15" hidden="1" customHeight="1" outlineLevel="2" x14ac:dyDescent="0.25">
      <c r="A93" s="363"/>
      <c r="B93" s="933"/>
      <c r="C93" s="934"/>
      <c r="D93" s="438"/>
      <c r="E93" s="438"/>
      <c r="F93" s="935" t="str">
        <f t="shared" ref="F93:F98" si="1">IF(D93&lt;&gt;"",(D93*E93/1000000),"")</f>
        <v/>
      </c>
      <c r="G93" s="936"/>
      <c r="H93" s="936"/>
      <c r="I93" s="237"/>
      <c r="J93" s="237"/>
      <c r="K93" s="237"/>
      <c r="L93" s="363"/>
      <c r="M93" s="237"/>
      <c r="N93" s="237"/>
    </row>
    <row r="94" spans="1:14" ht="15" hidden="1" customHeight="1" outlineLevel="2" x14ac:dyDescent="0.25">
      <c r="A94" s="363"/>
      <c r="B94" s="933"/>
      <c r="C94" s="934"/>
      <c r="D94" s="438"/>
      <c r="E94" s="438"/>
      <c r="F94" s="935" t="str">
        <f t="shared" si="1"/>
        <v/>
      </c>
      <c r="G94" s="936"/>
      <c r="H94" s="936"/>
      <c r="I94" s="237"/>
      <c r="J94" s="237"/>
      <c r="K94" s="237"/>
      <c r="L94" s="363"/>
      <c r="M94" s="237"/>
      <c r="N94" s="237"/>
    </row>
    <row r="95" spans="1:14" ht="15" hidden="1" customHeight="1" outlineLevel="2" x14ac:dyDescent="0.25">
      <c r="A95" s="363"/>
      <c r="B95" s="933"/>
      <c r="C95" s="934"/>
      <c r="D95" s="438"/>
      <c r="E95" s="438"/>
      <c r="F95" s="935" t="str">
        <f t="shared" si="1"/>
        <v/>
      </c>
      <c r="G95" s="936"/>
      <c r="H95" s="936"/>
      <c r="I95" s="237"/>
      <c r="J95" s="237"/>
      <c r="K95" s="237"/>
      <c r="L95" s="363"/>
      <c r="M95" s="237"/>
      <c r="N95" s="237"/>
    </row>
    <row r="96" spans="1:14" ht="15" hidden="1" customHeight="1" outlineLevel="2" x14ac:dyDescent="0.25">
      <c r="A96" s="363"/>
      <c r="B96" s="933"/>
      <c r="C96" s="934"/>
      <c r="D96" s="438"/>
      <c r="E96" s="438"/>
      <c r="F96" s="935" t="str">
        <f t="shared" si="1"/>
        <v/>
      </c>
      <c r="G96" s="936"/>
      <c r="H96" s="936"/>
      <c r="I96" s="237"/>
      <c r="J96" s="237"/>
      <c r="K96" s="237"/>
      <c r="L96" s="363"/>
      <c r="M96" s="237"/>
      <c r="N96" s="237"/>
    </row>
    <row r="97" spans="1:38" ht="15" hidden="1" customHeight="1" outlineLevel="2" x14ac:dyDescent="0.25">
      <c r="A97" s="363"/>
      <c r="B97" s="933"/>
      <c r="C97" s="934"/>
      <c r="D97" s="438"/>
      <c r="E97" s="438"/>
      <c r="F97" s="935" t="str">
        <f t="shared" si="1"/>
        <v/>
      </c>
      <c r="G97" s="936"/>
      <c r="H97" s="936"/>
      <c r="I97" s="237"/>
      <c r="J97" s="237"/>
      <c r="K97" s="237"/>
      <c r="L97" s="363"/>
      <c r="M97" s="237"/>
      <c r="N97" s="237"/>
    </row>
    <row r="98" spans="1:38" ht="15" hidden="1" customHeight="1" outlineLevel="2" x14ac:dyDescent="0.25">
      <c r="A98" s="363"/>
      <c r="B98" s="933"/>
      <c r="C98" s="934"/>
      <c r="D98" s="438"/>
      <c r="E98" s="438"/>
      <c r="F98" s="935" t="str">
        <f t="shared" si="1"/>
        <v/>
      </c>
      <c r="G98" s="936"/>
      <c r="H98" s="936"/>
      <c r="I98" s="237"/>
      <c r="J98" s="237"/>
      <c r="K98" s="237"/>
      <c r="L98" s="363"/>
      <c r="M98" s="237"/>
      <c r="N98" s="237"/>
    </row>
    <row r="99" spans="1:38" ht="15" customHeight="1" outlineLevel="1" x14ac:dyDescent="0.25">
      <c r="A99" s="363"/>
      <c r="B99" s="1295" t="s">
        <v>78</v>
      </c>
      <c r="C99" s="1296"/>
      <c r="D99" s="937">
        <f t="shared" ref="D99:F99" si="2">SUM(D28:D98)</f>
        <v>0</v>
      </c>
      <c r="E99" s="937"/>
      <c r="F99" s="938">
        <f t="shared" si="2"/>
        <v>0</v>
      </c>
      <c r="G99" s="939"/>
      <c r="H99" s="939"/>
      <c r="I99" s="237"/>
      <c r="J99" s="237"/>
      <c r="K99" s="237"/>
      <c r="L99" s="363"/>
      <c r="M99" s="237"/>
      <c r="N99" s="237"/>
    </row>
    <row r="100" spans="1:38" ht="15" customHeight="1" outlineLevel="1" x14ac:dyDescent="0.25">
      <c r="A100" s="363"/>
      <c r="B100" s="1356"/>
      <c r="C100" s="1356"/>
      <c r="D100" s="1356"/>
      <c r="E100" s="1356"/>
      <c r="F100" s="1357"/>
      <c r="G100" s="1357"/>
      <c r="H100" s="1357"/>
      <c r="I100" s="1355"/>
      <c r="J100" s="1355"/>
      <c r="K100" s="1355"/>
      <c r="L100" s="1355"/>
      <c r="M100" s="1355"/>
      <c r="N100" s="1355"/>
      <c r="O100" s="373"/>
      <c r="P100" s="363"/>
      <c r="Q100" s="363"/>
      <c r="R100" s="363"/>
      <c r="S100" s="363"/>
      <c r="T100" s="363"/>
      <c r="U100" s="363"/>
      <c r="V100" s="363"/>
      <c r="W100" s="363"/>
      <c r="X100" s="363"/>
      <c r="Y100" s="363"/>
      <c r="Z100" s="363"/>
      <c r="AA100" s="363"/>
      <c r="AB100" s="363"/>
      <c r="AC100" s="363"/>
      <c r="AD100" s="312"/>
      <c r="AE100" s="312"/>
      <c r="AF100" s="312"/>
      <c r="AG100" s="312"/>
      <c r="AH100" s="312"/>
      <c r="AI100" s="363"/>
      <c r="AJ100" s="363"/>
      <c r="AK100" s="363"/>
      <c r="AL100" s="237"/>
    </row>
    <row r="101" spans="1:38" ht="15" customHeight="1" x14ac:dyDescent="0.25">
      <c r="A101" s="363"/>
      <c r="B101" s="363"/>
      <c r="C101" s="363"/>
      <c r="D101" s="363"/>
      <c r="E101" s="363"/>
      <c r="F101" s="363"/>
      <c r="G101" s="363"/>
      <c r="H101" s="363"/>
      <c r="I101" s="363"/>
      <c r="J101" s="363"/>
      <c r="K101" s="363"/>
      <c r="L101" s="363"/>
      <c r="M101" s="363"/>
      <c r="N101" s="363"/>
      <c r="O101" s="363"/>
      <c r="P101" s="363"/>
      <c r="Q101" s="363"/>
      <c r="R101" s="940"/>
      <c r="S101" s="940"/>
      <c r="T101" s="363"/>
      <c r="U101" s="363"/>
      <c r="V101" s="363"/>
      <c r="W101" s="363"/>
      <c r="X101" s="363"/>
      <c r="Y101" s="363"/>
      <c r="Z101" s="363"/>
      <c r="AA101" s="363"/>
      <c r="AB101" s="363"/>
      <c r="AC101" s="363"/>
      <c r="AD101" s="363"/>
      <c r="AE101" s="363"/>
      <c r="AF101" s="363"/>
      <c r="AG101" s="363"/>
      <c r="AH101" s="363"/>
      <c r="AI101" s="363"/>
      <c r="AJ101" s="363"/>
      <c r="AK101" s="363"/>
      <c r="AL101" s="237"/>
    </row>
    <row r="102" spans="1:38" ht="15" customHeight="1" x14ac:dyDescent="0.25">
      <c r="A102" s="363"/>
      <c r="B102" s="1153"/>
      <c r="C102" s="1153"/>
      <c r="D102" s="1153"/>
      <c r="E102" s="1153"/>
      <c r="F102" s="1154"/>
      <c r="G102" s="1154"/>
      <c r="H102" s="1154"/>
      <c r="I102" s="1152"/>
      <c r="J102" s="1152"/>
      <c r="K102" s="1152"/>
      <c r="L102" s="1152"/>
      <c r="M102" s="1152"/>
      <c r="N102" s="1152"/>
      <c r="O102" s="373"/>
      <c r="P102" s="363"/>
      <c r="Q102" s="363"/>
      <c r="R102" s="363"/>
      <c r="S102" s="363"/>
      <c r="T102" s="363"/>
      <c r="U102" s="363"/>
      <c r="V102" s="363"/>
      <c r="W102" s="363"/>
      <c r="X102" s="363"/>
      <c r="Y102" s="363"/>
      <c r="Z102" s="363"/>
      <c r="AA102" s="363"/>
      <c r="AB102" s="363"/>
      <c r="AC102" s="363"/>
      <c r="AD102" s="363"/>
      <c r="AE102" s="363"/>
      <c r="AF102" s="363"/>
      <c r="AG102" s="363"/>
      <c r="AH102" s="363"/>
      <c r="AI102" s="363"/>
      <c r="AJ102" s="363"/>
      <c r="AK102" s="363"/>
      <c r="AL102" s="237"/>
    </row>
    <row r="103" spans="1:38" ht="15" customHeight="1" x14ac:dyDescent="0.25">
      <c r="A103" s="363"/>
      <c r="B103" s="1153"/>
      <c r="C103" s="1153"/>
      <c r="D103" s="1153"/>
      <c r="E103" s="1153"/>
      <c r="F103" s="1154"/>
      <c r="G103" s="1154"/>
      <c r="H103" s="1154"/>
      <c r="I103" s="1152"/>
      <c r="J103" s="1152"/>
      <c r="K103" s="1152"/>
      <c r="L103" s="1152"/>
      <c r="M103" s="1152"/>
      <c r="N103" s="1152"/>
      <c r="O103" s="373"/>
      <c r="P103" s="363"/>
      <c r="Q103" s="363"/>
      <c r="R103" s="363"/>
      <c r="S103" s="363"/>
      <c r="T103" s="363"/>
      <c r="U103" s="363"/>
      <c r="V103" s="363"/>
      <c r="W103" s="363"/>
      <c r="X103" s="363"/>
      <c r="Y103" s="363"/>
      <c r="Z103" s="363"/>
      <c r="AA103" s="363"/>
      <c r="AB103" s="363"/>
      <c r="AC103" s="363"/>
      <c r="AD103" s="363"/>
      <c r="AE103" s="363"/>
      <c r="AF103" s="363"/>
      <c r="AG103" s="363"/>
      <c r="AH103" s="363"/>
      <c r="AI103" s="363"/>
      <c r="AJ103" s="363"/>
      <c r="AK103" s="363"/>
      <c r="AL103" s="237"/>
    </row>
    <row r="104" spans="1:38" ht="15" customHeight="1" x14ac:dyDescent="0.25">
      <c r="A104" s="363"/>
      <c r="B104" s="362" t="s">
        <v>2092</v>
      </c>
      <c r="C104" s="363"/>
      <c r="D104" s="363"/>
      <c r="E104" s="363"/>
      <c r="F104" s="363"/>
      <c r="G104" s="363"/>
      <c r="H104" s="363"/>
      <c r="I104" s="363"/>
      <c r="J104" s="363"/>
      <c r="K104" s="363"/>
      <c r="L104" s="363"/>
      <c r="M104" s="363"/>
      <c r="N104" s="363"/>
      <c r="O104" s="363"/>
      <c r="P104" s="363"/>
      <c r="Q104" s="363"/>
      <c r="R104" s="363"/>
      <c r="S104" s="363"/>
      <c r="T104" s="363"/>
      <c r="U104" s="363"/>
      <c r="V104" s="363"/>
      <c r="W104" s="363"/>
      <c r="X104" s="363"/>
      <c r="Y104" s="363"/>
      <c r="Z104" s="363"/>
      <c r="AA104" s="363"/>
      <c r="AB104" s="363"/>
      <c r="AC104" s="363"/>
      <c r="AD104" s="363"/>
      <c r="AE104" s="363"/>
      <c r="AF104" s="363"/>
      <c r="AG104" s="363"/>
      <c r="AH104" s="363"/>
      <c r="AI104" s="363"/>
      <c r="AJ104" s="363"/>
      <c r="AK104" s="363"/>
      <c r="AL104" s="237"/>
    </row>
    <row r="105" spans="1:38" ht="4.5" customHeight="1" thickBot="1" x14ac:dyDescent="0.25">
      <c r="A105" s="195"/>
      <c r="B105" s="195"/>
      <c r="C105" s="195"/>
      <c r="D105" s="195"/>
      <c r="E105" s="195"/>
      <c r="F105" s="195"/>
      <c r="G105" s="195"/>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row>
    <row r="106" spans="1:38" ht="30" customHeight="1" thickBot="1" x14ac:dyDescent="0.25">
      <c r="A106" s="339"/>
      <c r="B106" s="943" t="s">
        <v>1407</v>
      </c>
      <c r="C106" s="921"/>
      <c r="D106" s="921"/>
      <c r="E106" s="921"/>
      <c r="F106" s="922"/>
      <c r="G106" s="922"/>
      <c r="H106" s="1353">
        <f>total_ee_sin</f>
        <v>0</v>
      </c>
      <c r="I106" s="1353"/>
      <c r="J106" s="1354"/>
      <c r="K106" s="923"/>
      <c r="L106" s="339"/>
      <c r="M106" s="339"/>
      <c r="N106" s="339"/>
      <c r="O106" s="339"/>
      <c r="P106" s="339"/>
      <c r="Q106" s="339"/>
      <c r="R106" s="339"/>
      <c r="S106" s="339"/>
      <c r="T106" s="339"/>
      <c r="U106" s="339"/>
      <c r="V106" s="339"/>
      <c r="W106" s="339"/>
      <c r="X106" s="339"/>
      <c r="Y106" s="339"/>
      <c r="Z106" s="339"/>
      <c r="AA106" s="339"/>
      <c r="AB106" s="339"/>
      <c r="AC106" s="339"/>
      <c r="AD106" s="339"/>
      <c r="AE106" s="339"/>
      <c r="AF106" s="339"/>
      <c r="AG106" s="339"/>
      <c r="AH106" s="339"/>
      <c r="AI106" s="195"/>
    </row>
    <row r="107" spans="1:38" ht="5.0999999999999996" customHeight="1" x14ac:dyDescent="0.2">
      <c r="A107" s="339"/>
      <c r="B107" s="339"/>
      <c r="C107" s="339"/>
      <c r="D107" s="339"/>
      <c r="E107" s="339"/>
      <c r="F107" s="339"/>
      <c r="G107" s="339"/>
      <c r="H107" s="195"/>
      <c r="I107" s="195"/>
      <c r="J107" s="195"/>
      <c r="K107" s="339"/>
      <c r="L107" s="339"/>
      <c r="M107" s="339"/>
      <c r="N107" s="339"/>
      <c r="O107" s="339"/>
      <c r="P107" s="339"/>
      <c r="Q107" s="339"/>
      <c r="R107" s="339"/>
      <c r="S107" s="339"/>
      <c r="T107" s="339"/>
      <c r="U107" s="339"/>
      <c r="V107" s="339"/>
      <c r="W107" s="339"/>
      <c r="X107" s="339"/>
      <c r="Y107" s="339"/>
      <c r="Z107" s="339"/>
      <c r="AA107" s="339"/>
      <c r="AB107" s="339"/>
      <c r="AC107" s="339"/>
      <c r="AD107" s="339"/>
      <c r="AE107" s="339"/>
      <c r="AF107" s="339"/>
      <c r="AG107" s="339"/>
      <c r="AH107" s="339"/>
      <c r="AI107" s="195"/>
    </row>
    <row r="108" spans="1:38" x14ac:dyDescent="0.2">
      <c r="A108" s="339"/>
      <c r="B108" s="339"/>
      <c r="C108" s="339"/>
      <c r="D108" s="339"/>
      <c r="E108" s="339"/>
      <c r="F108" s="924"/>
      <c r="G108" s="924"/>
      <c r="H108" s="924"/>
      <c r="I108" s="924"/>
      <c r="J108" s="924"/>
      <c r="K108" s="924"/>
      <c r="L108" s="924"/>
      <c r="M108" s="924"/>
      <c r="N108" s="924"/>
      <c r="O108" s="924"/>
      <c r="P108" s="924"/>
      <c r="Q108" s="924"/>
      <c r="R108" s="924"/>
      <c r="S108" s="924"/>
      <c r="T108" s="339"/>
      <c r="U108" s="339"/>
      <c r="V108" s="339"/>
      <c r="W108" s="339"/>
      <c r="X108" s="339"/>
      <c r="Y108" s="339"/>
      <c r="Z108" s="339"/>
      <c r="AA108" s="339"/>
      <c r="AB108" s="339"/>
      <c r="AC108" s="339"/>
      <c r="AD108" s="339"/>
      <c r="AE108" s="339"/>
      <c r="AF108" s="339"/>
      <c r="AG108" s="339"/>
      <c r="AH108" s="339"/>
      <c r="AI108" s="339"/>
      <c r="AJ108" s="339"/>
      <c r="AK108" s="339"/>
      <c r="AL108" s="195"/>
    </row>
    <row r="109" spans="1:38" x14ac:dyDescent="0.2">
      <c r="A109" s="339"/>
      <c r="B109" s="195"/>
      <c r="C109" s="195"/>
      <c r="D109" s="195"/>
      <c r="E109" s="195"/>
      <c r="F109" s="195"/>
      <c r="G109" s="195"/>
      <c r="H109" s="195"/>
      <c r="I109" s="195"/>
      <c r="J109" s="195"/>
      <c r="K109" s="195"/>
      <c r="L109" s="195"/>
      <c r="M109" s="195"/>
      <c r="N109" s="195"/>
      <c r="O109" s="195"/>
      <c r="P109" s="195"/>
      <c r="Q109" s="195"/>
      <c r="R109" s="195"/>
      <c r="S109" s="195"/>
      <c r="T109" s="339"/>
      <c r="U109" s="339"/>
      <c r="V109" s="339"/>
      <c r="W109" s="339"/>
      <c r="X109" s="339"/>
      <c r="Y109" s="339"/>
      <c r="Z109" s="339"/>
      <c r="AA109" s="339"/>
      <c r="AB109" s="339"/>
      <c r="AC109" s="339"/>
      <c r="AD109" s="339"/>
      <c r="AE109" s="339"/>
      <c r="AF109" s="339"/>
      <c r="AG109" s="339"/>
      <c r="AH109" s="339"/>
      <c r="AI109" s="339"/>
      <c r="AJ109" s="339"/>
      <c r="AK109" s="339"/>
      <c r="AL109" s="195"/>
    </row>
    <row r="110" spans="1:38" x14ac:dyDescent="0.2"/>
    <row r="111" spans="1:38" x14ac:dyDescent="0.2"/>
    <row r="112" spans="1:38"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sheetData>
  <mergeCells count="16">
    <mergeCell ref="H106:J106"/>
    <mergeCell ref="B99:C99"/>
    <mergeCell ref="B100:E100"/>
    <mergeCell ref="F100:H100"/>
    <mergeCell ref="I100:J100"/>
    <mergeCell ref="K100:L100"/>
    <mergeCell ref="M100:N100"/>
    <mergeCell ref="D12:H12"/>
    <mergeCell ref="H23:L23"/>
    <mergeCell ref="B24:B26"/>
    <mergeCell ref="C24:C26"/>
    <mergeCell ref="D24:D26"/>
    <mergeCell ref="E24:E26"/>
    <mergeCell ref="F24:F26"/>
    <mergeCell ref="G24:G26"/>
    <mergeCell ref="H24:H26"/>
  </mergeCells>
  <conditionalFormatting sqref="C12:D12">
    <cfRule type="expression" dxfId="9363" priority="14" stopIfTrue="1">
      <formula>NOT(ISERROR(SEARCH("ESCOLHA",C12)))</formula>
    </cfRule>
  </conditionalFormatting>
  <conditionalFormatting sqref="H23">
    <cfRule type="expression" dxfId="9362" priority="13" stopIfTrue="1">
      <formula>NOT(ISERROR(SEARCH("ESCOLHA",H23)))</formula>
    </cfRule>
  </conditionalFormatting>
  <conditionalFormatting sqref="E28:E98">
    <cfRule type="expression" dxfId="9361" priority="1" stopIfTrue="1">
      <formula>#REF!&lt;&gt;""</formula>
    </cfRule>
    <cfRule type="expression" dxfId="9360" priority="2">
      <formula>#REF!&lt;&gt;""</formula>
    </cfRule>
    <cfRule type="expression" dxfId="9359" priority="3">
      <formula>#REF!&lt;&gt;""</formula>
    </cfRule>
    <cfRule type="expression" dxfId="9358" priority="4">
      <formula>#REF!&lt;&gt;""</formula>
    </cfRule>
    <cfRule type="expression" dxfId="9357" priority="5">
      <formula>#REF!&lt;&gt;""</formula>
    </cfRule>
    <cfRule type="expression" dxfId="9356" priority="6">
      <formula>#REF!&lt;&gt;""</formula>
    </cfRule>
    <cfRule type="expression" dxfId="9355" priority="7">
      <formula>#REF!&lt;&gt;""</formula>
    </cfRule>
    <cfRule type="expression" dxfId="9354" priority="8">
      <formula>#REF!&lt;&gt;""</formula>
    </cfRule>
    <cfRule type="expression" dxfId="9353" priority="9">
      <formula>#REF!&lt;&gt;""</formula>
    </cfRule>
    <cfRule type="expression" dxfId="9352" priority="10">
      <formula>#REF!&lt;&gt;""</formula>
    </cfRule>
    <cfRule type="expression" dxfId="9351" priority="11">
      <formula>#REF!&lt;&gt;""</formula>
    </cfRule>
    <cfRule type="expression" dxfId="9350" priority="12">
      <formula>#REF!&lt;&gt;""</formula>
    </cfRule>
  </conditionalFormatting>
  <dataValidations count="1">
    <dataValidation allowBlank="1" showInputMessage="1" showErrorMessage="1" errorTitle="Qual o ano do inventário?" error="Escolha o ano do inventário na aba &quot;Introdução&quot; para que os fatores de emissão corretos sejam considerados." sqref="D28:E98"/>
  </dataValidations>
  <pageMargins left="0.25" right="0.25" top="0.25" bottom="0.5" header="0.5" footer="0.25"/>
  <pageSetup orientation="portrait" r:id="rId1"/>
  <headerFooter alignWithMargins="0">
    <oddFooter>&amp;L&amp;"Arial,Italic"&amp;9EPA Climate Leaders Simplified GHG Emissions Calculator (Indirect 1.0)&amp;R&amp;"Arial,Italic"&amp;9&amp;P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BF689"/>
  <sheetViews>
    <sheetView showGridLines="0" zoomScale="90" zoomScaleNormal="90" workbookViewId="0">
      <selection activeCell="C44" sqref="C44"/>
    </sheetView>
  </sheetViews>
  <sheetFormatPr defaultColWidth="9.140625" defaultRowHeight="12.75" outlineLevelRow="2" x14ac:dyDescent="0.2"/>
  <cols>
    <col min="1" max="1" width="10.7109375" style="195" customWidth="1"/>
    <col min="2" max="2" width="15.42578125" style="195" customWidth="1"/>
    <col min="3" max="3" width="23.42578125" style="195" customWidth="1"/>
    <col min="4" max="4" width="70" style="195" bestFit="1" customWidth="1"/>
    <col min="5" max="5" width="13.140625" style="195" customWidth="1"/>
    <col min="6" max="6" width="17.85546875" style="195" customWidth="1"/>
    <col min="7" max="7" width="15.85546875" style="195" customWidth="1"/>
    <col min="8" max="8" width="17" style="195" customWidth="1"/>
    <col min="9" max="15" width="10.7109375" style="195" customWidth="1"/>
    <col min="16" max="16" width="16" style="195" customWidth="1"/>
    <col min="17" max="19" width="10.7109375" style="195" customWidth="1"/>
    <col min="20" max="20" width="33.85546875" style="195" bestFit="1" customWidth="1"/>
    <col min="21" max="21" width="24.7109375" style="195" customWidth="1"/>
    <col min="22" max="25" width="8.7109375" style="195" customWidth="1"/>
    <col min="26" max="26" width="9.28515625" style="195" customWidth="1"/>
    <col min="27" max="30" width="8.7109375" style="195" customWidth="1"/>
    <col min="31" max="31" width="9.85546875" style="195" customWidth="1"/>
    <col min="32" max="32" width="8.7109375" style="195" customWidth="1"/>
    <col min="33" max="33" width="10.85546875" style="195" customWidth="1"/>
    <col min="34" max="34" width="10.7109375" style="195" customWidth="1"/>
    <col min="35" max="35" width="24.28515625" style="195" bestFit="1" customWidth="1"/>
    <col min="36" max="36" width="20.7109375" style="195" customWidth="1"/>
    <col min="37" max="46" width="8.7109375" style="195" customWidth="1"/>
    <col min="47" max="47" width="10.7109375" style="195" customWidth="1"/>
    <col min="48" max="49" width="21.140625" style="195" customWidth="1"/>
    <col min="50" max="51" width="14.28515625" style="195" customWidth="1"/>
    <col min="52" max="53" width="14" style="195" customWidth="1"/>
    <col min="54" max="55" width="13.140625" style="195" customWidth="1"/>
    <col min="56" max="56" width="15.140625" style="195" customWidth="1"/>
    <col min="57" max="57" width="15.7109375" style="195" customWidth="1"/>
    <col min="58" max="58" width="15.42578125" style="195" customWidth="1"/>
    <col min="59" max="61" width="10.7109375" style="195" customWidth="1"/>
    <col min="62" max="62" width="12.7109375" style="195" customWidth="1"/>
    <col min="63" max="64" width="20.7109375" style="195" customWidth="1"/>
    <col min="65" max="66" width="14.7109375" style="195" customWidth="1"/>
    <col min="67" max="70" width="13.7109375" style="195" customWidth="1"/>
    <col min="71" max="71" width="15.140625" style="195" customWidth="1"/>
    <col min="72" max="16384" width="9.140625" style="195"/>
  </cols>
  <sheetData>
    <row r="1" spans="1:28" x14ac:dyDescent="0.2">
      <c r="A1" s="339"/>
      <c r="B1" s="339"/>
      <c r="C1" s="339"/>
      <c r="D1" s="339"/>
      <c r="E1" s="339"/>
      <c r="F1" s="339"/>
      <c r="G1" s="339"/>
      <c r="H1" s="339"/>
      <c r="I1" s="339"/>
      <c r="J1" s="339"/>
      <c r="K1" s="339"/>
      <c r="L1" s="339"/>
      <c r="M1" s="339"/>
      <c r="N1" s="339"/>
      <c r="O1" s="339"/>
      <c r="P1" s="339"/>
      <c r="Q1" s="339"/>
      <c r="R1" s="339"/>
      <c r="S1" s="339"/>
      <c r="T1" s="339"/>
      <c r="U1" s="339"/>
      <c r="V1" s="339"/>
      <c r="W1" s="339"/>
      <c r="X1" s="339"/>
      <c r="Y1" s="339"/>
      <c r="Z1" s="339"/>
      <c r="AA1" s="339"/>
      <c r="AB1" s="339"/>
    </row>
    <row r="2" spans="1:28" x14ac:dyDescent="0.2">
      <c r="A2" s="290"/>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row>
    <row r="3" spans="1:28" ht="14.1" customHeight="1" x14ac:dyDescent="0.2">
      <c r="A3" s="290"/>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row>
    <row r="4" spans="1:28" ht="15.75" customHeight="1" x14ac:dyDescent="0.2">
      <c r="A4" s="290"/>
      <c r="B4" s="290"/>
      <c r="C4" s="290"/>
      <c r="D4" s="290"/>
      <c r="E4" s="290"/>
      <c r="F4" s="290"/>
      <c r="G4" s="290"/>
      <c r="H4" s="290"/>
      <c r="I4" s="290"/>
      <c r="J4" s="290"/>
      <c r="K4" s="290"/>
      <c r="L4" s="290"/>
      <c r="M4" s="290"/>
      <c r="N4" s="290"/>
      <c r="O4" s="290"/>
      <c r="P4" s="290"/>
      <c r="Q4" s="290"/>
      <c r="R4" s="290"/>
      <c r="S4" s="290"/>
      <c r="T4" s="290"/>
      <c r="U4" s="290"/>
      <c r="V4" s="290"/>
      <c r="W4" s="290"/>
      <c r="X4" s="290"/>
      <c r="Y4" s="290"/>
      <c r="Z4" s="290"/>
      <c r="AA4" s="290"/>
      <c r="AB4" s="290"/>
    </row>
    <row r="5" spans="1:28" ht="15.75" customHeight="1" x14ac:dyDescent="0.2">
      <c r="A5" s="290"/>
      <c r="B5" s="290"/>
      <c r="C5" s="290"/>
      <c r="D5" s="290"/>
      <c r="E5" s="290"/>
      <c r="F5" s="290"/>
      <c r="G5" s="290"/>
      <c r="H5" s="290"/>
      <c r="I5" s="290"/>
      <c r="J5" s="290"/>
      <c r="K5" s="290"/>
      <c r="L5" s="290"/>
      <c r="M5" s="290"/>
      <c r="O5" s="290"/>
      <c r="P5" s="290"/>
      <c r="Q5" s="290"/>
      <c r="R5" s="290"/>
      <c r="S5" s="968"/>
      <c r="T5" s="968"/>
      <c r="U5" s="290"/>
      <c r="V5" s="290"/>
      <c r="W5" s="290"/>
      <c r="X5" s="290"/>
      <c r="Y5" s="290"/>
      <c r="Z5" s="290"/>
      <c r="AA5" s="290"/>
      <c r="AB5" s="290"/>
    </row>
    <row r="6" spans="1:28" ht="15.75" customHeight="1" x14ac:dyDescent="0.2">
      <c r="A6" s="290"/>
      <c r="B6" s="290"/>
      <c r="C6" s="290"/>
      <c r="D6" s="290"/>
      <c r="E6" s="290"/>
      <c r="F6" s="290"/>
      <c r="G6" s="290"/>
      <c r="H6" s="290"/>
      <c r="I6" s="290"/>
      <c r="J6" s="290"/>
      <c r="K6" s="290"/>
      <c r="L6" s="290"/>
      <c r="M6" s="290"/>
      <c r="N6" s="968"/>
      <c r="O6" s="968"/>
      <c r="P6" s="968"/>
      <c r="Q6" s="968"/>
      <c r="R6" s="968"/>
      <c r="S6" s="968"/>
      <c r="T6" s="968"/>
      <c r="U6" s="290"/>
      <c r="V6" s="290"/>
      <c r="W6" s="290"/>
      <c r="X6" s="290"/>
      <c r="Y6" s="290"/>
      <c r="Z6" s="290"/>
      <c r="AA6" s="290"/>
      <c r="AB6" s="290"/>
    </row>
    <row r="7" spans="1:28" ht="15.75" customHeight="1" x14ac:dyDescent="0.2">
      <c r="A7" s="290"/>
      <c r="B7" s="290"/>
      <c r="C7" s="290"/>
      <c r="D7" s="290"/>
      <c r="E7" s="290"/>
      <c r="F7" s="290"/>
      <c r="G7" s="290"/>
      <c r="H7" s="290"/>
      <c r="I7" s="290"/>
      <c r="J7" s="290"/>
      <c r="K7" s="290"/>
      <c r="L7" s="290"/>
      <c r="M7" s="290"/>
      <c r="N7" s="969"/>
      <c r="O7" s="970"/>
      <c r="P7" s="1374"/>
      <c r="Q7" s="1374"/>
      <c r="R7" s="968"/>
      <c r="S7" s="968"/>
      <c r="T7" s="968"/>
      <c r="U7" s="290"/>
      <c r="V7" s="290"/>
      <c r="W7" s="290"/>
      <c r="X7" s="290"/>
      <c r="Y7" s="290"/>
      <c r="Z7" s="290"/>
      <c r="AA7" s="290"/>
      <c r="AB7" s="290"/>
    </row>
    <row r="8" spans="1:28" ht="15" customHeight="1" x14ac:dyDescent="0.2">
      <c r="A8" s="290"/>
      <c r="B8" s="290"/>
      <c r="C8" s="290"/>
      <c r="D8" s="290"/>
      <c r="E8" s="290"/>
      <c r="F8" s="290"/>
      <c r="G8" s="290"/>
      <c r="H8" s="290"/>
      <c r="I8" s="290"/>
      <c r="J8" s="290"/>
      <c r="K8" s="290"/>
      <c r="L8" s="290"/>
      <c r="M8" s="290"/>
      <c r="N8" s="968"/>
      <c r="O8" s="968"/>
      <c r="P8" s="968"/>
      <c r="Q8" s="968"/>
      <c r="R8" s="968"/>
      <c r="S8" s="968"/>
      <c r="T8" s="968"/>
      <c r="U8" s="290"/>
      <c r="V8" s="290"/>
      <c r="W8" s="290"/>
      <c r="X8" s="290"/>
      <c r="Y8" s="290"/>
      <c r="Z8" s="290"/>
      <c r="AA8" s="290"/>
      <c r="AB8" s="290"/>
    </row>
    <row r="9" spans="1:28" ht="15" customHeight="1" x14ac:dyDescent="0.2">
      <c r="A9" s="290"/>
      <c r="B9" s="290"/>
      <c r="C9" s="290"/>
      <c r="D9" s="290"/>
      <c r="E9" s="290"/>
      <c r="F9" s="290"/>
      <c r="G9" s="290"/>
      <c r="H9" s="290"/>
      <c r="I9" s="290"/>
      <c r="J9" s="290"/>
      <c r="K9" s="290"/>
      <c r="L9" s="290"/>
      <c r="M9" s="290"/>
      <c r="U9" s="290"/>
      <c r="V9" s="290"/>
      <c r="W9" s="290"/>
      <c r="X9" s="290"/>
      <c r="Y9" s="290"/>
      <c r="Z9" s="290"/>
      <c r="AA9" s="290"/>
      <c r="AB9" s="290"/>
    </row>
    <row r="10" spans="1:28" ht="15" customHeight="1" x14ac:dyDescent="0.2">
      <c r="A10" s="290"/>
      <c r="B10" s="290"/>
      <c r="C10" s="290"/>
      <c r="D10" s="290"/>
      <c r="E10" s="290"/>
      <c r="F10" s="290"/>
      <c r="G10" s="290"/>
      <c r="H10" s="290"/>
      <c r="I10" s="290"/>
      <c r="J10" s="290"/>
      <c r="K10" s="290"/>
      <c r="L10" s="290"/>
      <c r="M10" s="290"/>
      <c r="U10" s="290"/>
      <c r="V10" s="290"/>
      <c r="W10" s="290"/>
      <c r="X10" s="290"/>
      <c r="Y10" s="290"/>
      <c r="Z10" s="290"/>
      <c r="AA10" s="290"/>
      <c r="AB10" s="290"/>
    </row>
    <row r="11" spans="1:28" ht="15" customHeight="1" x14ac:dyDescent="0.3">
      <c r="A11" s="290"/>
      <c r="B11" s="208" t="s">
        <v>2210</v>
      </c>
      <c r="C11" s="290"/>
      <c r="D11" s="290"/>
      <c r="E11" s="290"/>
      <c r="F11" s="290"/>
      <c r="G11" s="290"/>
      <c r="H11" s="290"/>
      <c r="I11" s="290"/>
      <c r="J11" s="290"/>
      <c r="K11" s="290"/>
      <c r="L11" s="290"/>
      <c r="M11" s="290"/>
      <c r="U11" s="290"/>
      <c r="V11" s="290"/>
      <c r="W11" s="290"/>
      <c r="X11" s="290"/>
      <c r="Y11" s="290"/>
      <c r="Z11" s="290"/>
      <c r="AA11" s="290"/>
      <c r="AB11" s="290"/>
    </row>
    <row r="12" spans="1:28" ht="15" customHeight="1" x14ac:dyDescent="0.2">
      <c r="A12" s="290"/>
      <c r="B12" s="290"/>
      <c r="C12" s="290"/>
      <c r="D12" s="290"/>
      <c r="E12" s="290"/>
      <c r="F12" s="290"/>
      <c r="G12" s="290"/>
      <c r="H12" s="290"/>
      <c r="I12" s="290"/>
      <c r="J12" s="290"/>
      <c r="K12" s="290"/>
      <c r="L12" s="290"/>
      <c r="M12" s="290"/>
      <c r="U12" s="290"/>
      <c r="V12" s="290"/>
      <c r="W12" s="290"/>
      <c r="X12" s="290"/>
      <c r="Y12" s="290"/>
      <c r="Z12" s="290"/>
      <c r="AA12" s="290"/>
      <c r="AB12" s="290"/>
    </row>
    <row r="13" spans="1:28" ht="15" customHeight="1" x14ac:dyDescent="0.2">
      <c r="A13" s="290"/>
      <c r="B13" s="331"/>
      <c r="C13" s="355" t="s">
        <v>142</v>
      </c>
      <c r="D13" s="1297">
        <f>IF(OR(Ano="Selecione",Ano=0),"Escolha o ano do inventário na aba 'Introdução'",Ano)</f>
        <v>2030</v>
      </c>
      <c r="E13" s="1297"/>
      <c r="F13" s="1297"/>
      <c r="G13" s="290"/>
      <c r="H13" s="290"/>
      <c r="I13" s="290"/>
      <c r="J13" s="290"/>
      <c r="K13" s="290"/>
      <c r="L13" s="290"/>
      <c r="M13" s="290"/>
      <c r="U13" s="290"/>
      <c r="V13" s="290"/>
      <c r="W13" s="290"/>
      <c r="X13" s="290"/>
      <c r="Y13" s="290"/>
      <c r="Z13" s="290"/>
      <c r="AA13" s="290"/>
      <c r="AB13" s="290"/>
    </row>
    <row r="14" spans="1:28" ht="15" customHeight="1" thickBot="1" x14ac:dyDescent="0.25">
      <c r="A14" s="290"/>
      <c r="C14" s="290"/>
      <c r="D14" s="290"/>
      <c r="E14" s="290"/>
      <c r="F14" s="290"/>
      <c r="G14" s="290"/>
      <c r="H14" s="290"/>
      <c r="I14" s="290"/>
      <c r="J14" s="290"/>
      <c r="K14" s="290"/>
      <c r="L14" s="303"/>
      <c r="M14" s="290"/>
      <c r="U14" s="290"/>
      <c r="V14" s="290"/>
      <c r="W14" s="290"/>
      <c r="X14" s="290"/>
      <c r="Y14" s="290"/>
      <c r="Z14" s="290"/>
      <c r="AA14" s="290"/>
      <c r="AB14" s="290"/>
    </row>
    <row r="15" spans="1:28" s="237" customFormat="1" ht="15" customHeight="1" x14ac:dyDescent="0.25">
      <c r="A15" s="205"/>
      <c r="B15" s="1365" t="s">
        <v>2073</v>
      </c>
      <c r="C15" s="1366"/>
      <c r="D15" s="1366"/>
      <c r="E15" s="1366"/>
      <c r="F15" s="1366"/>
      <c r="G15" s="1366"/>
      <c r="H15" s="1366"/>
      <c r="I15" s="1366"/>
      <c r="J15" s="1366"/>
      <c r="K15" s="1367"/>
      <c r="L15" s="971"/>
      <c r="M15" s="205"/>
      <c r="U15" s="205"/>
      <c r="V15" s="205"/>
      <c r="W15" s="205"/>
      <c r="X15" s="205"/>
      <c r="Y15" s="205"/>
      <c r="Z15" s="205"/>
      <c r="AA15" s="205"/>
      <c r="AB15" s="205"/>
    </row>
    <row r="16" spans="1:28" s="237" customFormat="1" ht="15" customHeight="1" x14ac:dyDescent="0.25">
      <c r="A16" s="205"/>
      <c r="B16" s="1368"/>
      <c r="C16" s="1369"/>
      <c r="D16" s="1369"/>
      <c r="E16" s="1369"/>
      <c r="F16" s="1369"/>
      <c r="G16" s="1369"/>
      <c r="H16" s="1369"/>
      <c r="I16" s="1369"/>
      <c r="J16" s="1369"/>
      <c r="K16" s="1370"/>
      <c r="L16" s="971"/>
      <c r="M16" s="205"/>
      <c r="U16" s="205"/>
      <c r="V16" s="205"/>
      <c r="W16" s="205"/>
      <c r="X16" s="205"/>
      <c r="Y16" s="205"/>
      <c r="Z16" s="205"/>
      <c r="AA16" s="205"/>
      <c r="AB16" s="205"/>
    </row>
    <row r="17" spans="1:58" s="237" customFormat="1" ht="15" customHeight="1" thickBot="1" x14ac:dyDescent="0.3">
      <c r="A17" s="205"/>
      <c r="B17" s="1371"/>
      <c r="C17" s="1372"/>
      <c r="D17" s="1372"/>
      <c r="E17" s="1372"/>
      <c r="F17" s="1372"/>
      <c r="G17" s="1372"/>
      <c r="H17" s="1372"/>
      <c r="I17" s="1372"/>
      <c r="J17" s="1372"/>
      <c r="K17" s="1373"/>
      <c r="L17" s="971"/>
      <c r="M17" s="205"/>
      <c r="U17" s="205"/>
      <c r="V17" s="205"/>
      <c r="W17" s="205"/>
      <c r="X17" s="205"/>
      <c r="Y17" s="205"/>
      <c r="Z17" s="205"/>
      <c r="AA17" s="205"/>
      <c r="AB17" s="205"/>
    </row>
    <row r="18" spans="1:58" s="237" customFormat="1" ht="15" customHeight="1" x14ac:dyDescent="0.25">
      <c r="A18" s="205"/>
      <c r="B18" s="959"/>
      <c r="C18" s="959"/>
      <c r="D18" s="959"/>
      <c r="E18" s="959"/>
      <c r="F18" s="959"/>
      <c r="G18" s="959"/>
      <c r="H18" s="204"/>
      <c r="I18" s="205"/>
      <c r="J18" s="205"/>
      <c r="K18" s="205"/>
      <c r="L18" s="312"/>
      <c r="M18" s="205"/>
      <c r="N18" s="205"/>
      <c r="O18" s="205"/>
      <c r="P18" s="205"/>
      <c r="Q18" s="205"/>
      <c r="R18" s="205"/>
      <c r="S18" s="205"/>
      <c r="T18" s="205"/>
      <c r="U18" s="205"/>
      <c r="V18" s="205"/>
      <c r="W18" s="205"/>
      <c r="X18" s="205"/>
      <c r="Y18" s="205"/>
      <c r="Z18" s="205"/>
      <c r="AA18" s="205"/>
      <c r="AB18" s="205"/>
    </row>
    <row r="19" spans="1:58" s="237" customFormat="1" ht="15" customHeight="1" x14ac:dyDescent="0.25">
      <c r="A19" s="205"/>
      <c r="B19" s="292" t="s">
        <v>4</v>
      </c>
      <c r="C19" s="204"/>
      <c r="D19" s="204"/>
      <c r="E19" s="204"/>
      <c r="F19" s="204"/>
      <c r="G19" s="204"/>
      <c r="H19" s="204"/>
      <c r="I19" s="205"/>
      <c r="J19" s="205"/>
      <c r="K19" s="205"/>
      <c r="L19" s="312"/>
      <c r="M19" s="205"/>
      <c r="N19" s="205"/>
      <c r="O19" s="205"/>
      <c r="P19" s="205"/>
      <c r="Q19" s="205"/>
      <c r="R19" s="205"/>
      <c r="S19" s="205"/>
      <c r="T19" s="205"/>
      <c r="U19" s="205"/>
      <c r="V19" s="205"/>
      <c r="W19" s="205"/>
      <c r="X19" s="205"/>
      <c r="Y19" s="205"/>
      <c r="Z19" s="205"/>
      <c r="AA19" s="205"/>
      <c r="AB19" s="205"/>
    </row>
    <row r="20" spans="1:58" s="237" customFormat="1" ht="15" customHeight="1" x14ac:dyDescent="0.25">
      <c r="A20" s="205"/>
      <c r="B20" s="206" t="s">
        <v>2074</v>
      </c>
      <c r="C20" s="204"/>
      <c r="D20" s="204"/>
      <c r="E20" s="204"/>
      <c r="F20" s="204"/>
      <c r="G20" s="204"/>
      <c r="H20" s="204"/>
      <c r="I20" s="205"/>
      <c r="J20" s="205"/>
      <c r="K20" s="205"/>
      <c r="L20" s="205"/>
      <c r="M20" s="205"/>
      <c r="N20" s="205"/>
      <c r="O20" s="205"/>
      <c r="P20" s="205"/>
      <c r="Q20" s="205"/>
      <c r="R20" s="205"/>
      <c r="S20" s="205"/>
      <c r="T20" s="205"/>
      <c r="U20" s="205"/>
      <c r="V20" s="205"/>
      <c r="W20" s="205"/>
      <c r="X20" s="205"/>
      <c r="Y20" s="205"/>
      <c r="Z20" s="205"/>
      <c r="AA20" s="205"/>
      <c r="AB20" s="205"/>
    </row>
    <row r="21" spans="1:58" s="237" customFormat="1" ht="15" customHeight="1" x14ac:dyDescent="0.25">
      <c r="A21" s="205"/>
      <c r="B21" s="1335" t="s">
        <v>2075</v>
      </c>
      <c r="C21" s="1335"/>
      <c r="D21" s="1335"/>
      <c r="E21" s="1335"/>
      <c r="F21" s="1335"/>
      <c r="G21" s="1335"/>
      <c r="H21" s="1335"/>
      <c r="I21" s="1335"/>
      <c r="J21" s="1335"/>
      <c r="K21" s="1335"/>
      <c r="L21" s="205"/>
      <c r="M21" s="205"/>
      <c r="N21" s="205"/>
      <c r="O21" s="205"/>
      <c r="P21" s="205"/>
      <c r="Q21" s="205"/>
      <c r="R21" s="205"/>
      <c r="S21" s="205"/>
      <c r="T21" s="205"/>
      <c r="U21" s="205"/>
      <c r="V21" s="205"/>
      <c r="W21" s="205"/>
      <c r="X21" s="205"/>
      <c r="Y21" s="205"/>
      <c r="Z21" s="205"/>
      <c r="AA21" s="205"/>
      <c r="AB21" s="205"/>
    </row>
    <row r="22" spans="1:58" s="237" customFormat="1" ht="15" customHeight="1" x14ac:dyDescent="0.25">
      <c r="A22" s="205"/>
      <c r="B22" s="207" t="s">
        <v>2076</v>
      </c>
      <c r="C22" s="204"/>
      <c r="D22" s="204"/>
      <c r="E22" s="204"/>
      <c r="F22" s="204"/>
      <c r="G22" s="204"/>
      <c r="H22" s="204"/>
      <c r="I22" s="205"/>
      <c r="J22" s="205"/>
      <c r="K22" s="205"/>
      <c r="L22" s="205"/>
      <c r="M22" s="205"/>
      <c r="N22" s="205"/>
      <c r="O22" s="205"/>
      <c r="P22" s="205"/>
      <c r="Q22" s="205"/>
      <c r="R22" s="205"/>
      <c r="S22" s="205"/>
      <c r="T22" s="205"/>
      <c r="U22" s="205"/>
      <c r="V22" s="205"/>
      <c r="W22" s="205"/>
      <c r="X22" s="205"/>
      <c r="Y22" s="205"/>
      <c r="Z22" s="205"/>
      <c r="AA22" s="205"/>
      <c r="AB22" s="205"/>
    </row>
    <row r="23" spans="1:58" s="237" customFormat="1" ht="15" customHeight="1" x14ac:dyDescent="0.25">
      <c r="A23" s="205"/>
      <c r="B23" s="206" t="s">
        <v>2077</v>
      </c>
      <c r="C23" s="204"/>
      <c r="D23" s="204"/>
      <c r="E23" s="204"/>
      <c r="F23" s="204"/>
      <c r="G23" s="204"/>
      <c r="H23" s="204"/>
      <c r="I23" s="205"/>
      <c r="J23" s="205"/>
      <c r="K23" s="205"/>
      <c r="L23" s="205"/>
      <c r="M23" s="205"/>
      <c r="N23" s="205"/>
      <c r="O23" s="205"/>
      <c r="P23" s="205"/>
      <c r="Q23" s="205"/>
      <c r="R23" s="205"/>
      <c r="S23" s="205"/>
      <c r="T23" s="205"/>
      <c r="U23" s="205"/>
      <c r="V23" s="205"/>
      <c r="W23" s="205"/>
      <c r="X23" s="205"/>
      <c r="Y23" s="205"/>
      <c r="Z23" s="205"/>
      <c r="AA23" s="205"/>
      <c r="AB23" s="205"/>
    </row>
    <row r="24" spans="1:58" s="237" customFormat="1" ht="15" customHeight="1" x14ac:dyDescent="0.25">
      <c r="A24" s="205"/>
      <c r="B24" s="206" t="s">
        <v>2078</v>
      </c>
      <c r="C24" s="205"/>
      <c r="D24" s="205"/>
      <c r="E24" s="205"/>
      <c r="F24" s="205"/>
      <c r="G24" s="205"/>
      <c r="H24" s="205"/>
      <c r="I24" s="205"/>
      <c r="J24" s="205"/>
      <c r="K24" s="205"/>
      <c r="L24" s="205"/>
      <c r="M24" s="205"/>
      <c r="N24" s="205"/>
      <c r="O24" s="205"/>
      <c r="P24" s="205"/>
      <c r="Q24" s="205"/>
      <c r="R24" s="205"/>
      <c r="S24" s="205"/>
      <c r="T24" s="205"/>
      <c r="U24" s="205"/>
      <c r="V24" s="205"/>
      <c r="W24" s="205"/>
      <c r="X24" s="205"/>
      <c r="Y24" s="205"/>
      <c r="Z24" s="205"/>
      <c r="AA24" s="205"/>
      <c r="AB24" s="205"/>
    </row>
    <row r="25" spans="1:58" s="237" customFormat="1" ht="15" customHeight="1" x14ac:dyDescent="0.25">
      <c r="A25" s="205"/>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205"/>
      <c r="AA25" s="205"/>
      <c r="AB25" s="205"/>
    </row>
    <row r="26" spans="1:58" s="237" customFormat="1" ht="15" customHeight="1" x14ac:dyDescent="0.25">
      <c r="A26" s="205"/>
      <c r="C26" s="205"/>
      <c r="D26" s="205"/>
      <c r="E26" s="205"/>
      <c r="F26" s="205"/>
      <c r="G26" s="205"/>
      <c r="H26" s="205"/>
      <c r="I26" s="205"/>
      <c r="J26" s="205"/>
      <c r="K26" s="205"/>
      <c r="L26" s="205"/>
      <c r="M26" s="205"/>
      <c r="N26" s="205"/>
      <c r="O26" s="205"/>
      <c r="P26" s="205"/>
      <c r="Q26" s="205"/>
      <c r="R26" s="205"/>
      <c r="S26" s="205"/>
      <c r="T26" s="205"/>
      <c r="U26" s="205"/>
      <c r="V26" s="205"/>
      <c r="W26" s="205"/>
      <c r="X26" s="205"/>
      <c r="Y26" s="205"/>
      <c r="Z26" s="205"/>
      <c r="AA26" s="205"/>
      <c r="AB26" s="205"/>
    </row>
    <row r="27" spans="1:58" s="463" customFormat="1" ht="18" customHeight="1" x14ac:dyDescent="0.3">
      <c r="A27" s="458"/>
      <c r="B27" s="733" t="s">
        <v>191</v>
      </c>
      <c r="C27" s="459"/>
      <c r="D27" s="460"/>
      <c r="E27" s="460"/>
      <c r="F27" s="460"/>
      <c r="G27" s="461"/>
      <c r="H27" s="461"/>
      <c r="I27" s="461"/>
      <c r="J27" s="461"/>
      <c r="K27" s="461"/>
      <c r="L27" s="461"/>
      <c r="M27" s="461"/>
      <c r="N27" s="461"/>
      <c r="O27" s="461"/>
      <c r="P27" s="461"/>
      <c r="Q27" s="461"/>
      <c r="R27" s="461"/>
      <c r="S27" s="461"/>
      <c r="T27" s="461"/>
      <c r="U27" s="461"/>
      <c r="V27" s="461"/>
      <c r="W27" s="461"/>
      <c r="X27" s="461"/>
      <c r="Y27" s="461"/>
      <c r="Z27" s="461"/>
      <c r="AA27" s="461"/>
      <c r="AB27" s="461"/>
      <c r="AC27" s="461"/>
      <c r="AD27" s="461"/>
      <c r="AE27" s="461"/>
      <c r="AF27" s="461"/>
      <c r="AG27" s="461"/>
      <c r="AH27" s="461"/>
      <c r="AI27" s="461"/>
      <c r="AJ27" s="461"/>
      <c r="AK27" s="461"/>
      <c r="AL27" s="461"/>
      <c r="AM27" s="461"/>
      <c r="AN27" s="461"/>
      <c r="AO27" s="461"/>
      <c r="AP27" s="461"/>
      <c r="AQ27" s="461"/>
      <c r="AR27" s="461"/>
      <c r="AS27" s="461"/>
      <c r="AT27" s="461"/>
      <c r="AU27" s="461"/>
      <c r="AV27" s="461"/>
      <c r="AW27" s="461"/>
      <c r="AX27" s="461"/>
      <c r="AY27" s="461"/>
      <c r="AZ27" s="461"/>
      <c r="BA27" s="461"/>
      <c r="BB27" s="461"/>
      <c r="BC27" s="461"/>
      <c r="BD27" s="461"/>
      <c r="BE27" s="461"/>
      <c r="BF27" s="462"/>
    </row>
    <row r="28" spans="1:58" ht="15" customHeight="1" outlineLevel="1" x14ac:dyDescent="0.2">
      <c r="A28" s="290"/>
      <c r="B28" s="290"/>
      <c r="C28" s="290"/>
      <c r="D28" s="290"/>
      <c r="E28" s="290"/>
      <c r="F28" s="290"/>
      <c r="G28" s="290"/>
      <c r="H28" s="290"/>
      <c r="I28" s="290"/>
      <c r="J28" s="290"/>
      <c r="K28" s="290"/>
      <c r="L28" s="290"/>
      <c r="M28" s="290"/>
      <c r="N28" s="290"/>
      <c r="O28" s="290"/>
      <c r="P28" s="290"/>
      <c r="Q28" s="290"/>
      <c r="R28" s="290"/>
      <c r="S28" s="290"/>
      <c r="T28" s="290"/>
      <c r="U28" s="290"/>
      <c r="V28" s="290"/>
      <c r="W28" s="290"/>
      <c r="X28" s="290"/>
      <c r="Y28" s="290"/>
      <c r="Z28" s="290"/>
      <c r="AA28" s="290"/>
      <c r="AB28" s="290"/>
    </row>
    <row r="29" spans="1:58" ht="15" customHeight="1" outlineLevel="1" x14ac:dyDescent="0.25">
      <c r="A29" s="290"/>
      <c r="B29" s="292" t="s">
        <v>124</v>
      </c>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row>
    <row r="30" spans="1:58" s="237" customFormat="1" ht="15" customHeight="1" outlineLevel="1" x14ac:dyDescent="0.25">
      <c r="A30" s="205"/>
      <c r="B30" s="1283" t="s">
        <v>1721</v>
      </c>
      <c r="C30" s="1283"/>
      <c r="D30" s="1283"/>
      <c r="E30" s="1283"/>
      <c r="F30" s="1283"/>
      <c r="G30" s="1283"/>
      <c r="H30" s="1283"/>
      <c r="I30" s="1283"/>
      <c r="J30" s="1283"/>
      <c r="K30" s="205"/>
      <c r="L30" s="205"/>
      <c r="M30" s="205"/>
      <c r="N30" s="205"/>
      <c r="O30" s="205"/>
      <c r="P30" s="205"/>
      <c r="Q30" s="205"/>
      <c r="R30" s="205"/>
      <c r="S30" s="205"/>
      <c r="T30" s="205"/>
      <c r="U30" s="205"/>
      <c r="V30" s="205"/>
      <c r="W30" s="205"/>
      <c r="X30" s="205"/>
      <c r="Y30" s="205"/>
      <c r="Z30" s="205"/>
      <c r="AA30" s="205"/>
      <c r="AB30" s="205"/>
    </row>
    <row r="31" spans="1:58" s="237" customFormat="1" ht="15" customHeight="1" outlineLevel="1" x14ac:dyDescent="0.25">
      <c r="A31" s="205"/>
      <c r="B31" s="1283"/>
      <c r="C31" s="1283"/>
      <c r="D31" s="1283"/>
      <c r="E31" s="1283"/>
      <c r="F31" s="1283"/>
      <c r="G31" s="1283"/>
      <c r="H31" s="1283"/>
      <c r="I31" s="1283"/>
      <c r="J31" s="1283"/>
      <c r="K31" s="205"/>
      <c r="L31" s="205"/>
      <c r="M31" s="205"/>
      <c r="N31" s="205"/>
      <c r="O31" s="205"/>
      <c r="P31" s="205"/>
      <c r="Q31" s="205"/>
      <c r="R31" s="205"/>
      <c r="S31" s="205"/>
      <c r="T31" s="205"/>
      <c r="U31" s="205"/>
      <c r="V31" s="205"/>
      <c r="W31" s="205"/>
      <c r="X31" s="205"/>
      <c r="Y31" s="205"/>
      <c r="Z31" s="205"/>
      <c r="AA31" s="205"/>
      <c r="AB31" s="205"/>
    </row>
    <row r="32" spans="1:58" s="237" customFormat="1" ht="15" customHeight="1" outlineLevel="1" x14ac:dyDescent="0.25">
      <c r="A32" s="205"/>
      <c r="B32" s="681" t="s">
        <v>2061</v>
      </c>
      <c r="C32" s="205"/>
      <c r="D32" s="205"/>
      <c r="E32" s="205"/>
      <c r="F32" s="205"/>
      <c r="G32" s="205"/>
      <c r="H32" s="205"/>
      <c r="I32" s="205"/>
      <c r="J32" s="205"/>
      <c r="K32" s="205"/>
      <c r="L32" s="205"/>
      <c r="M32" s="205"/>
      <c r="N32" s="205"/>
      <c r="O32" s="205"/>
      <c r="P32" s="205"/>
      <c r="Q32" s="205"/>
      <c r="R32" s="205"/>
      <c r="S32" s="205"/>
      <c r="T32" s="205"/>
      <c r="U32" s="205"/>
      <c r="V32" s="205"/>
      <c r="W32" s="205"/>
      <c r="X32" s="205"/>
      <c r="Y32" s="205"/>
      <c r="Z32" s="205"/>
      <c r="AA32" s="205"/>
      <c r="AB32" s="205"/>
    </row>
    <row r="33" spans="1:28" s="237" customFormat="1" ht="15" customHeight="1" outlineLevel="1" x14ac:dyDescent="0.35">
      <c r="A33" s="205" t="s">
        <v>17</v>
      </c>
      <c r="B33" s="207" t="s">
        <v>2062</v>
      </c>
      <c r="C33" s="205"/>
      <c r="D33" s="205"/>
      <c r="E33" s="205"/>
      <c r="F33" s="205"/>
      <c r="G33" s="205"/>
      <c r="H33" s="205"/>
      <c r="I33" s="205"/>
      <c r="J33" s="205"/>
      <c r="K33" s="205"/>
      <c r="L33" s="205"/>
      <c r="M33" s="205"/>
      <c r="N33" s="205"/>
      <c r="O33" s="205"/>
      <c r="P33" s="205"/>
      <c r="Q33" s="205"/>
      <c r="R33" s="205"/>
      <c r="S33" s="205"/>
      <c r="T33" s="205"/>
      <c r="U33" s="205"/>
      <c r="V33" s="205"/>
      <c r="W33" s="205"/>
      <c r="X33" s="205"/>
      <c r="Y33" s="205"/>
      <c r="Z33" s="205"/>
      <c r="AA33" s="205"/>
      <c r="AB33" s="205"/>
    </row>
    <row r="34" spans="1:28" s="237" customFormat="1" ht="15" customHeight="1" outlineLevel="1" x14ac:dyDescent="0.25">
      <c r="A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row>
    <row r="35" spans="1:28" s="237" customFormat="1" ht="15" customHeight="1" outlineLevel="1" x14ac:dyDescent="0.25">
      <c r="A35" s="205"/>
      <c r="B35" s="976"/>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row>
    <row r="36" spans="1:28" s="237" customFormat="1" ht="15" customHeight="1" outlineLevel="1" x14ac:dyDescent="0.25">
      <c r="A36" s="363"/>
      <c r="B36" s="423" t="s">
        <v>2063</v>
      </c>
      <c r="C36" s="373"/>
      <c r="D36" s="442"/>
      <c r="E36" s="442"/>
      <c r="F36" s="373"/>
      <c r="G36" s="373"/>
      <c r="H36" s="373"/>
      <c r="I36" s="373"/>
      <c r="J36" s="373"/>
      <c r="K36" s="373"/>
      <c r="L36" s="373"/>
      <c r="M36" s="373"/>
      <c r="N36" s="373"/>
      <c r="O36" s="373"/>
      <c r="P36" s="373"/>
      <c r="Q36" s="373"/>
      <c r="R36" s="373"/>
      <c r="S36" s="373"/>
      <c r="T36" s="373"/>
      <c r="U36" s="373"/>
      <c r="V36" s="363"/>
      <c r="W36" s="373"/>
      <c r="X36" s="373"/>
      <c r="Z36" s="373"/>
      <c r="AA36" s="373"/>
      <c r="AB36" s="373"/>
    </row>
    <row r="37" spans="1:28" s="237" customFormat="1" ht="15" customHeight="1" outlineLevel="1" x14ac:dyDescent="0.25">
      <c r="A37" s="363"/>
      <c r="B37" s="206" t="s">
        <v>2064</v>
      </c>
      <c r="C37" s="373"/>
      <c r="D37" s="442"/>
      <c r="E37" s="442"/>
      <c r="F37" s="373"/>
      <c r="G37" s="373"/>
      <c r="H37" s="373"/>
      <c r="I37" s="373"/>
      <c r="J37" s="373"/>
      <c r="K37" s="373"/>
      <c r="L37" s="373"/>
      <c r="M37" s="373"/>
      <c r="N37" s="373"/>
      <c r="O37" s="373"/>
      <c r="P37" s="373"/>
      <c r="Q37" s="373"/>
      <c r="R37" s="373"/>
      <c r="S37" s="373"/>
      <c r="T37" s="373"/>
      <c r="U37" s="373"/>
      <c r="V37" s="363"/>
      <c r="W37" s="373"/>
      <c r="X37" s="373"/>
      <c r="Z37" s="373"/>
      <c r="AA37" s="373"/>
      <c r="AB37" s="373"/>
    </row>
    <row r="38" spans="1:28" s="237" customFormat="1" ht="15" customHeight="1" outlineLevel="1" x14ac:dyDescent="0.25">
      <c r="A38" s="363"/>
      <c r="B38" s="373"/>
      <c r="C38" s="373"/>
      <c r="D38" s="442"/>
      <c r="E38" s="442"/>
      <c r="F38" s="373"/>
      <c r="G38" s="373"/>
      <c r="H38" s="373"/>
      <c r="I38" s="373"/>
      <c r="J38" s="373"/>
      <c r="K38" s="373"/>
      <c r="L38" s="373"/>
      <c r="M38" s="373"/>
      <c r="N38" s="373"/>
      <c r="O38" s="373"/>
      <c r="P38" s="373"/>
      <c r="Q38" s="373"/>
      <c r="R38" s="373"/>
      <c r="S38" s="373"/>
      <c r="T38" s="373"/>
      <c r="U38" s="373"/>
      <c r="V38" s="363"/>
      <c r="W38" s="373"/>
      <c r="X38" s="373"/>
      <c r="Z38" s="373"/>
      <c r="AA38" s="373"/>
      <c r="AB38" s="373"/>
    </row>
    <row r="39" spans="1:28" s="237" customFormat="1" ht="15" customHeight="1" outlineLevel="1" x14ac:dyDescent="0.25">
      <c r="A39" s="363"/>
      <c r="B39" s="217" t="s">
        <v>1725</v>
      </c>
      <c r="C39" s="217"/>
      <c r="D39" s="424"/>
      <c r="E39" s="424"/>
      <c r="F39" s="373"/>
      <c r="G39" s="373"/>
      <c r="H39" s="373"/>
      <c r="I39" s="373"/>
      <c r="J39" s="373"/>
      <c r="K39" s="373"/>
      <c r="L39" s="373"/>
      <c r="M39" s="373"/>
      <c r="N39" s="373"/>
      <c r="O39" s="373"/>
      <c r="P39" s="373"/>
      <c r="Q39" s="373"/>
      <c r="R39" s="373"/>
      <c r="S39" s="363"/>
      <c r="T39" s="363"/>
      <c r="U39" s="363"/>
      <c r="V39" s="363"/>
      <c r="W39" s="363"/>
      <c r="X39" s="363"/>
      <c r="Y39" s="363"/>
      <c r="Z39" s="363"/>
      <c r="AA39" s="363"/>
      <c r="AB39" s="363"/>
    </row>
    <row r="40" spans="1:28" s="237" customFormat="1" ht="15" customHeight="1" outlineLevel="1" x14ac:dyDescent="0.25">
      <c r="A40" s="363"/>
      <c r="B40" s="1267" t="s">
        <v>1531</v>
      </c>
      <c r="C40" s="1267" t="s">
        <v>66</v>
      </c>
      <c r="D40" s="1267" t="s">
        <v>255</v>
      </c>
      <c r="E40" s="1267"/>
      <c r="F40" s="1249" t="s">
        <v>13</v>
      </c>
      <c r="G40" s="1269" t="s">
        <v>96</v>
      </c>
      <c r="H40" s="1267" t="s">
        <v>588</v>
      </c>
      <c r="I40" s="1267"/>
      <c r="J40" s="1267"/>
      <c r="K40" s="1249" t="s">
        <v>1408</v>
      </c>
      <c r="L40" s="1249" t="s">
        <v>1409</v>
      </c>
      <c r="M40" s="1249" t="s">
        <v>1410</v>
      </c>
      <c r="N40" s="1249" t="s">
        <v>1411</v>
      </c>
      <c r="O40" s="1267" t="s">
        <v>1530</v>
      </c>
    </row>
    <row r="41" spans="1:28" s="237" customFormat="1" ht="15" customHeight="1" outlineLevel="1" x14ac:dyDescent="0.25">
      <c r="A41" s="363"/>
      <c r="B41" s="1267"/>
      <c r="C41" s="1267"/>
      <c r="D41" s="1267"/>
      <c r="E41" s="1267"/>
      <c r="F41" s="1266"/>
      <c r="G41" s="1270"/>
      <c r="H41" s="1267"/>
      <c r="I41" s="1267"/>
      <c r="J41" s="1267"/>
      <c r="K41" s="1266"/>
      <c r="L41" s="1266"/>
      <c r="M41" s="1266"/>
      <c r="N41" s="1266"/>
      <c r="O41" s="1267"/>
    </row>
    <row r="42" spans="1:28" s="237" customFormat="1" ht="33" customHeight="1" outlineLevel="1" x14ac:dyDescent="0.25">
      <c r="A42" s="363"/>
      <c r="B42" s="1267"/>
      <c r="C42" s="1267"/>
      <c r="D42" s="1267"/>
      <c r="E42" s="1267"/>
      <c r="F42" s="1250"/>
      <c r="G42" s="1271"/>
      <c r="H42" s="916" t="s">
        <v>1857</v>
      </c>
      <c r="I42" s="916" t="s">
        <v>1858</v>
      </c>
      <c r="J42" s="916" t="s">
        <v>1859</v>
      </c>
      <c r="K42" s="1250"/>
      <c r="L42" s="1250"/>
      <c r="M42" s="1250"/>
      <c r="N42" s="1250"/>
      <c r="O42" s="1267"/>
    </row>
    <row r="43" spans="1:28" s="237" customFormat="1" ht="15" customHeight="1" outlineLevel="1" x14ac:dyDescent="0.25">
      <c r="A43" s="427" t="s">
        <v>606</v>
      </c>
      <c r="B43" s="444" t="s">
        <v>587</v>
      </c>
      <c r="C43" s="445" t="s">
        <v>2066</v>
      </c>
      <c r="D43" s="1272" t="s">
        <v>1728</v>
      </c>
      <c r="E43" s="1272"/>
      <c r="F43" s="446">
        <v>1000</v>
      </c>
      <c r="G43" s="447" t="s">
        <v>581</v>
      </c>
      <c r="H43" s="1108">
        <v>2.27</v>
      </c>
      <c r="I43" s="1109">
        <v>0</v>
      </c>
      <c r="J43" s="1109">
        <v>0</v>
      </c>
      <c r="K43" s="1108">
        <v>2.27</v>
      </c>
      <c r="L43" s="1108">
        <v>0</v>
      </c>
      <c r="M43" s="1108">
        <v>0</v>
      </c>
      <c r="N43" s="433">
        <v>2.27</v>
      </c>
      <c r="O43" s="1143">
        <v>0</v>
      </c>
    </row>
    <row r="44" spans="1:28" s="237" customFormat="1" ht="15" customHeight="1" outlineLevel="1" x14ac:dyDescent="0.25">
      <c r="A44" s="363"/>
      <c r="B44" s="915"/>
      <c r="C44" s="915"/>
      <c r="D44" s="1268"/>
      <c r="E44" s="1268"/>
      <c r="F44" s="438"/>
      <c r="G44" s="1105" t="str">
        <f>IF(D44="","",VLOOKUP(D44,'Fatores de Emissão'!$C$82:$D$104,2,FALSE))</f>
        <v/>
      </c>
      <c r="H44" s="439" t="str">
        <f>IF(OR($D44="",$D44="-"),"",VLOOKUP($D44,'Fatores de Emissão'!$C$82:$J$97,6,FALSE))</f>
        <v/>
      </c>
      <c r="I44" s="439" t="str">
        <f>IF(OR($D44="",$D44="-"),"",VLOOKUP($D44,'Fatores de Emissão'!$C$82:$J$97,7,FALSE))</f>
        <v/>
      </c>
      <c r="J44" s="439" t="str">
        <f>IF(OR($D44="",$D44="-"),"",VLOOKUP($D44,'Fatores de Emissão'!$C$82:$J$97,8,FALSE))</f>
        <v/>
      </c>
      <c r="K44" s="439" t="str">
        <f>IF(D44="","",IF(F44="",0,H44*$F44/1000))</f>
        <v/>
      </c>
      <c r="L44" s="439" t="str">
        <f>IF(D44="","",IF(F44="",0,I44*$F44/1000))</f>
        <v/>
      </c>
      <c r="M44" s="439" t="str">
        <f>IF(D44="","",IF(F44="",0,J44*$F44/1000))</f>
        <v/>
      </c>
      <c r="N44" s="441" t="str">
        <f t="shared" ref="N44:N93" si="0">IF(ISERR(K44*gwp_CO2+L44*gwp_CH4+M44*gwp_N2O),"",K44*gwp_CO2+L44*gwp_CH4+M44*gwp_N2O)</f>
        <v/>
      </c>
      <c r="O44" s="440"/>
    </row>
    <row r="45" spans="1:28" s="237" customFormat="1" ht="15" customHeight="1" outlineLevel="1" x14ac:dyDescent="0.25">
      <c r="A45" s="363"/>
      <c r="B45" s="915"/>
      <c r="C45" s="915"/>
      <c r="D45" s="1268"/>
      <c r="E45" s="1268"/>
      <c r="F45" s="438"/>
      <c r="G45" s="1105" t="str">
        <f>IF(D45="","",VLOOKUP(D45,'Fatores de Emissão'!$C$82:$D$104,2,FALSE))</f>
        <v/>
      </c>
      <c r="H45" s="439" t="str">
        <f>IF(OR($D45="",$D45="-"),"",VLOOKUP($D45,'Fatores de Emissão'!$C$82:$J$97,6,FALSE))</f>
        <v/>
      </c>
      <c r="I45" s="439" t="str">
        <f>IF(OR($D45="",$D45="-"),"",VLOOKUP($D45,'Fatores de Emissão'!$C$82:$J$97,7,FALSE))</f>
        <v/>
      </c>
      <c r="J45" s="439" t="str">
        <f>IF(OR($D45="",$D45="-"),"",VLOOKUP($D45,'Fatores de Emissão'!$C$82:$J$97,8,FALSE))</f>
        <v/>
      </c>
      <c r="K45" s="439" t="str">
        <f t="shared" ref="K45:K71" si="1">IF(D45="","",IF(F45="",0,H45*$F45/1000))</f>
        <v/>
      </c>
      <c r="L45" s="439" t="str">
        <f t="shared" ref="L45:L71" si="2">IF(D45="","",IF(F45="",0,I45*$F45/1000))</f>
        <v/>
      </c>
      <c r="M45" s="439" t="str">
        <f t="shared" ref="M45:M71" si="3">IF(D45="","",IF(F45="",0,J45*$F45/1000))</f>
        <v/>
      </c>
      <c r="N45" s="441" t="str">
        <f t="shared" si="0"/>
        <v/>
      </c>
      <c r="O45" s="440"/>
      <c r="P45" s="1156"/>
    </row>
    <row r="46" spans="1:28" s="237" customFormat="1" ht="15" customHeight="1" outlineLevel="1" x14ac:dyDescent="0.25">
      <c r="A46" s="363"/>
      <c r="B46" s="915"/>
      <c r="C46" s="915"/>
      <c r="D46" s="1268"/>
      <c r="E46" s="1268"/>
      <c r="F46" s="438"/>
      <c r="G46" s="1105" t="str">
        <f>IF(D46="","",VLOOKUP(D46,'Fatores de Emissão'!$C$82:$D$104,2,FALSE))</f>
        <v/>
      </c>
      <c r="H46" s="439" t="str">
        <f>IF(OR($D46="",$D46="-"),"",VLOOKUP($D46,'Fatores de Emissão'!$C$82:$J$97,6,FALSE))</f>
        <v/>
      </c>
      <c r="I46" s="439" t="str">
        <f>IF(OR($D46="",$D46="-"),"",VLOOKUP($D46,'Fatores de Emissão'!$C$82:$J$97,7,FALSE))</f>
        <v/>
      </c>
      <c r="J46" s="439" t="str">
        <f>IF(OR($D46="",$D46="-"),"",VLOOKUP($D46,'Fatores de Emissão'!$C$82:$J$97,8,FALSE))</f>
        <v/>
      </c>
      <c r="K46" s="439" t="str">
        <f t="shared" si="1"/>
        <v/>
      </c>
      <c r="L46" s="439" t="str">
        <f t="shared" si="2"/>
        <v/>
      </c>
      <c r="M46" s="439" t="str">
        <f t="shared" si="3"/>
        <v/>
      </c>
      <c r="N46" s="441" t="str">
        <f t="shared" si="0"/>
        <v/>
      </c>
      <c r="O46" s="440"/>
    </row>
    <row r="47" spans="1:28" s="237" customFormat="1" ht="15" customHeight="1" outlineLevel="1" x14ac:dyDescent="0.25">
      <c r="A47" s="363"/>
      <c r="B47" s="915"/>
      <c r="C47" s="915"/>
      <c r="D47" s="1268"/>
      <c r="E47" s="1268"/>
      <c r="F47" s="438"/>
      <c r="G47" s="1105" t="str">
        <f>IF(D47="","",VLOOKUP(D47,'Fatores de Emissão'!$C$82:$D$104,2,FALSE))</f>
        <v/>
      </c>
      <c r="H47" s="439" t="str">
        <f>IF(OR($D47="",$D47="-"),"",VLOOKUP($D47,'Fatores de Emissão'!$C$82:$J$97,6,FALSE))</f>
        <v/>
      </c>
      <c r="I47" s="439" t="str">
        <f>IF(OR($D47="",$D47="-"),"",VLOOKUP($D47,'Fatores de Emissão'!$C$82:$J$97,7,FALSE))</f>
        <v/>
      </c>
      <c r="J47" s="439" t="str">
        <f>IF(OR($D47="",$D47="-"),"",VLOOKUP($D47,'Fatores de Emissão'!$C$82:$J$97,8,FALSE))</f>
        <v/>
      </c>
      <c r="K47" s="439" t="str">
        <f t="shared" si="1"/>
        <v/>
      </c>
      <c r="L47" s="439" t="str">
        <f t="shared" si="2"/>
        <v/>
      </c>
      <c r="M47" s="439" t="str">
        <f t="shared" si="3"/>
        <v/>
      </c>
      <c r="N47" s="441" t="str">
        <f t="shared" si="0"/>
        <v/>
      </c>
      <c r="O47" s="440"/>
    </row>
    <row r="48" spans="1:28" s="237" customFormat="1" ht="15" customHeight="1" outlineLevel="1" x14ac:dyDescent="0.25">
      <c r="A48" s="363"/>
      <c r="B48" s="915"/>
      <c r="C48" s="915"/>
      <c r="D48" s="1268"/>
      <c r="E48" s="1268"/>
      <c r="F48" s="438"/>
      <c r="G48" s="1105" t="str">
        <f>IF(D48="","",VLOOKUP(D48,'Fatores de Emissão'!$C$82:$D$104,2,FALSE))</f>
        <v/>
      </c>
      <c r="H48" s="439" t="str">
        <f>IF(OR($D48="",$D48="-"),"",VLOOKUP($D48,'Fatores de Emissão'!$C$82:$J$97,6,FALSE))</f>
        <v/>
      </c>
      <c r="I48" s="439" t="str">
        <f>IF(OR($D48="",$D48="-"),"",VLOOKUP($D48,'Fatores de Emissão'!$C$82:$J$97,7,FALSE))</f>
        <v/>
      </c>
      <c r="J48" s="439" t="str">
        <f>IF(OR($D48="",$D48="-"),"",VLOOKUP($D48,'Fatores de Emissão'!$C$82:$J$97,8,FALSE))</f>
        <v/>
      </c>
      <c r="K48" s="439" t="str">
        <f t="shared" si="1"/>
        <v/>
      </c>
      <c r="L48" s="439" t="str">
        <f t="shared" si="2"/>
        <v/>
      </c>
      <c r="M48" s="439" t="str">
        <f t="shared" si="3"/>
        <v/>
      </c>
      <c r="N48" s="441" t="str">
        <f t="shared" si="0"/>
        <v/>
      </c>
      <c r="O48" s="440"/>
    </row>
    <row r="49" spans="1:15" s="237" customFormat="1" ht="15" customHeight="1" outlineLevel="1" x14ac:dyDescent="0.25">
      <c r="A49" s="363"/>
      <c r="B49" s="915"/>
      <c r="C49" s="915"/>
      <c r="D49" s="1268"/>
      <c r="E49" s="1268"/>
      <c r="F49" s="438"/>
      <c r="G49" s="1105" t="str">
        <f>IF(D49="","",VLOOKUP(D49,'Fatores de Emissão'!$C$82:$D$104,2,FALSE))</f>
        <v/>
      </c>
      <c r="H49" s="439" t="str">
        <f>IF(OR($D49="",$D49="-"),"",VLOOKUP($D49,'Fatores de Emissão'!$C$82:$J$97,6,FALSE))</f>
        <v/>
      </c>
      <c r="I49" s="439" t="str">
        <f>IF(OR($D49="",$D49="-"),"",VLOOKUP($D49,'Fatores de Emissão'!$C$82:$J$97,7,FALSE))</f>
        <v/>
      </c>
      <c r="J49" s="439" t="str">
        <f>IF(OR($D49="",$D49="-"),"",VLOOKUP($D49,'Fatores de Emissão'!$C$82:$J$97,8,FALSE))</f>
        <v/>
      </c>
      <c r="K49" s="439" t="str">
        <f t="shared" si="1"/>
        <v/>
      </c>
      <c r="L49" s="439" t="str">
        <f t="shared" si="2"/>
        <v/>
      </c>
      <c r="M49" s="439" t="str">
        <f t="shared" si="3"/>
        <v/>
      </c>
      <c r="N49" s="441" t="str">
        <f t="shared" si="0"/>
        <v/>
      </c>
      <c r="O49" s="440"/>
    </row>
    <row r="50" spans="1:15" s="237" customFormat="1" ht="15" customHeight="1" outlineLevel="1" x14ac:dyDescent="0.25">
      <c r="A50" s="363"/>
      <c r="B50" s="915"/>
      <c r="C50" s="915"/>
      <c r="D50" s="1268"/>
      <c r="E50" s="1268"/>
      <c r="F50" s="438"/>
      <c r="G50" s="1105" t="str">
        <f>IF(D50="","",VLOOKUP(D50,'Fatores de Emissão'!$C$82:$D$104,2,FALSE))</f>
        <v/>
      </c>
      <c r="H50" s="439" t="str">
        <f>IF(OR($D50="",$D50="-"),"",VLOOKUP($D50,'Fatores de Emissão'!$C$82:$J$97,6,FALSE))</f>
        <v/>
      </c>
      <c r="I50" s="439" t="str">
        <f>IF(OR($D50="",$D50="-"),"",VLOOKUP($D50,'Fatores de Emissão'!$C$82:$J$97,7,FALSE))</f>
        <v/>
      </c>
      <c r="J50" s="439" t="str">
        <f>IF(OR($D50="",$D50="-"),"",VLOOKUP($D50,'Fatores de Emissão'!$C$82:$J$97,8,FALSE))</f>
        <v/>
      </c>
      <c r="K50" s="439" t="str">
        <f t="shared" si="1"/>
        <v/>
      </c>
      <c r="L50" s="439" t="str">
        <f t="shared" si="2"/>
        <v/>
      </c>
      <c r="M50" s="439" t="str">
        <f t="shared" si="3"/>
        <v/>
      </c>
      <c r="N50" s="441" t="str">
        <f t="shared" si="0"/>
        <v/>
      </c>
      <c r="O50" s="440"/>
    </row>
    <row r="51" spans="1:15" s="237" customFormat="1" ht="15" customHeight="1" outlineLevel="1" x14ac:dyDescent="0.25">
      <c r="A51" s="363"/>
      <c r="B51" s="915"/>
      <c r="C51" s="915"/>
      <c r="D51" s="1268"/>
      <c r="E51" s="1268"/>
      <c r="F51" s="438"/>
      <c r="G51" s="1105" t="str">
        <f>IF(D51="","",VLOOKUP(D51,'Fatores de Emissão'!$C$82:$D$104,2,FALSE))</f>
        <v/>
      </c>
      <c r="H51" s="439" t="str">
        <f>IF(OR($D51="",$D51="-"),"",VLOOKUP($D51,'Fatores de Emissão'!$C$82:$J$97,6,FALSE))</f>
        <v/>
      </c>
      <c r="I51" s="439" t="str">
        <f>IF(OR($D51="",$D51="-"),"",VLOOKUP($D51,'Fatores de Emissão'!$C$82:$J$97,7,FALSE))</f>
        <v/>
      </c>
      <c r="J51" s="439" t="str">
        <f>IF(OR($D51="",$D51="-"),"",VLOOKUP($D51,'Fatores de Emissão'!$C$82:$J$97,8,FALSE))</f>
        <v/>
      </c>
      <c r="K51" s="439" t="str">
        <f t="shared" si="1"/>
        <v/>
      </c>
      <c r="L51" s="439" t="str">
        <f t="shared" si="2"/>
        <v/>
      </c>
      <c r="M51" s="439" t="str">
        <f t="shared" si="3"/>
        <v/>
      </c>
      <c r="N51" s="441" t="str">
        <f t="shared" si="0"/>
        <v/>
      </c>
      <c r="O51" s="440"/>
    </row>
    <row r="52" spans="1:15" s="237" customFormat="1" ht="15" customHeight="1" outlineLevel="1" x14ac:dyDescent="0.25">
      <c r="A52" s="363"/>
      <c r="B52" s="915"/>
      <c r="C52" s="915"/>
      <c r="D52" s="1268"/>
      <c r="E52" s="1268"/>
      <c r="F52" s="438"/>
      <c r="G52" s="1105" t="str">
        <f>IF(D52="","",VLOOKUP(D52,'Fatores de Emissão'!$C$82:$D$104,2,FALSE))</f>
        <v/>
      </c>
      <c r="H52" s="439" t="str">
        <f>IF(OR($D52="",$D52="-"),"",VLOOKUP($D52,'Fatores de Emissão'!$C$82:$J$97,6,FALSE))</f>
        <v/>
      </c>
      <c r="I52" s="439" t="str">
        <f>IF(OR($D52="",$D52="-"),"",VLOOKUP($D52,'Fatores de Emissão'!$C$82:$J$97,7,FALSE))</f>
        <v/>
      </c>
      <c r="J52" s="439" t="str">
        <f>IF(OR($D52="",$D52="-"),"",VLOOKUP($D52,'Fatores de Emissão'!$C$82:$J$97,8,FALSE))</f>
        <v/>
      </c>
      <c r="K52" s="439" t="str">
        <f t="shared" si="1"/>
        <v/>
      </c>
      <c r="L52" s="439" t="str">
        <f t="shared" si="2"/>
        <v/>
      </c>
      <c r="M52" s="439" t="str">
        <f t="shared" si="3"/>
        <v/>
      </c>
      <c r="N52" s="441" t="str">
        <f t="shared" si="0"/>
        <v/>
      </c>
      <c r="O52" s="440"/>
    </row>
    <row r="53" spans="1:15" s="237" customFormat="1" ht="15" customHeight="1" outlineLevel="1" collapsed="1" x14ac:dyDescent="0.25">
      <c r="A53" s="363"/>
      <c r="B53" s="915"/>
      <c r="C53" s="915"/>
      <c r="D53" s="1268"/>
      <c r="E53" s="1268"/>
      <c r="F53" s="438"/>
      <c r="G53" s="1105" t="str">
        <f>IF(D53="","",VLOOKUP(D53,'Fatores de Emissão'!$C$82:$D$104,2,FALSE))</f>
        <v/>
      </c>
      <c r="H53" s="439" t="str">
        <f>IF(OR($D53="",$D53="-"),"",VLOOKUP($D53,'Fatores de Emissão'!$C$82:$J$97,6,FALSE))</f>
        <v/>
      </c>
      <c r="I53" s="439" t="str">
        <f>IF(OR($D53="",$D53="-"),"",VLOOKUP($D53,'Fatores de Emissão'!$C$82:$J$97,7,FALSE))</f>
        <v/>
      </c>
      <c r="J53" s="439" t="str">
        <f>IF(OR($D53="",$D53="-"),"",VLOOKUP($D53,'Fatores de Emissão'!$C$82:$J$97,8,FALSE))</f>
        <v/>
      </c>
      <c r="K53" s="439" t="str">
        <f t="shared" si="1"/>
        <v/>
      </c>
      <c r="L53" s="439" t="str">
        <f t="shared" si="2"/>
        <v/>
      </c>
      <c r="M53" s="439" t="str">
        <f t="shared" si="3"/>
        <v/>
      </c>
      <c r="N53" s="441" t="str">
        <f t="shared" si="0"/>
        <v/>
      </c>
      <c r="O53" s="440"/>
    </row>
    <row r="54" spans="1:15" s="237" customFormat="1" ht="15" hidden="1" customHeight="1" outlineLevel="2" x14ac:dyDescent="0.25">
      <c r="A54" s="363"/>
      <c r="B54" s="915"/>
      <c r="C54" s="915"/>
      <c r="D54" s="1268"/>
      <c r="E54" s="1268"/>
      <c r="F54" s="438"/>
      <c r="G54" s="1105" t="str">
        <f>IF(D54="","",VLOOKUP(D54,'Fatores de Emissão'!$C$82:$D$104,2,FALSE))</f>
        <v/>
      </c>
      <c r="H54" s="439" t="str">
        <f>IF(OR($D54="",$D54="-"),"",VLOOKUP($D54,'Fatores de Emissão'!$C$82:$J$97,6,FALSE))</f>
        <v/>
      </c>
      <c r="I54" s="439" t="str">
        <f>IF(OR($D54="",$D54="-"),"",VLOOKUP($D54,'Fatores de Emissão'!$C$82:$J$97,7,FALSE))</f>
        <v/>
      </c>
      <c r="J54" s="439" t="str">
        <f>IF(OR($D54="",$D54="-"),"",VLOOKUP($D54,'Fatores de Emissão'!$C$82:$J$97,8,FALSE))</f>
        <v/>
      </c>
      <c r="K54" s="439" t="str">
        <f t="shared" si="1"/>
        <v/>
      </c>
      <c r="L54" s="439" t="str">
        <f t="shared" si="2"/>
        <v/>
      </c>
      <c r="M54" s="439" t="str">
        <f t="shared" si="3"/>
        <v/>
      </c>
      <c r="N54" s="441" t="str">
        <f t="shared" si="0"/>
        <v/>
      </c>
      <c r="O54" s="440"/>
    </row>
    <row r="55" spans="1:15" s="237" customFormat="1" ht="15" hidden="1" customHeight="1" outlineLevel="2" x14ac:dyDescent="0.25">
      <c r="A55" s="363"/>
      <c r="B55" s="915"/>
      <c r="C55" s="915"/>
      <c r="D55" s="1268"/>
      <c r="E55" s="1268"/>
      <c r="F55" s="438"/>
      <c r="G55" s="1105" t="str">
        <f>IF(D55="","",VLOOKUP(D55,'Fatores de Emissão'!$C$82:$D$104,2,FALSE))</f>
        <v/>
      </c>
      <c r="H55" s="439" t="str">
        <f>IF(OR($D55="",$D55="-"),"",VLOOKUP($D55,'Fatores de Emissão'!$C$82:$J$97,6,FALSE))</f>
        <v/>
      </c>
      <c r="I55" s="439" t="str">
        <f>IF(OR($D55="",$D55="-"),"",VLOOKUP($D55,'Fatores de Emissão'!$C$82:$J$97,7,FALSE))</f>
        <v/>
      </c>
      <c r="J55" s="439" t="str">
        <f>IF(OR($D55="",$D55="-"),"",VLOOKUP($D55,'Fatores de Emissão'!$C$82:$J$97,8,FALSE))</f>
        <v/>
      </c>
      <c r="K55" s="439" t="str">
        <f t="shared" si="1"/>
        <v/>
      </c>
      <c r="L55" s="439" t="str">
        <f t="shared" si="2"/>
        <v/>
      </c>
      <c r="M55" s="439" t="str">
        <f t="shared" si="3"/>
        <v/>
      </c>
      <c r="N55" s="441" t="str">
        <f t="shared" si="0"/>
        <v/>
      </c>
      <c r="O55" s="440"/>
    </row>
    <row r="56" spans="1:15" s="237" customFormat="1" ht="15" hidden="1" customHeight="1" outlineLevel="2" x14ac:dyDescent="0.25">
      <c r="A56" s="363"/>
      <c r="B56" s="915"/>
      <c r="C56" s="915"/>
      <c r="D56" s="1268"/>
      <c r="E56" s="1268"/>
      <c r="F56" s="438"/>
      <c r="G56" s="1105" t="str">
        <f>IF(D56="","",VLOOKUP(D56,'Fatores de Emissão'!$C$82:$D$104,2,FALSE))</f>
        <v/>
      </c>
      <c r="H56" s="439" t="str">
        <f>IF(OR($D56="",$D56="-"),"",VLOOKUP($D56,'Fatores de Emissão'!$C$82:$J$97,6,FALSE))</f>
        <v/>
      </c>
      <c r="I56" s="439" t="str">
        <f>IF(OR($D56="",$D56="-"),"",VLOOKUP($D56,'Fatores de Emissão'!$C$82:$J$97,7,FALSE))</f>
        <v/>
      </c>
      <c r="J56" s="439" t="str">
        <f>IF(OR($D56="",$D56="-"),"",VLOOKUP($D56,'Fatores de Emissão'!$C$82:$J$97,8,FALSE))</f>
        <v/>
      </c>
      <c r="K56" s="439" t="str">
        <f t="shared" si="1"/>
        <v/>
      </c>
      <c r="L56" s="439" t="str">
        <f t="shared" si="2"/>
        <v/>
      </c>
      <c r="M56" s="439" t="str">
        <f t="shared" si="3"/>
        <v/>
      </c>
      <c r="N56" s="441" t="str">
        <f t="shared" si="0"/>
        <v/>
      </c>
      <c r="O56" s="440"/>
    </row>
    <row r="57" spans="1:15" s="237" customFormat="1" ht="15" hidden="1" customHeight="1" outlineLevel="2" x14ac:dyDescent="0.25">
      <c r="A57" s="363"/>
      <c r="B57" s="915"/>
      <c r="C57" s="915"/>
      <c r="D57" s="1268"/>
      <c r="E57" s="1268"/>
      <c r="F57" s="438"/>
      <c r="G57" s="1105" t="str">
        <f>IF(D57="","",VLOOKUP(D57,'Fatores de Emissão'!$C$82:$D$104,2,FALSE))</f>
        <v/>
      </c>
      <c r="H57" s="439" t="str">
        <f>IF(OR($D57="",$D57="-"),"",VLOOKUP($D57,'Fatores de Emissão'!$C$82:$J$97,6,FALSE))</f>
        <v/>
      </c>
      <c r="I57" s="439" t="str">
        <f>IF(OR($D57="",$D57="-"),"",VLOOKUP($D57,'Fatores de Emissão'!$C$82:$J$97,7,FALSE))</f>
        <v/>
      </c>
      <c r="J57" s="439" t="str">
        <f>IF(OR($D57="",$D57="-"),"",VLOOKUP($D57,'Fatores de Emissão'!$C$82:$J$97,8,FALSE))</f>
        <v/>
      </c>
      <c r="K57" s="439" t="str">
        <f t="shared" si="1"/>
        <v/>
      </c>
      <c r="L57" s="439" t="str">
        <f t="shared" si="2"/>
        <v/>
      </c>
      <c r="M57" s="439" t="str">
        <f t="shared" si="3"/>
        <v/>
      </c>
      <c r="N57" s="441" t="str">
        <f t="shared" si="0"/>
        <v/>
      </c>
      <c r="O57" s="440"/>
    </row>
    <row r="58" spans="1:15" s="237" customFormat="1" ht="15" hidden="1" customHeight="1" outlineLevel="2" x14ac:dyDescent="0.25">
      <c r="A58" s="363"/>
      <c r="B58" s="915"/>
      <c r="C58" s="915"/>
      <c r="D58" s="1268"/>
      <c r="E58" s="1268"/>
      <c r="F58" s="438"/>
      <c r="G58" s="1105" t="str">
        <f>IF(D58="","",VLOOKUP(D58,'Fatores de Emissão'!$C$82:$D$104,2,FALSE))</f>
        <v/>
      </c>
      <c r="H58" s="439" t="str">
        <f>IF(OR($D58="",$D58="-"),"",VLOOKUP($D58,'Fatores de Emissão'!$C$82:$J$97,6,FALSE))</f>
        <v/>
      </c>
      <c r="I58" s="439" t="str">
        <f>IF(OR($D58="",$D58="-"),"",VLOOKUP($D58,'Fatores de Emissão'!$C$82:$J$97,7,FALSE))</f>
        <v/>
      </c>
      <c r="J58" s="439" t="str">
        <f>IF(OR($D58="",$D58="-"),"",VLOOKUP($D58,'Fatores de Emissão'!$C$82:$J$97,8,FALSE))</f>
        <v/>
      </c>
      <c r="K58" s="439" t="str">
        <f t="shared" si="1"/>
        <v/>
      </c>
      <c r="L58" s="439" t="str">
        <f t="shared" si="2"/>
        <v/>
      </c>
      <c r="M58" s="439" t="str">
        <f t="shared" si="3"/>
        <v/>
      </c>
      <c r="N58" s="441" t="str">
        <f t="shared" si="0"/>
        <v/>
      </c>
      <c r="O58" s="440"/>
    </row>
    <row r="59" spans="1:15" s="237" customFormat="1" ht="15" hidden="1" customHeight="1" outlineLevel="2" x14ac:dyDescent="0.25">
      <c r="A59" s="363"/>
      <c r="B59" s="915"/>
      <c r="C59" s="915"/>
      <c r="D59" s="1268"/>
      <c r="E59" s="1268"/>
      <c r="F59" s="438"/>
      <c r="G59" s="1105" t="str">
        <f>IF(D59="","",VLOOKUP(D59,'Fatores de Emissão'!$C$82:$D$104,2,FALSE))</f>
        <v/>
      </c>
      <c r="H59" s="439" t="str">
        <f>IF(OR($D59="",$D59="-"),"",VLOOKUP($D59,'Fatores de Emissão'!$C$82:$J$97,6,FALSE))</f>
        <v/>
      </c>
      <c r="I59" s="439" t="str">
        <f>IF(OR($D59="",$D59="-"),"",VLOOKUP($D59,'Fatores de Emissão'!$C$82:$J$97,7,FALSE))</f>
        <v/>
      </c>
      <c r="J59" s="439" t="str">
        <f>IF(OR($D59="",$D59="-"),"",VLOOKUP($D59,'Fatores de Emissão'!$C$82:$J$97,8,FALSE))</f>
        <v/>
      </c>
      <c r="K59" s="439" t="str">
        <f t="shared" si="1"/>
        <v/>
      </c>
      <c r="L59" s="439" t="str">
        <f t="shared" si="2"/>
        <v/>
      </c>
      <c r="M59" s="439" t="str">
        <f t="shared" si="3"/>
        <v/>
      </c>
      <c r="N59" s="441" t="str">
        <f t="shared" si="0"/>
        <v/>
      </c>
      <c r="O59" s="440"/>
    </row>
    <row r="60" spans="1:15" s="237" customFormat="1" ht="15" hidden="1" customHeight="1" outlineLevel="2" x14ac:dyDescent="0.25">
      <c r="A60" s="363"/>
      <c r="B60" s="915"/>
      <c r="C60" s="915"/>
      <c r="D60" s="1268"/>
      <c r="E60" s="1268"/>
      <c r="F60" s="438"/>
      <c r="G60" s="1105" t="str">
        <f>IF(D60="","",VLOOKUP(D60,'Fatores de Emissão'!$C$82:$D$104,2,FALSE))</f>
        <v/>
      </c>
      <c r="H60" s="439" t="str">
        <f>IF(OR($D60="",$D60="-"),"",VLOOKUP($D60,'Fatores de Emissão'!$C$82:$J$97,6,FALSE))</f>
        <v/>
      </c>
      <c r="I60" s="439" t="str">
        <f>IF(OR($D60="",$D60="-"),"",VLOOKUP($D60,'Fatores de Emissão'!$C$82:$J$97,7,FALSE))</f>
        <v/>
      </c>
      <c r="J60" s="439" t="str">
        <f>IF(OR($D60="",$D60="-"),"",VLOOKUP($D60,'Fatores de Emissão'!$C$82:$J$97,8,FALSE))</f>
        <v/>
      </c>
      <c r="K60" s="439" t="str">
        <f t="shared" si="1"/>
        <v/>
      </c>
      <c r="L60" s="439" t="str">
        <f t="shared" si="2"/>
        <v/>
      </c>
      <c r="M60" s="439" t="str">
        <f t="shared" si="3"/>
        <v/>
      </c>
      <c r="N60" s="441" t="str">
        <f t="shared" si="0"/>
        <v/>
      </c>
      <c r="O60" s="440"/>
    </row>
    <row r="61" spans="1:15" s="237" customFormat="1" ht="15" hidden="1" customHeight="1" outlineLevel="2" x14ac:dyDescent="0.25">
      <c r="A61" s="363"/>
      <c r="B61" s="915"/>
      <c r="C61" s="915"/>
      <c r="D61" s="1268"/>
      <c r="E61" s="1268"/>
      <c r="F61" s="438"/>
      <c r="G61" s="1105" t="str">
        <f>IF(D61="","",VLOOKUP(D61,'Fatores de Emissão'!$C$82:$D$104,2,FALSE))</f>
        <v/>
      </c>
      <c r="H61" s="439" t="str">
        <f>IF(OR($D61="",$D61="-"),"",VLOOKUP($D61,'Fatores de Emissão'!$C$82:$J$97,6,FALSE))</f>
        <v/>
      </c>
      <c r="I61" s="439" t="str">
        <f>IF(OR($D61="",$D61="-"),"",VLOOKUP($D61,'Fatores de Emissão'!$C$82:$J$97,7,FALSE))</f>
        <v/>
      </c>
      <c r="J61" s="439" t="str">
        <f>IF(OR($D61="",$D61="-"),"",VLOOKUP($D61,'Fatores de Emissão'!$C$82:$J$97,8,FALSE))</f>
        <v/>
      </c>
      <c r="K61" s="439" t="str">
        <f t="shared" si="1"/>
        <v/>
      </c>
      <c r="L61" s="439" t="str">
        <f t="shared" si="2"/>
        <v/>
      </c>
      <c r="M61" s="439" t="str">
        <f t="shared" si="3"/>
        <v/>
      </c>
      <c r="N61" s="441" t="str">
        <f t="shared" si="0"/>
        <v/>
      </c>
      <c r="O61" s="440"/>
    </row>
    <row r="62" spans="1:15" s="237" customFormat="1" ht="15" hidden="1" customHeight="1" outlineLevel="2" x14ac:dyDescent="0.25">
      <c r="A62" s="363"/>
      <c r="B62" s="915"/>
      <c r="C62" s="915"/>
      <c r="D62" s="1268"/>
      <c r="E62" s="1268"/>
      <c r="F62" s="438"/>
      <c r="G62" s="1105" t="str">
        <f>IF(D62="","",VLOOKUP(D62,'Fatores de Emissão'!$C$82:$D$104,2,FALSE))</f>
        <v/>
      </c>
      <c r="H62" s="439" t="str">
        <f>IF(OR($D62="",$D62="-"),"",VLOOKUP($D62,'Fatores de Emissão'!$C$82:$J$97,6,FALSE))</f>
        <v/>
      </c>
      <c r="I62" s="439" t="str">
        <f>IF(OR($D62="",$D62="-"),"",VLOOKUP($D62,'Fatores de Emissão'!$C$82:$J$97,7,FALSE))</f>
        <v/>
      </c>
      <c r="J62" s="439" t="str">
        <f>IF(OR($D62="",$D62="-"),"",VLOOKUP($D62,'Fatores de Emissão'!$C$82:$J$97,8,FALSE))</f>
        <v/>
      </c>
      <c r="K62" s="439" t="str">
        <f t="shared" si="1"/>
        <v/>
      </c>
      <c r="L62" s="439" t="str">
        <f t="shared" si="2"/>
        <v/>
      </c>
      <c r="M62" s="439" t="str">
        <f t="shared" si="3"/>
        <v/>
      </c>
      <c r="N62" s="441" t="str">
        <f t="shared" si="0"/>
        <v/>
      </c>
      <c r="O62" s="440"/>
    </row>
    <row r="63" spans="1:15" s="237" customFormat="1" ht="15" hidden="1" customHeight="1" outlineLevel="2" x14ac:dyDescent="0.25">
      <c r="A63" s="363"/>
      <c r="B63" s="915"/>
      <c r="C63" s="915"/>
      <c r="D63" s="1268"/>
      <c r="E63" s="1268"/>
      <c r="F63" s="438"/>
      <c r="G63" s="1105" t="str">
        <f>IF(D63="","",VLOOKUP(D63,'Fatores de Emissão'!$C$82:$D$104,2,FALSE))</f>
        <v/>
      </c>
      <c r="H63" s="439" t="str">
        <f>IF(OR($D63="",$D63="-"),"",VLOOKUP($D63,'Fatores de Emissão'!$C$82:$J$97,6,FALSE))</f>
        <v/>
      </c>
      <c r="I63" s="439" t="str">
        <f>IF(OR($D63="",$D63="-"),"",VLOOKUP($D63,'Fatores de Emissão'!$C$82:$J$97,7,FALSE))</f>
        <v/>
      </c>
      <c r="J63" s="439" t="str">
        <f>IF(OR($D63="",$D63="-"),"",VLOOKUP($D63,'Fatores de Emissão'!$C$82:$J$97,8,FALSE))</f>
        <v/>
      </c>
      <c r="K63" s="439" t="str">
        <f t="shared" si="1"/>
        <v/>
      </c>
      <c r="L63" s="439" t="str">
        <f t="shared" si="2"/>
        <v/>
      </c>
      <c r="M63" s="439" t="str">
        <f t="shared" si="3"/>
        <v/>
      </c>
      <c r="N63" s="441" t="str">
        <f t="shared" si="0"/>
        <v/>
      </c>
      <c r="O63" s="440"/>
    </row>
    <row r="64" spans="1:15" s="237" customFormat="1" ht="15" hidden="1" customHeight="1" outlineLevel="2" x14ac:dyDescent="0.25">
      <c r="A64" s="363"/>
      <c r="B64" s="915"/>
      <c r="C64" s="915"/>
      <c r="D64" s="1268"/>
      <c r="E64" s="1268"/>
      <c r="F64" s="438"/>
      <c r="G64" s="1105" t="str">
        <f>IF(D64="","",VLOOKUP(D64,'Fatores de Emissão'!$C$82:$D$104,2,FALSE))</f>
        <v/>
      </c>
      <c r="H64" s="439" t="str">
        <f>IF(OR($D64="",$D64="-"),"",VLOOKUP($D64,'Fatores de Emissão'!$C$82:$J$97,6,FALSE))</f>
        <v/>
      </c>
      <c r="I64" s="439" t="str">
        <f>IF(OR($D64="",$D64="-"),"",VLOOKUP($D64,'Fatores de Emissão'!$C$82:$J$97,7,FALSE))</f>
        <v/>
      </c>
      <c r="J64" s="439" t="str">
        <f>IF(OR($D64="",$D64="-"),"",VLOOKUP($D64,'Fatores de Emissão'!$C$82:$J$97,8,FALSE))</f>
        <v/>
      </c>
      <c r="K64" s="439" t="str">
        <f t="shared" si="1"/>
        <v/>
      </c>
      <c r="L64" s="439" t="str">
        <f t="shared" si="2"/>
        <v/>
      </c>
      <c r="M64" s="439" t="str">
        <f t="shared" si="3"/>
        <v/>
      </c>
      <c r="N64" s="441" t="str">
        <f t="shared" si="0"/>
        <v/>
      </c>
      <c r="O64" s="440"/>
    </row>
    <row r="65" spans="1:15" s="237" customFormat="1" ht="15" hidden="1" customHeight="1" outlineLevel="2" x14ac:dyDescent="0.25">
      <c r="A65" s="363"/>
      <c r="B65" s="915"/>
      <c r="C65" s="915"/>
      <c r="D65" s="1268"/>
      <c r="E65" s="1268"/>
      <c r="F65" s="438"/>
      <c r="G65" s="1105" t="str">
        <f>IF(D65="","",VLOOKUP(D65,'Fatores de Emissão'!$C$82:$D$104,2,FALSE))</f>
        <v/>
      </c>
      <c r="H65" s="439" t="str">
        <f>IF(OR($D65="",$D65="-"),"",VLOOKUP($D65,'Fatores de Emissão'!$C$82:$J$97,6,FALSE))</f>
        <v/>
      </c>
      <c r="I65" s="439" t="str">
        <f>IF(OR($D65="",$D65="-"),"",VLOOKUP($D65,'Fatores de Emissão'!$C$82:$J$97,7,FALSE))</f>
        <v/>
      </c>
      <c r="J65" s="439" t="str">
        <f>IF(OR($D65="",$D65="-"),"",VLOOKUP($D65,'Fatores de Emissão'!$C$82:$J$97,8,FALSE))</f>
        <v/>
      </c>
      <c r="K65" s="439" t="str">
        <f t="shared" si="1"/>
        <v/>
      </c>
      <c r="L65" s="439" t="str">
        <f t="shared" si="2"/>
        <v/>
      </c>
      <c r="M65" s="439" t="str">
        <f t="shared" si="3"/>
        <v/>
      </c>
      <c r="N65" s="441" t="str">
        <f t="shared" si="0"/>
        <v/>
      </c>
      <c r="O65" s="440"/>
    </row>
    <row r="66" spans="1:15" s="237" customFormat="1" ht="15" hidden="1" customHeight="1" outlineLevel="2" x14ac:dyDescent="0.25">
      <c r="A66" s="363"/>
      <c r="B66" s="915"/>
      <c r="C66" s="915"/>
      <c r="D66" s="1268"/>
      <c r="E66" s="1268"/>
      <c r="F66" s="438"/>
      <c r="G66" s="1105" t="str">
        <f>IF(D66="","",VLOOKUP(D66,'Fatores de Emissão'!$C$82:$D$104,2,FALSE))</f>
        <v/>
      </c>
      <c r="H66" s="439" t="str">
        <f>IF(OR($D66="",$D66="-"),"",VLOOKUP($D66,'Fatores de Emissão'!$C$82:$J$97,6,FALSE))</f>
        <v/>
      </c>
      <c r="I66" s="439" t="str">
        <f>IF(OR($D66="",$D66="-"),"",VLOOKUP($D66,'Fatores de Emissão'!$C$82:$J$97,7,FALSE))</f>
        <v/>
      </c>
      <c r="J66" s="439" t="str">
        <f>IF(OR($D66="",$D66="-"),"",VLOOKUP($D66,'Fatores de Emissão'!$C$82:$J$97,8,FALSE))</f>
        <v/>
      </c>
      <c r="K66" s="439" t="str">
        <f t="shared" si="1"/>
        <v/>
      </c>
      <c r="L66" s="439" t="str">
        <f t="shared" si="2"/>
        <v/>
      </c>
      <c r="M66" s="439" t="str">
        <f t="shared" si="3"/>
        <v/>
      </c>
      <c r="N66" s="441" t="str">
        <f t="shared" si="0"/>
        <v/>
      </c>
      <c r="O66" s="440"/>
    </row>
    <row r="67" spans="1:15" s="237" customFormat="1" ht="15" hidden="1" customHeight="1" outlineLevel="2" x14ac:dyDescent="0.25">
      <c r="A67" s="363"/>
      <c r="B67" s="915"/>
      <c r="C67" s="915"/>
      <c r="D67" s="1268"/>
      <c r="E67" s="1268"/>
      <c r="F67" s="438"/>
      <c r="G67" s="1105" t="str">
        <f>IF(D67="","",VLOOKUP(D67,'Fatores de Emissão'!$C$82:$D$104,2,FALSE))</f>
        <v/>
      </c>
      <c r="H67" s="439" t="str">
        <f>IF(OR($D67="",$D67="-"),"",VLOOKUP($D67,'Fatores de Emissão'!$C$82:$J$97,6,FALSE))</f>
        <v/>
      </c>
      <c r="I67" s="439" t="str">
        <f>IF(OR($D67="",$D67="-"),"",VLOOKUP($D67,'Fatores de Emissão'!$C$82:$J$97,7,FALSE))</f>
        <v/>
      </c>
      <c r="J67" s="439" t="str">
        <f>IF(OR($D67="",$D67="-"),"",VLOOKUP($D67,'Fatores de Emissão'!$C$82:$J$97,8,FALSE))</f>
        <v/>
      </c>
      <c r="K67" s="439" t="str">
        <f t="shared" si="1"/>
        <v/>
      </c>
      <c r="L67" s="439" t="str">
        <f t="shared" si="2"/>
        <v/>
      </c>
      <c r="M67" s="439" t="str">
        <f t="shared" si="3"/>
        <v/>
      </c>
      <c r="N67" s="441" t="str">
        <f t="shared" si="0"/>
        <v/>
      </c>
      <c r="O67" s="440"/>
    </row>
    <row r="68" spans="1:15" s="237" customFormat="1" ht="15" hidden="1" customHeight="1" outlineLevel="2" x14ac:dyDescent="0.25">
      <c r="A68" s="363"/>
      <c r="B68" s="915"/>
      <c r="C68" s="915"/>
      <c r="D68" s="1268"/>
      <c r="E68" s="1268"/>
      <c r="F68" s="438"/>
      <c r="G68" s="1105" t="str">
        <f>IF(D68="","",VLOOKUP(D68,'Fatores de Emissão'!$C$82:$D$104,2,FALSE))</f>
        <v/>
      </c>
      <c r="H68" s="439" t="str">
        <f>IF(OR($D68="",$D68="-"),"",VLOOKUP($D68,'Fatores de Emissão'!$C$82:$J$97,6,FALSE))</f>
        <v/>
      </c>
      <c r="I68" s="439" t="str">
        <f>IF(OR($D68="",$D68="-"),"",VLOOKUP($D68,'Fatores de Emissão'!$C$82:$J$97,7,FALSE))</f>
        <v/>
      </c>
      <c r="J68" s="439" t="str">
        <f>IF(OR($D68="",$D68="-"),"",VLOOKUP($D68,'Fatores de Emissão'!$C$82:$J$97,8,FALSE))</f>
        <v/>
      </c>
      <c r="K68" s="439" t="str">
        <f t="shared" si="1"/>
        <v/>
      </c>
      <c r="L68" s="439" t="str">
        <f t="shared" si="2"/>
        <v/>
      </c>
      <c r="M68" s="439" t="str">
        <f t="shared" si="3"/>
        <v/>
      </c>
      <c r="N68" s="441" t="str">
        <f t="shared" si="0"/>
        <v/>
      </c>
      <c r="O68" s="440"/>
    </row>
    <row r="69" spans="1:15" s="237" customFormat="1" ht="15" hidden="1" customHeight="1" outlineLevel="2" x14ac:dyDescent="0.25">
      <c r="A69" s="363"/>
      <c r="B69" s="915"/>
      <c r="C69" s="915"/>
      <c r="D69" s="1268"/>
      <c r="E69" s="1268"/>
      <c r="F69" s="438"/>
      <c r="G69" s="1105" t="str">
        <f>IF(D69="","",VLOOKUP(D69,'Fatores de Emissão'!$C$82:$D$104,2,FALSE))</f>
        <v/>
      </c>
      <c r="H69" s="439" t="str">
        <f>IF(OR($D69="",$D69="-"),"",VLOOKUP($D69,'Fatores de Emissão'!$C$82:$J$97,6,FALSE))</f>
        <v/>
      </c>
      <c r="I69" s="439" t="str">
        <f>IF(OR($D69="",$D69="-"),"",VLOOKUP($D69,'Fatores de Emissão'!$C$82:$J$97,7,FALSE))</f>
        <v/>
      </c>
      <c r="J69" s="439" t="str">
        <f>IF(OR($D69="",$D69="-"),"",VLOOKUP($D69,'Fatores de Emissão'!$C$82:$J$97,8,FALSE))</f>
        <v/>
      </c>
      <c r="K69" s="439" t="str">
        <f t="shared" si="1"/>
        <v/>
      </c>
      <c r="L69" s="439" t="str">
        <f t="shared" si="2"/>
        <v/>
      </c>
      <c r="M69" s="439" t="str">
        <f t="shared" si="3"/>
        <v/>
      </c>
      <c r="N69" s="441" t="str">
        <f t="shared" si="0"/>
        <v/>
      </c>
      <c r="O69" s="440"/>
    </row>
    <row r="70" spans="1:15" s="237" customFormat="1" ht="15" hidden="1" customHeight="1" outlineLevel="2" x14ac:dyDescent="0.25">
      <c r="A70" s="363"/>
      <c r="B70" s="915"/>
      <c r="C70" s="915"/>
      <c r="D70" s="1268"/>
      <c r="E70" s="1268"/>
      <c r="F70" s="438"/>
      <c r="G70" s="1105" t="str">
        <f>IF(D70="","",VLOOKUP(D70,'Fatores de Emissão'!$C$82:$D$104,2,FALSE))</f>
        <v/>
      </c>
      <c r="H70" s="439" t="str">
        <f>IF(OR($D70="",$D70="-"),"",VLOOKUP($D70,'Fatores de Emissão'!$C$82:$J$97,6,FALSE))</f>
        <v/>
      </c>
      <c r="I70" s="439" t="str">
        <f>IF(OR($D70="",$D70="-"),"",VLOOKUP($D70,'Fatores de Emissão'!$C$82:$J$97,7,FALSE))</f>
        <v/>
      </c>
      <c r="J70" s="439" t="str">
        <f>IF(OR($D70="",$D70="-"),"",VLOOKUP($D70,'Fatores de Emissão'!$C$82:$J$97,8,FALSE))</f>
        <v/>
      </c>
      <c r="K70" s="439" t="str">
        <f t="shared" si="1"/>
        <v/>
      </c>
      <c r="L70" s="439" t="str">
        <f t="shared" si="2"/>
        <v/>
      </c>
      <c r="M70" s="439" t="str">
        <f t="shared" si="3"/>
        <v/>
      </c>
      <c r="N70" s="441" t="str">
        <f t="shared" si="0"/>
        <v/>
      </c>
      <c r="O70" s="440"/>
    </row>
    <row r="71" spans="1:15" s="237" customFormat="1" ht="15" hidden="1" customHeight="1" outlineLevel="2" x14ac:dyDescent="0.25">
      <c r="A71" s="363"/>
      <c r="B71" s="915"/>
      <c r="C71" s="915"/>
      <c r="D71" s="1268"/>
      <c r="E71" s="1268"/>
      <c r="F71" s="438"/>
      <c r="G71" s="1105" t="str">
        <f>IF(D71="","",VLOOKUP(D71,'Fatores de Emissão'!$C$82:$D$104,2,FALSE))</f>
        <v/>
      </c>
      <c r="H71" s="439" t="str">
        <f>IF(OR($D71="",$D71="-"),"",VLOOKUP($D71,'Fatores de Emissão'!$C$82:$J$97,6,FALSE))</f>
        <v/>
      </c>
      <c r="I71" s="439" t="str">
        <f>IF(OR($D71="",$D71="-"),"",VLOOKUP($D71,'Fatores de Emissão'!$C$82:$J$97,7,FALSE))</f>
        <v/>
      </c>
      <c r="J71" s="439" t="str">
        <f>IF(OR($D71="",$D71="-"),"",VLOOKUP($D71,'Fatores de Emissão'!$C$82:$J$97,8,FALSE))</f>
        <v/>
      </c>
      <c r="K71" s="439" t="str">
        <f t="shared" si="1"/>
        <v/>
      </c>
      <c r="L71" s="439" t="str">
        <f t="shared" si="2"/>
        <v/>
      </c>
      <c r="M71" s="439" t="str">
        <f t="shared" si="3"/>
        <v/>
      </c>
      <c r="N71" s="441" t="str">
        <f t="shared" si="0"/>
        <v/>
      </c>
      <c r="O71" s="440"/>
    </row>
    <row r="72" spans="1:15" s="237" customFormat="1" ht="15" hidden="1" customHeight="1" outlineLevel="2" x14ac:dyDescent="0.25">
      <c r="A72" s="363"/>
      <c r="B72" s="915"/>
      <c r="C72" s="915"/>
      <c r="D72" s="1268"/>
      <c r="E72" s="1268"/>
      <c r="F72" s="438"/>
      <c r="G72" s="1105" t="str">
        <f>IF(D72="","",VLOOKUP(D72,'Fatores de Emissão'!$C$82:$D$104,2,FALSE))</f>
        <v/>
      </c>
      <c r="H72" s="439" t="str">
        <f>IF(OR($D72="",$D72="-"),"",VLOOKUP($D72,'Fatores de Emissão'!$C$82:$J$97,6,FALSE))</f>
        <v/>
      </c>
      <c r="I72" s="439" t="str">
        <f>IF(OR($D72="",$D72="-"),"",VLOOKUP($D72,'Fatores de Emissão'!$C$82:$J$97,7,FALSE))</f>
        <v/>
      </c>
      <c r="J72" s="439" t="str">
        <f>IF(OR($D72="",$D72="-"),"",VLOOKUP($D72,'Fatores de Emissão'!$C$82:$J$97,8,FALSE))</f>
        <v/>
      </c>
      <c r="K72" s="439" t="str">
        <f>IF(D72="","",IF(F72="",0,H72*$F72/1000))</f>
        <v/>
      </c>
      <c r="L72" s="439" t="str">
        <f>IF(D72="","",IF(F72="",0,I72*$F72/1000))</f>
        <v/>
      </c>
      <c r="M72" s="439" t="str">
        <f>IF(D72="","",IF(F72="",0,J72*$F72/1000))</f>
        <v/>
      </c>
      <c r="N72" s="441" t="str">
        <f t="shared" si="0"/>
        <v/>
      </c>
      <c r="O72" s="440"/>
    </row>
    <row r="73" spans="1:15" s="237" customFormat="1" ht="15" hidden="1" customHeight="1" outlineLevel="2" x14ac:dyDescent="0.25">
      <c r="A73" s="363"/>
      <c r="B73" s="915"/>
      <c r="C73" s="915"/>
      <c r="D73" s="1268"/>
      <c r="E73" s="1268"/>
      <c r="F73" s="438"/>
      <c r="G73" s="1105" t="str">
        <f>IF(D73="","",VLOOKUP(D73,'Fatores de Emissão'!$C$82:$D$104,2,FALSE))</f>
        <v/>
      </c>
      <c r="H73" s="439" t="str">
        <f>IF(OR($D73="",$D73="-"),"",VLOOKUP($D73,'Fatores de Emissão'!$C$82:$J$97,6,FALSE))</f>
        <v/>
      </c>
      <c r="I73" s="439" t="str">
        <f>IF(OR($D73="",$D73="-"),"",VLOOKUP($D73,'Fatores de Emissão'!$C$82:$J$97,7,FALSE))</f>
        <v/>
      </c>
      <c r="J73" s="439" t="str">
        <f>IF(OR($D73="",$D73="-"),"",VLOOKUP($D73,'Fatores de Emissão'!$C$82:$J$97,8,FALSE))</f>
        <v/>
      </c>
      <c r="K73" s="439" t="str">
        <f t="shared" ref="K73:K91" si="4">IF(D73="","",IF(F73="",0,H73*$F73/1000))</f>
        <v/>
      </c>
      <c r="L73" s="439" t="str">
        <f t="shared" ref="L73:L91" si="5">IF(D73="","",IF(F73="",0,I73*$F73/1000))</f>
        <v/>
      </c>
      <c r="M73" s="439" t="str">
        <f t="shared" ref="M73:M91" si="6">IF(D73="","",IF(F73="",0,J73*$F73/1000))</f>
        <v/>
      </c>
      <c r="N73" s="441" t="str">
        <f t="shared" si="0"/>
        <v/>
      </c>
      <c r="O73" s="440"/>
    </row>
    <row r="74" spans="1:15" s="237" customFormat="1" ht="15" hidden="1" customHeight="1" outlineLevel="2" x14ac:dyDescent="0.25">
      <c r="A74" s="363"/>
      <c r="B74" s="915"/>
      <c r="C74" s="915"/>
      <c r="D74" s="1268"/>
      <c r="E74" s="1268"/>
      <c r="F74" s="438"/>
      <c r="G74" s="1105" t="str">
        <f>IF(D74="","",VLOOKUP(D74,'Fatores de Emissão'!$C$82:$D$104,2,FALSE))</f>
        <v/>
      </c>
      <c r="H74" s="439" t="str">
        <f>IF(OR($D74="",$D74="-"),"",VLOOKUP($D74,'Fatores de Emissão'!$C$82:$J$97,6,FALSE))</f>
        <v/>
      </c>
      <c r="I74" s="439" t="str">
        <f>IF(OR($D74="",$D74="-"),"",VLOOKUP($D74,'Fatores de Emissão'!$C$82:$J$97,7,FALSE))</f>
        <v/>
      </c>
      <c r="J74" s="439" t="str">
        <f>IF(OR($D74="",$D74="-"),"",VLOOKUP($D74,'Fatores de Emissão'!$C$82:$J$97,8,FALSE))</f>
        <v/>
      </c>
      <c r="K74" s="439" t="str">
        <f t="shared" si="4"/>
        <v/>
      </c>
      <c r="L74" s="439" t="str">
        <f t="shared" si="5"/>
        <v/>
      </c>
      <c r="M74" s="439" t="str">
        <f t="shared" si="6"/>
        <v/>
      </c>
      <c r="N74" s="441" t="str">
        <f t="shared" si="0"/>
        <v/>
      </c>
      <c r="O74" s="440"/>
    </row>
    <row r="75" spans="1:15" s="237" customFormat="1" ht="15" hidden="1" customHeight="1" outlineLevel="2" x14ac:dyDescent="0.25">
      <c r="A75" s="363"/>
      <c r="B75" s="915"/>
      <c r="C75" s="915"/>
      <c r="D75" s="1268"/>
      <c r="E75" s="1268"/>
      <c r="F75" s="438"/>
      <c r="G75" s="1105" t="str">
        <f>IF(D75="","",VLOOKUP(D75,'Fatores de Emissão'!$C$82:$D$104,2,FALSE))</f>
        <v/>
      </c>
      <c r="H75" s="439" t="str">
        <f>IF(OR($D75="",$D75="-"),"",VLOOKUP($D75,'Fatores de Emissão'!$C$82:$J$97,6,FALSE))</f>
        <v/>
      </c>
      <c r="I75" s="439" t="str">
        <f>IF(OR($D75="",$D75="-"),"",VLOOKUP($D75,'Fatores de Emissão'!$C$82:$J$97,7,FALSE))</f>
        <v/>
      </c>
      <c r="J75" s="439" t="str">
        <f>IF(OR($D75="",$D75="-"),"",VLOOKUP($D75,'Fatores de Emissão'!$C$82:$J$97,8,FALSE))</f>
        <v/>
      </c>
      <c r="K75" s="439" t="str">
        <f t="shared" si="4"/>
        <v/>
      </c>
      <c r="L75" s="439" t="str">
        <f t="shared" si="5"/>
        <v/>
      </c>
      <c r="M75" s="439" t="str">
        <f t="shared" si="6"/>
        <v/>
      </c>
      <c r="N75" s="441" t="str">
        <f t="shared" si="0"/>
        <v/>
      </c>
      <c r="O75" s="440"/>
    </row>
    <row r="76" spans="1:15" s="237" customFormat="1" ht="15" hidden="1" customHeight="1" outlineLevel="2" x14ac:dyDescent="0.25">
      <c r="A76" s="363"/>
      <c r="B76" s="915"/>
      <c r="C76" s="915"/>
      <c r="D76" s="1268"/>
      <c r="E76" s="1268"/>
      <c r="F76" s="438"/>
      <c r="G76" s="1105" t="str">
        <f>IF(D76="","",VLOOKUP(D76,'Fatores de Emissão'!$C$82:$D$104,2,FALSE))</f>
        <v/>
      </c>
      <c r="H76" s="439" t="str">
        <f>IF(OR($D76="",$D76="-"),"",VLOOKUP($D76,'Fatores de Emissão'!$C$82:$J$97,6,FALSE))</f>
        <v/>
      </c>
      <c r="I76" s="439" t="str">
        <f>IF(OR($D76="",$D76="-"),"",VLOOKUP($D76,'Fatores de Emissão'!$C$82:$J$97,7,FALSE))</f>
        <v/>
      </c>
      <c r="J76" s="439" t="str">
        <f>IF(OR($D76="",$D76="-"),"",VLOOKUP($D76,'Fatores de Emissão'!$C$82:$J$97,8,FALSE))</f>
        <v/>
      </c>
      <c r="K76" s="439" t="str">
        <f t="shared" si="4"/>
        <v/>
      </c>
      <c r="L76" s="439" t="str">
        <f t="shared" si="5"/>
        <v/>
      </c>
      <c r="M76" s="439" t="str">
        <f t="shared" si="6"/>
        <v/>
      </c>
      <c r="N76" s="441" t="str">
        <f t="shared" si="0"/>
        <v/>
      </c>
      <c r="O76" s="440"/>
    </row>
    <row r="77" spans="1:15" s="237" customFormat="1" ht="15" hidden="1" customHeight="1" outlineLevel="2" x14ac:dyDescent="0.25">
      <c r="A77" s="363"/>
      <c r="B77" s="915"/>
      <c r="C77" s="915"/>
      <c r="D77" s="1268"/>
      <c r="E77" s="1268"/>
      <c r="F77" s="438"/>
      <c r="G77" s="1105" t="str">
        <f>IF(D77="","",VLOOKUP(D77,'Fatores de Emissão'!$C$82:$D$104,2,FALSE))</f>
        <v/>
      </c>
      <c r="H77" s="439" t="str">
        <f>IF(OR($D77="",$D77="-"),"",VLOOKUP($D77,'Fatores de Emissão'!$C$82:$J$97,6,FALSE))</f>
        <v/>
      </c>
      <c r="I77" s="439" t="str">
        <f>IF(OR($D77="",$D77="-"),"",VLOOKUP($D77,'Fatores de Emissão'!$C$82:$J$97,7,FALSE))</f>
        <v/>
      </c>
      <c r="J77" s="439" t="str">
        <f>IF(OR($D77="",$D77="-"),"",VLOOKUP($D77,'Fatores de Emissão'!$C$82:$J$97,8,FALSE))</f>
        <v/>
      </c>
      <c r="K77" s="439" t="str">
        <f t="shared" si="4"/>
        <v/>
      </c>
      <c r="L77" s="439" t="str">
        <f t="shared" si="5"/>
        <v/>
      </c>
      <c r="M77" s="439" t="str">
        <f t="shared" si="6"/>
        <v/>
      </c>
      <c r="N77" s="441" t="str">
        <f t="shared" si="0"/>
        <v/>
      </c>
      <c r="O77" s="440"/>
    </row>
    <row r="78" spans="1:15" s="237" customFormat="1" ht="15" hidden="1" customHeight="1" outlineLevel="2" x14ac:dyDescent="0.25">
      <c r="A78" s="363"/>
      <c r="B78" s="915"/>
      <c r="C78" s="915"/>
      <c r="D78" s="1268"/>
      <c r="E78" s="1268"/>
      <c r="F78" s="438"/>
      <c r="G78" s="1105" t="str">
        <f>IF(D78="","",VLOOKUP(D78,'Fatores de Emissão'!$C$82:$D$104,2,FALSE))</f>
        <v/>
      </c>
      <c r="H78" s="439" t="str">
        <f>IF(OR($D78="",$D78="-"),"",VLOOKUP($D78,'Fatores de Emissão'!$C$82:$J$97,6,FALSE))</f>
        <v/>
      </c>
      <c r="I78" s="439" t="str">
        <f>IF(OR($D78="",$D78="-"),"",VLOOKUP($D78,'Fatores de Emissão'!$C$82:$J$97,7,FALSE))</f>
        <v/>
      </c>
      <c r="J78" s="439" t="str">
        <f>IF(OR($D78="",$D78="-"),"",VLOOKUP($D78,'Fatores de Emissão'!$C$82:$J$97,8,FALSE))</f>
        <v/>
      </c>
      <c r="K78" s="439" t="str">
        <f t="shared" si="4"/>
        <v/>
      </c>
      <c r="L78" s="439" t="str">
        <f t="shared" si="5"/>
        <v/>
      </c>
      <c r="M78" s="439" t="str">
        <f t="shared" si="6"/>
        <v/>
      </c>
      <c r="N78" s="441" t="str">
        <f t="shared" si="0"/>
        <v/>
      </c>
      <c r="O78" s="440"/>
    </row>
    <row r="79" spans="1:15" s="237" customFormat="1" ht="15" hidden="1" customHeight="1" outlineLevel="2" x14ac:dyDescent="0.25">
      <c r="A79" s="363"/>
      <c r="B79" s="915"/>
      <c r="C79" s="915"/>
      <c r="D79" s="1268"/>
      <c r="E79" s="1268"/>
      <c r="F79" s="438"/>
      <c r="G79" s="1105" t="str">
        <f>IF(D79="","",VLOOKUP(D79,'Fatores de Emissão'!$C$82:$D$104,2,FALSE))</f>
        <v/>
      </c>
      <c r="H79" s="439" t="str">
        <f>IF(OR($D79="",$D79="-"),"",VLOOKUP($D79,'Fatores de Emissão'!$C$82:$J$97,6,FALSE))</f>
        <v/>
      </c>
      <c r="I79" s="439" t="str">
        <f>IF(OR($D79="",$D79="-"),"",VLOOKUP($D79,'Fatores de Emissão'!$C$82:$J$97,7,FALSE))</f>
        <v/>
      </c>
      <c r="J79" s="439" t="str">
        <f>IF(OR($D79="",$D79="-"),"",VLOOKUP($D79,'Fatores de Emissão'!$C$82:$J$97,8,FALSE))</f>
        <v/>
      </c>
      <c r="K79" s="439" t="str">
        <f t="shared" si="4"/>
        <v/>
      </c>
      <c r="L79" s="439" t="str">
        <f t="shared" si="5"/>
        <v/>
      </c>
      <c r="M79" s="439" t="str">
        <f t="shared" si="6"/>
        <v/>
      </c>
      <c r="N79" s="441" t="str">
        <f t="shared" si="0"/>
        <v/>
      </c>
      <c r="O79" s="440"/>
    </row>
    <row r="80" spans="1:15" s="237" customFormat="1" ht="15" hidden="1" customHeight="1" outlineLevel="2" x14ac:dyDescent="0.25">
      <c r="A80" s="363"/>
      <c r="B80" s="915"/>
      <c r="C80" s="915"/>
      <c r="D80" s="1268"/>
      <c r="E80" s="1268"/>
      <c r="F80" s="438"/>
      <c r="G80" s="1105" t="str">
        <f>IF(D80="","",VLOOKUP(D80,'Fatores de Emissão'!$C$82:$D$104,2,FALSE))</f>
        <v/>
      </c>
      <c r="H80" s="439" t="str">
        <f>IF(OR($D80="",$D80="-"),"",VLOOKUP($D80,'Fatores de Emissão'!$C$82:$J$97,6,FALSE))</f>
        <v/>
      </c>
      <c r="I80" s="439" t="str">
        <f>IF(OR($D80="",$D80="-"),"",VLOOKUP($D80,'Fatores de Emissão'!$C$82:$J$97,7,FALSE))</f>
        <v/>
      </c>
      <c r="J80" s="439" t="str">
        <f>IF(OR($D80="",$D80="-"),"",VLOOKUP($D80,'Fatores de Emissão'!$C$82:$J$97,8,FALSE))</f>
        <v/>
      </c>
      <c r="K80" s="439" t="str">
        <f t="shared" si="4"/>
        <v/>
      </c>
      <c r="L80" s="439" t="str">
        <f t="shared" si="5"/>
        <v/>
      </c>
      <c r="M80" s="439" t="str">
        <f t="shared" si="6"/>
        <v/>
      </c>
      <c r="N80" s="441" t="str">
        <f t="shared" si="0"/>
        <v/>
      </c>
      <c r="O80" s="440"/>
    </row>
    <row r="81" spans="1:28" s="237" customFormat="1" ht="15" hidden="1" customHeight="1" outlineLevel="2" x14ac:dyDescent="0.25">
      <c r="A81" s="363"/>
      <c r="B81" s="915"/>
      <c r="C81" s="915"/>
      <c r="D81" s="1268"/>
      <c r="E81" s="1268"/>
      <c r="F81" s="438"/>
      <c r="G81" s="1105" t="str">
        <f>IF(D81="","",VLOOKUP(D81,'Fatores de Emissão'!$C$82:$D$104,2,FALSE))</f>
        <v/>
      </c>
      <c r="H81" s="439" t="str">
        <f>IF(OR($D81="",$D81="-"),"",VLOOKUP($D81,'Fatores de Emissão'!$C$82:$J$97,6,FALSE))</f>
        <v/>
      </c>
      <c r="I81" s="439" t="str">
        <f>IF(OR($D81="",$D81="-"),"",VLOOKUP($D81,'Fatores de Emissão'!$C$82:$J$97,7,FALSE))</f>
        <v/>
      </c>
      <c r="J81" s="439" t="str">
        <f>IF(OR($D81="",$D81="-"),"",VLOOKUP($D81,'Fatores de Emissão'!$C$82:$J$97,8,FALSE))</f>
        <v/>
      </c>
      <c r="K81" s="439" t="str">
        <f t="shared" si="4"/>
        <v/>
      </c>
      <c r="L81" s="439" t="str">
        <f t="shared" si="5"/>
        <v/>
      </c>
      <c r="M81" s="439" t="str">
        <f t="shared" si="6"/>
        <v/>
      </c>
      <c r="N81" s="441" t="str">
        <f t="shared" si="0"/>
        <v/>
      </c>
      <c r="O81" s="440"/>
    </row>
    <row r="82" spans="1:28" s="237" customFormat="1" ht="15" hidden="1" customHeight="1" outlineLevel="2" x14ac:dyDescent="0.25">
      <c r="A82" s="363"/>
      <c r="B82" s="915"/>
      <c r="C82" s="915"/>
      <c r="D82" s="1268"/>
      <c r="E82" s="1268"/>
      <c r="F82" s="438"/>
      <c r="G82" s="1105" t="str">
        <f>IF(D82="","",VLOOKUP(D82,'Fatores de Emissão'!$C$82:$D$104,2,FALSE))</f>
        <v/>
      </c>
      <c r="H82" s="439" t="str">
        <f>IF(OR($D82="",$D82="-"),"",VLOOKUP($D82,'Fatores de Emissão'!$C$82:$J$97,6,FALSE))</f>
        <v/>
      </c>
      <c r="I82" s="439" t="str">
        <f>IF(OR($D82="",$D82="-"),"",VLOOKUP($D82,'Fatores de Emissão'!$C$82:$J$97,7,FALSE))</f>
        <v/>
      </c>
      <c r="J82" s="439" t="str">
        <f>IF(OR($D82="",$D82="-"),"",VLOOKUP($D82,'Fatores de Emissão'!$C$82:$J$97,8,FALSE))</f>
        <v/>
      </c>
      <c r="K82" s="439" t="str">
        <f t="shared" si="4"/>
        <v/>
      </c>
      <c r="L82" s="439" t="str">
        <f t="shared" si="5"/>
        <v/>
      </c>
      <c r="M82" s="439" t="str">
        <f t="shared" si="6"/>
        <v/>
      </c>
      <c r="N82" s="441" t="str">
        <f t="shared" si="0"/>
        <v/>
      </c>
      <c r="O82" s="440"/>
    </row>
    <row r="83" spans="1:28" s="237" customFormat="1" ht="15" hidden="1" customHeight="1" outlineLevel="2" x14ac:dyDescent="0.25">
      <c r="A83" s="363"/>
      <c r="B83" s="915"/>
      <c r="C83" s="915"/>
      <c r="D83" s="1268"/>
      <c r="E83" s="1268"/>
      <c r="F83" s="438"/>
      <c r="G83" s="1105" t="str">
        <f>IF(D83="","",VLOOKUP(D83,'Fatores de Emissão'!$C$82:$D$104,2,FALSE))</f>
        <v/>
      </c>
      <c r="H83" s="439" t="str">
        <f>IF(OR($D83="",$D83="-"),"",VLOOKUP($D83,'Fatores de Emissão'!$C$82:$J$97,6,FALSE))</f>
        <v/>
      </c>
      <c r="I83" s="439" t="str">
        <f>IF(OR($D83="",$D83="-"),"",VLOOKUP($D83,'Fatores de Emissão'!$C$82:$J$97,7,FALSE))</f>
        <v/>
      </c>
      <c r="J83" s="439" t="str">
        <f>IF(OR($D83="",$D83="-"),"",VLOOKUP($D83,'Fatores de Emissão'!$C$82:$J$97,8,FALSE))</f>
        <v/>
      </c>
      <c r="K83" s="439" t="str">
        <f t="shared" si="4"/>
        <v/>
      </c>
      <c r="L83" s="439" t="str">
        <f t="shared" si="5"/>
        <v/>
      </c>
      <c r="M83" s="439" t="str">
        <f t="shared" si="6"/>
        <v/>
      </c>
      <c r="N83" s="441" t="str">
        <f t="shared" si="0"/>
        <v/>
      </c>
      <c r="O83" s="440"/>
    </row>
    <row r="84" spans="1:28" s="237" customFormat="1" ht="15" hidden="1" customHeight="1" outlineLevel="2" x14ac:dyDescent="0.25">
      <c r="A84" s="363"/>
      <c r="B84" s="915"/>
      <c r="C84" s="915"/>
      <c r="D84" s="1268"/>
      <c r="E84" s="1268"/>
      <c r="F84" s="438"/>
      <c r="G84" s="1105" t="str">
        <f>IF(D84="","",VLOOKUP(D84,'Fatores de Emissão'!$C$82:$D$104,2,FALSE))</f>
        <v/>
      </c>
      <c r="H84" s="439" t="str">
        <f>IF(OR($D84="",$D84="-"),"",VLOOKUP($D84,'Fatores de Emissão'!$C$82:$J$97,6,FALSE))</f>
        <v/>
      </c>
      <c r="I84" s="439" t="str">
        <f>IF(OR($D84="",$D84="-"),"",VLOOKUP($D84,'Fatores de Emissão'!$C$82:$J$97,7,FALSE))</f>
        <v/>
      </c>
      <c r="J84" s="439" t="str">
        <f>IF(OR($D84="",$D84="-"),"",VLOOKUP($D84,'Fatores de Emissão'!$C$82:$J$97,8,FALSE))</f>
        <v/>
      </c>
      <c r="K84" s="439" t="str">
        <f t="shared" si="4"/>
        <v/>
      </c>
      <c r="L84" s="439" t="str">
        <f t="shared" si="5"/>
        <v/>
      </c>
      <c r="M84" s="439" t="str">
        <f t="shared" si="6"/>
        <v/>
      </c>
      <c r="N84" s="441" t="str">
        <f t="shared" si="0"/>
        <v/>
      </c>
      <c r="O84" s="440"/>
    </row>
    <row r="85" spans="1:28" s="237" customFormat="1" ht="15" hidden="1" customHeight="1" outlineLevel="2" x14ac:dyDescent="0.25">
      <c r="A85" s="363"/>
      <c r="B85" s="915"/>
      <c r="C85" s="915"/>
      <c r="D85" s="1268"/>
      <c r="E85" s="1268"/>
      <c r="F85" s="438"/>
      <c r="G85" s="1105" t="str">
        <f>IF(D85="","",VLOOKUP(D85,'Fatores de Emissão'!$C$82:$D$104,2,FALSE))</f>
        <v/>
      </c>
      <c r="H85" s="439" t="str">
        <f>IF(OR($D85="",$D85="-"),"",VLOOKUP($D85,'Fatores de Emissão'!$C$82:$J$97,6,FALSE))</f>
        <v/>
      </c>
      <c r="I85" s="439" t="str">
        <f>IF(OR($D85="",$D85="-"),"",VLOOKUP($D85,'Fatores de Emissão'!$C$82:$J$97,7,FALSE))</f>
        <v/>
      </c>
      <c r="J85" s="439" t="str">
        <f>IF(OR($D85="",$D85="-"),"",VLOOKUP($D85,'Fatores de Emissão'!$C$82:$J$97,8,FALSE))</f>
        <v/>
      </c>
      <c r="K85" s="439" t="str">
        <f t="shared" si="4"/>
        <v/>
      </c>
      <c r="L85" s="439" t="str">
        <f t="shared" si="5"/>
        <v/>
      </c>
      <c r="M85" s="439" t="str">
        <f t="shared" si="6"/>
        <v/>
      </c>
      <c r="N85" s="441" t="str">
        <f t="shared" si="0"/>
        <v/>
      </c>
      <c r="O85" s="440"/>
    </row>
    <row r="86" spans="1:28" s="237" customFormat="1" ht="15" hidden="1" customHeight="1" outlineLevel="2" x14ac:dyDescent="0.25">
      <c r="A86" s="363"/>
      <c r="B86" s="915"/>
      <c r="C86" s="915"/>
      <c r="D86" s="1268"/>
      <c r="E86" s="1268"/>
      <c r="F86" s="438"/>
      <c r="G86" s="1105" t="str">
        <f>IF(D86="","",VLOOKUP(D86,'Fatores de Emissão'!$C$82:$D$104,2,FALSE))</f>
        <v/>
      </c>
      <c r="H86" s="439" t="str">
        <f>IF(OR($D86="",$D86="-"),"",VLOOKUP($D86,'Fatores de Emissão'!$C$82:$J$97,6,FALSE))</f>
        <v/>
      </c>
      <c r="I86" s="439" t="str">
        <f>IF(OR($D86="",$D86="-"),"",VLOOKUP($D86,'Fatores de Emissão'!$C$82:$J$97,7,FALSE))</f>
        <v/>
      </c>
      <c r="J86" s="439" t="str">
        <f>IF(OR($D86="",$D86="-"),"",VLOOKUP($D86,'Fatores de Emissão'!$C$82:$J$97,8,FALSE))</f>
        <v/>
      </c>
      <c r="K86" s="439" t="str">
        <f t="shared" si="4"/>
        <v/>
      </c>
      <c r="L86" s="439" t="str">
        <f t="shared" si="5"/>
        <v/>
      </c>
      <c r="M86" s="439" t="str">
        <f t="shared" si="6"/>
        <v/>
      </c>
      <c r="N86" s="441" t="str">
        <f t="shared" si="0"/>
        <v/>
      </c>
      <c r="O86" s="440"/>
    </row>
    <row r="87" spans="1:28" s="237" customFormat="1" ht="15" hidden="1" customHeight="1" outlineLevel="2" x14ac:dyDescent="0.25">
      <c r="A87" s="363"/>
      <c r="B87" s="915"/>
      <c r="C87" s="915"/>
      <c r="D87" s="1268"/>
      <c r="E87" s="1268"/>
      <c r="F87" s="438"/>
      <c r="G87" s="1105" t="str">
        <f>IF(D87="","",VLOOKUP(D87,'Fatores de Emissão'!$C$82:$D$104,2,FALSE))</f>
        <v/>
      </c>
      <c r="H87" s="439" t="str">
        <f>IF(OR($D87="",$D87="-"),"",VLOOKUP($D87,'Fatores de Emissão'!$C$82:$J$97,6,FALSE))</f>
        <v/>
      </c>
      <c r="I87" s="439" t="str">
        <f>IF(OR($D87="",$D87="-"),"",VLOOKUP($D87,'Fatores de Emissão'!$C$82:$J$97,7,FALSE))</f>
        <v/>
      </c>
      <c r="J87" s="439" t="str">
        <f>IF(OR($D87="",$D87="-"),"",VLOOKUP($D87,'Fatores de Emissão'!$C$82:$J$97,8,FALSE))</f>
        <v/>
      </c>
      <c r="K87" s="439" t="str">
        <f t="shared" si="4"/>
        <v/>
      </c>
      <c r="L87" s="439" t="str">
        <f t="shared" si="5"/>
        <v/>
      </c>
      <c r="M87" s="439" t="str">
        <f t="shared" si="6"/>
        <v/>
      </c>
      <c r="N87" s="441" t="str">
        <f t="shared" si="0"/>
        <v/>
      </c>
      <c r="O87" s="440"/>
    </row>
    <row r="88" spans="1:28" s="237" customFormat="1" ht="15" hidden="1" customHeight="1" outlineLevel="2" x14ac:dyDescent="0.25">
      <c r="A88" s="363"/>
      <c r="B88" s="915"/>
      <c r="C88" s="915"/>
      <c r="D88" s="1268"/>
      <c r="E88" s="1268"/>
      <c r="F88" s="438"/>
      <c r="G88" s="1105" t="str">
        <f>IF(D88="","",VLOOKUP(D88,'Fatores de Emissão'!$C$82:$D$104,2,FALSE))</f>
        <v/>
      </c>
      <c r="H88" s="439" t="str">
        <f>IF(OR($D88="",$D88="-"),"",VLOOKUP($D88,'Fatores de Emissão'!$C$82:$J$97,6,FALSE))</f>
        <v/>
      </c>
      <c r="I88" s="439" t="str">
        <f>IF(OR($D88="",$D88="-"),"",VLOOKUP($D88,'Fatores de Emissão'!$C$82:$J$97,7,FALSE))</f>
        <v/>
      </c>
      <c r="J88" s="439" t="str">
        <f>IF(OR($D88="",$D88="-"),"",VLOOKUP($D88,'Fatores de Emissão'!$C$82:$J$97,8,FALSE))</f>
        <v/>
      </c>
      <c r="K88" s="439" t="str">
        <f t="shared" si="4"/>
        <v/>
      </c>
      <c r="L88" s="439" t="str">
        <f t="shared" si="5"/>
        <v/>
      </c>
      <c r="M88" s="439" t="str">
        <f t="shared" si="6"/>
        <v/>
      </c>
      <c r="N88" s="441" t="str">
        <f t="shared" si="0"/>
        <v/>
      </c>
      <c r="O88" s="440"/>
    </row>
    <row r="89" spans="1:28" s="237" customFormat="1" ht="15" hidden="1" customHeight="1" outlineLevel="2" x14ac:dyDescent="0.25">
      <c r="A89" s="363"/>
      <c r="B89" s="915"/>
      <c r="C89" s="915"/>
      <c r="D89" s="1268"/>
      <c r="E89" s="1268"/>
      <c r="F89" s="438"/>
      <c r="G89" s="1105" t="str">
        <f>IF(D89="","",VLOOKUP(D89,'Fatores de Emissão'!$C$82:$D$104,2,FALSE))</f>
        <v/>
      </c>
      <c r="H89" s="439" t="str">
        <f>IF(OR($D89="",$D89="-"),"",VLOOKUP($D89,'Fatores de Emissão'!$C$82:$J$97,6,FALSE))</f>
        <v/>
      </c>
      <c r="I89" s="439" t="str">
        <f>IF(OR($D89="",$D89="-"),"",VLOOKUP($D89,'Fatores de Emissão'!$C$82:$J$97,7,FALSE))</f>
        <v/>
      </c>
      <c r="J89" s="439" t="str">
        <f>IF(OR($D89="",$D89="-"),"",VLOOKUP($D89,'Fatores de Emissão'!$C$82:$J$97,8,FALSE))</f>
        <v/>
      </c>
      <c r="K89" s="439" t="str">
        <f t="shared" si="4"/>
        <v/>
      </c>
      <c r="L89" s="439" t="str">
        <f t="shared" si="5"/>
        <v/>
      </c>
      <c r="M89" s="439" t="str">
        <f t="shared" si="6"/>
        <v/>
      </c>
      <c r="N89" s="441" t="str">
        <f t="shared" si="0"/>
        <v/>
      </c>
      <c r="O89" s="440"/>
    </row>
    <row r="90" spans="1:28" s="237" customFormat="1" ht="15" hidden="1" customHeight="1" outlineLevel="2" x14ac:dyDescent="0.25">
      <c r="A90" s="363"/>
      <c r="B90" s="915"/>
      <c r="C90" s="915"/>
      <c r="D90" s="1268"/>
      <c r="E90" s="1268"/>
      <c r="F90" s="438"/>
      <c r="G90" s="1105" t="str">
        <f>IF(D90="","",VLOOKUP(D90,'Fatores de Emissão'!$C$82:$D$104,2,FALSE))</f>
        <v/>
      </c>
      <c r="H90" s="439" t="str">
        <f>IF(OR($D90="",$D90="-"),"",VLOOKUP($D90,'Fatores de Emissão'!$C$82:$J$97,6,FALSE))</f>
        <v/>
      </c>
      <c r="I90" s="439" t="str">
        <f>IF(OR($D90="",$D90="-"),"",VLOOKUP($D90,'Fatores de Emissão'!$C$82:$J$97,7,FALSE))</f>
        <v/>
      </c>
      <c r="J90" s="439" t="str">
        <f>IF(OR($D90="",$D90="-"),"",VLOOKUP($D90,'Fatores de Emissão'!$C$82:$J$97,8,FALSE))</f>
        <v/>
      </c>
      <c r="K90" s="439" t="str">
        <f t="shared" si="4"/>
        <v/>
      </c>
      <c r="L90" s="439" t="str">
        <f t="shared" si="5"/>
        <v/>
      </c>
      <c r="M90" s="439" t="str">
        <f t="shared" si="6"/>
        <v/>
      </c>
      <c r="N90" s="441" t="str">
        <f t="shared" si="0"/>
        <v/>
      </c>
      <c r="O90" s="440"/>
    </row>
    <row r="91" spans="1:28" s="237" customFormat="1" ht="15" hidden="1" customHeight="1" outlineLevel="2" x14ac:dyDescent="0.25">
      <c r="A91" s="363"/>
      <c r="B91" s="915"/>
      <c r="C91" s="915"/>
      <c r="D91" s="1268"/>
      <c r="E91" s="1268"/>
      <c r="F91" s="438"/>
      <c r="G91" s="1105" t="str">
        <f>IF(D91="","",VLOOKUP(D91,'Fatores de Emissão'!$C$82:$D$104,2,FALSE))</f>
        <v/>
      </c>
      <c r="H91" s="439" t="str">
        <f>IF(OR($D91="",$D91="-"),"",VLOOKUP($D91,'Fatores de Emissão'!$C$82:$J$97,6,FALSE))</f>
        <v/>
      </c>
      <c r="I91" s="439" t="str">
        <f>IF(OR($D91="",$D91="-"),"",VLOOKUP($D91,'Fatores de Emissão'!$C$82:$J$97,7,FALSE))</f>
        <v/>
      </c>
      <c r="J91" s="439" t="str">
        <f>IF(OR($D91="",$D91="-"),"",VLOOKUP($D91,'Fatores de Emissão'!$C$82:$J$97,8,FALSE))</f>
        <v/>
      </c>
      <c r="K91" s="439" t="str">
        <f t="shared" si="4"/>
        <v/>
      </c>
      <c r="L91" s="439" t="str">
        <f t="shared" si="5"/>
        <v/>
      </c>
      <c r="M91" s="439" t="str">
        <f t="shared" si="6"/>
        <v/>
      </c>
      <c r="N91" s="441" t="str">
        <f t="shared" si="0"/>
        <v/>
      </c>
      <c r="O91" s="440"/>
    </row>
    <row r="92" spans="1:28" s="237" customFormat="1" ht="15" hidden="1" customHeight="1" outlineLevel="2" x14ac:dyDescent="0.25">
      <c r="A92" s="363"/>
      <c r="B92" s="915"/>
      <c r="C92" s="915"/>
      <c r="D92" s="1268"/>
      <c r="E92" s="1268"/>
      <c r="F92" s="438"/>
      <c r="G92" s="1105" t="str">
        <f>IF(D92="","",VLOOKUP(D92,'Fatores de Emissão'!$C$82:$D$104,2,FALSE))</f>
        <v/>
      </c>
      <c r="H92" s="439" t="str">
        <f>IF(OR($D92="",$D92="-"),"",VLOOKUP($D92,'Fatores de Emissão'!$C$82:$J$97,6,FALSE))</f>
        <v/>
      </c>
      <c r="I92" s="439" t="str">
        <f>IF(OR($D92="",$D92="-"),"",VLOOKUP($D92,'Fatores de Emissão'!$C$82:$J$97,7,FALSE))</f>
        <v/>
      </c>
      <c r="J92" s="439" t="str">
        <f>IF(OR($D92="",$D92="-"),"",VLOOKUP($D92,'Fatores de Emissão'!$C$82:$J$97,8,FALSE))</f>
        <v/>
      </c>
      <c r="K92" s="439" t="str">
        <f>IF(D92="","",IF(F92="",0,H92*$F92/1000))</f>
        <v/>
      </c>
      <c r="L92" s="439" t="str">
        <f>IF(D92="","",IF(F92="",0,I92*$F92/1000))</f>
        <v/>
      </c>
      <c r="M92" s="439" t="str">
        <f>IF(D92="","",IF(F92="",0,J92*$F92/1000))</f>
        <v/>
      </c>
      <c r="N92" s="441" t="str">
        <f t="shared" si="0"/>
        <v/>
      </c>
      <c r="O92" s="440"/>
    </row>
    <row r="93" spans="1:28" s="237" customFormat="1" ht="15" hidden="1" customHeight="1" outlineLevel="2" x14ac:dyDescent="0.25">
      <c r="A93" s="363"/>
      <c r="B93" s="915"/>
      <c r="C93" s="915"/>
      <c r="D93" s="1268"/>
      <c r="E93" s="1268"/>
      <c r="F93" s="438"/>
      <c r="G93" s="1105" t="str">
        <f>IF(D93="","",VLOOKUP(D93,'Fatores de Emissão'!$C$82:$D$104,2,FALSE))</f>
        <v/>
      </c>
      <c r="H93" s="439" t="str">
        <f>IF(OR($D93="",$D93="-"),"",VLOOKUP($D93,'Fatores de Emissão'!$C$82:$J$97,6,FALSE))</f>
        <v/>
      </c>
      <c r="I93" s="439" t="str">
        <f>IF(OR($D93="",$D93="-"),"",VLOOKUP($D93,'Fatores de Emissão'!$C$82:$J$97,7,FALSE))</f>
        <v/>
      </c>
      <c r="J93" s="439" t="str">
        <f>IF(OR($D93="",$D93="-"),"",VLOOKUP($D93,'Fatores de Emissão'!$C$82:$J$97,8,FALSE))</f>
        <v/>
      </c>
      <c r="K93" s="439" t="str">
        <f t="shared" ref="K93" si="7">IF(D93="","",IF(F93="",0,H93*$F93/1000))</f>
        <v/>
      </c>
      <c r="L93" s="439" t="str">
        <f t="shared" ref="L93" si="8">IF(D93="","",IF(F93="",0,I93*$F93/1000))</f>
        <v/>
      </c>
      <c r="M93" s="439" t="str">
        <f t="shared" ref="M93" si="9">IF(D93="","",IF(F93="",0,J93*$F93/1000))</f>
        <v/>
      </c>
      <c r="N93" s="441" t="str">
        <f t="shared" si="0"/>
        <v/>
      </c>
      <c r="O93" s="440"/>
    </row>
    <row r="94" spans="1:28" s="237" customFormat="1" ht="15" customHeight="1" outlineLevel="1" x14ac:dyDescent="0.25">
      <c r="A94" s="363"/>
      <c r="B94" s="373"/>
      <c r="C94" s="373"/>
      <c r="D94" s="442"/>
      <c r="E94" s="442"/>
      <c r="F94" s="373"/>
      <c r="G94" s="373"/>
      <c r="H94" s="1243" t="s">
        <v>78</v>
      </c>
      <c r="I94" s="1243"/>
      <c r="J94" s="1243"/>
      <c r="K94" s="443">
        <f>SUM(K44:K93)</f>
        <v>0</v>
      </c>
      <c r="L94" s="443">
        <f>SUM(L44:L93)</f>
        <v>0</v>
      </c>
      <c r="M94" s="443">
        <f>SUM(M44:M93)</f>
        <v>0</v>
      </c>
      <c r="N94" s="443">
        <f>SUM(N44:N93)</f>
        <v>0</v>
      </c>
      <c r="O94" s="443">
        <f>SUM(O44:O93)</f>
        <v>0</v>
      </c>
    </row>
    <row r="95" spans="1:28" s="237" customFormat="1" ht="15" customHeight="1" outlineLevel="1" x14ac:dyDescent="0.25">
      <c r="A95" s="363"/>
      <c r="B95" s="373"/>
      <c r="C95" s="373"/>
      <c r="D95" s="442"/>
      <c r="E95" s="442"/>
      <c r="F95" s="373"/>
      <c r="G95" s="373"/>
      <c r="H95" s="373"/>
      <c r="I95" s="373"/>
      <c r="J95" s="373"/>
      <c r="K95" s="373"/>
      <c r="L95" s="373"/>
      <c r="M95" s="373"/>
      <c r="N95" s="373"/>
      <c r="O95" s="373"/>
      <c r="P95" s="373"/>
      <c r="Q95" s="373"/>
      <c r="R95" s="373"/>
      <c r="S95" s="373"/>
      <c r="T95" s="373"/>
      <c r="U95" s="373"/>
      <c r="V95" s="363"/>
      <c r="W95" s="373"/>
      <c r="X95" s="373"/>
      <c r="Z95" s="373"/>
      <c r="AA95" s="373"/>
      <c r="AB95" s="373"/>
    </row>
    <row r="96" spans="1:28" s="237" customFormat="1" ht="15" customHeight="1" outlineLevel="1" x14ac:dyDescent="0.25">
      <c r="A96" s="363"/>
      <c r="B96" s="423" t="s">
        <v>1740</v>
      </c>
      <c r="C96" s="217"/>
      <c r="D96" s="442"/>
      <c r="E96" s="442"/>
      <c r="F96" s="373"/>
      <c r="G96" s="373"/>
      <c r="H96" s="373"/>
      <c r="I96" s="373"/>
      <c r="K96" s="373"/>
      <c r="L96" s="373"/>
      <c r="M96" s="373"/>
      <c r="N96" s="373"/>
      <c r="O96" s="373"/>
      <c r="P96" s="373"/>
      <c r="Q96" s="373"/>
      <c r="R96" s="373"/>
      <c r="S96" s="373"/>
      <c r="T96" s="373"/>
      <c r="U96" s="373"/>
      <c r="V96" s="363"/>
      <c r="W96" s="373"/>
      <c r="X96" s="373"/>
      <c r="Y96" s="373"/>
      <c r="Z96" s="373"/>
      <c r="AA96" s="373"/>
      <c r="AB96" s="373"/>
    </row>
    <row r="97" spans="1:28" s="237" customFormat="1" ht="15" customHeight="1" outlineLevel="1" x14ac:dyDescent="0.25">
      <c r="A97" s="363"/>
      <c r="B97" s="363"/>
      <c r="C97" s="217"/>
      <c r="D97" s="442"/>
      <c r="E97" s="442"/>
      <c r="F97" s="373"/>
      <c r="G97" s="373"/>
      <c r="H97" s="373"/>
      <c r="I97" s="373"/>
      <c r="K97" s="373"/>
      <c r="L97" s="373"/>
      <c r="M97" s="373"/>
      <c r="N97" s="373"/>
      <c r="O97" s="373"/>
      <c r="P97" s="373"/>
      <c r="Q97" s="373"/>
      <c r="R97" s="373"/>
      <c r="S97" s="373"/>
      <c r="T97" s="373"/>
      <c r="U97" s="373"/>
      <c r="V97" s="363"/>
      <c r="W97" s="373"/>
      <c r="X97" s="373"/>
      <c r="Y97" s="373"/>
      <c r="Z97" s="373"/>
      <c r="AA97" s="373"/>
      <c r="AB97" s="373"/>
    </row>
    <row r="98" spans="1:28" s="237" customFormat="1" ht="15" customHeight="1" outlineLevel="1" x14ac:dyDescent="0.25">
      <c r="A98" s="363"/>
      <c r="B98" s="217" t="s">
        <v>2067</v>
      </c>
      <c r="C98" s="217"/>
      <c r="D98" s="424"/>
      <c r="E98" s="424"/>
      <c r="F98" s="373"/>
      <c r="G98" s="373"/>
      <c r="H98" s="373"/>
      <c r="I98" s="373"/>
      <c r="J98" s="373"/>
      <c r="K98" s="373"/>
      <c r="L98" s="373"/>
      <c r="M98" s="373"/>
      <c r="N98" s="373"/>
      <c r="O98" s="373"/>
      <c r="P98" s="373"/>
      <c r="Q98" s="373"/>
      <c r="R98" s="373"/>
      <c r="S98" s="363"/>
      <c r="T98" s="363"/>
      <c r="U98" s="363"/>
      <c r="V98" s="363"/>
      <c r="W98" s="363"/>
      <c r="X98" s="363"/>
      <c r="Y98" s="363"/>
      <c r="Z98" s="363"/>
      <c r="AA98" s="363"/>
      <c r="AB98" s="363"/>
    </row>
    <row r="99" spans="1:28" s="237" customFormat="1" ht="15" customHeight="1" outlineLevel="1" x14ac:dyDescent="0.25">
      <c r="A99" s="363"/>
      <c r="B99" s="1267" t="s">
        <v>1860</v>
      </c>
      <c r="C99" s="1267" t="s">
        <v>1868</v>
      </c>
      <c r="D99" s="1267" t="s">
        <v>1870</v>
      </c>
      <c r="E99" s="1249" t="s">
        <v>1743</v>
      </c>
      <c r="F99" s="1249" t="s">
        <v>1861</v>
      </c>
      <c r="G99" s="1267" t="s">
        <v>2069</v>
      </c>
      <c r="H99" s="1284" t="s">
        <v>586</v>
      </c>
      <c r="I99" s="1285"/>
      <c r="J99" s="1255"/>
      <c r="K99" s="1249" t="s">
        <v>1408</v>
      </c>
      <c r="L99" s="1249" t="s">
        <v>1409</v>
      </c>
      <c r="M99" s="1249" t="s">
        <v>1410</v>
      </c>
      <c r="N99" s="1249" t="s">
        <v>1411</v>
      </c>
      <c r="O99" s="1267" t="s">
        <v>1412</v>
      </c>
    </row>
    <row r="100" spans="1:28" s="237" customFormat="1" ht="14.25" customHeight="1" outlineLevel="1" x14ac:dyDescent="0.25">
      <c r="A100" s="363"/>
      <c r="B100" s="1267"/>
      <c r="C100" s="1267"/>
      <c r="D100" s="1267"/>
      <c r="E100" s="1266"/>
      <c r="F100" s="1266"/>
      <c r="G100" s="1267"/>
      <c r="H100" s="1286"/>
      <c r="I100" s="1287"/>
      <c r="J100" s="1256"/>
      <c r="K100" s="1266"/>
      <c r="L100" s="1266"/>
      <c r="M100" s="1266"/>
      <c r="N100" s="1266"/>
      <c r="O100" s="1267"/>
    </row>
    <row r="101" spans="1:28" s="237" customFormat="1" ht="21" customHeight="1" outlineLevel="1" x14ac:dyDescent="0.25">
      <c r="A101" s="363"/>
      <c r="B101" s="1267"/>
      <c r="C101" s="1267"/>
      <c r="D101" s="1267"/>
      <c r="E101" s="1250"/>
      <c r="F101" s="1250"/>
      <c r="G101" s="1267"/>
      <c r="H101" s="916" t="s">
        <v>1394</v>
      </c>
      <c r="I101" s="916" t="s">
        <v>1863</v>
      </c>
      <c r="J101" s="916" t="s">
        <v>1864</v>
      </c>
      <c r="K101" s="1250"/>
      <c r="L101" s="1250"/>
      <c r="M101" s="1250"/>
      <c r="N101" s="1250"/>
      <c r="O101" s="1267"/>
    </row>
    <row r="102" spans="1:28" s="237" customFormat="1" ht="19.5" customHeight="1" outlineLevel="1" x14ac:dyDescent="0.25">
      <c r="A102" s="427" t="s">
        <v>606</v>
      </c>
      <c r="B102" s="444" t="s">
        <v>607</v>
      </c>
      <c r="C102" s="445" t="s">
        <v>2068</v>
      </c>
      <c r="D102" s="445" t="s">
        <v>1669</v>
      </c>
      <c r="E102" s="446">
        <v>1000</v>
      </c>
      <c r="F102" s="1020"/>
      <c r="G102" s="447" t="s">
        <v>1544</v>
      </c>
      <c r="H102" s="1108">
        <v>0.82063338590271195</v>
      </c>
      <c r="I102" s="1108">
        <v>2.3973057242742353E-6</v>
      </c>
      <c r="J102" s="1108">
        <v>1.8493501301544103E-6</v>
      </c>
      <c r="K102" s="1108">
        <v>820.63338590271201</v>
      </c>
      <c r="L102" s="1108">
        <v>2.3973057242742354E-3</v>
      </c>
      <c r="M102" s="1108">
        <v>1.8493501301544103E-3</v>
      </c>
      <c r="N102" s="1157">
        <v>821.24442488460488</v>
      </c>
      <c r="O102" s="1143">
        <v>0</v>
      </c>
    </row>
    <row r="103" spans="1:28" s="237" customFormat="1" ht="15" customHeight="1" outlineLevel="1" x14ac:dyDescent="0.25">
      <c r="A103" s="363"/>
      <c r="B103" s="915"/>
      <c r="C103" s="436"/>
      <c r="D103" s="436"/>
      <c r="E103" s="438"/>
      <c r="F103" s="438"/>
      <c r="G103" s="1020" t="str">
        <f>IF(OR(D103="",D103="-"),"",VLOOKUP(D103,'Fatores de Emissão'!$E$114:$G$173,3,FALSE))</f>
        <v/>
      </c>
      <c r="H103" s="1110" t="str">
        <f>IF(OR($D103="",$D103="-"),"",VLOOKUP($D103,'Fatores de Emissão'!$E$117:$K$173,2,FALSE))</f>
        <v/>
      </c>
      <c r="I103" s="1110" t="str">
        <f>IF(OR($D103="",$D103="-"),"",VLOOKUP($D103,'Fatores de Emissão'!$E$117:$K$173,4,FALSE))</f>
        <v/>
      </c>
      <c r="J103" s="1110" t="str">
        <f>IF(OR($D103="",$D103="-"),"",VLOOKUP($D103,'Fatores de Emissão'!$E$117:$K$173,6,FALSE))</f>
        <v/>
      </c>
      <c r="K103" s="450" t="str">
        <f>IF($D103="","",IF($G103="kg/km",H103*$E103/1000,$E103*$F103*H103/1000))</f>
        <v/>
      </c>
      <c r="L103" s="450" t="str">
        <f>IF($D103="","",IF($G103="kg/km",I103*$E103/1000,$E103*$F103*I103/1000))</f>
        <v/>
      </c>
      <c r="M103" s="450" t="str">
        <f t="shared" ref="M103" si="10">IF($D103="","",IF($G103="kg/km",J103*$E103/1000,$E103*$F103*J103/1000))</f>
        <v/>
      </c>
      <c r="N103" s="441" t="str">
        <f t="shared" ref="N103:N134" si="11">IFERROR(K103*gwp_CO2+L103*gwp_CH4+M103*gwp_N2O,"")</f>
        <v/>
      </c>
      <c r="O103" s="440"/>
    </row>
    <row r="104" spans="1:28" s="237" customFormat="1" ht="15" customHeight="1" outlineLevel="1" x14ac:dyDescent="0.25">
      <c r="A104" s="363"/>
      <c r="B104" s="915"/>
      <c r="C104" s="436"/>
      <c r="D104" s="436"/>
      <c r="E104" s="438"/>
      <c r="F104" s="438"/>
      <c r="G104" s="1020" t="str">
        <f>IF(OR(D104="",D104="-"),"",VLOOKUP(D104,'Fatores de Emissão'!$E$114:$G$173,3,FALSE))</f>
        <v/>
      </c>
      <c r="H104" s="1110" t="str">
        <f>IF(OR($D104="",$D104="-"),"",VLOOKUP($D104,'Fatores de Emissão'!$E$117:$K$173,2,FALSE))</f>
        <v/>
      </c>
      <c r="I104" s="1110" t="str">
        <f>IF(OR($D104="",$D104="-"),"",VLOOKUP($D104,'Fatores de Emissão'!$E$117:$K$173,4,FALSE))</f>
        <v/>
      </c>
      <c r="J104" s="1110" t="str">
        <f>IF(OR($D104="",$D104="-"),"",VLOOKUP($D104,'Fatores de Emissão'!$E$117:$K$173,6,FALSE))</f>
        <v/>
      </c>
      <c r="K104" s="450" t="str">
        <f t="shared" ref="K104:K130" si="12">IF($D104="","",IF($G104="kg/km",H104*$E104/1000,$E104*$F104*H104/1000))</f>
        <v/>
      </c>
      <c r="L104" s="450" t="str">
        <f t="shared" ref="L104:L130" si="13">IF($D104="","",IF($G104="kg/km",I104*$E104/1000,$E104*$F104*I104/1000))</f>
        <v/>
      </c>
      <c r="M104" s="450" t="str">
        <f t="shared" ref="M104:M131" si="14">IF($D104="","",IF($G104="kg/km",J104*$E104/1000,$E104*$F104*J104/1000))</f>
        <v/>
      </c>
      <c r="N104" s="441" t="str">
        <f t="shared" si="11"/>
        <v/>
      </c>
      <c r="O104" s="440"/>
    </row>
    <row r="105" spans="1:28" s="237" customFormat="1" ht="15" customHeight="1" outlineLevel="1" x14ac:dyDescent="0.25">
      <c r="A105" s="363"/>
      <c r="B105" s="915"/>
      <c r="C105" s="436"/>
      <c r="D105" s="436"/>
      <c r="E105" s="438"/>
      <c r="F105" s="438"/>
      <c r="G105" s="1020" t="str">
        <f>IF(OR(D105="",D105="-"),"",VLOOKUP(D105,'Fatores de Emissão'!$E$114:$G$173,3,FALSE))</f>
        <v/>
      </c>
      <c r="H105" s="1110" t="str">
        <f>IF(OR($D105="",$D105="-"),"",VLOOKUP($D105,'Fatores de Emissão'!$E$117:$K$173,2,FALSE))</f>
        <v/>
      </c>
      <c r="I105" s="1110" t="str">
        <f>IF(OR($D105="",$D105="-"),"",VLOOKUP($D105,'Fatores de Emissão'!$E$117:$K$173,4,FALSE))</f>
        <v/>
      </c>
      <c r="J105" s="1110" t="str">
        <f>IF(OR($D105="",$D105="-"),"",VLOOKUP($D105,'Fatores de Emissão'!$E$117:$K$173,6,FALSE))</f>
        <v/>
      </c>
      <c r="K105" s="450" t="str">
        <f t="shared" si="12"/>
        <v/>
      </c>
      <c r="L105" s="450" t="str">
        <f t="shared" si="13"/>
        <v/>
      </c>
      <c r="M105" s="450" t="str">
        <f t="shared" si="14"/>
        <v/>
      </c>
      <c r="N105" s="441" t="str">
        <f t="shared" si="11"/>
        <v/>
      </c>
      <c r="O105" s="440"/>
    </row>
    <row r="106" spans="1:28" s="237" customFormat="1" ht="15" customHeight="1" outlineLevel="1" x14ac:dyDescent="0.25">
      <c r="A106" s="363"/>
      <c r="B106" s="915"/>
      <c r="C106" s="436"/>
      <c r="D106" s="436"/>
      <c r="E106" s="438"/>
      <c r="F106" s="438"/>
      <c r="G106" s="1020" t="str">
        <f>IF(OR(D106="",D106="-"),"",VLOOKUP(D106,'Fatores de Emissão'!$E$114:$G$173,3,FALSE))</f>
        <v/>
      </c>
      <c r="H106" s="1110" t="str">
        <f>IF(OR($D106="",$D106="-"),"",VLOOKUP($D106,'Fatores de Emissão'!$E$117:$K$173,2,FALSE))</f>
        <v/>
      </c>
      <c r="I106" s="1110" t="str">
        <f>IF(OR($D106="",$D106="-"),"",VLOOKUP($D106,'Fatores de Emissão'!$E$117:$K$173,4,FALSE))</f>
        <v/>
      </c>
      <c r="J106" s="1110" t="str">
        <f>IF(OR($D106="",$D106="-"),"",VLOOKUP($D106,'Fatores de Emissão'!$E$117:$K$173,6,FALSE))</f>
        <v/>
      </c>
      <c r="K106" s="450" t="str">
        <f t="shared" si="12"/>
        <v/>
      </c>
      <c r="L106" s="450" t="str">
        <f t="shared" si="13"/>
        <v/>
      </c>
      <c r="M106" s="450" t="str">
        <f t="shared" si="14"/>
        <v/>
      </c>
      <c r="N106" s="441" t="str">
        <f t="shared" si="11"/>
        <v/>
      </c>
      <c r="O106" s="440"/>
    </row>
    <row r="107" spans="1:28" s="237" customFormat="1" ht="15" customHeight="1" outlineLevel="1" x14ac:dyDescent="0.25">
      <c r="A107" s="363"/>
      <c r="B107" s="915"/>
      <c r="C107" s="436"/>
      <c r="D107" s="436"/>
      <c r="E107" s="438"/>
      <c r="F107" s="438"/>
      <c r="G107" s="1020" t="str">
        <f>IF(OR(D107="",D107="-"),"",VLOOKUP(D107,'Fatores de Emissão'!$E$114:$G$173,3,FALSE))</f>
        <v/>
      </c>
      <c r="H107" s="1110" t="str">
        <f>IF(OR($D107="",$D107="-"),"",VLOOKUP($D107,'Fatores de Emissão'!$E$117:$K$173,2,FALSE))</f>
        <v/>
      </c>
      <c r="I107" s="1110" t="str">
        <f>IF(OR($D107="",$D107="-"),"",VLOOKUP($D107,'Fatores de Emissão'!$E$117:$K$173,4,FALSE))</f>
        <v/>
      </c>
      <c r="J107" s="1110" t="str">
        <f>IF(OR($D107="",$D107="-"),"",VLOOKUP($D107,'Fatores de Emissão'!$E$117:$K$173,6,FALSE))</f>
        <v/>
      </c>
      <c r="K107" s="450" t="str">
        <f t="shared" si="12"/>
        <v/>
      </c>
      <c r="L107" s="450" t="str">
        <f t="shared" si="13"/>
        <v/>
      </c>
      <c r="M107" s="450" t="str">
        <f t="shared" si="14"/>
        <v/>
      </c>
      <c r="N107" s="441" t="str">
        <f t="shared" si="11"/>
        <v/>
      </c>
      <c r="O107" s="440"/>
    </row>
    <row r="108" spans="1:28" s="237" customFormat="1" ht="15" customHeight="1" outlineLevel="1" x14ac:dyDescent="0.25">
      <c r="A108" s="363"/>
      <c r="B108" s="915"/>
      <c r="C108" s="436"/>
      <c r="D108" s="436"/>
      <c r="E108" s="438"/>
      <c r="F108" s="438"/>
      <c r="G108" s="1020" t="str">
        <f>IF(OR(D108="",D108="-"),"",VLOOKUP(D108,'Fatores de Emissão'!$E$114:$G$173,3,FALSE))</f>
        <v/>
      </c>
      <c r="H108" s="1110" t="str">
        <f>IF(OR($D108="",$D108="-"),"",VLOOKUP($D108,'Fatores de Emissão'!$E$117:$K$173,2,FALSE))</f>
        <v/>
      </c>
      <c r="I108" s="1110" t="str">
        <f>IF(OR($D108="",$D108="-"),"",VLOOKUP($D108,'Fatores de Emissão'!$E$117:$K$173,4,FALSE))</f>
        <v/>
      </c>
      <c r="J108" s="1110" t="str">
        <f>IF(OR($D108="",$D108="-"),"",VLOOKUP($D108,'Fatores de Emissão'!$E$117:$K$173,6,FALSE))</f>
        <v/>
      </c>
      <c r="K108" s="450" t="str">
        <f t="shared" si="12"/>
        <v/>
      </c>
      <c r="L108" s="450" t="str">
        <f t="shared" si="13"/>
        <v/>
      </c>
      <c r="M108" s="450" t="str">
        <f t="shared" si="14"/>
        <v/>
      </c>
      <c r="N108" s="441" t="str">
        <f t="shared" si="11"/>
        <v/>
      </c>
      <c r="O108" s="440"/>
    </row>
    <row r="109" spans="1:28" s="237" customFormat="1" ht="15" customHeight="1" outlineLevel="1" x14ac:dyDescent="0.25">
      <c r="A109" s="363"/>
      <c r="B109" s="915"/>
      <c r="C109" s="436"/>
      <c r="D109" s="436"/>
      <c r="E109" s="438"/>
      <c r="F109" s="438"/>
      <c r="G109" s="1020" t="str">
        <f>IF(OR(D109="",D109="-"),"",VLOOKUP(D109,'Fatores de Emissão'!$E$114:$G$173,3,FALSE))</f>
        <v/>
      </c>
      <c r="H109" s="1110" t="str">
        <f>IF(OR($D109="",$D109="-"),"",VLOOKUP($D109,'Fatores de Emissão'!$E$117:$K$173,2,FALSE))</f>
        <v/>
      </c>
      <c r="I109" s="1110" t="str">
        <f>IF(OR($D109="",$D109="-"),"",VLOOKUP($D109,'Fatores de Emissão'!$E$117:$K$173,4,FALSE))</f>
        <v/>
      </c>
      <c r="J109" s="1110" t="str">
        <f>IF(OR($D109="",$D109="-"),"",VLOOKUP($D109,'Fatores de Emissão'!$E$117:$K$173,6,FALSE))</f>
        <v/>
      </c>
      <c r="K109" s="450" t="str">
        <f t="shared" si="12"/>
        <v/>
      </c>
      <c r="L109" s="450" t="str">
        <f t="shared" si="13"/>
        <v/>
      </c>
      <c r="M109" s="450" t="str">
        <f t="shared" si="14"/>
        <v/>
      </c>
      <c r="N109" s="441" t="str">
        <f t="shared" si="11"/>
        <v/>
      </c>
      <c r="O109" s="440"/>
    </row>
    <row r="110" spans="1:28" s="237" customFormat="1" ht="15" customHeight="1" outlineLevel="1" x14ac:dyDescent="0.25">
      <c r="A110" s="363"/>
      <c r="B110" s="915"/>
      <c r="C110" s="436"/>
      <c r="D110" s="436"/>
      <c r="E110" s="438"/>
      <c r="F110" s="438"/>
      <c r="G110" s="1020" t="str">
        <f>IF(OR(D110="",D110="-"),"",VLOOKUP(D110,'Fatores de Emissão'!$E$114:$G$173,3,FALSE))</f>
        <v/>
      </c>
      <c r="H110" s="1110" t="str">
        <f>IF(OR($D110="",$D110="-"),"",VLOOKUP($D110,'Fatores de Emissão'!$E$117:$K$173,2,FALSE))</f>
        <v/>
      </c>
      <c r="I110" s="1110" t="str">
        <f>IF(OR($D110="",$D110="-"),"",VLOOKUP($D110,'Fatores de Emissão'!$E$117:$K$173,4,FALSE))</f>
        <v/>
      </c>
      <c r="J110" s="1110" t="str">
        <f>IF(OR($D110="",$D110="-"),"",VLOOKUP($D110,'Fatores de Emissão'!$E$117:$K$173,6,FALSE))</f>
        <v/>
      </c>
      <c r="K110" s="450" t="str">
        <f t="shared" si="12"/>
        <v/>
      </c>
      <c r="L110" s="450" t="str">
        <f t="shared" si="13"/>
        <v/>
      </c>
      <c r="M110" s="450" t="str">
        <f t="shared" si="14"/>
        <v/>
      </c>
      <c r="N110" s="441" t="str">
        <f t="shared" si="11"/>
        <v/>
      </c>
      <c r="O110" s="440"/>
    </row>
    <row r="111" spans="1:28" s="237" customFormat="1" ht="15" customHeight="1" outlineLevel="1" x14ac:dyDescent="0.25">
      <c r="A111" s="363"/>
      <c r="B111" s="915"/>
      <c r="C111" s="436"/>
      <c r="D111" s="436"/>
      <c r="E111" s="438"/>
      <c r="F111" s="438"/>
      <c r="G111" s="1020" t="str">
        <f>IF(OR(D111="",D111="-"),"",VLOOKUP(D111,'Fatores de Emissão'!$E$114:$G$173,3,FALSE))</f>
        <v/>
      </c>
      <c r="H111" s="1110" t="str">
        <f>IF(OR($D111="",$D111="-"),"",VLOOKUP($D111,'Fatores de Emissão'!$E$117:$K$173,2,FALSE))</f>
        <v/>
      </c>
      <c r="I111" s="1110" t="str">
        <f>IF(OR($D111="",$D111="-"),"",VLOOKUP($D111,'Fatores de Emissão'!$E$117:$K$173,4,FALSE))</f>
        <v/>
      </c>
      <c r="J111" s="1110" t="str">
        <f>IF(OR($D111="",$D111="-"),"",VLOOKUP($D111,'Fatores de Emissão'!$E$117:$K$173,6,FALSE))</f>
        <v/>
      </c>
      <c r="K111" s="450" t="str">
        <f t="shared" si="12"/>
        <v/>
      </c>
      <c r="L111" s="450" t="str">
        <f t="shared" si="13"/>
        <v/>
      </c>
      <c r="M111" s="450" t="str">
        <f t="shared" si="14"/>
        <v/>
      </c>
      <c r="N111" s="441" t="str">
        <f t="shared" si="11"/>
        <v/>
      </c>
      <c r="O111" s="440"/>
    </row>
    <row r="112" spans="1:28" s="237" customFormat="1" ht="15" customHeight="1" outlineLevel="1" collapsed="1" x14ac:dyDescent="0.25">
      <c r="A112" s="363"/>
      <c r="B112" s="915"/>
      <c r="C112" s="436"/>
      <c r="D112" s="436"/>
      <c r="E112" s="438"/>
      <c r="F112" s="438"/>
      <c r="G112" s="1020" t="str">
        <f>IF(OR(D112="",D112="-"),"",VLOOKUP(D112,'Fatores de Emissão'!$E$114:$G$173,3,FALSE))</f>
        <v/>
      </c>
      <c r="H112" s="1110" t="str">
        <f>IF(OR($D112="",$D112="-"),"",VLOOKUP($D112,'Fatores de Emissão'!$E$117:$K$173,2,FALSE))</f>
        <v/>
      </c>
      <c r="I112" s="1110" t="str">
        <f>IF(OR($D112="",$D112="-"),"",VLOOKUP($D112,'Fatores de Emissão'!$E$117:$K$173,4,FALSE))</f>
        <v/>
      </c>
      <c r="J112" s="1110" t="str">
        <f>IF(OR($D112="",$D112="-"),"",VLOOKUP($D112,'Fatores de Emissão'!$E$117:$K$173,6,FALSE))</f>
        <v/>
      </c>
      <c r="K112" s="450" t="str">
        <f t="shared" si="12"/>
        <v/>
      </c>
      <c r="L112" s="450" t="str">
        <f t="shared" si="13"/>
        <v/>
      </c>
      <c r="M112" s="450" t="str">
        <f t="shared" si="14"/>
        <v/>
      </c>
      <c r="N112" s="441" t="str">
        <f t="shared" si="11"/>
        <v/>
      </c>
      <c r="O112" s="440"/>
    </row>
    <row r="113" spans="1:15" s="237" customFormat="1" ht="15" hidden="1" customHeight="1" outlineLevel="2" x14ac:dyDescent="0.25">
      <c r="A113" s="363"/>
      <c r="B113" s="915"/>
      <c r="C113" s="436"/>
      <c r="D113" s="436"/>
      <c r="E113" s="438"/>
      <c r="F113" s="438"/>
      <c r="G113" s="1020" t="str">
        <f>IF(OR(D113="",D113="-"),"",VLOOKUP(D113,'Fatores de Emissão'!$E$114:$G$173,3,FALSE))</f>
        <v/>
      </c>
      <c r="H113" s="1110" t="str">
        <f>IF(OR($D113="",$D113="-"),"",VLOOKUP($D113,'Fatores de Emissão'!$E$117:$K$173,2,FALSE))</f>
        <v/>
      </c>
      <c r="I113" s="1110" t="str">
        <f>IF(OR($D113="",$D113="-"),"",VLOOKUP($D113,'Fatores de Emissão'!$E$117:$K$173,4,FALSE))</f>
        <v/>
      </c>
      <c r="J113" s="1110" t="str">
        <f>IF(OR($D113="",$D113="-"),"",VLOOKUP($D113,'Fatores de Emissão'!$E$117:$K$173,6,FALSE))</f>
        <v/>
      </c>
      <c r="K113" s="450" t="str">
        <f t="shared" si="12"/>
        <v/>
      </c>
      <c r="L113" s="450" t="str">
        <f t="shared" si="13"/>
        <v/>
      </c>
      <c r="M113" s="450" t="str">
        <f t="shared" si="14"/>
        <v/>
      </c>
      <c r="N113" s="441" t="str">
        <f t="shared" si="11"/>
        <v/>
      </c>
      <c r="O113" s="440"/>
    </row>
    <row r="114" spans="1:15" s="237" customFormat="1" ht="15" hidden="1" customHeight="1" outlineLevel="2" x14ac:dyDescent="0.25">
      <c r="A114" s="363"/>
      <c r="B114" s="915"/>
      <c r="C114" s="436"/>
      <c r="D114" s="436"/>
      <c r="E114" s="438"/>
      <c r="F114" s="438"/>
      <c r="G114" s="1020" t="str">
        <f>IF(OR(D114="",D114="-"),"",VLOOKUP(D114,'Fatores de Emissão'!$E$114:$G$173,3,FALSE))</f>
        <v/>
      </c>
      <c r="H114" s="1110" t="str">
        <f>IF(OR($D114="",$D114="-"),"",VLOOKUP($D114,'Fatores de Emissão'!$E$117:$K$173,2,FALSE))</f>
        <v/>
      </c>
      <c r="I114" s="1110" t="str">
        <f>IF(OR($D114="",$D114="-"),"",VLOOKUP($D114,'Fatores de Emissão'!$E$117:$K$173,4,FALSE))</f>
        <v/>
      </c>
      <c r="J114" s="1110" t="str">
        <f>IF(OR($D114="",$D114="-"),"",VLOOKUP($D114,'Fatores de Emissão'!$E$117:$K$173,6,FALSE))</f>
        <v/>
      </c>
      <c r="K114" s="450" t="str">
        <f t="shared" si="12"/>
        <v/>
      </c>
      <c r="L114" s="450" t="str">
        <f t="shared" si="13"/>
        <v/>
      </c>
      <c r="M114" s="450" t="str">
        <f t="shared" si="14"/>
        <v/>
      </c>
      <c r="N114" s="441" t="str">
        <f t="shared" si="11"/>
        <v/>
      </c>
      <c r="O114" s="440"/>
    </row>
    <row r="115" spans="1:15" s="237" customFormat="1" ht="15" hidden="1" customHeight="1" outlineLevel="2" x14ac:dyDescent="0.25">
      <c r="A115" s="363"/>
      <c r="B115" s="915"/>
      <c r="C115" s="436"/>
      <c r="D115" s="436"/>
      <c r="E115" s="438"/>
      <c r="F115" s="438"/>
      <c r="G115" s="1020" t="str">
        <f>IF(OR(D115="",D115="-"),"",VLOOKUP(D115,'Fatores de Emissão'!$E$114:$G$173,3,FALSE))</f>
        <v/>
      </c>
      <c r="H115" s="1110" t="str">
        <f>IF(OR($D115="",$D115="-"),"",VLOOKUP($D115,'Fatores de Emissão'!$E$117:$K$173,2,FALSE))</f>
        <v/>
      </c>
      <c r="I115" s="1110" t="str">
        <f>IF(OR($D115="",$D115="-"),"",VLOOKUP($D115,'Fatores de Emissão'!$E$117:$K$173,4,FALSE))</f>
        <v/>
      </c>
      <c r="J115" s="1110" t="str">
        <f>IF(OR($D115="",$D115="-"),"",VLOOKUP($D115,'Fatores de Emissão'!$E$117:$K$173,6,FALSE))</f>
        <v/>
      </c>
      <c r="K115" s="450" t="str">
        <f t="shared" si="12"/>
        <v/>
      </c>
      <c r="L115" s="450" t="str">
        <f t="shared" si="13"/>
        <v/>
      </c>
      <c r="M115" s="450" t="str">
        <f t="shared" si="14"/>
        <v/>
      </c>
      <c r="N115" s="441" t="str">
        <f t="shared" si="11"/>
        <v/>
      </c>
      <c r="O115" s="440"/>
    </row>
    <row r="116" spans="1:15" s="237" customFormat="1" ht="15" hidden="1" customHeight="1" outlineLevel="2" x14ac:dyDescent="0.25">
      <c r="A116" s="363"/>
      <c r="B116" s="915"/>
      <c r="C116" s="436"/>
      <c r="D116" s="436"/>
      <c r="E116" s="438"/>
      <c r="F116" s="438"/>
      <c r="G116" s="1020" t="str">
        <f>IF(OR(D116="",D116="-"),"",VLOOKUP(D116,'Fatores de Emissão'!$E$114:$G$173,3,FALSE))</f>
        <v/>
      </c>
      <c r="H116" s="1110" t="str">
        <f>IF(OR($D116="",$D116="-"),"",VLOOKUP($D116,'Fatores de Emissão'!$E$117:$K$173,2,FALSE))</f>
        <v/>
      </c>
      <c r="I116" s="1110" t="str">
        <f>IF(OR($D116="",$D116="-"),"",VLOOKUP($D116,'Fatores de Emissão'!$E$117:$K$173,4,FALSE))</f>
        <v/>
      </c>
      <c r="J116" s="1110" t="str">
        <f>IF(OR($D116="",$D116="-"),"",VLOOKUP($D116,'Fatores de Emissão'!$E$117:$K$173,6,FALSE))</f>
        <v/>
      </c>
      <c r="K116" s="450" t="str">
        <f t="shared" si="12"/>
        <v/>
      </c>
      <c r="L116" s="450" t="str">
        <f t="shared" si="13"/>
        <v/>
      </c>
      <c r="M116" s="450" t="str">
        <f t="shared" si="14"/>
        <v/>
      </c>
      <c r="N116" s="441" t="str">
        <f t="shared" si="11"/>
        <v/>
      </c>
      <c r="O116" s="440"/>
    </row>
    <row r="117" spans="1:15" s="237" customFormat="1" ht="15" hidden="1" customHeight="1" outlineLevel="2" x14ac:dyDescent="0.25">
      <c r="A117" s="363"/>
      <c r="B117" s="915"/>
      <c r="C117" s="436"/>
      <c r="D117" s="436"/>
      <c r="E117" s="438"/>
      <c r="F117" s="438"/>
      <c r="G117" s="1020" t="str">
        <f>IF(OR(D117="",D117="-"),"",VLOOKUP(D117,'Fatores de Emissão'!$E$114:$G$173,3,FALSE))</f>
        <v/>
      </c>
      <c r="H117" s="1110" t="str">
        <f>IF(OR($D117="",$D117="-"),"",VLOOKUP($D117,'Fatores de Emissão'!$E$117:$K$173,2,FALSE))</f>
        <v/>
      </c>
      <c r="I117" s="1110" t="str">
        <f>IF(OR($D117="",$D117="-"),"",VLOOKUP($D117,'Fatores de Emissão'!$E$117:$K$173,4,FALSE))</f>
        <v/>
      </c>
      <c r="J117" s="1110" t="str">
        <f>IF(OR($D117="",$D117="-"),"",VLOOKUP($D117,'Fatores de Emissão'!$E$117:$K$173,6,FALSE))</f>
        <v/>
      </c>
      <c r="K117" s="450" t="str">
        <f t="shared" si="12"/>
        <v/>
      </c>
      <c r="L117" s="450" t="str">
        <f t="shared" si="13"/>
        <v/>
      </c>
      <c r="M117" s="450" t="str">
        <f t="shared" si="14"/>
        <v/>
      </c>
      <c r="N117" s="441" t="str">
        <f t="shared" si="11"/>
        <v/>
      </c>
      <c r="O117" s="440"/>
    </row>
    <row r="118" spans="1:15" s="237" customFormat="1" ht="15" hidden="1" customHeight="1" outlineLevel="2" x14ac:dyDescent="0.25">
      <c r="A118" s="363"/>
      <c r="B118" s="915"/>
      <c r="C118" s="436"/>
      <c r="D118" s="436"/>
      <c r="E118" s="438"/>
      <c r="F118" s="438"/>
      <c r="G118" s="1020" t="str">
        <f>IF(OR(D118="",D118="-"),"",VLOOKUP(D118,'Fatores de Emissão'!$E$114:$G$173,3,FALSE))</f>
        <v/>
      </c>
      <c r="H118" s="1110" t="str">
        <f>IF(OR($D118="",$D118="-"),"",VLOOKUP($D118,'Fatores de Emissão'!$E$117:$K$173,2,FALSE))</f>
        <v/>
      </c>
      <c r="I118" s="1110" t="str">
        <f>IF(OR($D118="",$D118="-"),"",VLOOKUP($D118,'Fatores de Emissão'!$E$117:$K$173,4,FALSE))</f>
        <v/>
      </c>
      <c r="J118" s="1110" t="str">
        <f>IF(OR($D118="",$D118="-"),"",VLOOKUP($D118,'Fatores de Emissão'!$E$117:$K$173,6,FALSE))</f>
        <v/>
      </c>
      <c r="K118" s="450" t="str">
        <f t="shared" si="12"/>
        <v/>
      </c>
      <c r="L118" s="450" t="str">
        <f t="shared" si="13"/>
        <v/>
      </c>
      <c r="M118" s="450" t="str">
        <f t="shared" si="14"/>
        <v/>
      </c>
      <c r="N118" s="441" t="str">
        <f t="shared" si="11"/>
        <v/>
      </c>
      <c r="O118" s="440"/>
    </row>
    <row r="119" spans="1:15" s="237" customFormat="1" ht="15" hidden="1" customHeight="1" outlineLevel="2" x14ac:dyDescent="0.25">
      <c r="A119" s="363"/>
      <c r="B119" s="915"/>
      <c r="C119" s="436"/>
      <c r="D119" s="436"/>
      <c r="E119" s="438"/>
      <c r="F119" s="438"/>
      <c r="G119" s="1020" t="str">
        <f>IF(OR(D119="",D119="-"),"",VLOOKUP(D119,'Fatores de Emissão'!$E$114:$G$173,3,FALSE))</f>
        <v/>
      </c>
      <c r="H119" s="1110" t="str">
        <f>IF(OR($D119="",$D119="-"),"",VLOOKUP($D119,'Fatores de Emissão'!$E$117:$K$173,2,FALSE))</f>
        <v/>
      </c>
      <c r="I119" s="1110" t="str">
        <f>IF(OR($D119="",$D119="-"),"",VLOOKUP($D119,'Fatores de Emissão'!$E$117:$K$173,4,FALSE))</f>
        <v/>
      </c>
      <c r="J119" s="1110" t="str">
        <f>IF(OR($D119="",$D119="-"),"",VLOOKUP($D119,'Fatores de Emissão'!$E$117:$K$173,6,FALSE))</f>
        <v/>
      </c>
      <c r="K119" s="450" t="str">
        <f t="shared" si="12"/>
        <v/>
      </c>
      <c r="L119" s="450" t="str">
        <f t="shared" si="13"/>
        <v/>
      </c>
      <c r="M119" s="450" t="str">
        <f t="shared" si="14"/>
        <v/>
      </c>
      <c r="N119" s="441" t="str">
        <f t="shared" si="11"/>
        <v/>
      </c>
      <c r="O119" s="440"/>
    </row>
    <row r="120" spans="1:15" s="237" customFormat="1" ht="15" hidden="1" customHeight="1" outlineLevel="2" x14ac:dyDescent="0.25">
      <c r="A120" s="363"/>
      <c r="B120" s="915"/>
      <c r="C120" s="436"/>
      <c r="D120" s="436"/>
      <c r="E120" s="438"/>
      <c r="F120" s="438"/>
      <c r="G120" s="1020" t="str">
        <f>IF(OR(D120="",D120="-"),"",VLOOKUP(D120,'Fatores de Emissão'!$E$114:$G$173,3,FALSE))</f>
        <v/>
      </c>
      <c r="H120" s="1110" t="str">
        <f>IF(OR($D120="",$D120="-"),"",VLOOKUP($D120,'Fatores de Emissão'!$E$117:$K$173,2,FALSE))</f>
        <v/>
      </c>
      <c r="I120" s="1110" t="str">
        <f>IF(OR($D120="",$D120="-"),"",VLOOKUP($D120,'Fatores de Emissão'!$E$117:$K$173,4,FALSE))</f>
        <v/>
      </c>
      <c r="J120" s="1110" t="str">
        <f>IF(OR($D120="",$D120="-"),"",VLOOKUP($D120,'Fatores de Emissão'!$E$117:$K$173,6,FALSE))</f>
        <v/>
      </c>
      <c r="K120" s="450" t="str">
        <f t="shared" si="12"/>
        <v/>
      </c>
      <c r="L120" s="450" t="str">
        <f t="shared" si="13"/>
        <v/>
      </c>
      <c r="M120" s="450" t="str">
        <f t="shared" si="14"/>
        <v/>
      </c>
      <c r="N120" s="441" t="str">
        <f t="shared" si="11"/>
        <v/>
      </c>
      <c r="O120" s="440"/>
    </row>
    <row r="121" spans="1:15" s="237" customFormat="1" ht="15" hidden="1" customHeight="1" outlineLevel="2" x14ac:dyDescent="0.25">
      <c r="A121" s="363"/>
      <c r="B121" s="915"/>
      <c r="C121" s="436"/>
      <c r="D121" s="436"/>
      <c r="E121" s="438"/>
      <c r="F121" s="438"/>
      <c r="G121" s="1020" t="str">
        <f>IF(OR(D121="",D121="-"),"",VLOOKUP(D121,'Fatores de Emissão'!$E$114:$G$173,3,FALSE))</f>
        <v/>
      </c>
      <c r="H121" s="1110" t="str">
        <f>IF(OR($D121="",$D121="-"),"",VLOOKUP($D121,'Fatores de Emissão'!$E$117:$K$173,2,FALSE))</f>
        <v/>
      </c>
      <c r="I121" s="1110" t="str">
        <f>IF(OR($D121="",$D121="-"),"",VLOOKUP($D121,'Fatores de Emissão'!$E$117:$K$173,4,FALSE))</f>
        <v/>
      </c>
      <c r="J121" s="1110" t="str">
        <f>IF(OR($D121="",$D121="-"),"",VLOOKUP($D121,'Fatores de Emissão'!$E$117:$K$173,6,FALSE))</f>
        <v/>
      </c>
      <c r="K121" s="450" t="str">
        <f t="shared" si="12"/>
        <v/>
      </c>
      <c r="L121" s="450" t="str">
        <f t="shared" si="13"/>
        <v/>
      </c>
      <c r="M121" s="450" t="str">
        <f t="shared" si="14"/>
        <v/>
      </c>
      <c r="N121" s="441" t="str">
        <f t="shared" si="11"/>
        <v/>
      </c>
      <c r="O121" s="440"/>
    </row>
    <row r="122" spans="1:15" s="237" customFormat="1" ht="15" hidden="1" customHeight="1" outlineLevel="2" x14ac:dyDescent="0.25">
      <c r="A122" s="363"/>
      <c r="B122" s="915"/>
      <c r="C122" s="436"/>
      <c r="D122" s="436"/>
      <c r="E122" s="438"/>
      <c r="F122" s="438"/>
      <c r="G122" s="1020" t="str">
        <f>IF(OR(D122="",D122="-"),"",VLOOKUP(D122,'Fatores de Emissão'!$E$114:$G$173,3,FALSE))</f>
        <v/>
      </c>
      <c r="H122" s="1110" t="str">
        <f>IF(OR($D122="",$D122="-"),"",VLOOKUP($D122,'Fatores de Emissão'!$E$117:$K$173,2,FALSE))</f>
        <v/>
      </c>
      <c r="I122" s="1110" t="str">
        <f>IF(OR($D122="",$D122="-"),"",VLOOKUP($D122,'Fatores de Emissão'!$E$117:$K$173,4,FALSE))</f>
        <v/>
      </c>
      <c r="J122" s="1110" t="str">
        <f>IF(OR($D122="",$D122="-"),"",VLOOKUP($D122,'Fatores de Emissão'!$E$117:$K$173,6,FALSE))</f>
        <v/>
      </c>
      <c r="K122" s="450" t="str">
        <f t="shared" si="12"/>
        <v/>
      </c>
      <c r="L122" s="450" t="str">
        <f t="shared" si="13"/>
        <v/>
      </c>
      <c r="M122" s="450" t="str">
        <f t="shared" si="14"/>
        <v/>
      </c>
      <c r="N122" s="441" t="str">
        <f t="shared" si="11"/>
        <v/>
      </c>
      <c r="O122" s="440"/>
    </row>
    <row r="123" spans="1:15" s="237" customFormat="1" ht="15" hidden="1" customHeight="1" outlineLevel="2" x14ac:dyDescent="0.25">
      <c r="A123" s="363"/>
      <c r="B123" s="915"/>
      <c r="C123" s="436"/>
      <c r="D123" s="436"/>
      <c r="E123" s="438"/>
      <c r="F123" s="438"/>
      <c r="G123" s="1020" t="str">
        <f>IF(OR(D123="",D123="-"),"",VLOOKUP(D123,'Fatores de Emissão'!$E$114:$G$173,3,FALSE))</f>
        <v/>
      </c>
      <c r="H123" s="1110" t="str">
        <f>IF(OR($D123="",$D123="-"),"",VLOOKUP($D123,'Fatores de Emissão'!$E$117:$K$173,2,FALSE))</f>
        <v/>
      </c>
      <c r="I123" s="1110" t="str">
        <f>IF(OR($D123="",$D123="-"),"",VLOOKUP($D123,'Fatores de Emissão'!$E$117:$K$173,4,FALSE))</f>
        <v/>
      </c>
      <c r="J123" s="1110" t="str">
        <f>IF(OR($D123="",$D123="-"),"",VLOOKUP($D123,'Fatores de Emissão'!$E$117:$K$173,6,FALSE))</f>
        <v/>
      </c>
      <c r="K123" s="450" t="str">
        <f t="shared" si="12"/>
        <v/>
      </c>
      <c r="L123" s="450" t="str">
        <f t="shared" si="13"/>
        <v/>
      </c>
      <c r="M123" s="450" t="str">
        <f t="shared" si="14"/>
        <v/>
      </c>
      <c r="N123" s="441" t="str">
        <f t="shared" si="11"/>
        <v/>
      </c>
      <c r="O123" s="440"/>
    </row>
    <row r="124" spans="1:15" s="237" customFormat="1" ht="15" hidden="1" customHeight="1" outlineLevel="2" x14ac:dyDescent="0.25">
      <c r="A124" s="363"/>
      <c r="B124" s="915"/>
      <c r="C124" s="436"/>
      <c r="D124" s="436"/>
      <c r="E124" s="438"/>
      <c r="F124" s="438"/>
      <c r="G124" s="1020" t="str">
        <f>IF(OR(D124="",D124="-"),"",VLOOKUP(D124,'Fatores de Emissão'!$E$114:$G$173,3,FALSE))</f>
        <v/>
      </c>
      <c r="H124" s="1110" t="str">
        <f>IF(OR($D124="",$D124="-"),"",VLOOKUP($D124,'Fatores de Emissão'!$E$117:$K$173,2,FALSE))</f>
        <v/>
      </c>
      <c r="I124" s="1110" t="str">
        <f>IF(OR($D124="",$D124="-"),"",VLOOKUP($D124,'Fatores de Emissão'!$E$117:$K$173,4,FALSE))</f>
        <v/>
      </c>
      <c r="J124" s="1110" t="str">
        <f>IF(OR($D124="",$D124="-"),"",VLOOKUP($D124,'Fatores de Emissão'!$E$117:$K$173,6,FALSE))</f>
        <v/>
      </c>
      <c r="K124" s="450" t="str">
        <f t="shared" si="12"/>
        <v/>
      </c>
      <c r="L124" s="450" t="str">
        <f t="shared" si="13"/>
        <v/>
      </c>
      <c r="M124" s="450" t="str">
        <f t="shared" si="14"/>
        <v/>
      </c>
      <c r="N124" s="441" t="str">
        <f t="shared" si="11"/>
        <v/>
      </c>
      <c r="O124" s="440"/>
    </row>
    <row r="125" spans="1:15" s="237" customFormat="1" ht="15" hidden="1" customHeight="1" outlineLevel="2" x14ac:dyDescent="0.25">
      <c r="A125" s="363"/>
      <c r="B125" s="915"/>
      <c r="C125" s="436"/>
      <c r="D125" s="436"/>
      <c r="E125" s="438"/>
      <c r="F125" s="438"/>
      <c r="G125" s="1020" t="str">
        <f>IF(OR(D125="",D125="-"),"",VLOOKUP(D125,'Fatores de Emissão'!$E$114:$G$173,3,FALSE))</f>
        <v/>
      </c>
      <c r="H125" s="1110" t="str">
        <f>IF(OR($D125="",$D125="-"),"",VLOOKUP($D125,'Fatores de Emissão'!$E$117:$K$173,2,FALSE))</f>
        <v/>
      </c>
      <c r="I125" s="1110" t="str">
        <f>IF(OR($D125="",$D125="-"),"",VLOOKUP($D125,'Fatores de Emissão'!$E$117:$K$173,4,FALSE))</f>
        <v/>
      </c>
      <c r="J125" s="1110" t="str">
        <f>IF(OR($D125="",$D125="-"),"",VLOOKUP($D125,'Fatores de Emissão'!$E$117:$K$173,6,FALSE))</f>
        <v/>
      </c>
      <c r="K125" s="450" t="str">
        <f t="shared" si="12"/>
        <v/>
      </c>
      <c r="L125" s="450" t="str">
        <f t="shared" si="13"/>
        <v/>
      </c>
      <c r="M125" s="450" t="str">
        <f t="shared" si="14"/>
        <v/>
      </c>
      <c r="N125" s="441" t="str">
        <f t="shared" si="11"/>
        <v/>
      </c>
      <c r="O125" s="440"/>
    </row>
    <row r="126" spans="1:15" s="237" customFormat="1" ht="15" hidden="1" customHeight="1" outlineLevel="2" x14ac:dyDescent="0.25">
      <c r="A126" s="363"/>
      <c r="B126" s="915"/>
      <c r="C126" s="436"/>
      <c r="D126" s="436"/>
      <c r="E126" s="438"/>
      <c r="F126" s="438"/>
      <c r="G126" s="1020" t="str">
        <f>IF(OR(D126="",D126="-"),"",VLOOKUP(D126,'Fatores de Emissão'!$E$114:$G$173,3,FALSE))</f>
        <v/>
      </c>
      <c r="H126" s="1110" t="str">
        <f>IF(OR($D126="",$D126="-"),"",VLOOKUP($D126,'Fatores de Emissão'!$E$117:$K$173,2,FALSE))</f>
        <v/>
      </c>
      <c r="I126" s="1110" t="str">
        <f>IF(OR($D126="",$D126="-"),"",VLOOKUP($D126,'Fatores de Emissão'!$E$117:$K$173,4,FALSE))</f>
        <v/>
      </c>
      <c r="J126" s="1110" t="str">
        <f>IF(OR($D126="",$D126="-"),"",VLOOKUP($D126,'Fatores de Emissão'!$E$117:$K$173,6,FALSE))</f>
        <v/>
      </c>
      <c r="K126" s="450" t="str">
        <f t="shared" si="12"/>
        <v/>
      </c>
      <c r="L126" s="450" t="str">
        <f t="shared" si="13"/>
        <v/>
      </c>
      <c r="M126" s="450" t="str">
        <f t="shared" si="14"/>
        <v/>
      </c>
      <c r="N126" s="441" t="str">
        <f t="shared" si="11"/>
        <v/>
      </c>
      <c r="O126" s="440"/>
    </row>
    <row r="127" spans="1:15" s="237" customFormat="1" ht="15" hidden="1" customHeight="1" outlineLevel="2" x14ac:dyDescent="0.25">
      <c r="A127" s="363"/>
      <c r="B127" s="915"/>
      <c r="C127" s="436"/>
      <c r="D127" s="436"/>
      <c r="E127" s="438"/>
      <c r="F127" s="438"/>
      <c r="G127" s="1020" t="str">
        <f>IF(OR(D127="",D127="-"),"",VLOOKUP(D127,'Fatores de Emissão'!$E$114:$G$173,3,FALSE))</f>
        <v/>
      </c>
      <c r="H127" s="1110" t="str">
        <f>IF(OR($D127="",$D127="-"),"",VLOOKUP($D127,'Fatores de Emissão'!$E$117:$K$173,2,FALSE))</f>
        <v/>
      </c>
      <c r="I127" s="1110" t="str">
        <f>IF(OR($D127="",$D127="-"),"",VLOOKUP($D127,'Fatores de Emissão'!$E$117:$K$173,4,FALSE))</f>
        <v/>
      </c>
      <c r="J127" s="1110" t="str">
        <f>IF(OR($D127="",$D127="-"),"",VLOOKUP($D127,'Fatores de Emissão'!$E$117:$K$173,6,FALSE))</f>
        <v/>
      </c>
      <c r="K127" s="450" t="str">
        <f t="shared" si="12"/>
        <v/>
      </c>
      <c r="L127" s="450" t="str">
        <f t="shared" si="13"/>
        <v/>
      </c>
      <c r="M127" s="450" t="str">
        <f t="shared" si="14"/>
        <v/>
      </c>
      <c r="N127" s="441" t="str">
        <f t="shared" si="11"/>
        <v/>
      </c>
      <c r="O127" s="440"/>
    </row>
    <row r="128" spans="1:15" s="237" customFormat="1" ht="15" hidden="1" customHeight="1" outlineLevel="2" x14ac:dyDescent="0.25">
      <c r="A128" s="363"/>
      <c r="B128" s="915"/>
      <c r="C128" s="436"/>
      <c r="D128" s="436"/>
      <c r="E128" s="438"/>
      <c r="F128" s="438"/>
      <c r="G128" s="1020" t="str">
        <f>IF(OR(D128="",D128="-"),"",VLOOKUP(D128,'Fatores de Emissão'!$E$114:$G$173,3,FALSE))</f>
        <v/>
      </c>
      <c r="H128" s="1110" t="str">
        <f>IF(OR($D128="",$D128="-"),"",VLOOKUP($D128,'Fatores de Emissão'!$E$117:$K$173,2,FALSE))</f>
        <v/>
      </c>
      <c r="I128" s="1110" t="str">
        <f>IF(OR($D128="",$D128="-"),"",VLOOKUP($D128,'Fatores de Emissão'!$E$117:$K$173,4,FALSE))</f>
        <v/>
      </c>
      <c r="J128" s="1110" t="str">
        <f>IF(OR($D128="",$D128="-"),"",VLOOKUP($D128,'Fatores de Emissão'!$E$117:$K$173,6,FALSE))</f>
        <v/>
      </c>
      <c r="K128" s="450" t="str">
        <f t="shared" si="12"/>
        <v/>
      </c>
      <c r="L128" s="450" t="str">
        <f t="shared" si="13"/>
        <v/>
      </c>
      <c r="M128" s="450" t="str">
        <f t="shared" si="14"/>
        <v/>
      </c>
      <c r="N128" s="441" t="str">
        <f t="shared" si="11"/>
        <v/>
      </c>
      <c r="O128" s="440"/>
    </row>
    <row r="129" spans="1:15" s="237" customFormat="1" ht="15" hidden="1" customHeight="1" outlineLevel="2" x14ac:dyDescent="0.25">
      <c r="A129" s="363"/>
      <c r="B129" s="915"/>
      <c r="C129" s="436"/>
      <c r="D129" s="436"/>
      <c r="E129" s="438"/>
      <c r="F129" s="438"/>
      <c r="G129" s="1020" t="str">
        <f>IF(OR(D129="",D129="-"),"",VLOOKUP(D129,'Fatores de Emissão'!$E$114:$G$173,3,FALSE))</f>
        <v/>
      </c>
      <c r="H129" s="1110" t="str">
        <f>IF(OR($D129="",$D129="-"),"",VLOOKUP($D129,'Fatores de Emissão'!$E$117:$K$173,2,FALSE))</f>
        <v/>
      </c>
      <c r="I129" s="1110" t="str">
        <f>IF(OR($D129="",$D129="-"),"",VLOOKUP($D129,'Fatores de Emissão'!$E$117:$K$173,4,FALSE))</f>
        <v/>
      </c>
      <c r="J129" s="1110" t="str">
        <f>IF(OR($D129="",$D129="-"),"",VLOOKUP($D129,'Fatores de Emissão'!$E$117:$K$173,6,FALSE))</f>
        <v/>
      </c>
      <c r="K129" s="450" t="str">
        <f t="shared" si="12"/>
        <v/>
      </c>
      <c r="L129" s="450" t="str">
        <f t="shared" si="13"/>
        <v/>
      </c>
      <c r="M129" s="450" t="str">
        <f t="shared" si="14"/>
        <v/>
      </c>
      <c r="N129" s="441" t="str">
        <f t="shared" si="11"/>
        <v/>
      </c>
      <c r="O129" s="440"/>
    </row>
    <row r="130" spans="1:15" s="237" customFormat="1" ht="15" hidden="1" customHeight="1" outlineLevel="2" x14ac:dyDescent="0.25">
      <c r="A130" s="363"/>
      <c r="B130" s="915"/>
      <c r="C130" s="436"/>
      <c r="D130" s="436"/>
      <c r="E130" s="438"/>
      <c r="F130" s="438"/>
      <c r="G130" s="1020" t="str">
        <f>IF(OR(D130="",D130="-"),"",VLOOKUP(D130,'Fatores de Emissão'!$E$114:$G$173,3,FALSE))</f>
        <v/>
      </c>
      <c r="H130" s="1110" t="str">
        <f>IF(OR($D130="",$D130="-"),"",VLOOKUP($D130,'Fatores de Emissão'!$E$117:$K$173,2,FALSE))</f>
        <v/>
      </c>
      <c r="I130" s="1110" t="str">
        <f>IF(OR($D130="",$D130="-"),"",VLOOKUP($D130,'Fatores de Emissão'!$E$117:$K$173,4,FALSE))</f>
        <v/>
      </c>
      <c r="J130" s="1110" t="str">
        <f>IF(OR($D130="",$D130="-"),"",VLOOKUP($D130,'Fatores de Emissão'!$E$117:$K$173,6,FALSE))</f>
        <v/>
      </c>
      <c r="K130" s="450" t="str">
        <f t="shared" si="12"/>
        <v/>
      </c>
      <c r="L130" s="450" t="str">
        <f t="shared" si="13"/>
        <v/>
      </c>
      <c r="M130" s="450" t="str">
        <f t="shared" si="14"/>
        <v/>
      </c>
      <c r="N130" s="441" t="str">
        <f t="shared" si="11"/>
        <v/>
      </c>
      <c r="O130" s="440"/>
    </row>
    <row r="131" spans="1:15" s="237" customFormat="1" ht="15" hidden="1" customHeight="1" outlineLevel="2" x14ac:dyDescent="0.25">
      <c r="A131" s="363"/>
      <c r="B131" s="915"/>
      <c r="C131" s="436"/>
      <c r="D131" s="436"/>
      <c r="E131" s="438"/>
      <c r="F131" s="438"/>
      <c r="G131" s="1020" t="str">
        <f>IF(OR(D131="",D131="-"),"",VLOOKUP(D131,'Fatores de Emissão'!$E$114:$G$173,3,FALSE))</f>
        <v/>
      </c>
      <c r="H131" s="1110" t="str">
        <f>IF(OR($D131="",$D131="-"),"",VLOOKUP($D131,'Fatores de Emissão'!$E$117:$K$173,2,FALSE))</f>
        <v/>
      </c>
      <c r="I131" s="1110" t="str">
        <f>IF(OR($D131="",$D131="-"),"",VLOOKUP($D131,'Fatores de Emissão'!$E$117:$K$173,4,FALSE))</f>
        <v/>
      </c>
      <c r="J131" s="1110" t="str">
        <f>IF(OR($D131="",$D131="-"),"",VLOOKUP($D131,'Fatores de Emissão'!$E$117:$K$173,6,FALSE))</f>
        <v/>
      </c>
      <c r="K131" s="450" t="str">
        <f>IF($D131="","",IF($G131="kg/km",H131*$E131/1000,$E131*$F131*H131/1000))</f>
        <v/>
      </c>
      <c r="L131" s="450" t="str">
        <f>IF($D131="","",IF($G131="kg/km",I131*$E131/1000,$E131*$F131*I131/1000))</f>
        <v/>
      </c>
      <c r="M131" s="450" t="str">
        <f t="shared" si="14"/>
        <v/>
      </c>
      <c r="N131" s="441" t="str">
        <f t="shared" si="11"/>
        <v/>
      </c>
      <c r="O131" s="440"/>
    </row>
    <row r="132" spans="1:15" s="237" customFormat="1" ht="15" hidden="1" customHeight="1" outlineLevel="2" x14ac:dyDescent="0.25">
      <c r="A132" s="363"/>
      <c r="B132" s="915"/>
      <c r="C132" s="436"/>
      <c r="D132" s="436"/>
      <c r="E132" s="438"/>
      <c r="F132" s="438"/>
      <c r="G132" s="1020" t="str">
        <f>IF(OR(D132="",D132="-"),"",VLOOKUP(D132,'Fatores de Emissão'!$E$114:$G$173,3,FALSE))</f>
        <v/>
      </c>
      <c r="H132" s="1110" t="str">
        <f>IF(OR($D132="",$D132="-"),"",VLOOKUP($D132,'Fatores de Emissão'!$E$117:$K$173,2,FALSE))</f>
        <v/>
      </c>
      <c r="I132" s="1110" t="str">
        <f>IF(OR($D132="",$D132="-"),"",VLOOKUP($D132,'Fatores de Emissão'!$E$117:$K$173,4,FALSE))</f>
        <v/>
      </c>
      <c r="J132" s="1110" t="str">
        <f>IF(OR($D132="",$D132="-"),"",VLOOKUP($D132,'Fatores de Emissão'!$E$117:$K$173,6,FALSE))</f>
        <v/>
      </c>
      <c r="K132" s="450" t="str">
        <f t="shared" ref="K132:K152" si="15">IF($D132="","",IF($G132="kg/km",H132*$E132/1000,$E132*$F132*H132/1000))</f>
        <v/>
      </c>
      <c r="L132" s="450" t="str">
        <f t="shared" ref="L132:L152" si="16">IF($D132="","",IF($G132="kg/km",I132*$E132/1000,$E132*$F132*I132/1000))</f>
        <v/>
      </c>
      <c r="M132" s="450" t="str">
        <f t="shared" ref="M132:M152" si="17">IF($D132="","",IF($G132="kg/km",J132*$E132/1000,$E132*$F132*J132/1000))</f>
        <v/>
      </c>
      <c r="N132" s="441" t="str">
        <f t="shared" si="11"/>
        <v/>
      </c>
      <c r="O132" s="440"/>
    </row>
    <row r="133" spans="1:15" s="237" customFormat="1" ht="15" hidden="1" customHeight="1" outlineLevel="2" x14ac:dyDescent="0.25">
      <c r="A133" s="363"/>
      <c r="B133" s="915"/>
      <c r="C133" s="436"/>
      <c r="D133" s="436"/>
      <c r="E133" s="438"/>
      <c r="F133" s="438"/>
      <c r="G133" s="1020" t="str">
        <f>IF(OR(D133="",D133="-"),"",VLOOKUP(D133,'Fatores de Emissão'!$E$114:$G$173,3,FALSE))</f>
        <v/>
      </c>
      <c r="H133" s="1110" t="str">
        <f>IF(OR($D133="",$D133="-"),"",VLOOKUP($D133,'Fatores de Emissão'!$E$117:$K$173,2,FALSE))</f>
        <v/>
      </c>
      <c r="I133" s="1110" t="str">
        <f>IF(OR($D133="",$D133="-"),"",VLOOKUP($D133,'Fatores de Emissão'!$E$117:$K$173,4,FALSE))</f>
        <v/>
      </c>
      <c r="J133" s="1110" t="str">
        <f>IF(OR($D133="",$D133="-"),"",VLOOKUP($D133,'Fatores de Emissão'!$E$117:$K$173,6,FALSE))</f>
        <v/>
      </c>
      <c r="K133" s="450" t="str">
        <f t="shared" si="15"/>
        <v/>
      </c>
      <c r="L133" s="450" t="str">
        <f t="shared" si="16"/>
        <v/>
      </c>
      <c r="M133" s="450" t="str">
        <f t="shared" si="17"/>
        <v/>
      </c>
      <c r="N133" s="441" t="str">
        <f t="shared" si="11"/>
        <v/>
      </c>
      <c r="O133" s="440"/>
    </row>
    <row r="134" spans="1:15" s="237" customFormat="1" ht="15" hidden="1" customHeight="1" outlineLevel="2" x14ac:dyDescent="0.25">
      <c r="A134" s="363"/>
      <c r="B134" s="915"/>
      <c r="C134" s="436"/>
      <c r="D134" s="436"/>
      <c r="E134" s="438"/>
      <c r="F134" s="438"/>
      <c r="G134" s="1020" t="str">
        <f>IF(OR(D134="",D134="-"),"",VLOOKUP(D134,'Fatores de Emissão'!$E$114:$G$173,3,FALSE))</f>
        <v/>
      </c>
      <c r="H134" s="1110" t="str">
        <f>IF(OR($D134="",$D134="-"),"",VLOOKUP($D134,'Fatores de Emissão'!$E$117:$K$173,2,FALSE))</f>
        <v/>
      </c>
      <c r="I134" s="1110" t="str">
        <f>IF(OR($D134="",$D134="-"),"",VLOOKUP($D134,'Fatores de Emissão'!$E$117:$K$173,4,FALSE))</f>
        <v/>
      </c>
      <c r="J134" s="1110" t="str">
        <f>IF(OR($D134="",$D134="-"),"",VLOOKUP($D134,'Fatores de Emissão'!$E$117:$K$173,6,FALSE))</f>
        <v/>
      </c>
      <c r="K134" s="450" t="str">
        <f t="shared" si="15"/>
        <v/>
      </c>
      <c r="L134" s="450" t="str">
        <f t="shared" si="16"/>
        <v/>
      </c>
      <c r="M134" s="450" t="str">
        <f t="shared" si="17"/>
        <v/>
      </c>
      <c r="N134" s="441" t="str">
        <f t="shared" si="11"/>
        <v/>
      </c>
      <c r="O134" s="440"/>
    </row>
    <row r="135" spans="1:15" s="237" customFormat="1" ht="15" hidden="1" customHeight="1" outlineLevel="2" x14ac:dyDescent="0.25">
      <c r="A135" s="363"/>
      <c r="B135" s="915"/>
      <c r="C135" s="436"/>
      <c r="D135" s="436"/>
      <c r="E135" s="438"/>
      <c r="F135" s="438"/>
      <c r="G135" s="1020" t="str">
        <f>IF(OR(D135="",D135="-"),"",VLOOKUP(D135,'Fatores de Emissão'!$E$114:$G$173,3,FALSE))</f>
        <v/>
      </c>
      <c r="H135" s="1110" t="str">
        <f>IF(OR($D135="",$D135="-"),"",VLOOKUP($D135,'Fatores de Emissão'!$E$117:$K$173,2,FALSE))</f>
        <v/>
      </c>
      <c r="I135" s="1110" t="str">
        <f>IF(OR($D135="",$D135="-"),"",VLOOKUP($D135,'Fatores de Emissão'!$E$117:$K$173,4,FALSE))</f>
        <v/>
      </c>
      <c r="J135" s="1110" t="str">
        <f>IF(OR($D135="",$D135="-"),"",VLOOKUP($D135,'Fatores de Emissão'!$E$117:$K$173,6,FALSE))</f>
        <v/>
      </c>
      <c r="K135" s="450" t="str">
        <f t="shared" si="15"/>
        <v/>
      </c>
      <c r="L135" s="450" t="str">
        <f t="shared" si="16"/>
        <v/>
      </c>
      <c r="M135" s="450" t="str">
        <f t="shared" si="17"/>
        <v/>
      </c>
      <c r="N135" s="441" t="str">
        <f t="shared" ref="N135:N152" si="18">IFERROR(K135*gwp_CO2+L135*gwp_CH4+M135*gwp_N2O,"")</f>
        <v/>
      </c>
      <c r="O135" s="440"/>
    </row>
    <row r="136" spans="1:15" s="237" customFormat="1" ht="15" hidden="1" customHeight="1" outlineLevel="2" x14ac:dyDescent="0.25">
      <c r="A136" s="363"/>
      <c r="B136" s="915"/>
      <c r="C136" s="436"/>
      <c r="D136" s="436"/>
      <c r="E136" s="438"/>
      <c r="F136" s="438"/>
      <c r="G136" s="1020" t="str">
        <f>IF(OR(D136="",D136="-"),"",VLOOKUP(D136,'Fatores de Emissão'!$E$114:$G$173,3,FALSE))</f>
        <v/>
      </c>
      <c r="H136" s="1110" t="str">
        <f>IF(OR($D136="",$D136="-"),"",VLOOKUP($D136,'Fatores de Emissão'!$E$117:$K$173,2,FALSE))</f>
        <v/>
      </c>
      <c r="I136" s="1110" t="str">
        <f>IF(OR($D136="",$D136="-"),"",VLOOKUP($D136,'Fatores de Emissão'!$E$117:$K$173,4,FALSE))</f>
        <v/>
      </c>
      <c r="J136" s="1110" t="str">
        <f>IF(OR($D136="",$D136="-"),"",VLOOKUP($D136,'Fatores de Emissão'!$E$117:$K$173,6,FALSE))</f>
        <v/>
      </c>
      <c r="K136" s="450" t="str">
        <f t="shared" si="15"/>
        <v/>
      </c>
      <c r="L136" s="450" t="str">
        <f t="shared" si="16"/>
        <v/>
      </c>
      <c r="M136" s="450" t="str">
        <f t="shared" si="17"/>
        <v/>
      </c>
      <c r="N136" s="441" t="str">
        <f t="shared" si="18"/>
        <v/>
      </c>
      <c r="O136" s="440"/>
    </row>
    <row r="137" spans="1:15" s="237" customFormat="1" ht="15" hidden="1" customHeight="1" outlineLevel="2" x14ac:dyDescent="0.25">
      <c r="A137" s="363"/>
      <c r="B137" s="915"/>
      <c r="C137" s="436"/>
      <c r="D137" s="436"/>
      <c r="E137" s="438"/>
      <c r="F137" s="438"/>
      <c r="G137" s="1020" t="str">
        <f>IF(OR(D137="",D137="-"),"",VLOOKUP(D137,'Fatores de Emissão'!$E$114:$G$173,3,FALSE))</f>
        <v/>
      </c>
      <c r="H137" s="1110" t="str">
        <f>IF(OR($D137="",$D137="-"),"",VLOOKUP($D137,'Fatores de Emissão'!$E$117:$K$173,2,FALSE))</f>
        <v/>
      </c>
      <c r="I137" s="1110" t="str">
        <f>IF(OR($D137="",$D137="-"),"",VLOOKUP($D137,'Fatores de Emissão'!$E$117:$K$173,4,FALSE))</f>
        <v/>
      </c>
      <c r="J137" s="1110" t="str">
        <f>IF(OR($D137="",$D137="-"),"",VLOOKUP($D137,'Fatores de Emissão'!$E$117:$K$173,6,FALSE))</f>
        <v/>
      </c>
      <c r="K137" s="450" t="str">
        <f t="shared" si="15"/>
        <v/>
      </c>
      <c r="L137" s="450" t="str">
        <f t="shared" si="16"/>
        <v/>
      </c>
      <c r="M137" s="450" t="str">
        <f t="shared" si="17"/>
        <v/>
      </c>
      <c r="N137" s="441" t="str">
        <f t="shared" si="18"/>
        <v/>
      </c>
      <c r="O137" s="440"/>
    </row>
    <row r="138" spans="1:15" s="237" customFormat="1" ht="15" hidden="1" customHeight="1" outlineLevel="2" x14ac:dyDescent="0.25">
      <c r="A138" s="363"/>
      <c r="B138" s="915"/>
      <c r="C138" s="436"/>
      <c r="D138" s="436"/>
      <c r="E138" s="438"/>
      <c r="F138" s="438"/>
      <c r="G138" s="1020" t="str">
        <f>IF(OR(D138="",D138="-"),"",VLOOKUP(D138,'Fatores de Emissão'!$E$114:$G$173,3,FALSE))</f>
        <v/>
      </c>
      <c r="H138" s="1110" t="str">
        <f>IF(OR($D138="",$D138="-"),"",VLOOKUP($D138,'Fatores de Emissão'!$E$117:$K$173,2,FALSE))</f>
        <v/>
      </c>
      <c r="I138" s="1110" t="str">
        <f>IF(OR($D138="",$D138="-"),"",VLOOKUP($D138,'Fatores de Emissão'!$E$117:$K$173,4,FALSE))</f>
        <v/>
      </c>
      <c r="J138" s="1110" t="str">
        <f>IF(OR($D138="",$D138="-"),"",VLOOKUP($D138,'Fatores de Emissão'!$E$117:$K$173,6,FALSE))</f>
        <v/>
      </c>
      <c r="K138" s="450" t="str">
        <f t="shared" si="15"/>
        <v/>
      </c>
      <c r="L138" s="450" t="str">
        <f t="shared" si="16"/>
        <v/>
      </c>
      <c r="M138" s="450" t="str">
        <f t="shared" si="17"/>
        <v/>
      </c>
      <c r="N138" s="441" t="str">
        <f t="shared" si="18"/>
        <v/>
      </c>
      <c r="O138" s="440"/>
    </row>
    <row r="139" spans="1:15" s="237" customFormat="1" ht="15" hidden="1" customHeight="1" outlineLevel="2" x14ac:dyDescent="0.25">
      <c r="A139" s="363"/>
      <c r="B139" s="915"/>
      <c r="C139" s="436"/>
      <c r="D139" s="436"/>
      <c r="E139" s="438"/>
      <c r="F139" s="438"/>
      <c r="G139" s="1020" t="str">
        <f>IF(OR(D139="",D139="-"),"",VLOOKUP(D139,'Fatores de Emissão'!$E$114:$G$173,3,FALSE))</f>
        <v/>
      </c>
      <c r="H139" s="1110" t="str">
        <f>IF(OR($D139="",$D139="-"),"",VLOOKUP($D139,'Fatores de Emissão'!$E$117:$K$173,2,FALSE))</f>
        <v/>
      </c>
      <c r="I139" s="1110" t="str">
        <f>IF(OR($D139="",$D139="-"),"",VLOOKUP($D139,'Fatores de Emissão'!$E$117:$K$173,4,FALSE))</f>
        <v/>
      </c>
      <c r="J139" s="1110" t="str">
        <f>IF(OR($D139="",$D139="-"),"",VLOOKUP($D139,'Fatores de Emissão'!$E$117:$K$173,6,FALSE))</f>
        <v/>
      </c>
      <c r="K139" s="450" t="str">
        <f t="shared" si="15"/>
        <v/>
      </c>
      <c r="L139" s="450" t="str">
        <f t="shared" si="16"/>
        <v/>
      </c>
      <c r="M139" s="450" t="str">
        <f t="shared" si="17"/>
        <v/>
      </c>
      <c r="N139" s="441" t="str">
        <f t="shared" si="18"/>
        <v/>
      </c>
      <c r="O139" s="440"/>
    </row>
    <row r="140" spans="1:15" s="237" customFormat="1" ht="15" hidden="1" customHeight="1" outlineLevel="2" x14ac:dyDescent="0.25">
      <c r="A140" s="363"/>
      <c r="B140" s="915"/>
      <c r="C140" s="436"/>
      <c r="D140" s="436"/>
      <c r="E140" s="438"/>
      <c r="F140" s="438"/>
      <c r="G140" s="1020" t="str">
        <f>IF(OR(D140="",D140="-"),"",VLOOKUP(D140,'Fatores de Emissão'!$E$114:$G$173,3,FALSE))</f>
        <v/>
      </c>
      <c r="H140" s="1110" t="str">
        <f>IF(OR($D140="",$D140="-"),"",VLOOKUP($D140,'Fatores de Emissão'!$E$117:$K$173,2,FALSE))</f>
        <v/>
      </c>
      <c r="I140" s="1110" t="str">
        <f>IF(OR($D140="",$D140="-"),"",VLOOKUP($D140,'Fatores de Emissão'!$E$117:$K$173,4,FALSE))</f>
        <v/>
      </c>
      <c r="J140" s="1110" t="str">
        <f>IF(OR($D140="",$D140="-"),"",VLOOKUP($D140,'Fatores de Emissão'!$E$117:$K$173,6,FALSE))</f>
        <v/>
      </c>
      <c r="K140" s="450" t="str">
        <f t="shared" si="15"/>
        <v/>
      </c>
      <c r="L140" s="450" t="str">
        <f t="shared" si="16"/>
        <v/>
      </c>
      <c r="M140" s="450" t="str">
        <f t="shared" si="17"/>
        <v/>
      </c>
      <c r="N140" s="441" t="str">
        <f t="shared" si="18"/>
        <v/>
      </c>
      <c r="O140" s="440"/>
    </row>
    <row r="141" spans="1:15" s="237" customFormat="1" ht="15" hidden="1" customHeight="1" outlineLevel="2" x14ac:dyDescent="0.25">
      <c r="A141" s="363"/>
      <c r="B141" s="915"/>
      <c r="C141" s="436"/>
      <c r="D141" s="436"/>
      <c r="E141" s="438"/>
      <c r="F141" s="438"/>
      <c r="G141" s="1020" t="str">
        <f>IF(OR(D141="",D141="-"),"",VLOOKUP(D141,'Fatores de Emissão'!$E$114:$G$173,3,FALSE))</f>
        <v/>
      </c>
      <c r="H141" s="1110" t="str">
        <f>IF(OR($D141="",$D141="-"),"",VLOOKUP($D141,'Fatores de Emissão'!$E$117:$K$173,2,FALSE))</f>
        <v/>
      </c>
      <c r="I141" s="1110" t="str">
        <f>IF(OR($D141="",$D141="-"),"",VLOOKUP($D141,'Fatores de Emissão'!$E$117:$K$173,4,FALSE))</f>
        <v/>
      </c>
      <c r="J141" s="1110" t="str">
        <f>IF(OR($D141="",$D141="-"),"",VLOOKUP($D141,'Fatores de Emissão'!$E$117:$K$173,6,FALSE))</f>
        <v/>
      </c>
      <c r="K141" s="450" t="str">
        <f t="shared" si="15"/>
        <v/>
      </c>
      <c r="L141" s="450" t="str">
        <f t="shared" si="16"/>
        <v/>
      </c>
      <c r="M141" s="450" t="str">
        <f t="shared" si="17"/>
        <v/>
      </c>
      <c r="N141" s="441" t="str">
        <f t="shared" si="18"/>
        <v/>
      </c>
      <c r="O141" s="440"/>
    </row>
    <row r="142" spans="1:15" s="237" customFormat="1" ht="15" hidden="1" customHeight="1" outlineLevel="2" x14ac:dyDescent="0.25">
      <c r="A142" s="363"/>
      <c r="B142" s="915"/>
      <c r="C142" s="436"/>
      <c r="D142" s="436"/>
      <c r="E142" s="438"/>
      <c r="F142" s="438"/>
      <c r="G142" s="1020" t="str">
        <f>IF(OR(D142="",D142="-"),"",VLOOKUP(D142,'Fatores de Emissão'!$E$114:$G$173,3,FALSE))</f>
        <v/>
      </c>
      <c r="H142" s="1110" t="str">
        <f>IF(OR($D142="",$D142="-"),"",VLOOKUP($D142,'Fatores de Emissão'!$E$117:$K$173,2,FALSE))</f>
        <v/>
      </c>
      <c r="I142" s="1110" t="str">
        <f>IF(OR($D142="",$D142="-"),"",VLOOKUP($D142,'Fatores de Emissão'!$E$117:$K$173,4,FALSE))</f>
        <v/>
      </c>
      <c r="J142" s="1110" t="str">
        <f>IF(OR($D142="",$D142="-"),"",VLOOKUP($D142,'Fatores de Emissão'!$E$117:$K$173,6,FALSE))</f>
        <v/>
      </c>
      <c r="K142" s="450" t="str">
        <f t="shared" si="15"/>
        <v/>
      </c>
      <c r="L142" s="450" t="str">
        <f t="shared" si="16"/>
        <v/>
      </c>
      <c r="M142" s="450" t="str">
        <f t="shared" si="17"/>
        <v/>
      </c>
      <c r="N142" s="441" t="str">
        <f t="shared" si="18"/>
        <v/>
      </c>
      <c r="O142" s="440"/>
    </row>
    <row r="143" spans="1:15" s="237" customFormat="1" ht="15" hidden="1" customHeight="1" outlineLevel="2" x14ac:dyDescent="0.25">
      <c r="A143" s="363"/>
      <c r="B143" s="915"/>
      <c r="C143" s="436"/>
      <c r="D143" s="436"/>
      <c r="E143" s="438"/>
      <c r="F143" s="438"/>
      <c r="G143" s="1020" t="str">
        <f>IF(OR(D143="",D143="-"),"",VLOOKUP(D143,'Fatores de Emissão'!$E$114:$G$173,3,FALSE))</f>
        <v/>
      </c>
      <c r="H143" s="1110" t="str">
        <f>IF(OR($D143="",$D143="-"),"",VLOOKUP($D143,'Fatores de Emissão'!$E$117:$K$173,2,FALSE))</f>
        <v/>
      </c>
      <c r="I143" s="1110" t="str">
        <f>IF(OR($D143="",$D143="-"),"",VLOOKUP($D143,'Fatores de Emissão'!$E$117:$K$173,4,FALSE))</f>
        <v/>
      </c>
      <c r="J143" s="1110" t="str">
        <f>IF(OR($D143="",$D143="-"),"",VLOOKUP($D143,'Fatores de Emissão'!$E$117:$K$173,6,FALSE))</f>
        <v/>
      </c>
      <c r="K143" s="450" t="str">
        <f t="shared" si="15"/>
        <v/>
      </c>
      <c r="L143" s="450" t="str">
        <f t="shared" si="16"/>
        <v/>
      </c>
      <c r="M143" s="450" t="str">
        <f t="shared" si="17"/>
        <v/>
      </c>
      <c r="N143" s="441" t="str">
        <f t="shared" si="18"/>
        <v/>
      </c>
      <c r="O143" s="440"/>
    </row>
    <row r="144" spans="1:15" s="237" customFormat="1" ht="15" hidden="1" customHeight="1" outlineLevel="2" x14ac:dyDescent="0.25">
      <c r="A144" s="363"/>
      <c r="B144" s="915"/>
      <c r="C144" s="436"/>
      <c r="D144" s="436"/>
      <c r="E144" s="438"/>
      <c r="F144" s="438"/>
      <c r="G144" s="1020" t="str">
        <f>IF(OR(D144="",D144="-"),"",VLOOKUP(D144,'Fatores de Emissão'!$E$114:$G$173,3,FALSE))</f>
        <v/>
      </c>
      <c r="H144" s="1110" t="str">
        <f>IF(OR($D144="",$D144="-"),"",VLOOKUP($D144,'Fatores de Emissão'!$E$117:$K$173,2,FALSE))</f>
        <v/>
      </c>
      <c r="I144" s="1110" t="str">
        <f>IF(OR($D144="",$D144="-"),"",VLOOKUP($D144,'Fatores de Emissão'!$E$117:$K$173,4,FALSE))</f>
        <v/>
      </c>
      <c r="J144" s="1110" t="str">
        <f>IF(OR($D144="",$D144="-"),"",VLOOKUP($D144,'Fatores de Emissão'!$E$117:$K$173,6,FALSE))</f>
        <v/>
      </c>
      <c r="K144" s="450" t="str">
        <f t="shared" si="15"/>
        <v/>
      </c>
      <c r="L144" s="450" t="str">
        <f t="shared" si="16"/>
        <v/>
      </c>
      <c r="M144" s="450" t="str">
        <f t="shared" si="17"/>
        <v/>
      </c>
      <c r="N144" s="441" t="str">
        <f t="shared" si="18"/>
        <v/>
      </c>
      <c r="O144" s="440"/>
    </row>
    <row r="145" spans="1:58" s="237" customFormat="1" ht="15" hidden="1" customHeight="1" outlineLevel="2" x14ac:dyDescent="0.25">
      <c r="A145" s="363"/>
      <c r="B145" s="915"/>
      <c r="C145" s="436"/>
      <c r="D145" s="436"/>
      <c r="E145" s="438"/>
      <c r="F145" s="438"/>
      <c r="G145" s="1020" t="str">
        <f>IF(OR(D145="",D145="-"),"",VLOOKUP(D145,'Fatores de Emissão'!$E$114:$G$173,3,FALSE))</f>
        <v/>
      </c>
      <c r="H145" s="1110" t="str">
        <f>IF(OR($D145="",$D145="-"),"",VLOOKUP($D145,'Fatores de Emissão'!$E$117:$K$173,2,FALSE))</f>
        <v/>
      </c>
      <c r="I145" s="1110" t="str">
        <f>IF(OR($D145="",$D145="-"),"",VLOOKUP($D145,'Fatores de Emissão'!$E$117:$K$173,4,FALSE))</f>
        <v/>
      </c>
      <c r="J145" s="1110" t="str">
        <f>IF(OR($D145="",$D145="-"),"",VLOOKUP($D145,'Fatores de Emissão'!$E$117:$K$173,6,FALSE))</f>
        <v/>
      </c>
      <c r="K145" s="450" t="str">
        <f t="shared" si="15"/>
        <v/>
      </c>
      <c r="L145" s="450" t="str">
        <f t="shared" si="16"/>
        <v/>
      </c>
      <c r="M145" s="450" t="str">
        <f t="shared" si="17"/>
        <v/>
      </c>
      <c r="N145" s="441" t="str">
        <f t="shared" si="18"/>
        <v/>
      </c>
      <c r="O145" s="440"/>
    </row>
    <row r="146" spans="1:58" s="237" customFormat="1" ht="15" hidden="1" customHeight="1" outlineLevel="2" x14ac:dyDescent="0.25">
      <c r="A146" s="363"/>
      <c r="B146" s="915"/>
      <c r="C146" s="436"/>
      <c r="D146" s="436"/>
      <c r="E146" s="438"/>
      <c r="F146" s="438"/>
      <c r="G146" s="1020" t="str">
        <f>IF(OR(D146="",D146="-"),"",VLOOKUP(D146,'Fatores de Emissão'!$E$114:$G$173,3,FALSE))</f>
        <v/>
      </c>
      <c r="H146" s="1110" t="str">
        <f>IF(OR($D146="",$D146="-"),"",VLOOKUP($D146,'Fatores de Emissão'!$E$117:$K$173,2,FALSE))</f>
        <v/>
      </c>
      <c r="I146" s="1110" t="str">
        <f>IF(OR($D146="",$D146="-"),"",VLOOKUP($D146,'Fatores de Emissão'!$E$117:$K$173,4,FALSE))</f>
        <v/>
      </c>
      <c r="J146" s="1110" t="str">
        <f>IF(OR($D146="",$D146="-"),"",VLOOKUP($D146,'Fatores de Emissão'!$E$117:$K$173,6,FALSE))</f>
        <v/>
      </c>
      <c r="K146" s="450" t="str">
        <f t="shared" si="15"/>
        <v/>
      </c>
      <c r="L146" s="450" t="str">
        <f t="shared" si="16"/>
        <v/>
      </c>
      <c r="M146" s="450" t="str">
        <f t="shared" si="17"/>
        <v/>
      </c>
      <c r="N146" s="441" t="str">
        <f t="shared" si="18"/>
        <v/>
      </c>
      <c r="O146" s="440"/>
    </row>
    <row r="147" spans="1:58" s="237" customFormat="1" ht="15" hidden="1" customHeight="1" outlineLevel="2" x14ac:dyDescent="0.25">
      <c r="A147" s="363"/>
      <c r="B147" s="915"/>
      <c r="C147" s="436"/>
      <c r="D147" s="436"/>
      <c r="E147" s="438"/>
      <c r="F147" s="438"/>
      <c r="G147" s="1020" t="str">
        <f>IF(OR(D147="",D147="-"),"",VLOOKUP(D147,'Fatores de Emissão'!$E$114:$G$173,3,FALSE))</f>
        <v/>
      </c>
      <c r="H147" s="1110" t="str">
        <f>IF(OR($D147="",$D147="-"),"",VLOOKUP($D147,'Fatores de Emissão'!$E$117:$K$173,2,FALSE))</f>
        <v/>
      </c>
      <c r="I147" s="1110" t="str">
        <f>IF(OR($D147="",$D147="-"),"",VLOOKUP($D147,'Fatores de Emissão'!$E$117:$K$173,4,FALSE))</f>
        <v/>
      </c>
      <c r="J147" s="1110" t="str">
        <f>IF(OR($D147="",$D147="-"),"",VLOOKUP($D147,'Fatores de Emissão'!$E$117:$K$173,6,FALSE))</f>
        <v/>
      </c>
      <c r="K147" s="450" t="str">
        <f t="shared" si="15"/>
        <v/>
      </c>
      <c r="L147" s="450" t="str">
        <f t="shared" si="16"/>
        <v/>
      </c>
      <c r="M147" s="450" t="str">
        <f t="shared" si="17"/>
        <v/>
      </c>
      <c r="N147" s="441" t="str">
        <f t="shared" si="18"/>
        <v/>
      </c>
      <c r="O147" s="440"/>
    </row>
    <row r="148" spans="1:58" s="237" customFormat="1" ht="15" hidden="1" customHeight="1" outlineLevel="2" x14ac:dyDescent="0.25">
      <c r="A148" s="363"/>
      <c r="B148" s="915"/>
      <c r="C148" s="436"/>
      <c r="D148" s="436"/>
      <c r="E148" s="438"/>
      <c r="F148" s="438"/>
      <c r="G148" s="1020" t="str">
        <f>IF(OR(D148="",D148="-"),"",VLOOKUP(D148,'Fatores de Emissão'!$E$114:$G$173,3,FALSE))</f>
        <v/>
      </c>
      <c r="H148" s="1110" t="str">
        <f>IF(OR($D148="",$D148="-"),"",VLOOKUP($D148,'Fatores de Emissão'!$E$117:$K$173,2,FALSE))</f>
        <v/>
      </c>
      <c r="I148" s="1110" t="str">
        <f>IF(OR($D148="",$D148="-"),"",VLOOKUP($D148,'Fatores de Emissão'!$E$117:$K$173,4,FALSE))</f>
        <v/>
      </c>
      <c r="J148" s="1110" t="str">
        <f>IF(OR($D148="",$D148="-"),"",VLOOKUP($D148,'Fatores de Emissão'!$E$117:$K$173,6,FALSE))</f>
        <v/>
      </c>
      <c r="K148" s="450" t="str">
        <f t="shared" si="15"/>
        <v/>
      </c>
      <c r="L148" s="450" t="str">
        <f t="shared" si="16"/>
        <v/>
      </c>
      <c r="M148" s="450" t="str">
        <f t="shared" si="17"/>
        <v/>
      </c>
      <c r="N148" s="441" t="str">
        <f t="shared" si="18"/>
        <v/>
      </c>
      <c r="O148" s="440"/>
    </row>
    <row r="149" spans="1:58" s="237" customFormat="1" ht="15" hidden="1" customHeight="1" outlineLevel="2" x14ac:dyDescent="0.25">
      <c r="A149" s="363"/>
      <c r="B149" s="915"/>
      <c r="C149" s="436"/>
      <c r="D149" s="436"/>
      <c r="E149" s="438"/>
      <c r="F149" s="438"/>
      <c r="G149" s="1020" t="str">
        <f>IF(OR(D149="",D149="-"),"",VLOOKUP(D149,'Fatores de Emissão'!$E$114:$G$173,3,FALSE))</f>
        <v/>
      </c>
      <c r="H149" s="1110" t="str">
        <f>IF(OR($D149="",$D149="-"),"",VLOOKUP($D149,'Fatores de Emissão'!$E$117:$K$173,2,FALSE))</f>
        <v/>
      </c>
      <c r="I149" s="1110" t="str">
        <f>IF(OR($D149="",$D149="-"),"",VLOOKUP($D149,'Fatores de Emissão'!$E$117:$K$173,4,FALSE))</f>
        <v/>
      </c>
      <c r="J149" s="1110" t="str">
        <f>IF(OR($D149="",$D149="-"),"",VLOOKUP($D149,'Fatores de Emissão'!$E$117:$K$173,6,FALSE))</f>
        <v/>
      </c>
      <c r="K149" s="450" t="str">
        <f t="shared" si="15"/>
        <v/>
      </c>
      <c r="L149" s="450" t="str">
        <f t="shared" si="16"/>
        <v/>
      </c>
      <c r="M149" s="450" t="str">
        <f t="shared" si="17"/>
        <v/>
      </c>
      <c r="N149" s="441" t="str">
        <f t="shared" si="18"/>
        <v/>
      </c>
      <c r="O149" s="440"/>
    </row>
    <row r="150" spans="1:58" s="237" customFormat="1" ht="15" hidden="1" customHeight="1" outlineLevel="2" x14ac:dyDescent="0.25">
      <c r="A150" s="363"/>
      <c r="B150" s="915"/>
      <c r="C150" s="436"/>
      <c r="D150" s="436"/>
      <c r="E150" s="438"/>
      <c r="F150" s="438"/>
      <c r="G150" s="1020" t="str">
        <f>IF(OR(D150="",D150="-"),"",VLOOKUP(D150,'Fatores de Emissão'!$E$114:$G$173,3,FALSE))</f>
        <v/>
      </c>
      <c r="H150" s="1110" t="str">
        <f>IF(OR($D150="",$D150="-"),"",VLOOKUP($D150,'Fatores de Emissão'!$E$117:$K$173,2,FALSE))</f>
        <v/>
      </c>
      <c r="I150" s="1110" t="str">
        <f>IF(OR($D150="",$D150="-"),"",VLOOKUP($D150,'Fatores de Emissão'!$E$117:$K$173,4,FALSE))</f>
        <v/>
      </c>
      <c r="J150" s="1110" t="str">
        <f>IF(OR($D150="",$D150="-"),"",VLOOKUP($D150,'Fatores de Emissão'!$E$117:$K$173,6,FALSE))</f>
        <v/>
      </c>
      <c r="K150" s="450" t="str">
        <f t="shared" si="15"/>
        <v/>
      </c>
      <c r="L150" s="450" t="str">
        <f t="shared" si="16"/>
        <v/>
      </c>
      <c r="M150" s="450" t="str">
        <f t="shared" si="17"/>
        <v/>
      </c>
      <c r="N150" s="441" t="str">
        <f t="shared" si="18"/>
        <v/>
      </c>
      <c r="O150" s="440"/>
    </row>
    <row r="151" spans="1:58" s="237" customFormat="1" ht="15" hidden="1" customHeight="1" outlineLevel="2" x14ac:dyDescent="0.25">
      <c r="A151" s="363"/>
      <c r="B151" s="915"/>
      <c r="C151" s="436"/>
      <c r="D151" s="436"/>
      <c r="E151" s="438"/>
      <c r="F151" s="438"/>
      <c r="G151" s="1020" t="str">
        <f>IF(OR(D151="",D151="-"),"",VLOOKUP(D151,'Fatores de Emissão'!$E$114:$G$173,3,FALSE))</f>
        <v/>
      </c>
      <c r="H151" s="1110" t="str">
        <f>IF(OR($D151="",$D151="-"),"",VLOOKUP($D151,'Fatores de Emissão'!$E$117:$K$173,2,FALSE))</f>
        <v/>
      </c>
      <c r="I151" s="1110" t="str">
        <f>IF(OR($D151="",$D151="-"),"",VLOOKUP($D151,'Fatores de Emissão'!$E$117:$K$173,4,FALSE))</f>
        <v/>
      </c>
      <c r="J151" s="1110" t="str">
        <f>IF(OR($D151="",$D151="-"),"",VLOOKUP($D151,'Fatores de Emissão'!$E$117:$K$173,6,FALSE))</f>
        <v/>
      </c>
      <c r="K151" s="450" t="str">
        <f t="shared" si="15"/>
        <v/>
      </c>
      <c r="L151" s="450" t="str">
        <f t="shared" si="16"/>
        <v/>
      </c>
      <c r="M151" s="450" t="str">
        <f t="shared" si="17"/>
        <v/>
      </c>
      <c r="N151" s="441" t="str">
        <f t="shared" si="18"/>
        <v/>
      </c>
      <c r="O151" s="440"/>
    </row>
    <row r="152" spans="1:58" s="237" customFormat="1" ht="15" hidden="1" customHeight="1" outlineLevel="2" x14ac:dyDescent="0.25">
      <c r="A152" s="363"/>
      <c r="B152" s="915"/>
      <c r="C152" s="436"/>
      <c r="D152" s="436"/>
      <c r="E152" s="438"/>
      <c r="F152" s="438"/>
      <c r="G152" s="1020" t="str">
        <f>IF(OR(D152="",D152="-"),"",VLOOKUP(D152,'Fatores de Emissão'!$E$114:$G$173,3,FALSE))</f>
        <v/>
      </c>
      <c r="H152" s="1110" t="str">
        <f>IF(OR($D152="",$D152="-"),"",VLOOKUP($D152,'Fatores de Emissão'!$E$117:$K$173,2,FALSE))</f>
        <v/>
      </c>
      <c r="I152" s="1110" t="str">
        <f>IF(OR($D152="",$D152="-"),"",VLOOKUP($D152,'Fatores de Emissão'!$E$117:$K$173,4,FALSE))</f>
        <v/>
      </c>
      <c r="J152" s="1110" t="str">
        <f>IF(OR($D152="",$D152="-"),"",VLOOKUP($D152,'Fatores de Emissão'!$E$117:$K$173,6,FALSE))</f>
        <v/>
      </c>
      <c r="K152" s="450" t="str">
        <f t="shared" si="15"/>
        <v/>
      </c>
      <c r="L152" s="450" t="str">
        <f t="shared" si="16"/>
        <v/>
      </c>
      <c r="M152" s="450" t="str">
        <f t="shared" si="17"/>
        <v/>
      </c>
      <c r="N152" s="441" t="str">
        <f t="shared" si="18"/>
        <v/>
      </c>
      <c r="O152" s="440"/>
    </row>
    <row r="153" spans="1:58" s="237" customFormat="1" ht="15" customHeight="1" outlineLevel="1" x14ac:dyDescent="0.25">
      <c r="A153" s="454"/>
      <c r="B153" s="454"/>
      <c r="C153" s="454"/>
      <c r="D153" s="454"/>
      <c r="E153" s="454"/>
      <c r="G153" s="454"/>
      <c r="H153" s="454"/>
      <c r="I153" s="1243" t="s">
        <v>78</v>
      </c>
      <c r="J153" s="1243"/>
      <c r="K153" s="443">
        <f>SUM(K103:K152)</f>
        <v>0</v>
      </c>
      <c r="L153" s="443">
        <f>SUM(L103:L152)</f>
        <v>0</v>
      </c>
      <c r="M153" s="443">
        <f>SUM(M103:M152)</f>
        <v>0</v>
      </c>
      <c r="N153" s="443">
        <f>SUM(N103:N152)</f>
        <v>0</v>
      </c>
      <c r="O153" s="443">
        <f>SUM(O103:O152)</f>
        <v>0</v>
      </c>
    </row>
    <row r="154" spans="1:58" s="237" customFormat="1" ht="15" customHeight="1" collapsed="1" x14ac:dyDescent="0.25">
      <c r="A154" s="363"/>
      <c r="B154" s="373"/>
      <c r="C154" s="442"/>
      <c r="D154" s="442"/>
      <c r="E154" s="442"/>
      <c r="F154" s="363"/>
      <c r="G154" s="363"/>
      <c r="H154" s="363"/>
      <c r="I154" s="363"/>
      <c r="J154" s="363"/>
      <c r="K154" s="363"/>
      <c r="L154" s="363"/>
      <c r="M154" s="363"/>
      <c r="N154" s="363"/>
      <c r="O154" s="363"/>
      <c r="P154" s="363"/>
      <c r="Q154" s="363"/>
      <c r="R154" s="363"/>
      <c r="AI154" s="363"/>
      <c r="AJ154" s="363"/>
      <c r="AK154" s="363"/>
      <c r="AL154" s="363"/>
      <c r="AM154" s="363"/>
      <c r="AO154" s="363"/>
      <c r="AP154" s="363"/>
      <c r="AQ154" s="363"/>
    </row>
    <row r="155" spans="1:58" s="463" customFormat="1" ht="18" customHeight="1" x14ac:dyDescent="0.3">
      <c r="A155" s="458"/>
      <c r="B155" s="733" t="s">
        <v>21</v>
      </c>
      <c r="C155" s="459"/>
      <c r="D155" s="460"/>
      <c r="E155" s="460"/>
      <c r="F155" s="460"/>
      <c r="G155" s="461"/>
      <c r="H155" s="461"/>
      <c r="I155" s="461"/>
      <c r="J155" s="461"/>
      <c r="K155" s="461"/>
      <c r="L155" s="461"/>
      <c r="M155" s="461"/>
      <c r="N155" s="461"/>
      <c r="O155" s="461"/>
      <c r="P155" s="461"/>
      <c r="Q155" s="461"/>
      <c r="R155" s="461"/>
      <c r="S155" s="461"/>
      <c r="T155" s="461"/>
      <c r="U155" s="461"/>
      <c r="V155" s="461"/>
      <c r="W155" s="461"/>
      <c r="X155" s="461"/>
      <c r="Y155" s="461"/>
      <c r="Z155" s="461"/>
      <c r="AA155" s="461"/>
      <c r="AB155" s="461"/>
      <c r="AC155" s="461"/>
      <c r="AD155" s="461"/>
      <c r="AE155" s="461"/>
      <c r="AF155" s="461"/>
      <c r="AG155" s="461"/>
      <c r="AH155" s="461"/>
      <c r="AI155" s="461"/>
      <c r="AJ155" s="461"/>
      <c r="AK155" s="461"/>
      <c r="AL155" s="461"/>
      <c r="AM155" s="461"/>
      <c r="AN155" s="461"/>
      <c r="AO155" s="461"/>
      <c r="AP155" s="461"/>
      <c r="AQ155" s="461"/>
      <c r="AR155" s="461"/>
      <c r="AS155" s="461"/>
      <c r="AT155" s="461"/>
      <c r="AU155" s="461"/>
      <c r="AV155" s="461"/>
      <c r="AW155" s="461"/>
      <c r="AX155" s="461"/>
      <c r="AY155" s="461"/>
      <c r="AZ155" s="461"/>
      <c r="BA155" s="461"/>
      <c r="BB155" s="461"/>
      <c r="BC155" s="461"/>
      <c r="BD155" s="461"/>
      <c r="BE155" s="461"/>
      <c r="BF155" s="462"/>
    </row>
    <row r="156" spans="1:58" ht="15" customHeight="1" outlineLevel="1" x14ac:dyDescent="0.2">
      <c r="A156" s="339"/>
      <c r="B156" s="920"/>
      <c r="C156" s="416"/>
      <c r="D156" s="416"/>
      <c r="E156" s="416"/>
      <c r="F156" s="339"/>
      <c r="G156" s="339"/>
      <c r="H156" s="339"/>
      <c r="I156" s="339"/>
      <c r="J156" s="339"/>
      <c r="K156" s="339"/>
      <c r="L156" s="339"/>
      <c r="M156" s="339"/>
      <c r="N156" s="339"/>
      <c r="O156" s="339"/>
      <c r="P156" s="339"/>
      <c r="Q156" s="339"/>
      <c r="R156" s="339"/>
      <c r="AI156" s="339"/>
      <c r="AJ156" s="339"/>
      <c r="AK156" s="339"/>
      <c r="AL156" s="339"/>
      <c r="AM156" s="339"/>
      <c r="AO156" s="339"/>
      <c r="AP156" s="339"/>
      <c r="AQ156" s="339"/>
    </row>
    <row r="157" spans="1:58" ht="15" customHeight="1" outlineLevel="1" x14ac:dyDescent="0.25">
      <c r="A157" s="339"/>
      <c r="B157" s="523" t="s">
        <v>124</v>
      </c>
      <c r="C157" s="416"/>
      <c r="D157" s="416"/>
      <c r="E157" s="416"/>
      <c r="F157" s="339"/>
      <c r="G157" s="339"/>
      <c r="H157" s="339"/>
      <c r="I157" s="339"/>
      <c r="J157" s="339"/>
      <c r="K157" s="339"/>
      <c r="L157" s="339"/>
      <c r="M157" s="339"/>
      <c r="N157" s="339"/>
      <c r="O157" s="339"/>
      <c r="P157" s="339"/>
      <c r="Q157" s="339"/>
      <c r="R157" s="339"/>
      <c r="AI157" s="339"/>
      <c r="AJ157" s="339"/>
      <c r="AK157" s="339"/>
      <c r="AL157" s="339"/>
      <c r="AM157" s="339"/>
      <c r="AO157" s="339"/>
      <c r="AP157" s="339"/>
      <c r="AQ157" s="339"/>
    </row>
    <row r="158" spans="1:58" s="237" customFormat="1" ht="15" customHeight="1" outlineLevel="1" x14ac:dyDescent="0.25">
      <c r="A158" s="363"/>
      <c r="B158" s="449" t="s">
        <v>2060</v>
      </c>
      <c r="C158" s="442"/>
      <c r="D158" s="442"/>
      <c r="E158" s="442"/>
      <c r="F158" s="363"/>
      <c r="G158" s="363"/>
      <c r="H158" s="363"/>
      <c r="I158" s="363"/>
      <c r="J158" s="363"/>
      <c r="K158" s="363"/>
      <c r="L158" s="363"/>
      <c r="M158" s="363"/>
      <c r="N158" s="363"/>
      <c r="O158" s="363"/>
      <c r="P158" s="363"/>
      <c r="Q158" s="363"/>
      <c r="R158" s="363"/>
      <c r="AI158" s="363"/>
      <c r="AJ158" s="363"/>
      <c r="AK158" s="363"/>
      <c r="AL158" s="363"/>
      <c r="AM158" s="363"/>
      <c r="AO158" s="363"/>
      <c r="AP158" s="363"/>
      <c r="AQ158" s="363"/>
    </row>
    <row r="159" spans="1:58" s="237" customFormat="1" ht="15" customHeight="1" outlineLevel="1" x14ac:dyDescent="0.25">
      <c r="A159" s="363"/>
      <c r="B159" s="470" t="s">
        <v>1533</v>
      </c>
      <c r="C159" s="442"/>
      <c r="D159" s="442"/>
      <c r="E159" s="442"/>
      <c r="F159" s="363"/>
      <c r="G159" s="363"/>
      <c r="H159" s="363"/>
      <c r="I159" s="363"/>
      <c r="J159" s="363"/>
      <c r="K159" s="363"/>
      <c r="L159" s="363"/>
      <c r="M159" s="363"/>
      <c r="N159" s="363"/>
      <c r="O159" s="363"/>
      <c r="P159" s="363"/>
      <c r="Q159" s="363"/>
      <c r="R159" s="363"/>
      <c r="AI159" s="363"/>
      <c r="AJ159" s="363"/>
      <c r="AK159" s="363"/>
      <c r="AL159" s="363"/>
      <c r="AM159" s="363"/>
      <c r="AO159" s="363"/>
      <c r="AP159" s="363"/>
      <c r="AQ159" s="363"/>
    </row>
    <row r="160" spans="1:58" s="237" customFormat="1" ht="15" customHeight="1" outlineLevel="1" x14ac:dyDescent="0.25">
      <c r="A160" s="363"/>
      <c r="B160" s="917"/>
      <c r="C160" s="442"/>
      <c r="D160" s="442"/>
      <c r="E160" s="442"/>
      <c r="F160" s="363"/>
      <c r="G160" s="363"/>
      <c r="H160" s="363"/>
      <c r="I160" s="363"/>
      <c r="J160" s="363"/>
      <c r="K160" s="363"/>
      <c r="L160" s="363"/>
      <c r="M160" s="363"/>
      <c r="N160" s="363"/>
      <c r="O160" s="363"/>
      <c r="P160" s="363"/>
      <c r="Q160" s="363"/>
      <c r="R160" s="363"/>
      <c r="AI160" s="363"/>
      <c r="AJ160" s="363"/>
      <c r="AK160" s="363"/>
      <c r="AL160" s="363"/>
      <c r="AM160" s="363"/>
      <c r="AO160" s="363"/>
      <c r="AP160" s="363"/>
      <c r="AQ160" s="363"/>
    </row>
    <row r="161" spans="1:43" s="237" customFormat="1" ht="15" customHeight="1" outlineLevel="1" x14ac:dyDescent="0.25">
      <c r="A161" s="363"/>
      <c r="B161" s="362" t="s">
        <v>2070</v>
      </c>
      <c r="C161" s="442"/>
      <c r="D161" s="442"/>
      <c r="E161" s="442"/>
      <c r="F161" s="363"/>
      <c r="G161" s="363"/>
      <c r="H161" s="363"/>
      <c r="I161" s="363"/>
      <c r="J161" s="363"/>
      <c r="K161" s="363"/>
      <c r="L161" s="363"/>
      <c r="M161" s="363"/>
      <c r="N161" s="363"/>
      <c r="O161" s="363"/>
      <c r="P161" s="363"/>
      <c r="Q161" s="363"/>
      <c r="R161" s="363"/>
      <c r="AI161" s="363"/>
      <c r="AJ161" s="363"/>
      <c r="AK161" s="363"/>
      <c r="AL161" s="363"/>
      <c r="AM161" s="363"/>
      <c r="AO161" s="363"/>
      <c r="AP161" s="363"/>
      <c r="AQ161" s="363"/>
    </row>
    <row r="162" spans="1:43" s="237" customFormat="1" ht="15" customHeight="1" outlineLevel="1" x14ac:dyDescent="0.25">
      <c r="A162" s="363"/>
      <c r="B162" s="1267" t="s">
        <v>1531</v>
      </c>
      <c r="C162" s="1267" t="s">
        <v>1868</v>
      </c>
      <c r="D162" s="1267" t="s">
        <v>1870</v>
      </c>
      <c r="E162" s="1267"/>
      <c r="F162" s="1249" t="s">
        <v>1743</v>
      </c>
      <c r="G162" s="1249" t="s">
        <v>1861</v>
      </c>
      <c r="H162" s="1249" t="s">
        <v>1862</v>
      </c>
      <c r="I162" s="1267" t="s">
        <v>588</v>
      </c>
      <c r="J162" s="1267"/>
      <c r="K162" s="1267"/>
      <c r="L162" s="1249" t="s">
        <v>1408</v>
      </c>
      <c r="M162" s="1249" t="s">
        <v>1409</v>
      </c>
      <c r="N162" s="1249" t="s">
        <v>1410</v>
      </c>
      <c r="O162" s="1249" t="s">
        <v>1411</v>
      </c>
      <c r="P162" s="1267" t="s">
        <v>1530</v>
      </c>
    </row>
    <row r="163" spans="1:43" s="237" customFormat="1" ht="15" customHeight="1" outlineLevel="1" x14ac:dyDescent="0.25">
      <c r="A163" s="363"/>
      <c r="B163" s="1267"/>
      <c r="C163" s="1267"/>
      <c r="D163" s="1267"/>
      <c r="E163" s="1267"/>
      <c r="F163" s="1266"/>
      <c r="G163" s="1266"/>
      <c r="H163" s="1266"/>
      <c r="I163" s="1267"/>
      <c r="J163" s="1267"/>
      <c r="K163" s="1267"/>
      <c r="L163" s="1266"/>
      <c r="M163" s="1266"/>
      <c r="N163" s="1266"/>
      <c r="O163" s="1266"/>
      <c r="P163" s="1267"/>
    </row>
    <row r="164" spans="1:43" s="237" customFormat="1" ht="28.5" customHeight="1" outlineLevel="1" x14ac:dyDescent="0.25">
      <c r="A164" s="363"/>
      <c r="B164" s="1267"/>
      <c r="C164" s="1267"/>
      <c r="D164" s="1267"/>
      <c r="E164" s="1267"/>
      <c r="F164" s="1250"/>
      <c r="G164" s="1250"/>
      <c r="H164" s="1250"/>
      <c r="I164" s="916" t="s">
        <v>1394</v>
      </c>
      <c r="J164" s="916" t="s">
        <v>1863</v>
      </c>
      <c r="K164" s="916" t="s">
        <v>1864</v>
      </c>
      <c r="L164" s="1250"/>
      <c r="M164" s="1250"/>
      <c r="N164" s="1250"/>
      <c r="O164" s="1250"/>
      <c r="P164" s="1267"/>
    </row>
    <row r="165" spans="1:43" s="237" customFormat="1" ht="15" customHeight="1" outlineLevel="1" x14ac:dyDescent="0.25">
      <c r="A165" s="427" t="s">
        <v>606</v>
      </c>
      <c r="B165" s="444" t="s">
        <v>609</v>
      </c>
      <c r="C165" s="1107" t="s">
        <v>92</v>
      </c>
      <c r="D165" s="1272" t="s">
        <v>1872</v>
      </c>
      <c r="E165" s="1272"/>
      <c r="F165" s="446">
        <v>1000</v>
      </c>
      <c r="G165" s="446">
        <v>1000</v>
      </c>
      <c r="H165" s="447" t="s">
        <v>1566</v>
      </c>
      <c r="I165" s="472">
        <v>0</v>
      </c>
      <c r="J165" s="473">
        <v>1.3698889852995631E-6</v>
      </c>
      <c r="K165" s="473">
        <v>4.1096669558986883E-7</v>
      </c>
      <c r="L165" s="474">
        <v>0</v>
      </c>
      <c r="M165" s="474">
        <v>1.369888985299563E-3</v>
      </c>
      <c r="N165" s="474">
        <v>4.1096669558986882E-4</v>
      </c>
      <c r="O165" s="475">
        <v>0.15671529991826999</v>
      </c>
      <c r="P165" s="1143"/>
    </row>
    <row r="166" spans="1:43" s="237" customFormat="1" ht="15" customHeight="1" outlineLevel="1" x14ac:dyDescent="0.25">
      <c r="A166" s="363"/>
      <c r="B166" s="915"/>
      <c r="C166" s="915"/>
      <c r="D166" s="1268"/>
      <c r="E166" s="1268"/>
      <c r="F166" s="438"/>
      <c r="G166" s="438"/>
      <c r="H166" s="1020" t="str">
        <f>IF(OR(D166="",D166="-"),"",VLOOKUP(D166,'Fatores de Emissão'!$E$183:$K$184,3,FALSE))</f>
        <v/>
      </c>
      <c r="I166" s="1110" t="str">
        <f>IF(OR(D166="",D166="-"),"",VLOOKUP(D166,'Fatores de Emissão'!$E$181:$K$184,2,FALSE))</f>
        <v/>
      </c>
      <c r="J166" s="1110" t="str">
        <f>IF(OR(D166="",D166="-"),"",VLOOKUP(D166,'Fatores de Emissão'!$E$181:$K$184,4,FALSE))</f>
        <v/>
      </c>
      <c r="K166" s="1110" t="str">
        <f>IF(OR(D166="",D166="-"),"",VLOOKUP(D166,'Fatores de Emissão'!$E$181:$K$184,6,FALSE))</f>
        <v/>
      </c>
      <c r="L166" s="478" t="str">
        <f>IF($D166="","",$F166*$G166*I166/1000)</f>
        <v/>
      </c>
      <c r="M166" s="478" t="str">
        <f>IF($D166="","",$F166*$G166*J166/1000)</f>
        <v/>
      </c>
      <c r="N166" s="478" t="str">
        <f>IF($D166="","",$F166*$G166*K166/1000)</f>
        <v/>
      </c>
      <c r="O166" s="479" t="str">
        <f>IF(ISERR(L166*gwp_CO2+M166*gwp_CH4+N166*gwp_N2O),"",L166*gwp_CO2+M166*gwp_CH4+N166*gwp_N2O)</f>
        <v/>
      </c>
      <c r="P166" s="480"/>
    </row>
    <row r="167" spans="1:43" s="237" customFormat="1" ht="15" customHeight="1" outlineLevel="1" x14ac:dyDescent="0.25">
      <c r="A167" s="363"/>
      <c r="B167" s="915"/>
      <c r="C167" s="915"/>
      <c r="D167" s="1268"/>
      <c r="E167" s="1268"/>
      <c r="F167" s="438"/>
      <c r="G167" s="438"/>
      <c r="H167" s="1020" t="str">
        <f>IF(OR(D167="",D167="-"),"",VLOOKUP(D167,'Fatores de Emissão'!$E$181:$K$184,3,FALSE))</f>
        <v/>
      </c>
      <c r="I167" s="1110" t="str">
        <f>IF(OR(D167="",D167="-"),"",VLOOKUP(D167,'Fatores de Emissão'!$E$181:$K$184,2,FALSE))</f>
        <v/>
      </c>
      <c r="J167" s="1110" t="str">
        <f>IF(OR(D167="",D167="-"),"",VLOOKUP(D167,'Fatores de Emissão'!$E$181:$K$184,4,FALSE))</f>
        <v/>
      </c>
      <c r="K167" s="1110" t="str">
        <f>IF(OR(D167="",D167="-"),"",VLOOKUP(D167,'Fatores de Emissão'!$E$181:$K$184,6,FALSE))</f>
        <v/>
      </c>
      <c r="L167" s="478" t="str">
        <f t="shared" ref="L167:L215" si="19">IF($D167="","",$F167*$G167*I167/1000)</f>
        <v/>
      </c>
      <c r="M167" s="478" t="str">
        <f t="shared" ref="M167:M215" si="20">IF($D167="","",$F167*$G167*J167/1000)</f>
        <v/>
      </c>
      <c r="N167" s="478" t="str">
        <f t="shared" ref="N167:N215" si="21">IF($D167="","",$F167*$G167*K167/1000)</f>
        <v/>
      </c>
      <c r="O167" s="479" t="str">
        <f t="shared" ref="O167:O176" si="22">IF(ISERR(L167*gwp_CO2+M167*gwp_CH4+N167*gwp_N2O),"",L167*gwp_CO2+M167*gwp_CH4+N167*gwp_N2O)</f>
        <v/>
      </c>
      <c r="P167" s="480"/>
    </row>
    <row r="168" spans="1:43" s="237" customFormat="1" ht="15" customHeight="1" outlineLevel="1" x14ac:dyDescent="0.25">
      <c r="A168" s="363"/>
      <c r="B168" s="915"/>
      <c r="C168" s="915"/>
      <c r="D168" s="1268"/>
      <c r="E168" s="1268"/>
      <c r="F168" s="438"/>
      <c r="G168" s="438"/>
      <c r="H168" s="1020" t="str">
        <f>IF(OR(C168="",C168="-"),"",VLOOKUP(C168,'Fatores de Emissão'!$E$181:$K$184,3,FALSE))</f>
        <v/>
      </c>
      <c r="I168" s="1110" t="str">
        <f>IF(OR(D168="",D168="-"),"",VLOOKUP(D168,'Fatores de Emissão'!$E$181:$K$184,2,FALSE))</f>
        <v/>
      </c>
      <c r="J168" s="1110" t="str">
        <f>IF(OR(D168="",D168="-"),"",VLOOKUP(D168,'Fatores de Emissão'!$E$181:$K$184,4,FALSE))</f>
        <v/>
      </c>
      <c r="K168" s="1110" t="str">
        <f>IF(OR(D168="",D168="-"),"",VLOOKUP(D168,'Fatores de Emissão'!$E$181:$K$184,6,FALSE))</f>
        <v/>
      </c>
      <c r="L168" s="478" t="str">
        <f t="shared" si="19"/>
        <v/>
      </c>
      <c r="M168" s="478" t="str">
        <f t="shared" si="20"/>
        <v/>
      </c>
      <c r="N168" s="478" t="str">
        <f t="shared" si="21"/>
        <v/>
      </c>
      <c r="O168" s="479" t="str">
        <f t="shared" si="22"/>
        <v/>
      </c>
      <c r="P168" s="480"/>
    </row>
    <row r="169" spans="1:43" s="237" customFormat="1" ht="15" customHeight="1" outlineLevel="1" x14ac:dyDescent="0.25">
      <c r="A169" s="363"/>
      <c r="B169" s="915"/>
      <c r="C169" s="915"/>
      <c r="D169" s="1268"/>
      <c r="E169" s="1268"/>
      <c r="F169" s="438"/>
      <c r="G169" s="438"/>
      <c r="H169" s="1020" t="str">
        <f>IF(OR(C169="",C169="-"),"",VLOOKUP(C169,'Fatores de Emissão'!$E$181:$K$184,3,FALSE))</f>
        <v/>
      </c>
      <c r="I169" s="1110" t="str">
        <f>IF(OR(D169="",D169="-"),"",VLOOKUP(D169,'Fatores de Emissão'!$E$181:$K$184,2,FALSE))</f>
        <v/>
      </c>
      <c r="J169" s="1110" t="str">
        <f>IF(OR(D169="",D169="-"),"",VLOOKUP(D169,'Fatores de Emissão'!$E$181:$K$184,4,FALSE))</f>
        <v/>
      </c>
      <c r="K169" s="1110" t="str">
        <f>IF(OR(D169="",D169="-"),"",VLOOKUP(D169,'Fatores de Emissão'!$E$181:$K$184,6,FALSE))</f>
        <v/>
      </c>
      <c r="L169" s="478" t="str">
        <f t="shared" si="19"/>
        <v/>
      </c>
      <c r="M169" s="478" t="str">
        <f t="shared" si="20"/>
        <v/>
      </c>
      <c r="N169" s="478" t="str">
        <f t="shared" si="21"/>
        <v/>
      </c>
      <c r="O169" s="479" t="str">
        <f t="shared" si="22"/>
        <v/>
      </c>
      <c r="P169" s="480"/>
    </row>
    <row r="170" spans="1:43" s="237" customFormat="1" ht="15" customHeight="1" outlineLevel="1" x14ac:dyDescent="0.25">
      <c r="A170" s="363"/>
      <c r="B170" s="915"/>
      <c r="C170" s="915"/>
      <c r="D170" s="1268"/>
      <c r="E170" s="1268"/>
      <c r="F170" s="438"/>
      <c r="G170" s="438"/>
      <c r="H170" s="1020" t="str">
        <f>IF(OR(C170="",C170="-"),"",VLOOKUP(C170,'Fatores de Emissão'!$E$181:$K$184,3,FALSE))</f>
        <v/>
      </c>
      <c r="I170" s="1110" t="str">
        <f>IF(OR(D170="",D170="-"),"",VLOOKUP(D170,'Fatores de Emissão'!$E$181:$K$184,2,FALSE))</f>
        <v/>
      </c>
      <c r="J170" s="1110" t="str">
        <f>IF(OR(D170="",D170="-"),"",VLOOKUP(D170,'Fatores de Emissão'!$E$181:$K$184,4,FALSE))</f>
        <v/>
      </c>
      <c r="K170" s="1110" t="str">
        <f>IF(OR(D170="",D170="-"),"",VLOOKUP(D170,'Fatores de Emissão'!$E$181:$K$184,6,FALSE))</f>
        <v/>
      </c>
      <c r="L170" s="478" t="str">
        <f t="shared" si="19"/>
        <v/>
      </c>
      <c r="M170" s="478" t="str">
        <f t="shared" si="20"/>
        <v/>
      </c>
      <c r="N170" s="478" t="str">
        <f t="shared" si="21"/>
        <v/>
      </c>
      <c r="O170" s="479" t="str">
        <f t="shared" si="22"/>
        <v/>
      </c>
      <c r="P170" s="480"/>
    </row>
    <row r="171" spans="1:43" s="237" customFormat="1" ht="15" customHeight="1" outlineLevel="1" x14ac:dyDescent="0.25">
      <c r="A171" s="363"/>
      <c r="B171" s="915"/>
      <c r="C171" s="915"/>
      <c r="D171" s="1268"/>
      <c r="E171" s="1268"/>
      <c r="F171" s="438"/>
      <c r="G171" s="438"/>
      <c r="H171" s="1020" t="str">
        <f>IF(OR(C171="",C171="-"),"",VLOOKUP(C171,'Fatores de Emissão'!$E$181:$K$184,3,FALSE))</f>
        <v/>
      </c>
      <c r="I171" s="1110" t="str">
        <f>IF(OR(D171="",D171="-"),"",VLOOKUP(D171,'Fatores de Emissão'!$E$181:$K$184,2,FALSE))</f>
        <v/>
      </c>
      <c r="J171" s="1110" t="str">
        <f>IF(OR(D171="",D171="-"),"",VLOOKUP(D171,'Fatores de Emissão'!$E$181:$K$184,4,FALSE))</f>
        <v/>
      </c>
      <c r="K171" s="1110" t="str">
        <f>IF(OR(D171="",D171="-"),"",VLOOKUP(D171,'Fatores de Emissão'!$E$181:$K$184,6,FALSE))</f>
        <v/>
      </c>
      <c r="L171" s="478" t="str">
        <f t="shared" si="19"/>
        <v/>
      </c>
      <c r="M171" s="478" t="str">
        <f t="shared" si="20"/>
        <v/>
      </c>
      <c r="N171" s="478" t="str">
        <f t="shared" si="21"/>
        <v/>
      </c>
      <c r="O171" s="479" t="str">
        <f t="shared" si="22"/>
        <v/>
      </c>
      <c r="P171" s="480"/>
    </row>
    <row r="172" spans="1:43" s="237" customFormat="1" ht="15" customHeight="1" outlineLevel="1" x14ac:dyDescent="0.25">
      <c r="A172" s="363"/>
      <c r="B172" s="915"/>
      <c r="C172" s="915"/>
      <c r="D172" s="1268"/>
      <c r="E172" s="1268"/>
      <c r="F172" s="438"/>
      <c r="G172" s="438"/>
      <c r="H172" s="1020" t="str">
        <f>IF(OR(C172="",C172="-"),"",VLOOKUP(C172,'Fatores de Emissão'!$E$181:$K$184,3,FALSE))</f>
        <v/>
      </c>
      <c r="I172" s="1110" t="str">
        <f>IF(OR(D172="",D172="-"),"",VLOOKUP(D172,'Fatores de Emissão'!$E$181:$K$184,2,FALSE))</f>
        <v/>
      </c>
      <c r="J172" s="1110" t="str">
        <f>IF(OR(D172="",D172="-"),"",VLOOKUP(D172,'Fatores de Emissão'!$E$181:$K$184,4,FALSE))</f>
        <v/>
      </c>
      <c r="K172" s="1110" t="str">
        <f>IF(OR(D172="",D172="-"),"",VLOOKUP(D172,'Fatores de Emissão'!$E$181:$K$184,6,FALSE))</f>
        <v/>
      </c>
      <c r="L172" s="478" t="str">
        <f t="shared" si="19"/>
        <v/>
      </c>
      <c r="M172" s="478" t="str">
        <f t="shared" si="20"/>
        <v/>
      </c>
      <c r="N172" s="478" t="str">
        <f t="shared" si="21"/>
        <v/>
      </c>
      <c r="O172" s="479" t="str">
        <f t="shared" si="22"/>
        <v/>
      </c>
      <c r="P172" s="480"/>
    </row>
    <row r="173" spans="1:43" s="237" customFormat="1" ht="15" customHeight="1" outlineLevel="1" x14ac:dyDescent="0.25">
      <c r="A173" s="363"/>
      <c r="B173" s="915"/>
      <c r="C173" s="915"/>
      <c r="D173" s="1268"/>
      <c r="E173" s="1268"/>
      <c r="F173" s="438"/>
      <c r="G173" s="438"/>
      <c r="H173" s="1020" t="str">
        <f>IF(OR(C173="",C173="-"),"",VLOOKUP(C173,'Fatores de Emissão'!$E$181:$K$184,3,FALSE))</f>
        <v/>
      </c>
      <c r="I173" s="1110" t="str">
        <f>IF(OR(D173="",D173="-"),"",VLOOKUP(D173,'Fatores de Emissão'!$E$181:$K$184,2,FALSE))</f>
        <v/>
      </c>
      <c r="J173" s="1110" t="str">
        <f>IF(OR(D173="",D173="-"),"",VLOOKUP(D173,'Fatores de Emissão'!$E$181:$K$184,4,FALSE))</f>
        <v/>
      </c>
      <c r="K173" s="1110" t="str">
        <f>IF(OR(D173="",D173="-"),"",VLOOKUP(D173,'Fatores de Emissão'!$E$181:$K$184,6,FALSE))</f>
        <v/>
      </c>
      <c r="L173" s="478" t="str">
        <f t="shared" si="19"/>
        <v/>
      </c>
      <c r="M173" s="478" t="str">
        <f t="shared" si="20"/>
        <v/>
      </c>
      <c r="N173" s="478" t="str">
        <f t="shared" si="21"/>
        <v/>
      </c>
      <c r="O173" s="479" t="str">
        <f t="shared" si="22"/>
        <v/>
      </c>
      <c r="P173" s="480"/>
    </row>
    <row r="174" spans="1:43" s="237" customFormat="1" ht="15" customHeight="1" outlineLevel="1" x14ac:dyDescent="0.25">
      <c r="A174" s="363"/>
      <c r="B174" s="915"/>
      <c r="C174" s="915"/>
      <c r="D174" s="1268"/>
      <c r="E174" s="1268"/>
      <c r="F174" s="438"/>
      <c r="G174" s="438"/>
      <c r="H174" s="1020" t="str">
        <f>IF(OR(C174="",C174="-"),"",VLOOKUP(C174,'Fatores de Emissão'!$E$181:$K$184,3,FALSE))</f>
        <v/>
      </c>
      <c r="I174" s="1110" t="str">
        <f>IF(OR(D174="",D174="-"),"",VLOOKUP(D174,'Fatores de Emissão'!$E$181:$K$184,2,FALSE))</f>
        <v/>
      </c>
      <c r="J174" s="1110" t="str">
        <f>IF(OR(D174="",D174="-"),"",VLOOKUP(D174,'Fatores de Emissão'!$E$181:$K$184,4,FALSE))</f>
        <v/>
      </c>
      <c r="K174" s="1110" t="str">
        <f>IF(OR(D174="",D174="-"),"",VLOOKUP(D174,'Fatores de Emissão'!$E$181:$K$184,6,FALSE))</f>
        <v/>
      </c>
      <c r="L174" s="478" t="str">
        <f t="shared" si="19"/>
        <v/>
      </c>
      <c r="M174" s="478" t="str">
        <f t="shared" si="20"/>
        <v/>
      </c>
      <c r="N174" s="478" t="str">
        <f t="shared" si="21"/>
        <v/>
      </c>
      <c r="O174" s="479" t="str">
        <f t="shared" si="22"/>
        <v/>
      </c>
      <c r="P174" s="480"/>
    </row>
    <row r="175" spans="1:43" s="237" customFormat="1" ht="15" customHeight="1" outlineLevel="1" collapsed="1" x14ac:dyDescent="0.25">
      <c r="A175" s="363"/>
      <c r="B175" s="915"/>
      <c r="C175" s="915"/>
      <c r="D175" s="1268"/>
      <c r="E175" s="1268"/>
      <c r="F175" s="438"/>
      <c r="G175" s="438"/>
      <c r="H175" s="1020" t="str">
        <f>IF(OR(C175="",C175="-"),"",VLOOKUP(C175,'Fatores de Emissão'!$E$181:$K$184,3,FALSE))</f>
        <v/>
      </c>
      <c r="I175" s="1110" t="str">
        <f>IF(OR(D175="",D175="-"),"",VLOOKUP(D175,'Fatores de Emissão'!$E$181:$K$184,2,FALSE))</f>
        <v/>
      </c>
      <c r="J175" s="1110" t="str">
        <f>IF(OR(D175="",D175="-"),"",VLOOKUP(D175,'Fatores de Emissão'!$E$181:$K$184,4,FALSE))</f>
        <v/>
      </c>
      <c r="K175" s="1110" t="str">
        <f>IF(OR(D175="",D175="-"),"",VLOOKUP(D175,'Fatores de Emissão'!$E$181:$K$184,6,FALSE))</f>
        <v/>
      </c>
      <c r="L175" s="478" t="str">
        <f t="shared" si="19"/>
        <v/>
      </c>
      <c r="M175" s="478" t="str">
        <f t="shared" si="20"/>
        <v/>
      </c>
      <c r="N175" s="478" t="str">
        <f t="shared" si="21"/>
        <v/>
      </c>
      <c r="O175" s="479" t="str">
        <f t="shared" si="22"/>
        <v/>
      </c>
      <c r="P175" s="480"/>
    </row>
    <row r="176" spans="1:43" s="237" customFormat="1" ht="15" hidden="1" customHeight="1" outlineLevel="2" x14ac:dyDescent="0.25">
      <c r="A176" s="363"/>
      <c r="B176" s="915"/>
      <c r="C176" s="915"/>
      <c r="D176" s="1268"/>
      <c r="E176" s="1268"/>
      <c r="F176" s="438"/>
      <c r="G176" s="438"/>
      <c r="H176" s="1020" t="str">
        <f>IF(OR(C176="",C176="-"),"",VLOOKUP(C176,'Fatores de Emissão'!$E$181:$K$184,3,FALSE))</f>
        <v/>
      </c>
      <c r="I176" s="1110" t="str">
        <f>IF(OR(D176="",D176="-"),"",VLOOKUP(D176,'Fatores de Emissão'!$E$181:$K$184,2,FALSE))</f>
        <v/>
      </c>
      <c r="J176" s="1110" t="str">
        <f>IF(OR(D176="",D176="-"),"",VLOOKUP(D176,'Fatores de Emissão'!$E$181:$K$184,4,FALSE))</f>
        <v/>
      </c>
      <c r="K176" s="1110" t="str">
        <f>IF(OR(D176="",D176="-"),"",VLOOKUP(D176,'Fatores de Emissão'!$E$181:$K$184,6,FALSE))</f>
        <v/>
      </c>
      <c r="L176" s="478" t="str">
        <f t="shared" si="19"/>
        <v/>
      </c>
      <c r="M176" s="478" t="str">
        <f t="shared" si="20"/>
        <v/>
      </c>
      <c r="N176" s="478" t="str">
        <f t="shared" si="21"/>
        <v/>
      </c>
      <c r="O176" s="479" t="str">
        <f t="shared" si="22"/>
        <v/>
      </c>
      <c r="P176" s="480"/>
    </row>
    <row r="177" spans="1:16" s="237" customFormat="1" ht="15" hidden="1" customHeight="1" outlineLevel="2" x14ac:dyDescent="0.25">
      <c r="A177" s="363"/>
      <c r="B177" s="915"/>
      <c r="C177" s="915"/>
      <c r="D177" s="1268"/>
      <c r="E177" s="1268"/>
      <c r="F177" s="438"/>
      <c r="G177" s="438"/>
      <c r="H177" s="1020" t="str">
        <f>IF(OR(C177="",C177="-"),"",VLOOKUP(C177,'Fatores de Emissão'!$E$181:$K$184,3,FALSE))</f>
        <v/>
      </c>
      <c r="I177" s="1110" t="str">
        <f>IF(OR(D177="",D177="-"),"",VLOOKUP(D177,'Fatores de Emissão'!$E$181:$K$184,2,FALSE))</f>
        <v/>
      </c>
      <c r="J177" s="1110" t="str">
        <f>IF(OR(D177="",D177="-"),"",VLOOKUP(D177,'Fatores de Emissão'!$E$181:$K$184,4,FALSE))</f>
        <v/>
      </c>
      <c r="K177" s="1110" t="str">
        <f>IF(OR(D177="",D177="-"),"",VLOOKUP(D177,'Fatores de Emissão'!$E$181:$K$184,6,FALSE))</f>
        <v/>
      </c>
      <c r="L177" s="478" t="str">
        <f t="shared" si="19"/>
        <v/>
      </c>
      <c r="M177" s="478" t="str">
        <f t="shared" si="20"/>
        <v/>
      </c>
      <c r="N177" s="478" t="str">
        <f t="shared" si="21"/>
        <v/>
      </c>
      <c r="O177" s="479" t="str">
        <f t="shared" ref="O177:O215" si="23">IF(ISERR(L177*gwp_CO2+M177*gwp_CH4+N177*gwp_N2O),"",L177*gwp_CO2+M177*gwp_CH4+N177*gwp_N2O)</f>
        <v/>
      </c>
      <c r="P177" s="480"/>
    </row>
    <row r="178" spans="1:16" s="237" customFormat="1" ht="15" hidden="1" customHeight="1" outlineLevel="2" x14ac:dyDescent="0.25">
      <c r="A178" s="363"/>
      <c r="B178" s="915"/>
      <c r="C178" s="915"/>
      <c r="D178" s="1268"/>
      <c r="E178" s="1268"/>
      <c r="F178" s="438"/>
      <c r="G178" s="438"/>
      <c r="H178" s="1020" t="str">
        <f>IF(OR(C178="",C178="-"),"",VLOOKUP(C178,'Fatores de Emissão'!$E$181:$K$184,3,FALSE))</f>
        <v/>
      </c>
      <c r="I178" s="1110" t="str">
        <f>IF(OR(D178="",D178="-"),"",VLOOKUP(D178,'Fatores de Emissão'!$E$181:$K$184,2,FALSE))</f>
        <v/>
      </c>
      <c r="J178" s="1110" t="str">
        <f>IF(OR(D178="",D178="-"),"",VLOOKUP(D178,'Fatores de Emissão'!$E$181:$K$184,4,FALSE))</f>
        <v/>
      </c>
      <c r="K178" s="1110" t="str">
        <f>IF(OR(D178="",D178="-"),"",VLOOKUP(D178,'Fatores de Emissão'!$E$181:$K$184,6,FALSE))</f>
        <v/>
      </c>
      <c r="L178" s="478" t="str">
        <f t="shared" si="19"/>
        <v/>
      </c>
      <c r="M178" s="478" t="str">
        <f t="shared" si="20"/>
        <v/>
      </c>
      <c r="N178" s="478" t="str">
        <f t="shared" si="21"/>
        <v/>
      </c>
      <c r="O178" s="479" t="str">
        <f t="shared" si="23"/>
        <v/>
      </c>
      <c r="P178" s="480"/>
    </row>
    <row r="179" spans="1:16" s="237" customFormat="1" ht="15" hidden="1" customHeight="1" outlineLevel="2" x14ac:dyDescent="0.25">
      <c r="A179" s="363"/>
      <c r="B179" s="915"/>
      <c r="C179" s="915"/>
      <c r="D179" s="1268"/>
      <c r="E179" s="1268"/>
      <c r="F179" s="438"/>
      <c r="G179" s="438"/>
      <c r="H179" s="1020" t="str">
        <f>IF(OR(C179="",C179="-"),"",VLOOKUP(C179,'Fatores de Emissão'!$E$181:$K$184,3,FALSE))</f>
        <v/>
      </c>
      <c r="I179" s="1110" t="str">
        <f>IF(OR(D179="",D179="-"),"",VLOOKUP(D179,'Fatores de Emissão'!$E$181:$K$184,2,FALSE))</f>
        <v/>
      </c>
      <c r="J179" s="1110" t="str">
        <f>IF(OR(D179="",D179="-"),"",VLOOKUP(D179,'Fatores de Emissão'!$E$181:$K$184,4,FALSE))</f>
        <v/>
      </c>
      <c r="K179" s="1110" t="str">
        <f>IF(OR(D179="",D179="-"),"",VLOOKUP(D179,'Fatores de Emissão'!$E$181:$K$184,6,FALSE))</f>
        <v/>
      </c>
      <c r="L179" s="478" t="str">
        <f t="shared" si="19"/>
        <v/>
      </c>
      <c r="M179" s="478" t="str">
        <f t="shared" si="20"/>
        <v/>
      </c>
      <c r="N179" s="478" t="str">
        <f t="shared" si="21"/>
        <v/>
      </c>
      <c r="O179" s="479" t="str">
        <f t="shared" si="23"/>
        <v/>
      </c>
      <c r="P179" s="480"/>
    </row>
    <row r="180" spans="1:16" s="237" customFormat="1" ht="15" hidden="1" customHeight="1" outlineLevel="2" x14ac:dyDescent="0.25">
      <c r="A180" s="363"/>
      <c r="B180" s="915"/>
      <c r="C180" s="915"/>
      <c r="D180" s="1268"/>
      <c r="E180" s="1268"/>
      <c r="F180" s="438"/>
      <c r="G180" s="438"/>
      <c r="H180" s="1020" t="str">
        <f>IF(OR(C180="",C180="-"),"",VLOOKUP(C180,'Fatores de Emissão'!$E$181:$K$184,3,FALSE))</f>
        <v/>
      </c>
      <c r="I180" s="1110" t="str">
        <f>IF(OR(D180="",D180="-"),"",VLOOKUP(D180,'Fatores de Emissão'!$E$181:$K$184,2,FALSE))</f>
        <v/>
      </c>
      <c r="J180" s="1110" t="str">
        <f>IF(OR(D180="",D180="-"),"",VLOOKUP(D180,'Fatores de Emissão'!$E$181:$K$184,4,FALSE))</f>
        <v/>
      </c>
      <c r="K180" s="1110" t="str">
        <f>IF(OR(D180="",D180="-"),"",VLOOKUP(D180,'Fatores de Emissão'!$E$181:$K$184,6,FALSE))</f>
        <v/>
      </c>
      <c r="L180" s="478" t="str">
        <f t="shared" si="19"/>
        <v/>
      </c>
      <c r="M180" s="478" t="str">
        <f t="shared" si="20"/>
        <v/>
      </c>
      <c r="N180" s="478" t="str">
        <f t="shared" si="21"/>
        <v/>
      </c>
      <c r="O180" s="479" t="str">
        <f t="shared" si="23"/>
        <v/>
      </c>
      <c r="P180" s="480"/>
    </row>
    <row r="181" spans="1:16" s="237" customFormat="1" ht="15" hidden="1" customHeight="1" outlineLevel="2" x14ac:dyDescent="0.25">
      <c r="A181" s="363"/>
      <c r="B181" s="915"/>
      <c r="C181" s="915"/>
      <c r="D181" s="1268"/>
      <c r="E181" s="1268"/>
      <c r="F181" s="438"/>
      <c r="G181" s="438"/>
      <c r="H181" s="1020" t="str">
        <f>IF(OR(C181="",C181="-"),"",VLOOKUP(C181,'Fatores de Emissão'!$E$181:$K$184,3,FALSE))</f>
        <v/>
      </c>
      <c r="I181" s="1110" t="str">
        <f>IF(OR(D181="",D181="-"),"",VLOOKUP(D181,'Fatores de Emissão'!$E$181:$K$184,2,FALSE))</f>
        <v/>
      </c>
      <c r="J181" s="1110" t="str">
        <f>IF(OR(D181="",D181="-"),"",VLOOKUP(D181,'Fatores de Emissão'!$E$181:$K$184,4,FALSE))</f>
        <v/>
      </c>
      <c r="K181" s="1110" t="str">
        <f>IF(OR(D181="",D181="-"),"",VLOOKUP(D181,'Fatores de Emissão'!$E$181:$K$184,6,FALSE))</f>
        <v/>
      </c>
      <c r="L181" s="478" t="str">
        <f t="shared" si="19"/>
        <v/>
      </c>
      <c r="M181" s="478" t="str">
        <f t="shared" si="20"/>
        <v/>
      </c>
      <c r="N181" s="478" t="str">
        <f t="shared" si="21"/>
        <v/>
      </c>
      <c r="O181" s="479" t="str">
        <f t="shared" si="23"/>
        <v/>
      </c>
      <c r="P181" s="480"/>
    </row>
    <row r="182" spans="1:16" s="237" customFormat="1" ht="15" hidden="1" customHeight="1" outlineLevel="2" x14ac:dyDescent="0.25">
      <c r="A182" s="363"/>
      <c r="B182" s="915"/>
      <c r="C182" s="915"/>
      <c r="D182" s="1268"/>
      <c r="E182" s="1268"/>
      <c r="F182" s="438"/>
      <c r="G182" s="438"/>
      <c r="H182" s="1020" t="str">
        <f>IF(OR(C182="",C182="-"),"",VLOOKUP(C182,'Fatores de Emissão'!$E$181:$K$184,3,FALSE))</f>
        <v/>
      </c>
      <c r="I182" s="1110" t="str">
        <f>IF(OR(D182="",D182="-"),"",VLOOKUP(D182,'Fatores de Emissão'!$E$181:$K$184,2,FALSE))</f>
        <v/>
      </c>
      <c r="J182" s="1110" t="str">
        <f>IF(OR(D182="",D182="-"),"",VLOOKUP(D182,'Fatores de Emissão'!$E$181:$K$184,4,FALSE))</f>
        <v/>
      </c>
      <c r="K182" s="1110" t="str">
        <f>IF(OR(D182="",D182="-"),"",VLOOKUP(D182,'Fatores de Emissão'!$E$181:$K$184,6,FALSE))</f>
        <v/>
      </c>
      <c r="L182" s="478" t="str">
        <f t="shared" si="19"/>
        <v/>
      </c>
      <c r="M182" s="478" t="str">
        <f t="shared" si="20"/>
        <v/>
      </c>
      <c r="N182" s="478" t="str">
        <f t="shared" si="21"/>
        <v/>
      </c>
      <c r="O182" s="479" t="str">
        <f t="shared" si="23"/>
        <v/>
      </c>
      <c r="P182" s="480"/>
    </row>
    <row r="183" spans="1:16" s="237" customFormat="1" ht="15" hidden="1" customHeight="1" outlineLevel="2" x14ac:dyDescent="0.25">
      <c r="A183" s="363"/>
      <c r="B183" s="915"/>
      <c r="C183" s="915"/>
      <c r="D183" s="1268"/>
      <c r="E183" s="1268"/>
      <c r="F183" s="438"/>
      <c r="G183" s="438"/>
      <c r="H183" s="1020" t="str">
        <f>IF(OR(C183="",C183="-"),"",VLOOKUP(C183,'Fatores de Emissão'!$E$181:$K$184,3,FALSE))</f>
        <v/>
      </c>
      <c r="I183" s="1110" t="str">
        <f>IF(OR(D183="",D183="-"),"",VLOOKUP(D183,'Fatores de Emissão'!$E$181:$K$184,2,FALSE))</f>
        <v/>
      </c>
      <c r="J183" s="1110" t="str">
        <f>IF(OR(D183="",D183="-"),"",VLOOKUP(D183,'Fatores de Emissão'!$E$181:$K$184,4,FALSE))</f>
        <v/>
      </c>
      <c r="K183" s="1110" t="str">
        <f>IF(OR(D183="",D183="-"),"",VLOOKUP(D183,'Fatores de Emissão'!$E$181:$K$184,6,FALSE))</f>
        <v/>
      </c>
      <c r="L183" s="478" t="str">
        <f t="shared" si="19"/>
        <v/>
      </c>
      <c r="M183" s="478" t="str">
        <f t="shared" si="20"/>
        <v/>
      </c>
      <c r="N183" s="478" t="str">
        <f t="shared" si="21"/>
        <v/>
      </c>
      <c r="O183" s="479" t="str">
        <f t="shared" si="23"/>
        <v/>
      </c>
      <c r="P183" s="480"/>
    </row>
    <row r="184" spans="1:16" s="237" customFormat="1" ht="15" hidden="1" customHeight="1" outlineLevel="2" x14ac:dyDescent="0.25">
      <c r="A184" s="363"/>
      <c r="B184" s="915"/>
      <c r="C184" s="915"/>
      <c r="D184" s="1268"/>
      <c r="E184" s="1268"/>
      <c r="F184" s="438"/>
      <c r="G184" s="438"/>
      <c r="H184" s="1020" t="str">
        <f>IF(OR(C184="",C184="-"),"",VLOOKUP(C184,'Fatores de Emissão'!$E$181:$K$184,3,FALSE))</f>
        <v/>
      </c>
      <c r="I184" s="1110" t="str">
        <f>IF(OR(D184="",D184="-"),"",VLOOKUP(D184,'Fatores de Emissão'!$E$181:$K$184,2,FALSE))</f>
        <v/>
      </c>
      <c r="J184" s="1110" t="str">
        <f>IF(OR(D184="",D184="-"),"",VLOOKUP(D184,'Fatores de Emissão'!$E$181:$K$184,4,FALSE))</f>
        <v/>
      </c>
      <c r="K184" s="1110" t="str">
        <f>IF(OR(D184="",D184="-"),"",VLOOKUP(D184,'Fatores de Emissão'!$E$181:$K$184,6,FALSE))</f>
        <v/>
      </c>
      <c r="L184" s="478" t="str">
        <f t="shared" si="19"/>
        <v/>
      </c>
      <c r="M184" s="478" t="str">
        <f t="shared" si="20"/>
        <v/>
      </c>
      <c r="N184" s="478" t="str">
        <f t="shared" si="21"/>
        <v/>
      </c>
      <c r="O184" s="479" t="str">
        <f t="shared" si="23"/>
        <v/>
      </c>
      <c r="P184" s="480"/>
    </row>
    <row r="185" spans="1:16" s="237" customFormat="1" ht="15" hidden="1" customHeight="1" outlineLevel="2" x14ac:dyDescent="0.25">
      <c r="A185" s="363"/>
      <c r="B185" s="915"/>
      <c r="C185" s="915"/>
      <c r="D185" s="1268"/>
      <c r="E185" s="1268"/>
      <c r="F185" s="438"/>
      <c r="G185" s="438"/>
      <c r="H185" s="1020" t="str">
        <f>IF(OR(C185="",C185="-"),"",VLOOKUP(C185,'Fatores de Emissão'!$E$181:$K$184,3,FALSE))</f>
        <v/>
      </c>
      <c r="I185" s="1110" t="str">
        <f>IF(OR(D185="",D185="-"),"",VLOOKUP(D185,'Fatores de Emissão'!$E$181:$K$184,2,FALSE))</f>
        <v/>
      </c>
      <c r="J185" s="1110" t="str">
        <f>IF(OR(D185="",D185="-"),"",VLOOKUP(D185,'Fatores de Emissão'!$E$181:$K$184,4,FALSE))</f>
        <v/>
      </c>
      <c r="K185" s="1110" t="str">
        <f>IF(OR(D185="",D185="-"),"",VLOOKUP(D185,'Fatores de Emissão'!$E$181:$K$184,6,FALSE))</f>
        <v/>
      </c>
      <c r="L185" s="478" t="str">
        <f t="shared" si="19"/>
        <v/>
      </c>
      <c r="M185" s="478" t="str">
        <f t="shared" si="20"/>
        <v/>
      </c>
      <c r="N185" s="478" t="str">
        <f t="shared" si="21"/>
        <v/>
      </c>
      <c r="O185" s="479" t="str">
        <f t="shared" si="23"/>
        <v/>
      </c>
      <c r="P185" s="480"/>
    </row>
    <row r="186" spans="1:16" s="237" customFormat="1" ht="15" hidden="1" customHeight="1" outlineLevel="2" x14ac:dyDescent="0.25">
      <c r="A186" s="363"/>
      <c r="B186" s="915"/>
      <c r="C186" s="915"/>
      <c r="D186" s="1268"/>
      <c r="E186" s="1268"/>
      <c r="F186" s="438"/>
      <c r="G186" s="438"/>
      <c r="H186" s="1020" t="str">
        <f>IF(OR(C186="",C186="-"),"",VLOOKUP(C186,'Fatores de Emissão'!$E$181:$K$184,3,FALSE))</f>
        <v/>
      </c>
      <c r="I186" s="1110" t="str">
        <f>IF(OR(D186="",D186="-"),"",VLOOKUP(D186,'Fatores de Emissão'!$E$181:$K$184,2,FALSE))</f>
        <v/>
      </c>
      <c r="J186" s="1110" t="str">
        <f>IF(OR(D186="",D186="-"),"",VLOOKUP(D186,'Fatores de Emissão'!$E$181:$K$184,4,FALSE))</f>
        <v/>
      </c>
      <c r="K186" s="1110" t="str">
        <f>IF(OR(D186="",D186="-"),"",VLOOKUP(D186,'Fatores de Emissão'!$E$181:$K$184,6,FALSE))</f>
        <v/>
      </c>
      <c r="L186" s="478" t="str">
        <f t="shared" si="19"/>
        <v/>
      </c>
      <c r="M186" s="478" t="str">
        <f t="shared" si="20"/>
        <v/>
      </c>
      <c r="N186" s="478" t="str">
        <f t="shared" si="21"/>
        <v/>
      </c>
      <c r="O186" s="479" t="str">
        <f t="shared" si="23"/>
        <v/>
      </c>
      <c r="P186" s="480"/>
    </row>
    <row r="187" spans="1:16" s="237" customFormat="1" ht="15" hidden="1" customHeight="1" outlineLevel="2" x14ac:dyDescent="0.25">
      <c r="A187" s="363"/>
      <c r="B187" s="915"/>
      <c r="C187" s="915"/>
      <c r="D187" s="1268"/>
      <c r="E187" s="1268"/>
      <c r="F187" s="438"/>
      <c r="G187" s="438"/>
      <c r="H187" s="1020" t="str">
        <f>IF(OR(C187="",C187="-"),"",VLOOKUP(C187,'Fatores de Emissão'!$E$181:$K$184,3,FALSE))</f>
        <v/>
      </c>
      <c r="I187" s="1110" t="str">
        <f>IF(OR(D187="",D187="-"),"",VLOOKUP(D187,'Fatores de Emissão'!$E$181:$K$184,2,FALSE))</f>
        <v/>
      </c>
      <c r="J187" s="1110" t="str">
        <f>IF(OR(D187="",D187="-"),"",VLOOKUP(D187,'Fatores de Emissão'!$E$181:$K$184,4,FALSE))</f>
        <v/>
      </c>
      <c r="K187" s="1110" t="str">
        <f>IF(OR(D187="",D187="-"),"",VLOOKUP(D187,'Fatores de Emissão'!$E$181:$K$184,6,FALSE))</f>
        <v/>
      </c>
      <c r="L187" s="478" t="str">
        <f t="shared" si="19"/>
        <v/>
      </c>
      <c r="M187" s="478" t="str">
        <f t="shared" si="20"/>
        <v/>
      </c>
      <c r="N187" s="478" t="str">
        <f t="shared" si="21"/>
        <v/>
      </c>
      <c r="O187" s="479" t="str">
        <f t="shared" si="23"/>
        <v/>
      </c>
      <c r="P187" s="480"/>
    </row>
    <row r="188" spans="1:16" s="237" customFormat="1" ht="15" hidden="1" customHeight="1" outlineLevel="2" x14ac:dyDescent="0.25">
      <c r="A188" s="363"/>
      <c r="B188" s="915"/>
      <c r="C188" s="915"/>
      <c r="D188" s="1268"/>
      <c r="E188" s="1268"/>
      <c r="F188" s="438"/>
      <c r="G188" s="438"/>
      <c r="H188" s="1020" t="str">
        <f>IF(OR(C188="",C188="-"),"",VLOOKUP(C188,'Fatores de Emissão'!$E$181:$K$184,3,FALSE))</f>
        <v/>
      </c>
      <c r="I188" s="1110" t="str">
        <f>IF(OR(D188="",D188="-"),"",VLOOKUP(D188,'Fatores de Emissão'!$E$181:$K$184,2,FALSE))</f>
        <v/>
      </c>
      <c r="J188" s="1110" t="str">
        <f>IF(OR(D188="",D188="-"),"",VLOOKUP(D188,'Fatores de Emissão'!$E$181:$K$184,4,FALSE))</f>
        <v/>
      </c>
      <c r="K188" s="1110" t="str">
        <f>IF(OR(D188="",D188="-"),"",VLOOKUP(D188,'Fatores de Emissão'!$E$181:$K$184,6,FALSE))</f>
        <v/>
      </c>
      <c r="L188" s="478" t="str">
        <f t="shared" si="19"/>
        <v/>
      </c>
      <c r="M188" s="478" t="str">
        <f t="shared" si="20"/>
        <v/>
      </c>
      <c r="N188" s="478" t="str">
        <f t="shared" si="21"/>
        <v/>
      </c>
      <c r="O188" s="479" t="str">
        <f t="shared" si="23"/>
        <v/>
      </c>
      <c r="P188" s="480"/>
    </row>
    <row r="189" spans="1:16" s="237" customFormat="1" ht="15" hidden="1" customHeight="1" outlineLevel="2" x14ac:dyDescent="0.25">
      <c r="A189" s="363"/>
      <c r="B189" s="915"/>
      <c r="C189" s="915"/>
      <c r="D189" s="1268"/>
      <c r="E189" s="1268"/>
      <c r="F189" s="438"/>
      <c r="G189" s="438"/>
      <c r="H189" s="1020" t="str">
        <f>IF(OR(C189="",C189="-"),"",VLOOKUP(C189,'Fatores de Emissão'!$E$181:$K$184,3,FALSE))</f>
        <v/>
      </c>
      <c r="I189" s="1110" t="str">
        <f>IF(OR(D189="",D189="-"),"",VLOOKUP(D189,'Fatores de Emissão'!$E$181:$K$184,2,FALSE))</f>
        <v/>
      </c>
      <c r="J189" s="1110" t="str">
        <f>IF(OR(D189="",D189="-"),"",VLOOKUP(D189,'Fatores de Emissão'!$E$181:$K$184,4,FALSE))</f>
        <v/>
      </c>
      <c r="K189" s="1110" t="str">
        <f>IF(OR(D189="",D189="-"),"",VLOOKUP(D189,'Fatores de Emissão'!$E$181:$K$184,6,FALSE))</f>
        <v/>
      </c>
      <c r="L189" s="478" t="str">
        <f t="shared" si="19"/>
        <v/>
      </c>
      <c r="M189" s="478" t="str">
        <f t="shared" si="20"/>
        <v/>
      </c>
      <c r="N189" s="478" t="str">
        <f t="shared" si="21"/>
        <v/>
      </c>
      <c r="O189" s="479" t="str">
        <f t="shared" si="23"/>
        <v/>
      </c>
      <c r="P189" s="480"/>
    </row>
    <row r="190" spans="1:16" s="237" customFormat="1" ht="15" hidden="1" customHeight="1" outlineLevel="2" x14ac:dyDescent="0.25">
      <c r="A190" s="363"/>
      <c r="B190" s="915"/>
      <c r="C190" s="915"/>
      <c r="D190" s="1268"/>
      <c r="E190" s="1268"/>
      <c r="F190" s="438"/>
      <c r="G190" s="438"/>
      <c r="H190" s="1020" t="str">
        <f>IF(OR(C190="",C190="-"),"",VLOOKUP(C190,'Fatores de Emissão'!$E$181:$K$184,3,FALSE))</f>
        <v/>
      </c>
      <c r="I190" s="1110" t="str">
        <f>IF(OR(D190="",D190="-"),"",VLOOKUP(D190,'Fatores de Emissão'!$E$181:$K$184,2,FALSE))</f>
        <v/>
      </c>
      <c r="J190" s="1110" t="str">
        <f>IF(OR(D190="",D190="-"),"",VLOOKUP(D190,'Fatores de Emissão'!$E$181:$K$184,4,FALSE))</f>
        <v/>
      </c>
      <c r="K190" s="1110" t="str">
        <f>IF(OR(D190="",D190="-"),"",VLOOKUP(D190,'Fatores de Emissão'!$E$181:$K$184,6,FALSE))</f>
        <v/>
      </c>
      <c r="L190" s="478" t="str">
        <f t="shared" si="19"/>
        <v/>
      </c>
      <c r="M190" s="478" t="str">
        <f t="shared" si="20"/>
        <v/>
      </c>
      <c r="N190" s="478" t="str">
        <f t="shared" si="21"/>
        <v/>
      </c>
      <c r="O190" s="479" t="str">
        <f t="shared" si="23"/>
        <v/>
      </c>
      <c r="P190" s="480"/>
    </row>
    <row r="191" spans="1:16" s="237" customFormat="1" ht="15" hidden="1" customHeight="1" outlineLevel="2" x14ac:dyDescent="0.25">
      <c r="A191" s="363"/>
      <c r="B191" s="915"/>
      <c r="C191" s="915"/>
      <c r="D191" s="1268"/>
      <c r="E191" s="1268"/>
      <c r="F191" s="438"/>
      <c r="G191" s="438"/>
      <c r="H191" s="1020" t="str">
        <f>IF(OR(C191="",C191="-"),"",VLOOKUP(C191,'Fatores de Emissão'!$E$181:$K$184,3,FALSE))</f>
        <v/>
      </c>
      <c r="I191" s="1110" t="str">
        <f>IF(OR(D191="",D191="-"),"",VLOOKUP(D191,'Fatores de Emissão'!$E$181:$K$184,2,FALSE))</f>
        <v/>
      </c>
      <c r="J191" s="1110" t="str">
        <f>IF(OR(D191="",D191="-"),"",VLOOKUP(D191,'Fatores de Emissão'!$E$181:$K$184,4,FALSE))</f>
        <v/>
      </c>
      <c r="K191" s="1110" t="str">
        <f>IF(OR(D191="",D191="-"),"",VLOOKUP(D191,'Fatores de Emissão'!$E$181:$K$184,6,FALSE))</f>
        <v/>
      </c>
      <c r="L191" s="478" t="str">
        <f t="shared" si="19"/>
        <v/>
      </c>
      <c r="M191" s="478" t="str">
        <f t="shared" si="20"/>
        <v/>
      </c>
      <c r="N191" s="478" t="str">
        <f t="shared" si="21"/>
        <v/>
      </c>
      <c r="O191" s="479" t="str">
        <f t="shared" si="23"/>
        <v/>
      </c>
      <c r="P191" s="480"/>
    </row>
    <row r="192" spans="1:16" s="237" customFormat="1" ht="15" hidden="1" customHeight="1" outlineLevel="2" x14ac:dyDescent="0.25">
      <c r="A192" s="363"/>
      <c r="B192" s="915"/>
      <c r="C192" s="915"/>
      <c r="D192" s="1268"/>
      <c r="E192" s="1268"/>
      <c r="F192" s="438"/>
      <c r="G192" s="438"/>
      <c r="H192" s="1020" t="str">
        <f>IF(OR(C192="",C192="-"),"",VLOOKUP(C192,'Fatores de Emissão'!$E$181:$K$184,3,FALSE))</f>
        <v/>
      </c>
      <c r="I192" s="1110" t="str">
        <f>IF(OR(D192="",D192="-"),"",VLOOKUP(D192,'Fatores de Emissão'!$E$181:$K$184,2,FALSE))</f>
        <v/>
      </c>
      <c r="J192" s="1110" t="str">
        <f>IF(OR(D192="",D192="-"),"",VLOOKUP(D192,'Fatores de Emissão'!$E$181:$K$184,4,FALSE))</f>
        <v/>
      </c>
      <c r="K192" s="1110" t="str">
        <f>IF(OR(D192="",D192="-"),"",VLOOKUP(D192,'Fatores de Emissão'!$E$181:$K$184,6,FALSE))</f>
        <v/>
      </c>
      <c r="L192" s="478" t="str">
        <f t="shared" si="19"/>
        <v/>
      </c>
      <c r="M192" s="478" t="str">
        <f t="shared" si="20"/>
        <v/>
      </c>
      <c r="N192" s="478" t="str">
        <f t="shared" si="21"/>
        <v/>
      </c>
      <c r="O192" s="479" t="str">
        <f t="shared" si="23"/>
        <v/>
      </c>
      <c r="P192" s="480"/>
    </row>
    <row r="193" spans="1:16" s="237" customFormat="1" ht="15" hidden="1" customHeight="1" outlineLevel="2" x14ac:dyDescent="0.25">
      <c r="A193" s="363"/>
      <c r="B193" s="915"/>
      <c r="C193" s="915"/>
      <c r="D193" s="1268"/>
      <c r="E193" s="1268"/>
      <c r="F193" s="438"/>
      <c r="G193" s="438"/>
      <c r="H193" s="1020" t="str">
        <f>IF(OR(C193="",C193="-"),"",VLOOKUP(C193,'Fatores de Emissão'!$E$181:$K$184,3,FALSE))</f>
        <v/>
      </c>
      <c r="I193" s="1110" t="str">
        <f>IF(OR(D193="",D193="-"),"",VLOOKUP(D193,'Fatores de Emissão'!$E$181:$K$184,2,FALSE))</f>
        <v/>
      </c>
      <c r="J193" s="1110" t="str">
        <f>IF(OR(D193="",D193="-"),"",VLOOKUP(D193,'Fatores de Emissão'!$E$181:$K$184,4,FALSE))</f>
        <v/>
      </c>
      <c r="K193" s="1110" t="str">
        <f>IF(OR(D193="",D193="-"),"",VLOOKUP(D193,'Fatores de Emissão'!$E$181:$K$184,6,FALSE))</f>
        <v/>
      </c>
      <c r="L193" s="478" t="str">
        <f t="shared" si="19"/>
        <v/>
      </c>
      <c r="M193" s="478" t="str">
        <f t="shared" si="20"/>
        <v/>
      </c>
      <c r="N193" s="478" t="str">
        <f t="shared" si="21"/>
        <v/>
      </c>
      <c r="O193" s="479" t="str">
        <f t="shared" si="23"/>
        <v/>
      </c>
      <c r="P193" s="480"/>
    </row>
    <row r="194" spans="1:16" s="237" customFormat="1" ht="15" hidden="1" customHeight="1" outlineLevel="2" x14ac:dyDescent="0.25">
      <c r="A194" s="363"/>
      <c r="B194" s="915"/>
      <c r="C194" s="915"/>
      <c r="D194" s="1268"/>
      <c r="E194" s="1268"/>
      <c r="F194" s="438"/>
      <c r="G194" s="438"/>
      <c r="H194" s="1020" t="str">
        <f>IF(OR(C194="",C194="-"),"",VLOOKUP(C194,'Fatores de Emissão'!$E$181:$K$184,3,FALSE))</f>
        <v/>
      </c>
      <c r="I194" s="1110" t="str">
        <f>IF(OR(D194="",D194="-"),"",VLOOKUP(D194,'Fatores de Emissão'!$E$181:$K$184,2,FALSE))</f>
        <v/>
      </c>
      <c r="J194" s="1110" t="str">
        <f>IF(OR(D194="",D194="-"),"",VLOOKUP(D194,'Fatores de Emissão'!$E$181:$K$184,4,FALSE))</f>
        <v/>
      </c>
      <c r="K194" s="1110" t="str">
        <f>IF(OR(D194="",D194="-"),"",VLOOKUP(D194,'Fatores de Emissão'!$E$181:$K$184,6,FALSE))</f>
        <v/>
      </c>
      <c r="L194" s="478" t="str">
        <f t="shared" si="19"/>
        <v/>
      </c>
      <c r="M194" s="478" t="str">
        <f t="shared" si="20"/>
        <v/>
      </c>
      <c r="N194" s="478" t="str">
        <f t="shared" si="21"/>
        <v/>
      </c>
      <c r="O194" s="479" t="str">
        <f t="shared" si="23"/>
        <v/>
      </c>
      <c r="P194" s="480"/>
    </row>
    <row r="195" spans="1:16" s="237" customFormat="1" ht="15" hidden="1" customHeight="1" outlineLevel="2" x14ac:dyDescent="0.25">
      <c r="A195" s="363"/>
      <c r="B195" s="915"/>
      <c r="C195" s="915"/>
      <c r="D195" s="1268"/>
      <c r="E195" s="1268"/>
      <c r="F195" s="438"/>
      <c r="G195" s="438"/>
      <c r="H195" s="1020" t="str">
        <f>IF(OR(C195="",C195="-"),"",VLOOKUP(C195,'Fatores de Emissão'!$E$181:$K$184,3,FALSE))</f>
        <v/>
      </c>
      <c r="I195" s="1110" t="str">
        <f>IF(OR(D195="",D195="-"),"",VLOOKUP(D195,'Fatores de Emissão'!$E$181:$K$184,2,FALSE))</f>
        <v/>
      </c>
      <c r="J195" s="1110" t="str">
        <f>IF(OR(D195="",D195="-"),"",VLOOKUP(D195,'Fatores de Emissão'!$E$181:$K$184,4,FALSE))</f>
        <v/>
      </c>
      <c r="K195" s="1110" t="str">
        <f>IF(OR(D195="",D195="-"),"",VLOOKUP(D195,'Fatores de Emissão'!$E$181:$K$184,6,FALSE))</f>
        <v/>
      </c>
      <c r="L195" s="478" t="str">
        <f t="shared" si="19"/>
        <v/>
      </c>
      <c r="M195" s="478" t="str">
        <f t="shared" si="20"/>
        <v/>
      </c>
      <c r="N195" s="478" t="str">
        <f t="shared" si="21"/>
        <v/>
      </c>
      <c r="O195" s="479" t="str">
        <f t="shared" si="23"/>
        <v/>
      </c>
      <c r="P195" s="480"/>
    </row>
    <row r="196" spans="1:16" s="237" customFormat="1" ht="15" hidden="1" customHeight="1" outlineLevel="2" x14ac:dyDescent="0.25">
      <c r="A196" s="363"/>
      <c r="B196" s="915"/>
      <c r="C196" s="915"/>
      <c r="D196" s="1268"/>
      <c r="E196" s="1268"/>
      <c r="F196" s="438"/>
      <c r="G196" s="438"/>
      <c r="H196" s="1020" t="str">
        <f>IF(OR(C196="",C196="-"),"",VLOOKUP(C196,'Fatores de Emissão'!$E$181:$K$184,3,FALSE))</f>
        <v/>
      </c>
      <c r="I196" s="1110" t="str">
        <f>IF(OR(D196="",D196="-"),"",VLOOKUP(D196,'Fatores de Emissão'!$E$181:$K$184,2,FALSE))</f>
        <v/>
      </c>
      <c r="J196" s="1110" t="str">
        <f>IF(OR(D196="",D196="-"),"",VLOOKUP(D196,'Fatores de Emissão'!$E$181:$K$184,4,FALSE))</f>
        <v/>
      </c>
      <c r="K196" s="1110" t="str">
        <f>IF(OR(D196="",D196="-"),"",VLOOKUP(D196,'Fatores de Emissão'!$E$181:$K$184,6,FALSE))</f>
        <v/>
      </c>
      <c r="L196" s="478" t="str">
        <f t="shared" si="19"/>
        <v/>
      </c>
      <c r="M196" s="478" t="str">
        <f t="shared" si="20"/>
        <v/>
      </c>
      <c r="N196" s="478" t="str">
        <f t="shared" si="21"/>
        <v/>
      </c>
      <c r="O196" s="479" t="str">
        <f t="shared" si="23"/>
        <v/>
      </c>
      <c r="P196" s="480"/>
    </row>
    <row r="197" spans="1:16" s="237" customFormat="1" ht="15" hidden="1" customHeight="1" outlineLevel="2" x14ac:dyDescent="0.25">
      <c r="A197" s="363"/>
      <c r="B197" s="915"/>
      <c r="C197" s="915"/>
      <c r="D197" s="1268"/>
      <c r="E197" s="1268"/>
      <c r="F197" s="438"/>
      <c r="G197" s="438"/>
      <c r="H197" s="1020" t="str">
        <f>IF(OR(C197="",C197="-"),"",VLOOKUP(C197,'Fatores de Emissão'!$E$181:$K$184,3,FALSE))</f>
        <v/>
      </c>
      <c r="I197" s="1110" t="str">
        <f>IF(OR(D197="",D197="-"),"",VLOOKUP(D197,'Fatores de Emissão'!$E$181:$K$184,2,FALSE))</f>
        <v/>
      </c>
      <c r="J197" s="1110" t="str">
        <f>IF(OR(D197="",D197="-"),"",VLOOKUP(D197,'Fatores de Emissão'!$E$181:$K$184,4,FALSE))</f>
        <v/>
      </c>
      <c r="K197" s="1110" t="str">
        <f>IF(OR(D197="",D197="-"),"",VLOOKUP(D197,'Fatores de Emissão'!$E$181:$K$184,6,FALSE))</f>
        <v/>
      </c>
      <c r="L197" s="478" t="str">
        <f t="shared" si="19"/>
        <v/>
      </c>
      <c r="M197" s="478" t="str">
        <f t="shared" si="20"/>
        <v/>
      </c>
      <c r="N197" s="478" t="str">
        <f t="shared" si="21"/>
        <v/>
      </c>
      <c r="O197" s="479" t="str">
        <f t="shared" si="23"/>
        <v/>
      </c>
      <c r="P197" s="480"/>
    </row>
    <row r="198" spans="1:16" s="237" customFormat="1" ht="15" hidden="1" customHeight="1" outlineLevel="2" x14ac:dyDescent="0.25">
      <c r="A198" s="363"/>
      <c r="B198" s="915"/>
      <c r="C198" s="915"/>
      <c r="D198" s="1268"/>
      <c r="E198" s="1268"/>
      <c r="F198" s="438"/>
      <c r="G198" s="438"/>
      <c r="H198" s="1020" t="str">
        <f>IF(OR(C198="",C198="-"),"",VLOOKUP(C198,'Fatores de Emissão'!$E$181:$K$184,3,FALSE))</f>
        <v/>
      </c>
      <c r="I198" s="1110" t="str">
        <f>IF(OR(D198="",D198="-"),"",VLOOKUP(D198,'Fatores de Emissão'!$E$181:$K$184,2,FALSE))</f>
        <v/>
      </c>
      <c r="J198" s="1110" t="str">
        <f>IF(OR(D198="",D198="-"),"",VLOOKUP(D198,'Fatores de Emissão'!$E$181:$K$184,4,FALSE))</f>
        <v/>
      </c>
      <c r="K198" s="1110" t="str">
        <f>IF(OR(D198="",D198="-"),"",VLOOKUP(D198,'Fatores de Emissão'!$E$181:$K$184,6,FALSE))</f>
        <v/>
      </c>
      <c r="L198" s="478" t="str">
        <f t="shared" si="19"/>
        <v/>
      </c>
      <c r="M198" s="478" t="str">
        <f t="shared" si="20"/>
        <v/>
      </c>
      <c r="N198" s="478" t="str">
        <f t="shared" si="21"/>
        <v/>
      </c>
      <c r="O198" s="479" t="str">
        <f t="shared" si="23"/>
        <v/>
      </c>
      <c r="P198" s="480"/>
    </row>
    <row r="199" spans="1:16" s="237" customFormat="1" ht="15" hidden="1" customHeight="1" outlineLevel="2" x14ac:dyDescent="0.25">
      <c r="A199" s="363"/>
      <c r="B199" s="915"/>
      <c r="C199" s="915"/>
      <c r="D199" s="1268"/>
      <c r="E199" s="1268"/>
      <c r="F199" s="438"/>
      <c r="G199" s="438"/>
      <c r="H199" s="1020" t="str">
        <f>IF(OR(C199="",C199="-"),"",VLOOKUP(C199,'Fatores de Emissão'!$E$181:$K$184,3,FALSE))</f>
        <v/>
      </c>
      <c r="I199" s="1110" t="str">
        <f>IF(OR(D199="",D199="-"),"",VLOOKUP(D199,'Fatores de Emissão'!$E$181:$K$184,2,FALSE))</f>
        <v/>
      </c>
      <c r="J199" s="1110" t="str">
        <f>IF(OR(D199="",D199="-"),"",VLOOKUP(D199,'Fatores de Emissão'!$E$181:$K$184,4,FALSE))</f>
        <v/>
      </c>
      <c r="K199" s="1110" t="str">
        <f>IF(OR(D199="",D199="-"),"",VLOOKUP(D199,'Fatores de Emissão'!$E$181:$K$184,6,FALSE))</f>
        <v/>
      </c>
      <c r="L199" s="478" t="str">
        <f t="shared" si="19"/>
        <v/>
      </c>
      <c r="M199" s="478" t="str">
        <f t="shared" si="20"/>
        <v/>
      </c>
      <c r="N199" s="478" t="str">
        <f t="shared" si="21"/>
        <v/>
      </c>
      <c r="O199" s="479" t="str">
        <f t="shared" si="23"/>
        <v/>
      </c>
      <c r="P199" s="480"/>
    </row>
    <row r="200" spans="1:16" s="237" customFormat="1" ht="15" hidden="1" customHeight="1" outlineLevel="2" x14ac:dyDescent="0.25">
      <c r="A200" s="363"/>
      <c r="B200" s="915"/>
      <c r="C200" s="915"/>
      <c r="D200" s="1268"/>
      <c r="E200" s="1268"/>
      <c r="F200" s="438"/>
      <c r="G200" s="438"/>
      <c r="H200" s="1020" t="str">
        <f>IF(OR(C200="",C200="-"),"",VLOOKUP(C200,'Fatores de Emissão'!$E$181:$K$184,3,FALSE))</f>
        <v/>
      </c>
      <c r="I200" s="1110" t="str">
        <f>IF(OR(D200="",D200="-"),"",VLOOKUP(D200,'Fatores de Emissão'!$E$181:$K$184,2,FALSE))</f>
        <v/>
      </c>
      <c r="J200" s="1110" t="str">
        <f>IF(OR(D200="",D200="-"),"",VLOOKUP(D200,'Fatores de Emissão'!$E$181:$K$184,4,FALSE))</f>
        <v/>
      </c>
      <c r="K200" s="1110" t="str">
        <f>IF(OR(D200="",D200="-"),"",VLOOKUP(D200,'Fatores de Emissão'!$E$181:$K$184,6,FALSE))</f>
        <v/>
      </c>
      <c r="L200" s="478" t="str">
        <f t="shared" si="19"/>
        <v/>
      </c>
      <c r="M200" s="478" t="str">
        <f t="shared" si="20"/>
        <v/>
      </c>
      <c r="N200" s="478" t="str">
        <f t="shared" si="21"/>
        <v/>
      </c>
      <c r="O200" s="479" t="str">
        <f t="shared" si="23"/>
        <v/>
      </c>
      <c r="P200" s="480"/>
    </row>
    <row r="201" spans="1:16" s="237" customFormat="1" ht="15" hidden="1" customHeight="1" outlineLevel="2" x14ac:dyDescent="0.25">
      <c r="A201" s="363"/>
      <c r="B201" s="915"/>
      <c r="C201" s="915"/>
      <c r="D201" s="1268"/>
      <c r="E201" s="1268"/>
      <c r="F201" s="438"/>
      <c r="G201" s="438"/>
      <c r="H201" s="1020" t="str">
        <f>IF(OR(C201="",C201="-"),"",VLOOKUP(C201,'Fatores de Emissão'!$E$181:$K$184,3,FALSE))</f>
        <v/>
      </c>
      <c r="I201" s="1110" t="str">
        <f>IF(OR(D201="",D201="-"),"",VLOOKUP(D201,'Fatores de Emissão'!$E$181:$K$184,2,FALSE))</f>
        <v/>
      </c>
      <c r="J201" s="1110" t="str">
        <f>IF(OR(D201="",D201="-"),"",VLOOKUP(D201,'Fatores de Emissão'!$E$181:$K$184,4,FALSE))</f>
        <v/>
      </c>
      <c r="K201" s="1110" t="str">
        <f>IF(OR(D201="",D201="-"),"",VLOOKUP(D201,'Fatores de Emissão'!$E$181:$K$184,6,FALSE))</f>
        <v/>
      </c>
      <c r="L201" s="478" t="str">
        <f t="shared" si="19"/>
        <v/>
      </c>
      <c r="M201" s="478" t="str">
        <f t="shared" si="20"/>
        <v/>
      </c>
      <c r="N201" s="478" t="str">
        <f t="shared" si="21"/>
        <v/>
      </c>
      <c r="O201" s="479" t="str">
        <f t="shared" si="23"/>
        <v/>
      </c>
      <c r="P201" s="480"/>
    </row>
    <row r="202" spans="1:16" s="237" customFormat="1" ht="15" hidden="1" customHeight="1" outlineLevel="2" x14ac:dyDescent="0.25">
      <c r="A202" s="363"/>
      <c r="B202" s="915"/>
      <c r="C202" s="915"/>
      <c r="D202" s="1268"/>
      <c r="E202" s="1268"/>
      <c r="F202" s="438"/>
      <c r="G202" s="438"/>
      <c r="H202" s="1020" t="str">
        <f>IF(OR(C202="",C202="-"),"",VLOOKUP(C202,'Fatores de Emissão'!$E$181:$K$184,3,FALSE))</f>
        <v/>
      </c>
      <c r="I202" s="1110" t="str">
        <f>IF(OR(D202="",D202="-"),"",VLOOKUP(D202,'Fatores de Emissão'!$E$181:$K$184,2,FALSE))</f>
        <v/>
      </c>
      <c r="J202" s="1110" t="str">
        <f>IF(OR(D202="",D202="-"),"",VLOOKUP(D202,'Fatores de Emissão'!$E$181:$K$184,4,FALSE))</f>
        <v/>
      </c>
      <c r="K202" s="1110" t="str">
        <f>IF(OR(D202="",D202="-"),"",VLOOKUP(D202,'Fatores de Emissão'!$E$181:$K$184,6,FALSE))</f>
        <v/>
      </c>
      <c r="L202" s="478" t="str">
        <f t="shared" si="19"/>
        <v/>
      </c>
      <c r="M202" s="478" t="str">
        <f t="shared" si="20"/>
        <v/>
      </c>
      <c r="N202" s="478" t="str">
        <f t="shared" si="21"/>
        <v/>
      </c>
      <c r="O202" s="479" t="str">
        <f t="shared" si="23"/>
        <v/>
      </c>
      <c r="P202" s="480"/>
    </row>
    <row r="203" spans="1:16" s="237" customFormat="1" ht="15" hidden="1" customHeight="1" outlineLevel="2" x14ac:dyDescent="0.25">
      <c r="A203" s="363"/>
      <c r="B203" s="915"/>
      <c r="C203" s="915"/>
      <c r="D203" s="1268"/>
      <c r="E203" s="1268"/>
      <c r="F203" s="438"/>
      <c r="G203" s="438"/>
      <c r="H203" s="1020" t="str">
        <f>IF(OR(C203="",C203="-"),"",VLOOKUP(C203,'Fatores de Emissão'!$E$181:$K$184,3,FALSE))</f>
        <v/>
      </c>
      <c r="I203" s="1110" t="str">
        <f>IF(OR(D203="",D203="-"),"",VLOOKUP(D203,'Fatores de Emissão'!$E$181:$K$184,2,FALSE))</f>
        <v/>
      </c>
      <c r="J203" s="1110" t="str">
        <f>IF(OR(D203="",D203="-"),"",VLOOKUP(D203,'Fatores de Emissão'!$E$181:$K$184,4,FALSE))</f>
        <v/>
      </c>
      <c r="K203" s="1110" t="str">
        <f>IF(OR(D203="",D203="-"),"",VLOOKUP(D203,'Fatores de Emissão'!$E$181:$K$184,6,FALSE))</f>
        <v/>
      </c>
      <c r="L203" s="478" t="str">
        <f t="shared" si="19"/>
        <v/>
      </c>
      <c r="M203" s="478" t="str">
        <f t="shared" si="20"/>
        <v/>
      </c>
      <c r="N203" s="478" t="str">
        <f t="shared" si="21"/>
        <v/>
      </c>
      <c r="O203" s="479" t="str">
        <f t="shared" si="23"/>
        <v/>
      </c>
      <c r="P203" s="480"/>
    </row>
    <row r="204" spans="1:16" s="237" customFormat="1" ht="15" hidden="1" customHeight="1" outlineLevel="2" x14ac:dyDescent="0.25">
      <c r="A204" s="363"/>
      <c r="B204" s="915"/>
      <c r="C204" s="915"/>
      <c r="D204" s="1268"/>
      <c r="E204" s="1268"/>
      <c r="F204" s="438"/>
      <c r="G204" s="438"/>
      <c r="H204" s="1020" t="str">
        <f>IF(OR(C204="",C204="-"),"",VLOOKUP(C204,'Fatores de Emissão'!$E$181:$K$184,3,FALSE))</f>
        <v/>
      </c>
      <c r="I204" s="1110" t="str">
        <f>IF(OR(D204="",D204="-"),"",VLOOKUP(D204,'Fatores de Emissão'!$E$181:$K$184,2,FALSE))</f>
        <v/>
      </c>
      <c r="J204" s="1110" t="str">
        <f>IF(OR(D204="",D204="-"),"",VLOOKUP(D204,'Fatores de Emissão'!$E$181:$K$184,4,FALSE))</f>
        <v/>
      </c>
      <c r="K204" s="1110" t="str">
        <f>IF(OR(D204="",D204="-"),"",VLOOKUP(D204,'Fatores de Emissão'!$E$181:$K$184,6,FALSE))</f>
        <v/>
      </c>
      <c r="L204" s="478" t="str">
        <f t="shared" si="19"/>
        <v/>
      </c>
      <c r="M204" s="478" t="str">
        <f t="shared" si="20"/>
        <v/>
      </c>
      <c r="N204" s="478" t="str">
        <f t="shared" si="21"/>
        <v/>
      </c>
      <c r="O204" s="479" t="str">
        <f t="shared" si="23"/>
        <v/>
      </c>
      <c r="P204" s="480"/>
    </row>
    <row r="205" spans="1:16" s="237" customFormat="1" ht="15" hidden="1" customHeight="1" outlineLevel="2" x14ac:dyDescent="0.25">
      <c r="A205" s="363"/>
      <c r="B205" s="915"/>
      <c r="C205" s="915"/>
      <c r="D205" s="1268"/>
      <c r="E205" s="1268"/>
      <c r="F205" s="438"/>
      <c r="G205" s="438"/>
      <c r="H205" s="1020" t="str">
        <f>IF(OR(C205="",C205="-"),"",VLOOKUP(C205,'Fatores de Emissão'!$E$181:$K$184,3,FALSE))</f>
        <v/>
      </c>
      <c r="I205" s="1110" t="str">
        <f>IF(OR(D205="",D205="-"),"",VLOOKUP(D205,'Fatores de Emissão'!$E$181:$K$184,2,FALSE))</f>
        <v/>
      </c>
      <c r="J205" s="1110" t="str">
        <f>IF(OR(D205="",D205="-"),"",VLOOKUP(D205,'Fatores de Emissão'!$E$181:$K$184,4,FALSE))</f>
        <v/>
      </c>
      <c r="K205" s="1110" t="str">
        <f>IF(OR(D205="",D205="-"),"",VLOOKUP(D205,'Fatores de Emissão'!$E$181:$K$184,6,FALSE))</f>
        <v/>
      </c>
      <c r="L205" s="478" t="str">
        <f t="shared" si="19"/>
        <v/>
      </c>
      <c r="M205" s="478" t="str">
        <f t="shared" si="20"/>
        <v/>
      </c>
      <c r="N205" s="478" t="str">
        <f t="shared" si="21"/>
        <v/>
      </c>
      <c r="O205" s="479" t="str">
        <f t="shared" si="23"/>
        <v/>
      </c>
      <c r="P205" s="480"/>
    </row>
    <row r="206" spans="1:16" s="237" customFormat="1" ht="15" hidden="1" customHeight="1" outlineLevel="2" x14ac:dyDescent="0.25">
      <c r="A206" s="363"/>
      <c r="B206" s="915"/>
      <c r="C206" s="915"/>
      <c r="D206" s="1268"/>
      <c r="E206" s="1268"/>
      <c r="F206" s="438"/>
      <c r="G206" s="438"/>
      <c r="H206" s="1020" t="str">
        <f>IF(OR(C206="",C206="-"),"",VLOOKUP(C206,'Fatores de Emissão'!$E$181:$K$184,3,FALSE))</f>
        <v/>
      </c>
      <c r="I206" s="1110" t="str">
        <f>IF(OR(D206="",D206="-"),"",VLOOKUP(D206,'Fatores de Emissão'!$E$181:$K$184,2,FALSE))</f>
        <v/>
      </c>
      <c r="J206" s="1110" t="str">
        <f>IF(OR(D206="",D206="-"),"",VLOOKUP(D206,'Fatores de Emissão'!$E$181:$K$184,4,FALSE))</f>
        <v/>
      </c>
      <c r="K206" s="1110" t="str">
        <f>IF(OR(D206="",D206="-"),"",VLOOKUP(D206,'Fatores de Emissão'!$E$181:$K$184,6,FALSE))</f>
        <v/>
      </c>
      <c r="L206" s="478" t="str">
        <f t="shared" si="19"/>
        <v/>
      </c>
      <c r="M206" s="478" t="str">
        <f t="shared" si="20"/>
        <v/>
      </c>
      <c r="N206" s="478" t="str">
        <f t="shared" si="21"/>
        <v/>
      </c>
      <c r="O206" s="479" t="str">
        <f t="shared" si="23"/>
        <v/>
      </c>
      <c r="P206" s="480"/>
    </row>
    <row r="207" spans="1:16" s="237" customFormat="1" ht="15" hidden="1" customHeight="1" outlineLevel="2" x14ac:dyDescent="0.25">
      <c r="A207" s="363"/>
      <c r="B207" s="915"/>
      <c r="C207" s="915"/>
      <c r="D207" s="1268"/>
      <c r="E207" s="1268"/>
      <c r="F207" s="438"/>
      <c r="G207" s="438"/>
      <c r="H207" s="1020" t="str">
        <f>IF(OR(C207="",C207="-"),"",VLOOKUP(C207,'Fatores de Emissão'!$E$181:$K$184,3,FALSE))</f>
        <v/>
      </c>
      <c r="I207" s="1110" t="str">
        <f>IF(OR(D207="",D207="-"),"",VLOOKUP(D207,'Fatores de Emissão'!$E$181:$K$184,2,FALSE))</f>
        <v/>
      </c>
      <c r="J207" s="1110" t="str">
        <f>IF(OR(D207="",D207="-"),"",VLOOKUP(D207,'Fatores de Emissão'!$E$181:$K$184,4,FALSE))</f>
        <v/>
      </c>
      <c r="K207" s="1110" t="str">
        <f>IF(OR(D207="",D207="-"),"",VLOOKUP(D207,'Fatores de Emissão'!$E$181:$K$184,6,FALSE))</f>
        <v/>
      </c>
      <c r="L207" s="478" t="str">
        <f t="shared" si="19"/>
        <v/>
      </c>
      <c r="M207" s="478" t="str">
        <f t="shared" si="20"/>
        <v/>
      </c>
      <c r="N207" s="478" t="str">
        <f t="shared" si="21"/>
        <v/>
      </c>
      <c r="O207" s="479" t="str">
        <f t="shared" si="23"/>
        <v/>
      </c>
      <c r="P207" s="480"/>
    </row>
    <row r="208" spans="1:16" s="237" customFormat="1" ht="15" hidden="1" customHeight="1" outlineLevel="2" x14ac:dyDescent="0.25">
      <c r="A208" s="363"/>
      <c r="B208" s="915"/>
      <c r="C208" s="915"/>
      <c r="D208" s="1268"/>
      <c r="E208" s="1268"/>
      <c r="F208" s="438"/>
      <c r="G208" s="438"/>
      <c r="H208" s="1020" t="str">
        <f>IF(OR(C208="",C208="-"),"",VLOOKUP(C208,'Fatores de Emissão'!$E$181:$K$184,3,FALSE))</f>
        <v/>
      </c>
      <c r="I208" s="1110" t="str">
        <f>IF(OR(D208="",D208="-"),"",VLOOKUP(D208,'Fatores de Emissão'!$E$181:$K$184,2,FALSE))</f>
        <v/>
      </c>
      <c r="J208" s="1110" t="str">
        <f>IF(OR(D208="",D208="-"),"",VLOOKUP(D208,'Fatores de Emissão'!$E$181:$K$184,4,FALSE))</f>
        <v/>
      </c>
      <c r="K208" s="1110" t="str">
        <f>IF(OR(D208="",D208="-"),"",VLOOKUP(D208,'Fatores de Emissão'!$E$181:$K$184,6,FALSE))</f>
        <v/>
      </c>
      <c r="L208" s="478" t="str">
        <f t="shared" si="19"/>
        <v/>
      </c>
      <c r="M208" s="478" t="str">
        <f t="shared" si="20"/>
        <v/>
      </c>
      <c r="N208" s="478" t="str">
        <f t="shared" si="21"/>
        <v/>
      </c>
      <c r="O208" s="479" t="str">
        <f t="shared" si="23"/>
        <v/>
      </c>
      <c r="P208" s="480"/>
    </row>
    <row r="209" spans="1:58" s="237" customFormat="1" ht="15" hidden="1" customHeight="1" outlineLevel="2" x14ac:dyDescent="0.25">
      <c r="A209" s="363"/>
      <c r="B209" s="915"/>
      <c r="C209" s="915"/>
      <c r="D209" s="1268"/>
      <c r="E209" s="1268"/>
      <c r="F209" s="438"/>
      <c r="G209" s="438"/>
      <c r="H209" s="1020" t="str">
        <f>IF(OR(C209="",C209="-"),"",VLOOKUP(C209,'Fatores de Emissão'!$E$181:$K$184,3,FALSE))</f>
        <v/>
      </c>
      <c r="I209" s="1110" t="str">
        <f>IF(OR(D209="",D209="-"),"",VLOOKUP(D209,'Fatores de Emissão'!$E$181:$K$184,2,FALSE))</f>
        <v/>
      </c>
      <c r="J209" s="1110" t="str">
        <f>IF(OR(D209="",D209="-"),"",VLOOKUP(D209,'Fatores de Emissão'!$E$181:$K$184,4,FALSE))</f>
        <v/>
      </c>
      <c r="K209" s="1110" t="str">
        <f>IF(OR(D209="",D209="-"),"",VLOOKUP(D209,'Fatores de Emissão'!$E$181:$K$184,6,FALSE))</f>
        <v/>
      </c>
      <c r="L209" s="478" t="str">
        <f t="shared" si="19"/>
        <v/>
      </c>
      <c r="M209" s="478" t="str">
        <f t="shared" si="20"/>
        <v/>
      </c>
      <c r="N209" s="478" t="str">
        <f t="shared" si="21"/>
        <v/>
      </c>
      <c r="O209" s="479" t="str">
        <f t="shared" si="23"/>
        <v/>
      </c>
      <c r="P209" s="480"/>
    </row>
    <row r="210" spans="1:58" s="237" customFormat="1" ht="15" hidden="1" customHeight="1" outlineLevel="2" x14ac:dyDescent="0.25">
      <c r="A210" s="363"/>
      <c r="B210" s="915"/>
      <c r="C210" s="915"/>
      <c r="D210" s="1268"/>
      <c r="E210" s="1268"/>
      <c r="F210" s="438"/>
      <c r="G210" s="438"/>
      <c r="H210" s="1020" t="str">
        <f>IF(OR(C210="",C210="-"),"",VLOOKUP(C210,'Fatores de Emissão'!$E$181:$K$184,3,FALSE))</f>
        <v/>
      </c>
      <c r="I210" s="1110" t="str">
        <f>IF(OR(D210="",D210="-"),"",VLOOKUP(D210,'Fatores de Emissão'!$E$181:$K$184,2,FALSE))</f>
        <v/>
      </c>
      <c r="J210" s="1110" t="str">
        <f>IF(OR(D210="",D210="-"),"",VLOOKUP(D210,'Fatores de Emissão'!$E$181:$K$184,4,FALSE))</f>
        <v/>
      </c>
      <c r="K210" s="1110" t="str">
        <f>IF(OR(D210="",D210="-"),"",VLOOKUP(D210,'Fatores de Emissão'!$E$181:$K$184,6,FALSE))</f>
        <v/>
      </c>
      <c r="L210" s="478" t="str">
        <f t="shared" si="19"/>
        <v/>
      </c>
      <c r="M210" s="478" t="str">
        <f t="shared" si="20"/>
        <v/>
      </c>
      <c r="N210" s="478" t="str">
        <f t="shared" si="21"/>
        <v/>
      </c>
      <c r="O210" s="479" t="str">
        <f t="shared" si="23"/>
        <v/>
      </c>
      <c r="P210" s="480"/>
    </row>
    <row r="211" spans="1:58" s="237" customFormat="1" ht="15" hidden="1" customHeight="1" outlineLevel="2" x14ac:dyDescent="0.25">
      <c r="A211" s="363"/>
      <c r="B211" s="915"/>
      <c r="C211" s="915"/>
      <c r="D211" s="1268"/>
      <c r="E211" s="1268"/>
      <c r="F211" s="438"/>
      <c r="G211" s="438"/>
      <c r="H211" s="1020" t="str">
        <f>IF(OR(C211="",C211="-"),"",VLOOKUP(C211,'Fatores de Emissão'!$E$181:$K$184,3,FALSE))</f>
        <v/>
      </c>
      <c r="I211" s="1110" t="str">
        <f>IF(OR(D211="",D211="-"),"",VLOOKUP(D211,'Fatores de Emissão'!$E$181:$K$184,2,FALSE))</f>
        <v/>
      </c>
      <c r="J211" s="1110" t="str">
        <f>IF(OR(D211="",D211="-"),"",VLOOKUP(D211,'Fatores de Emissão'!$E$181:$K$184,4,FALSE))</f>
        <v/>
      </c>
      <c r="K211" s="1110" t="str">
        <f>IF(OR(D211="",D211="-"),"",VLOOKUP(D211,'Fatores de Emissão'!$E$181:$K$184,6,FALSE))</f>
        <v/>
      </c>
      <c r="L211" s="478" t="str">
        <f t="shared" si="19"/>
        <v/>
      </c>
      <c r="M211" s="478" t="str">
        <f t="shared" si="20"/>
        <v/>
      </c>
      <c r="N211" s="478" t="str">
        <f t="shared" si="21"/>
        <v/>
      </c>
      <c r="O211" s="479" t="str">
        <f t="shared" si="23"/>
        <v/>
      </c>
      <c r="P211" s="480"/>
    </row>
    <row r="212" spans="1:58" s="237" customFormat="1" ht="15" hidden="1" customHeight="1" outlineLevel="2" x14ac:dyDescent="0.25">
      <c r="A212" s="363"/>
      <c r="B212" s="915"/>
      <c r="C212" s="915"/>
      <c r="D212" s="1268"/>
      <c r="E212" s="1268"/>
      <c r="F212" s="438"/>
      <c r="G212" s="438"/>
      <c r="H212" s="1020" t="str">
        <f>IF(OR(C212="",C212="-"),"",VLOOKUP(C212,'Fatores de Emissão'!$E$181:$K$184,3,FALSE))</f>
        <v/>
      </c>
      <c r="I212" s="1110" t="str">
        <f>IF(OR(D212="",D212="-"),"",VLOOKUP(D212,'Fatores de Emissão'!$E$181:$K$184,2,FALSE))</f>
        <v/>
      </c>
      <c r="J212" s="1110" t="str">
        <f>IF(OR(D212="",D212="-"),"",VLOOKUP(D212,'Fatores de Emissão'!$E$181:$K$184,4,FALSE))</f>
        <v/>
      </c>
      <c r="K212" s="1110" t="str">
        <f>IF(OR(D212="",D212="-"),"",VLOOKUP(D212,'Fatores de Emissão'!$E$181:$K$184,6,FALSE))</f>
        <v/>
      </c>
      <c r="L212" s="478" t="str">
        <f t="shared" si="19"/>
        <v/>
      </c>
      <c r="M212" s="478" t="str">
        <f t="shared" si="20"/>
        <v/>
      </c>
      <c r="N212" s="478" t="str">
        <f t="shared" si="21"/>
        <v/>
      </c>
      <c r="O212" s="479" t="str">
        <f t="shared" si="23"/>
        <v/>
      </c>
      <c r="P212" s="480"/>
    </row>
    <row r="213" spans="1:58" s="237" customFormat="1" ht="15" hidden="1" customHeight="1" outlineLevel="2" x14ac:dyDescent="0.25">
      <c r="A213" s="363"/>
      <c r="B213" s="915"/>
      <c r="C213" s="915"/>
      <c r="D213" s="1268"/>
      <c r="E213" s="1268"/>
      <c r="F213" s="438"/>
      <c r="G213" s="438"/>
      <c r="H213" s="1020" t="str">
        <f>IF(OR(C213="",C213="-"),"",VLOOKUP(C213,'Fatores de Emissão'!$E$181:$K$184,3,FALSE))</f>
        <v/>
      </c>
      <c r="I213" s="1110" t="str">
        <f>IF(OR(D213="",D213="-"),"",VLOOKUP(D213,'Fatores de Emissão'!$E$181:$K$184,2,FALSE))</f>
        <v/>
      </c>
      <c r="J213" s="1110" t="str">
        <f>IF(OR(D213="",D213="-"),"",VLOOKUP(D213,'Fatores de Emissão'!$E$181:$K$184,4,FALSE))</f>
        <v/>
      </c>
      <c r="K213" s="1110" t="str">
        <f>IF(OR(D213="",D213="-"),"",VLOOKUP(D213,'Fatores de Emissão'!$E$181:$K$184,6,FALSE))</f>
        <v/>
      </c>
      <c r="L213" s="478" t="str">
        <f t="shared" si="19"/>
        <v/>
      </c>
      <c r="M213" s="478" t="str">
        <f t="shared" si="20"/>
        <v/>
      </c>
      <c r="N213" s="478" t="str">
        <f t="shared" si="21"/>
        <v/>
      </c>
      <c r="O213" s="479" t="str">
        <f t="shared" si="23"/>
        <v/>
      </c>
      <c r="P213" s="480"/>
    </row>
    <row r="214" spans="1:58" s="237" customFormat="1" ht="15" hidden="1" customHeight="1" outlineLevel="2" x14ac:dyDescent="0.25">
      <c r="A214" s="363"/>
      <c r="B214" s="915"/>
      <c r="C214" s="915"/>
      <c r="D214" s="1268"/>
      <c r="E214" s="1268"/>
      <c r="F214" s="438"/>
      <c r="G214" s="438"/>
      <c r="H214" s="1020" t="str">
        <f>IF(OR(C214="",C214="-"),"",VLOOKUP(C214,'Fatores de Emissão'!$E$181:$K$184,3,FALSE))</f>
        <v/>
      </c>
      <c r="I214" s="1110" t="str">
        <f>IF(OR(D214="",D214="-"),"",VLOOKUP(D214,'Fatores de Emissão'!$E$181:$K$184,2,FALSE))</f>
        <v/>
      </c>
      <c r="J214" s="1110" t="str">
        <f>IF(OR(D214="",D214="-"),"",VLOOKUP(D214,'Fatores de Emissão'!$E$181:$K$184,4,FALSE))</f>
        <v/>
      </c>
      <c r="K214" s="1110" t="str">
        <f>IF(OR(D214="",D214="-"),"",VLOOKUP(D214,'Fatores de Emissão'!$E$181:$K$184,6,FALSE))</f>
        <v/>
      </c>
      <c r="L214" s="478" t="str">
        <f t="shared" si="19"/>
        <v/>
      </c>
      <c r="M214" s="478" t="str">
        <f t="shared" si="20"/>
        <v/>
      </c>
      <c r="N214" s="478" t="str">
        <f t="shared" si="21"/>
        <v/>
      </c>
      <c r="O214" s="479" t="str">
        <f t="shared" si="23"/>
        <v/>
      </c>
      <c r="P214" s="480"/>
    </row>
    <row r="215" spans="1:58" s="237" customFormat="1" ht="15" hidden="1" customHeight="1" outlineLevel="2" x14ac:dyDescent="0.25">
      <c r="A215" s="363"/>
      <c r="B215" s="915"/>
      <c r="C215" s="915"/>
      <c r="D215" s="1268"/>
      <c r="E215" s="1268"/>
      <c r="F215" s="438"/>
      <c r="G215" s="438"/>
      <c r="H215" s="1020" t="str">
        <f>IF(OR(C215="",C215="-"),"",VLOOKUP(C215,'Fatores de Emissão'!$E$181:$K$184,3,FALSE))</f>
        <v/>
      </c>
      <c r="I215" s="1110" t="str">
        <f>IF(OR(D215="",D215="-"),"",VLOOKUP(D215,'Fatores de Emissão'!$E$181:$K$184,2,FALSE))</f>
        <v/>
      </c>
      <c r="J215" s="1110" t="str">
        <f>IF(OR(D215="",D215="-"),"",VLOOKUP(D215,'Fatores de Emissão'!$E$181:$K$184,4,FALSE))</f>
        <v/>
      </c>
      <c r="K215" s="1110" t="str">
        <f>IF(OR(D215="",D215="-"),"",VLOOKUP(D215,'Fatores de Emissão'!$E$181:$K$184,6,FALSE))</f>
        <v/>
      </c>
      <c r="L215" s="478" t="str">
        <f t="shared" si="19"/>
        <v/>
      </c>
      <c r="M215" s="478" t="str">
        <f t="shared" si="20"/>
        <v/>
      </c>
      <c r="N215" s="478" t="str">
        <f t="shared" si="21"/>
        <v/>
      </c>
      <c r="O215" s="479" t="str">
        <f t="shared" si="23"/>
        <v/>
      </c>
      <c r="P215" s="480"/>
    </row>
    <row r="216" spans="1:58" s="237" customFormat="1" ht="15" customHeight="1" outlineLevel="1" x14ac:dyDescent="0.25">
      <c r="A216" s="363"/>
      <c r="B216" s="363"/>
      <c r="C216" s="363"/>
      <c r="D216" s="363"/>
      <c r="E216" s="363"/>
      <c r="F216" s="363"/>
      <c r="G216" s="363"/>
      <c r="H216" s="363"/>
      <c r="I216" s="1278" t="s">
        <v>78</v>
      </c>
      <c r="J216" s="1279"/>
      <c r="K216" s="1280"/>
      <c r="L216" s="443">
        <f>SUM(L166:L215)</f>
        <v>0</v>
      </c>
      <c r="M216" s="443">
        <f>SUM(M166:M215)</f>
        <v>0</v>
      </c>
      <c r="N216" s="443">
        <f>SUM(N166:N215)</f>
        <v>0</v>
      </c>
      <c r="O216" s="443">
        <f>SUM(O166:O215)</f>
        <v>0</v>
      </c>
      <c r="P216" s="443">
        <f>SUM(P166:P215)</f>
        <v>0</v>
      </c>
    </row>
    <row r="217" spans="1:58" s="237" customFormat="1" ht="15" customHeight="1" x14ac:dyDescent="0.25">
      <c r="A217" s="363"/>
      <c r="B217" s="373"/>
      <c r="C217" s="373"/>
      <c r="D217" s="442"/>
      <c r="E217" s="442"/>
      <c r="F217" s="373"/>
      <c r="G217" s="373"/>
      <c r="H217" s="373"/>
      <c r="I217" s="373"/>
      <c r="J217" s="373"/>
      <c r="K217" s="373"/>
      <c r="L217" s="373"/>
      <c r="M217" s="373"/>
      <c r="N217" s="373"/>
      <c r="O217" s="373"/>
      <c r="P217" s="373"/>
      <c r="Q217" s="373"/>
      <c r="R217" s="373"/>
      <c r="S217" s="373"/>
      <c r="T217" s="373"/>
      <c r="U217" s="373"/>
      <c r="V217" s="363"/>
      <c r="W217" s="373"/>
      <c r="X217" s="373"/>
      <c r="Z217" s="373"/>
      <c r="AA217" s="373"/>
      <c r="AB217" s="373"/>
    </row>
    <row r="218" spans="1:58" s="463" customFormat="1" ht="18" customHeight="1" x14ac:dyDescent="0.3">
      <c r="A218" s="458"/>
      <c r="B218" s="733" t="s">
        <v>1532</v>
      </c>
      <c r="C218" s="459"/>
      <c r="D218" s="460"/>
      <c r="E218" s="460"/>
      <c r="F218" s="460"/>
      <c r="G218" s="461"/>
      <c r="H218" s="461"/>
      <c r="I218" s="461"/>
      <c r="J218" s="461"/>
      <c r="K218" s="461"/>
      <c r="L218" s="461"/>
      <c r="M218" s="461"/>
      <c r="N218" s="461"/>
      <c r="O218" s="461"/>
      <c r="P218" s="461"/>
      <c r="Q218" s="461"/>
      <c r="R218" s="461"/>
      <c r="S218" s="461"/>
      <c r="T218" s="461"/>
      <c r="U218" s="461"/>
      <c r="V218" s="461"/>
      <c r="W218" s="461"/>
      <c r="X218" s="461"/>
      <c r="Y218" s="461"/>
      <c r="Z218" s="461"/>
      <c r="AA218" s="461"/>
      <c r="AB218" s="461"/>
      <c r="AC218" s="461"/>
      <c r="AD218" s="461"/>
      <c r="AE218" s="461"/>
      <c r="AF218" s="461"/>
      <c r="AG218" s="461"/>
      <c r="AH218" s="461"/>
      <c r="AI218" s="461"/>
      <c r="AJ218" s="461"/>
      <c r="AK218" s="461"/>
      <c r="AL218" s="461"/>
      <c r="AM218" s="461"/>
      <c r="AN218" s="461"/>
      <c r="AO218" s="461"/>
      <c r="AP218" s="461"/>
      <c r="AQ218" s="461"/>
      <c r="AR218" s="461"/>
      <c r="AS218" s="461"/>
      <c r="AT218" s="461"/>
      <c r="AU218" s="461"/>
      <c r="AV218" s="461"/>
      <c r="AW218" s="461"/>
      <c r="AX218" s="461"/>
      <c r="AY218" s="461"/>
      <c r="AZ218" s="461"/>
      <c r="BA218" s="461"/>
      <c r="BB218" s="461"/>
      <c r="BC218" s="461"/>
      <c r="BD218" s="461"/>
      <c r="BE218" s="461"/>
      <c r="BF218" s="462"/>
    </row>
    <row r="219" spans="1:58" ht="15" customHeight="1" outlineLevel="1" x14ac:dyDescent="0.2">
      <c r="A219" s="339"/>
      <c r="B219" s="920"/>
      <c r="C219" s="416"/>
      <c r="D219" s="416"/>
      <c r="E219" s="416"/>
      <c r="F219" s="339"/>
      <c r="G219" s="339"/>
      <c r="H219" s="339"/>
      <c r="I219" s="339"/>
      <c r="J219" s="339"/>
      <c r="K219" s="339"/>
      <c r="L219" s="339"/>
      <c r="M219" s="339"/>
      <c r="N219" s="339"/>
      <c r="O219" s="339"/>
      <c r="P219" s="339"/>
      <c r="Q219" s="339"/>
      <c r="R219" s="339"/>
      <c r="AI219" s="339"/>
      <c r="AJ219" s="339"/>
      <c r="AK219" s="339"/>
      <c r="AL219" s="339"/>
      <c r="AM219" s="339"/>
      <c r="AO219" s="339"/>
      <c r="AP219" s="339"/>
      <c r="AQ219" s="339"/>
    </row>
    <row r="220" spans="1:58" ht="15" customHeight="1" outlineLevel="1" x14ac:dyDescent="0.25">
      <c r="A220" s="339"/>
      <c r="B220" s="523" t="s">
        <v>124</v>
      </c>
      <c r="C220" s="416"/>
      <c r="D220" s="416"/>
      <c r="E220" s="416"/>
      <c r="F220" s="339"/>
      <c r="G220" s="339"/>
      <c r="H220" s="339"/>
      <c r="I220" s="339"/>
      <c r="J220" s="339"/>
      <c r="K220" s="339"/>
      <c r="L220" s="339"/>
      <c r="M220" s="339"/>
      <c r="N220" s="339"/>
      <c r="O220" s="339"/>
      <c r="P220" s="339"/>
      <c r="Q220" s="339"/>
      <c r="R220" s="339"/>
      <c r="AI220" s="339"/>
      <c r="AJ220" s="339"/>
      <c r="AK220" s="339"/>
      <c r="AL220" s="339"/>
      <c r="AM220" s="339"/>
      <c r="AO220" s="339"/>
      <c r="AP220" s="339"/>
      <c r="AQ220" s="339"/>
    </row>
    <row r="221" spans="1:58" s="237" customFormat="1" ht="15" customHeight="1" outlineLevel="1" x14ac:dyDescent="0.25">
      <c r="A221" s="363"/>
      <c r="B221" s="449" t="s">
        <v>2058</v>
      </c>
      <c r="C221" s="442"/>
      <c r="D221" s="442"/>
      <c r="E221" s="442"/>
      <c r="F221" s="363"/>
      <c r="G221" s="363"/>
      <c r="H221" s="363"/>
      <c r="I221" s="363"/>
      <c r="J221" s="363"/>
      <c r="K221" s="363"/>
      <c r="L221" s="363"/>
      <c r="M221" s="363"/>
      <c r="N221" s="363"/>
      <c r="O221" s="363"/>
      <c r="P221" s="363"/>
      <c r="Q221" s="363"/>
      <c r="R221" s="363"/>
      <c r="AI221" s="363"/>
      <c r="AJ221" s="363"/>
      <c r="AK221" s="363"/>
      <c r="AL221" s="363"/>
      <c r="AM221" s="363"/>
      <c r="AO221" s="363"/>
      <c r="AP221" s="363"/>
      <c r="AQ221" s="363"/>
    </row>
    <row r="222" spans="1:58" s="237" customFormat="1" ht="15" customHeight="1" outlineLevel="1" x14ac:dyDescent="0.25">
      <c r="A222" s="363"/>
      <c r="B222" s="470" t="s">
        <v>2059</v>
      </c>
      <c r="C222" s="442"/>
      <c r="D222" s="442"/>
      <c r="E222" s="442"/>
      <c r="F222" s="363"/>
      <c r="G222" s="363"/>
      <c r="H222" s="363"/>
      <c r="I222" s="363"/>
      <c r="J222" s="363"/>
      <c r="K222" s="363"/>
      <c r="L222" s="363"/>
      <c r="M222" s="363"/>
      <c r="N222" s="363"/>
      <c r="O222" s="363"/>
      <c r="P222" s="363"/>
      <c r="Q222" s="363"/>
      <c r="R222" s="363"/>
      <c r="AI222" s="363"/>
      <c r="AJ222" s="363"/>
      <c r="AK222" s="363"/>
      <c r="AL222" s="363"/>
      <c r="AM222" s="363"/>
      <c r="AO222" s="363"/>
      <c r="AP222" s="363"/>
      <c r="AQ222" s="363"/>
    </row>
    <row r="223" spans="1:58" s="237" customFormat="1" ht="15" customHeight="1" outlineLevel="1" x14ac:dyDescent="0.25">
      <c r="A223" s="363"/>
      <c r="B223" s="481"/>
      <c r="C223" s="442"/>
      <c r="D223" s="442"/>
      <c r="E223" s="442"/>
      <c r="F223" s="363"/>
      <c r="G223" s="363"/>
      <c r="H223" s="363"/>
      <c r="I223" s="363"/>
      <c r="J223" s="363"/>
      <c r="K223" s="363"/>
      <c r="L223" s="363"/>
      <c r="M223" s="363"/>
      <c r="N223" s="363"/>
      <c r="O223" s="363"/>
      <c r="P223" s="363"/>
      <c r="Q223" s="363"/>
      <c r="R223" s="363"/>
      <c r="AI223" s="363"/>
      <c r="AJ223" s="363"/>
      <c r="AK223" s="363"/>
      <c r="AL223" s="363"/>
      <c r="AM223" s="363"/>
      <c r="AO223" s="363"/>
      <c r="AP223" s="363"/>
      <c r="AQ223" s="363"/>
    </row>
    <row r="224" spans="1:58" s="237" customFormat="1" ht="15" customHeight="1" outlineLevel="1" x14ac:dyDescent="0.25">
      <c r="A224" s="363"/>
      <c r="B224" s="362" t="s">
        <v>2071</v>
      </c>
      <c r="C224" s="442"/>
      <c r="D224" s="442"/>
      <c r="E224" s="442"/>
      <c r="F224" s="363"/>
      <c r="G224" s="363"/>
      <c r="H224" s="363"/>
      <c r="I224" s="363"/>
      <c r="J224" s="363"/>
      <c r="K224" s="363"/>
      <c r="L224" s="363"/>
      <c r="M224" s="363"/>
      <c r="N224" s="363"/>
      <c r="O224" s="363"/>
      <c r="P224" s="363"/>
      <c r="Q224" s="363"/>
      <c r="R224" s="363"/>
      <c r="AI224" s="363"/>
      <c r="AJ224" s="363"/>
      <c r="AK224" s="363"/>
      <c r="AL224" s="363"/>
      <c r="AM224" s="363"/>
      <c r="AO224" s="363"/>
      <c r="AP224" s="363"/>
      <c r="AQ224" s="363"/>
    </row>
    <row r="225" spans="1:16" s="237" customFormat="1" ht="15" customHeight="1" outlineLevel="1" x14ac:dyDescent="0.25">
      <c r="A225" s="363"/>
      <c r="B225" s="1267" t="s">
        <v>1531</v>
      </c>
      <c r="C225" s="1267" t="s">
        <v>66</v>
      </c>
      <c r="D225" s="1267" t="s">
        <v>255</v>
      </c>
      <c r="E225" s="1267"/>
      <c r="F225" s="1249" t="s">
        <v>13</v>
      </c>
      <c r="G225" s="1249" t="s">
        <v>1861</v>
      </c>
      <c r="H225" s="1249" t="s">
        <v>1862</v>
      </c>
      <c r="I225" s="1267" t="s">
        <v>588</v>
      </c>
      <c r="J225" s="1267"/>
      <c r="K225" s="1267"/>
      <c r="L225" s="1249" t="s">
        <v>1408</v>
      </c>
      <c r="M225" s="1249" t="s">
        <v>1409</v>
      </c>
      <c r="N225" s="1249" t="s">
        <v>1410</v>
      </c>
      <c r="O225" s="1249" t="s">
        <v>1411</v>
      </c>
      <c r="P225" s="1267" t="s">
        <v>1530</v>
      </c>
    </row>
    <row r="226" spans="1:16" s="237" customFormat="1" ht="15" customHeight="1" outlineLevel="1" x14ac:dyDescent="0.25">
      <c r="A226" s="363"/>
      <c r="B226" s="1267"/>
      <c r="C226" s="1267"/>
      <c r="D226" s="1267"/>
      <c r="E226" s="1267"/>
      <c r="F226" s="1266"/>
      <c r="G226" s="1266"/>
      <c r="H226" s="1266"/>
      <c r="I226" s="1267"/>
      <c r="J226" s="1267"/>
      <c r="K226" s="1267"/>
      <c r="L226" s="1266"/>
      <c r="M226" s="1266"/>
      <c r="N226" s="1266"/>
      <c r="O226" s="1266"/>
      <c r="P226" s="1267"/>
    </row>
    <row r="227" spans="1:16" s="237" customFormat="1" ht="23.25" customHeight="1" outlineLevel="1" x14ac:dyDescent="0.25">
      <c r="A227" s="363"/>
      <c r="B227" s="1267"/>
      <c r="C227" s="1267"/>
      <c r="D227" s="1267"/>
      <c r="E227" s="1267"/>
      <c r="F227" s="1250"/>
      <c r="G227" s="1250"/>
      <c r="H227" s="1250"/>
      <c r="I227" s="916" t="s">
        <v>1394</v>
      </c>
      <c r="J227" s="916" t="s">
        <v>1863</v>
      </c>
      <c r="K227" s="916" t="s">
        <v>1864</v>
      </c>
      <c r="L227" s="1250"/>
      <c r="M227" s="1250"/>
      <c r="N227" s="1250"/>
      <c r="O227" s="1250"/>
      <c r="P227" s="1267"/>
    </row>
    <row r="228" spans="1:16" s="237" customFormat="1" ht="15" customHeight="1" outlineLevel="1" x14ac:dyDescent="0.25">
      <c r="A228" s="427" t="s">
        <v>606</v>
      </c>
      <c r="B228" s="444" t="s">
        <v>610</v>
      </c>
      <c r="C228" s="1107" t="s">
        <v>92</v>
      </c>
      <c r="D228" s="1276" t="s">
        <v>1878</v>
      </c>
      <c r="E228" s="1277"/>
      <c r="F228" s="482">
        <v>1000</v>
      </c>
      <c r="G228" s="482">
        <v>1000</v>
      </c>
      <c r="H228" s="483" t="s">
        <v>1566</v>
      </c>
      <c r="I228" s="484">
        <v>4.9499999999999995E-2</v>
      </c>
      <c r="J228" s="485">
        <v>2.8082724198641043E-6</v>
      </c>
      <c r="K228" s="485">
        <v>9.5892228970969408E-7</v>
      </c>
      <c r="L228" s="486">
        <v>49.499999999999993</v>
      </c>
      <c r="M228" s="486">
        <v>2.8082724198641045E-3</v>
      </c>
      <c r="N228" s="486">
        <v>9.5892228970969402E-4</v>
      </c>
      <c r="O228" s="485">
        <v>49.855965652830079</v>
      </c>
      <c r="P228" s="486">
        <v>0</v>
      </c>
    </row>
    <row r="229" spans="1:16" s="237" customFormat="1" ht="15" customHeight="1" outlineLevel="1" x14ac:dyDescent="0.25">
      <c r="A229" s="363"/>
      <c r="B229" s="915"/>
      <c r="C229" s="915"/>
      <c r="D229" s="1268"/>
      <c r="E229" s="1268"/>
      <c r="F229" s="438"/>
      <c r="G229" s="438"/>
      <c r="H229" s="1020" t="str">
        <f>IF(OR(D229="",D229="-"),"",VLOOKUP(D229,'Fatores de Emissão'!$E$192:$K$201,3,FALSE))</f>
        <v/>
      </c>
      <c r="I229" s="1111" t="str">
        <f>IF(OR(D229="",D229="-"),"",VLOOKUP(D229,'Fatores de Emissão'!$E$192:$K$201,2,FALSE))</f>
        <v/>
      </c>
      <c r="J229" s="1111" t="str">
        <f>IF(OR(D229="",D229="-"),"",VLOOKUP(D229,'Fatores de Emissão'!$E$192:$K$201,4,FALSE))</f>
        <v/>
      </c>
      <c r="K229" s="1111" t="str">
        <f>IF(OR(D229="",D229="-"),"",VLOOKUP(D229,'Fatores de Emissão'!$E$192:$K$201,6,FALSE))</f>
        <v/>
      </c>
      <c r="L229" s="478" t="str">
        <f t="shared" ref="L229:L260" si="24">IF($D229="","",$F229*$G229*I229/1000)</f>
        <v/>
      </c>
      <c r="M229" s="478" t="str">
        <f t="shared" ref="M229:M260" si="25">IF($D229="","",$F229*$G229*J229/1000)</f>
        <v/>
      </c>
      <c r="N229" s="478" t="str">
        <f t="shared" ref="N229:N260" si="26">IF($D229="","",$F229*$G229*K229/1000)</f>
        <v/>
      </c>
      <c r="O229" s="451" t="str">
        <f>IF(ISERR(L229*gwp_CO2+M229*gwp_CH4+N229*gwp_N2O),"",L229*gwp_CO2+M229*gwp_CH4+N229*gwp_N2O)</f>
        <v/>
      </c>
      <c r="P229" s="452"/>
    </row>
    <row r="230" spans="1:16" s="237" customFormat="1" ht="15" customHeight="1" outlineLevel="1" x14ac:dyDescent="0.25">
      <c r="A230" s="363"/>
      <c r="B230" s="915"/>
      <c r="C230" s="915"/>
      <c r="D230" s="1268"/>
      <c r="E230" s="1268"/>
      <c r="F230" s="438"/>
      <c r="G230" s="438"/>
      <c r="H230" s="1020" t="str">
        <f>IF(OR(D230="",D230="-"),"",VLOOKUP(D230,'Fatores de Emissão'!$E$192:$K$201,3,FALSE))</f>
        <v/>
      </c>
      <c r="I230" s="1111" t="str">
        <f>IF(OR(D230="",D230="-"),"",VLOOKUP(D230,'Fatores de Emissão'!$E$192:$K$201,2,FALSE))</f>
        <v/>
      </c>
      <c r="J230" s="1111" t="str">
        <f>IF(OR(D230="",D230="-"),"",VLOOKUP(D230,'Fatores de Emissão'!$E$192:$K$201,4,FALSE))</f>
        <v/>
      </c>
      <c r="K230" s="1111" t="str">
        <f>IF(OR(D230="",D230="-"),"",VLOOKUP(D230,'Fatores de Emissão'!$E$192:$K$201,6,FALSE))</f>
        <v/>
      </c>
      <c r="L230" s="478" t="str">
        <f t="shared" si="24"/>
        <v/>
      </c>
      <c r="M230" s="478" t="str">
        <f t="shared" si="25"/>
        <v/>
      </c>
      <c r="N230" s="478" t="str">
        <f t="shared" si="26"/>
        <v/>
      </c>
      <c r="O230" s="451" t="str">
        <f t="shared" ref="O230:O278" si="27">IF(ISERR(L230*gwp_CO2+M230*gwp_CH4+N230*gwp_N2O),"",L230*gwp_CO2+M230*gwp_CH4+N230*gwp_N2O)</f>
        <v/>
      </c>
      <c r="P230" s="452"/>
    </row>
    <row r="231" spans="1:16" s="237" customFormat="1" ht="15" customHeight="1" outlineLevel="1" x14ac:dyDescent="0.25">
      <c r="A231" s="363"/>
      <c r="B231" s="915"/>
      <c r="C231" s="915"/>
      <c r="D231" s="1268"/>
      <c r="E231" s="1268"/>
      <c r="F231" s="438"/>
      <c r="G231" s="438"/>
      <c r="H231" s="1020" t="str">
        <f>IF(OR(D231="",D231="-"),"",VLOOKUP(D231,'Fatores de Emissão'!$E$192:$K$201,3,FALSE))</f>
        <v/>
      </c>
      <c r="I231" s="1111" t="str">
        <f>IF(OR(D231="",D231="-"),"",VLOOKUP(D231,'Fatores de Emissão'!$E$192:$K$201,2,FALSE))</f>
        <v/>
      </c>
      <c r="J231" s="1111" t="str">
        <f>IF(OR(D231="",D231="-"),"",VLOOKUP(D231,'Fatores de Emissão'!$E$192:$K$201,4,FALSE))</f>
        <v/>
      </c>
      <c r="K231" s="1111" t="str">
        <f>IF(OR(D231="",D231="-"),"",VLOOKUP(D231,'Fatores de Emissão'!$E$192:$K$201,6,FALSE))</f>
        <v/>
      </c>
      <c r="L231" s="478" t="str">
        <f t="shared" si="24"/>
        <v/>
      </c>
      <c r="M231" s="478" t="str">
        <f t="shared" si="25"/>
        <v/>
      </c>
      <c r="N231" s="478" t="str">
        <f t="shared" si="26"/>
        <v/>
      </c>
      <c r="O231" s="451" t="str">
        <f t="shared" si="27"/>
        <v/>
      </c>
      <c r="P231" s="452"/>
    </row>
    <row r="232" spans="1:16" s="237" customFormat="1" ht="15" customHeight="1" outlineLevel="1" x14ac:dyDescent="0.25">
      <c r="A232" s="363"/>
      <c r="B232" s="915"/>
      <c r="C232" s="915"/>
      <c r="D232" s="1268"/>
      <c r="E232" s="1268"/>
      <c r="F232" s="438"/>
      <c r="G232" s="438"/>
      <c r="H232" s="1020" t="str">
        <f>IF(OR(D232="",D232="-"),"",VLOOKUP(D232,'Fatores de Emissão'!$E$192:$K$201,3,FALSE))</f>
        <v/>
      </c>
      <c r="I232" s="1111" t="str">
        <f>IF(OR(D232="",D232="-"),"",VLOOKUP(D232,'Fatores de Emissão'!$E$192:$K$201,2,FALSE))</f>
        <v/>
      </c>
      <c r="J232" s="1111" t="str">
        <f>IF(OR(D232="",D232="-"),"",VLOOKUP(D232,'Fatores de Emissão'!$E$192:$K$201,4,FALSE))</f>
        <v/>
      </c>
      <c r="K232" s="1111" t="str">
        <f>IF(OR(D232="",D232="-"),"",VLOOKUP(D232,'Fatores de Emissão'!$E$192:$K$201,6,FALSE))</f>
        <v/>
      </c>
      <c r="L232" s="478" t="str">
        <f t="shared" si="24"/>
        <v/>
      </c>
      <c r="M232" s="478" t="str">
        <f t="shared" si="25"/>
        <v/>
      </c>
      <c r="N232" s="478" t="str">
        <f t="shared" si="26"/>
        <v/>
      </c>
      <c r="O232" s="451" t="str">
        <f t="shared" si="27"/>
        <v/>
      </c>
      <c r="P232" s="452"/>
    </row>
    <row r="233" spans="1:16" s="237" customFormat="1" ht="15" customHeight="1" outlineLevel="1" x14ac:dyDescent="0.25">
      <c r="A233" s="363"/>
      <c r="B233" s="915"/>
      <c r="C233" s="915"/>
      <c r="D233" s="1268"/>
      <c r="E233" s="1268"/>
      <c r="F233" s="438"/>
      <c r="G233" s="438"/>
      <c r="H233" s="1020" t="str">
        <f>IF(OR(D233="",D233="-"),"",VLOOKUP(D233,'Fatores de Emissão'!$E$192:$K$201,3,FALSE))</f>
        <v/>
      </c>
      <c r="I233" s="1111" t="str">
        <f>IF(OR(D233="",D233="-"),"",VLOOKUP(D233,'Fatores de Emissão'!$E$192:$K$201,2,FALSE))</f>
        <v/>
      </c>
      <c r="J233" s="1111" t="str">
        <f>IF(OR(D233="",D233="-"),"",VLOOKUP(D233,'Fatores de Emissão'!$E$192:$K$201,4,FALSE))</f>
        <v/>
      </c>
      <c r="K233" s="1111" t="str">
        <f>IF(OR(D233="",D233="-"),"",VLOOKUP(D233,'Fatores de Emissão'!$E$192:$K$201,6,FALSE))</f>
        <v/>
      </c>
      <c r="L233" s="478" t="str">
        <f t="shared" si="24"/>
        <v/>
      </c>
      <c r="M233" s="478" t="str">
        <f t="shared" si="25"/>
        <v/>
      </c>
      <c r="N233" s="478" t="str">
        <f t="shared" si="26"/>
        <v/>
      </c>
      <c r="O233" s="451" t="str">
        <f t="shared" si="27"/>
        <v/>
      </c>
      <c r="P233" s="452"/>
    </row>
    <row r="234" spans="1:16" s="237" customFormat="1" ht="15" customHeight="1" outlineLevel="1" x14ac:dyDescent="0.25">
      <c r="A234" s="363"/>
      <c r="B234" s="915"/>
      <c r="C234" s="915"/>
      <c r="D234" s="1268"/>
      <c r="E234" s="1268"/>
      <c r="F234" s="438"/>
      <c r="G234" s="438"/>
      <c r="H234" s="1020" t="str">
        <f>IF(OR(D234="",D234="-"),"",VLOOKUP(D234,'Fatores de Emissão'!$E$192:$K$201,3,FALSE))</f>
        <v/>
      </c>
      <c r="I234" s="1111" t="str">
        <f>IF(OR(D234="",D234="-"),"",VLOOKUP(D234,'Fatores de Emissão'!$E$192:$K$201,2,FALSE))</f>
        <v/>
      </c>
      <c r="J234" s="1111" t="str">
        <f>IF(OR(D234="",D234="-"),"",VLOOKUP(D234,'Fatores de Emissão'!$E$192:$K$201,4,FALSE))</f>
        <v/>
      </c>
      <c r="K234" s="1111" t="str">
        <f>IF(OR(D234="",D234="-"),"",VLOOKUP(D234,'Fatores de Emissão'!$E$192:$K$201,6,FALSE))</f>
        <v/>
      </c>
      <c r="L234" s="478" t="str">
        <f t="shared" si="24"/>
        <v/>
      </c>
      <c r="M234" s="478" t="str">
        <f t="shared" si="25"/>
        <v/>
      </c>
      <c r="N234" s="478" t="str">
        <f t="shared" si="26"/>
        <v/>
      </c>
      <c r="O234" s="451" t="str">
        <f t="shared" si="27"/>
        <v/>
      </c>
      <c r="P234" s="452"/>
    </row>
    <row r="235" spans="1:16" s="237" customFormat="1" ht="15" customHeight="1" outlineLevel="1" x14ac:dyDescent="0.25">
      <c r="A235" s="363"/>
      <c r="B235" s="915"/>
      <c r="C235" s="915"/>
      <c r="D235" s="1268"/>
      <c r="E235" s="1268"/>
      <c r="F235" s="438"/>
      <c r="G235" s="438"/>
      <c r="H235" s="1020" t="str">
        <f>IF(OR(D235="",D235="-"),"",VLOOKUP(D235,'Fatores de Emissão'!$E$192:$K$201,3,FALSE))</f>
        <v/>
      </c>
      <c r="I235" s="1111" t="str">
        <f>IF(OR(D235="",D235="-"),"",VLOOKUP(D235,'Fatores de Emissão'!$E$192:$K$201,2,FALSE))</f>
        <v/>
      </c>
      <c r="J235" s="1111" t="str">
        <f>IF(OR(D235="",D235="-"),"",VLOOKUP(D235,'Fatores de Emissão'!$E$192:$K$201,4,FALSE))</f>
        <v/>
      </c>
      <c r="K235" s="1111" t="str">
        <f>IF(OR(D235="",D235="-"),"",VLOOKUP(D235,'Fatores de Emissão'!$E$192:$K$201,6,FALSE))</f>
        <v/>
      </c>
      <c r="L235" s="478" t="str">
        <f t="shared" si="24"/>
        <v/>
      </c>
      <c r="M235" s="478" t="str">
        <f t="shared" si="25"/>
        <v/>
      </c>
      <c r="N235" s="478" t="str">
        <f t="shared" si="26"/>
        <v/>
      </c>
      <c r="O235" s="451" t="str">
        <f t="shared" si="27"/>
        <v/>
      </c>
      <c r="P235" s="452"/>
    </row>
    <row r="236" spans="1:16" s="237" customFormat="1" ht="15" customHeight="1" outlineLevel="1" x14ac:dyDescent="0.25">
      <c r="A236" s="363"/>
      <c r="B236" s="915"/>
      <c r="C236" s="915"/>
      <c r="D236" s="1268"/>
      <c r="E236" s="1268"/>
      <c r="F236" s="438"/>
      <c r="G236" s="438"/>
      <c r="H236" s="1020" t="str">
        <f>IF(OR(D236="",D236="-"),"",VLOOKUP(D236,'Fatores de Emissão'!$E$192:$K$201,3,FALSE))</f>
        <v/>
      </c>
      <c r="I236" s="1111" t="str">
        <f>IF(OR(D236="",D236="-"),"",VLOOKUP(D236,'Fatores de Emissão'!$E$192:$K$201,2,FALSE))</f>
        <v/>
      </c>
      <c r="J236" s="1111" t="str">
        <f>IF(OR(D236="",D236="-"),"",VLOOKUP(D236,'Fatores de Emissão'!$E$192:$K$201,4,FALSE))</f>
        <v/>
      </c>
      <c r="K236" s="1111" t="str">
        <f>IF(OR(D236="",D236="-"),"",VLOOKUP(D236,'Fatores de Emissão'!$E$192:$K$201,6,FALSE))</f>
        <v/>
      </c>
      <c r="L236" s="478" t="str">
        <f t="shared" si="24"/>
        <v/>
      </c>
      <c r="M236" s="478" t="str">
        <f t="shared" si="25"/>
        <v/>
      </c>
      <c r="N236" s="478" t="str">
        <f t="shared" si="26"/>
        <v/>
      </c>
      <c r="O236" s="451" t="str">
        <f t="shared" si="27"/>
        <v/>
      </c>
      <c r="P236" s="452"/>
    </row>
    <row r="237" spans="1:16" s="237" customFormat="1" ht="15" customHeight="1" outlineLevel="1" x14ac:dyDescent="0.25">
      <c r="A237" s="363"/>
      <c r="B237" s="915"/>
      <c r="C237" s="915"/>
      <c r="D237" s="1268"/>
      <c r="E237" s="1268"/>
      <c r="F237" s="438"/>
      <c r="G237" s="438"/>
      <c r="H237" s="1020" t="str">
        <f>IF(OR(D237="",D237="-"),"",VLOOKUP(D237,'Fatores de Emissão'!$E$192:$K$201,3,FALSE))</f>
        <v/>
      </c>
      <c r="I237" s="1111" t="str">
        <f>IF(OR(D237="",D237="-"),"",VLOOKUP(D237,'Fatores de Emissão'!$E$192:$K$201,2,FALSE))</f>
        <v/>
      </c>
      <c r="J237" s="1111" t="str">
        <f>IF(OR(D237="",D237="-"),"",VLOOKUP(D237,'Fatores de Emissão'!$E$192:$K$201,4,FALSE))</f>
        <v/>
      </c>
      <c r="K237" s="1111" t="str">
        <f>IF(OR(D237="",D237="-"),"",VLOOKUP(D237,'Fatores de Emissão'!$E$192:$K$201,6,FALSE))</f>
        <v/>
      </c>
      <c r="L237" s="478" t="str">
        <f t="shared" si="24"/>
        <v/>
      </c>
      <c r="M237" s="478" t="str">
        <f t="shared" si="25"/>
        <v/>
      </c>
      <c r="N237" s="478" t="str">
        <f t="shared" si="26"/>
        <v/>
      </c>
      <c r="O237" s="451" t="str">
        <f t="shared" si="27"/>
        <v/>
      </c>
      <c r="P237" s="452"/>
    </row>
    <row r="238" spans="1:16" s="237" customFormat="1" ht="15" customHeight="1" outlineLevel="1" collapsed="1" x14ac:dyDescent="0.25">
      <c r="A238" s="363"/>
      <c r="B238" s="915"/>
      <c r="C238" s="915"/>
      <c r="D238" s="1268"/>
      <c r="E238" s="1268"/>
      <c r="F238" s="438"/>
      <c r="G238" s="438"/>
      <c r="H238" s="1020" t="str">
        <f>IF(OR(D238="",D238="-"),"",VLOOKUP(D238,'Fatores de Emissão'!$E$192:$K$201,3,FALSE))</f>
        <v/>
      </c>
      <c r="I238" s="1111" t="str">
        <f>IF(OR(D238="",D238="-"),"",VLOOKUP(D238,'Fatores de Emissão'!$E$192:$K$201,2,FALSE))</f>
        <v/>
      </c>
      <c r="J238" s="1111" t="str">
        <f>IF(OR(D238="",D238="-"),"",VLOOKUP(D238,'Fatores de Emissão'!$E$192:$K$201,4,FALSE))</f>
        <v/>
      </c>
      <c r="K238" s="1111" t="str">
        <f>IF(OR(D238="",D238="-"),"",VLOOKUP(D238,'Fatores de Emissão'!$E$192:$K$201,6,FALSE))</f>
        <v/>
      </c>
      <c r="L238" s="478" t="str">
        <f t="shared" si="24"/>
        <v/>
      </c>
      <c r="M238" s="478" t="str">
        <f t="shared" si="25"/>
        <v/>
      </c>
      <c r="N238" s="478" t="str">
        <f t="shared" si="26"/>
        <v/>
      </c>
      <c r="O238" s="451" t="str">
        <f t="shared" si="27"/>
        <v/>
      </c>
      <c r="P238" s="452"/>
    </row>
    <row r="239" spans="1:16" s="237" customFormat="1" ht="15" hidden="1" customHeight="1" outlineLevel="2" x14ac:dyDescent="0.25">
      <c r="A239" s="363"/>
      <c r="B239" s="915"/>
      <c r="C239" s="915"/>
      <c r="D239" s="1268"/>
      <c r="E239" s="1268"/>
      <c r="F239" s="438"/>
      <c r="G239" s="438"/>
      <c r="H239" s="1020" t="str">
        <f>IF(OR(D239="",D239="-"),"",VLOOKUP(D239,'Fatores de Emissão'!$E$192:$K$201,3,FALSE))</f>
        <v/>
      </c>
      <c r="I239" s="1111" t="str">
        <f>IF(OR(D239="",D239="-"),"",VLOOKUP(D239,'Fatores de Emissão'!$E$192:$K$201,2,FALSE))</f>
        <v/>
      </c>
      <c r="J239" s="1111" t="str">
        <f>IF(OR(D239="",D239="-"),"",VLOOKUP(D239,'Fatores de Emissão'!$E$192:$K$201,4,FALSE))</f>
        <v/>
      </c>
      <c r="K239" s="1111" t="str">
        <f>IF(OR(D239="",D239="-"),"",VLOOKUP(D239,'Fatores de Emissão'!$E$192:$K$201,6,FALSE))</f>
        <v/>
      </c>
      <c r="L239" s="478" t="str">
        <f t="shared" si="24"/>
        <v/>
      </c>
      <c r="M239" s="478" t="str">
        <f t="shared" si="25"/>
        <v/>
      </c>
      <c r="N239" s="478" t="str">
        <f t="shared" si="26"/>
        <v/>
      </c>
      <c r="O239" s="451" t="str">
        <f t="shared" si="27"/>
        <v/>
      </c>
      <c r="P239" s="452"/>
    </row>
    <row r="240" spans="1:16" s="237" customFormat="1" ht="15" hidden="1" customHeight="1" outlineLevel="2" x14ac:dyDescent="0.25">
      <c r="A240" s="363"/>
      <c r="B240" s="915"/>
      <c r="C240" s="915"/>
      <c r="D240" s="1268"/>
      <c r="E240" s="1268"/>
      <c r="F240" s="438"/>
      <c r="G240" s="438"/>
      <c r="H240" s="1020" t="str">
        <f>IF(OR(D240="",D240="-"),"",VLOOKUP(D240,'Fatores de Emissão'!$E$192:$K$201,3,FALSE))</f>
        <v/>
      </c>
      <c r="I240" s="1111" t="str">
        <f>IF(OR(D240="",D240="-"),"",VLOOKUP(D240,'Fatores de Emissão'!$E$192:$K$201,2,FALSE))</f>
        <v/>
      </c>
      <c r="J240" s="1111" t="str">
        <f>IF(OR(D240="",D240="-"),"",VLOOKUP(D240,'Fatores de Emissão'!$E$192:$K$201,4,FALSE))</f>
        <v/>
      </c>
      <c r="K240" s="1111" t="str">
        <f>IF(OR(D240="",D240="-"),"",VLOOKUP(D240,'Fatores de Emissão'!$E$192:$K$201,6,FALSE))</f>
        <v/>
      </c>
      <c r="L240" s="478" t="str">
        <f t="shared" si="24"/>
        <v/>
      </c>
      <c r="M240" s="478" t="str">
        <f t="shared" si="25"/>
        <v/>
      </c>
      <c r="N240" s="478" t="str">
        <f t="shared" si="26"/>
        <v/>
      </c>
      <c r="O240" s="451" t="str">
        <f t="shared" si="27"/>
        <v/>
      </c>
      <c r="P240" s="452"/>
    </row>
    <row r="241" spans="1:16" s="237" customFormat="1" ht="15" hidden="1" customHeight="1" outlineLevel="2" x14ac:dyDescent="0.25">
      <c r="A241" s="363"/>
      <c r="B241" s="915"/>
      <c r="C241" s="915"/>
      <c r="D241" s="1268"/>
      <c r="E241" s="1268"/>
      <c r="F241" s="438"/>
      <c r="G241" s="438"/>
      <c r="H241" s="1020" t="str">
        <f>IF(OR(D241="",D241="-"),"",VLOOKUP(D241,'Fatores de Emissão'!$E$192:$K$201,3,FALSE))</f>
        <v/>
      </c>
      <c r="I241" s="1111" t="str">
        <f>IF(OR(D241="",D241="-"),"",VLOOKUP(D241,'Fatores de Emissão'!$E$192:$K$201,2,FALSE))</f>
        <v/>
      </c>
      <c r="J241" s="1111" t="str">
        <f>IF(OR(D241="",D241="-"),"",VLOOKUP(D241,'Fatores de Emissão'!$E$192:$K$201,4,FALSE))</f>
        <v/>
      </c>
      <c r="K241" s="1111" t="str">
        <f>IF(OR(D241="",D241="-"),"",VLOOKUP(D241,'Fatores de Emissão'!$E$192:$K$201,6,FALSE))</f>
        <v/>
      </c>
      <c r="L241" s="478" t="str">
        <f t="shared" si="24"/>
        <v/>
      </c>
      <c r="M241" s="478" t="str">
        <f t="shared" si="25"/>
        <v/>
      </c>
      <c r="N241" s="478" t="str">
        <f t="shared" si="26"/>
        <v/>
      </c>
      <c r="O241" s="451" t="str">
        <f t="shared" si="27"/>
        <v/>
      </c>
      <c r="P241" s="452"/>
    </row>
    <row r="242" spans="1:16" s="237" customFormat="1" ht="15" hidden="1" customHeight="1" outlineLevel="2" x14ac:dyDescent="0.25">
      <c r="A242" s="363"/>
      <c r="B242" s="915"/>
      <c r="C242" s="915"/>
      <c r="D242" s="1268"/>
      <c r="E242" s="1268"/>
      <c r="F242" s="438"/>
      <c r="G242" s="438"/>
      <c r="H242" s="1020" t="str">
        <f>IF(OR(D242="",D242="-"),"",VLOOKUP(D242,'Fatores de Emissão'!$E$192:$K$201,3,FALSE))</f>
        <v/>
      </c>
      <c r="I242" s="1111" t="str">
        <f>IF(OR(D242="",D242="-"),"",VLOOKUP(D242,'Fatores de Emissão'!$E$192:$K$201,2,FALSE))</f>
        <v/>
      </c>
      <c r="J242" s="1111" t="str">
        <f>IF(OR(D242="",D242="-"),"",VLOOKUP(D242,'Fatores de Emissão'!$E$192:$K$201,4,FALSE))</f>
        <v/>
      </c>
      <c r="K242" s="1111" t="str">
        <f>IF(OR(D242="",D242="-"),"",VLOOKUP(D242,'Fatores de Emissão'!$E$192:$K$201,6,FALSE))</f>
        <v/>
      </c>
      <c r="L242" s="478" t="str">
        <f t="shared" si="24"/>
        <v/>
      </c>
      <c r="M242" s="478" t="str">
        <f t="shared" si="25"/>
        <v/>
      </c>
      <c r="N242" s="478" t="str">
        <f t="shared" si="26"/>
        <v/>
      </c>
      <c r="O242" s="451" t="str">
        <f t="shared" si="27"/>
        <v/>
      </c>
      <c r="P242" s="452"/>
    </row>
    <row r="243" spans="1:16" s="237" customFormat="1" ht="15" hidden="1" customHeight="1" outlineLevel="2" x14ac:dyDescent="0.25">
      <c r="A243" s="363"/>
      <c r="B243" s="915"/>
      <c r="C243" s="915"/>
      <c r="D243" s="1268"/>
      <c r="E243" s="1268"/>
      <c r="F243" s="438"/>
      <c r="G243" s="438"/>
      <c r="H243" s="1020" t="str">
        <f>IF(OR(D243="",D243="-"),"",VLOOKUP(D243,'Fatores de Emissão'!$E$192:$K$201,3,FALSE))</f>
        <v/>
      </c>
      <c r="I243" s="1111" t="str">
        <f>IF(OR(D243="",D243="-"),"",VLOOKUP(D243,'Fatores de Emissão'!$E$192:$K$201,2,FALSE))</f>
        <v/>
      </c>
      <c r="J243" s="1111" t="str">
        <f>IF(OR(D243="",D243="-"),"",VLOOKUP(D243,'Fatores de Emissão'!$E$192:$K$201,4,FALSE))</f>
        <v/>
      </c>
      <c r="K243" s="1111" t="str">
        <f>IF(OR(D243="",D243="-"),"",VLOOKUP(D243,'Fatores de Emissão'!$E$192:$K$201,6,FALSE))</f>
        <v/>
      </c>
      <c r="L243" s="478" t="str">
        <f t="shared" si="24"/>
        <v/>
      </c>
      <c r="M243" s="478" t="str">
        <f t="shared" si="25"/>
        <v/>
      </c>
      <c r="N243" s="478" t="str">
        <f t="shared" si="26"/>
        <v/>
      </c>
      <c r="O243" s="451" t="str">
        <f t="shared" si="27"/>
        <v/>
      </c>
      <c r="P243" s="452"/>
    </row>
    <row r="244" spans="1:16" s="237" customFormat="1" ht="15" hidden="1" customHeight="1" outlineLevel="2" x14ac:dyDescent="0.25">
      <c r="A244" s="363"/>
      <c r="B244" s="915"/>
      <c r="C244" s="915"/>
      <c r="D244" s="1268"/>
      <c r="E244" s="1268"/>
      <c r="F244" s="438"/>
      <c r="G244" s="438"/>
      <c r="H244" s="1020" t="str">
        <f>IF(OR(D244="",D244="-"),"",VLOOKUP(D244,'Fatores de Emissão'!$E$192:$K$201,3,FALSE))</f>
        <v/>
      </c>
      <c r="I244" s="1111" t="str">
        <f>IF(OR(D244="",D244="-"),"",VLOOKUP(D244,'Fatores de Emissão'!$E$192:$K$201,2,FALSE))</f>
        <v/>
      </c>
      <c r="J244" s="1111" t="str">
        <f>IF(OR(D244="",D244="-"),"",VLOOKUP(D244,'Fatores de Emissão'!$E$192:$K$201,4,FALSE))</f>
        <v/>
      </c>
      <c r="K244" s="1111" t="str">
        <f>IF(OR(D244="",D244="-"),"",VLOOKUP(D244,'Fatores de Emissão'!$E$192:$K$201,6,FALSE))</f>
        <v/>
      </c>
      <c r="L244" s="478" t="str">
        <f t="shared" si="24"/>
        <v/>
      </c>
      <c r="M244" s="478" t="str">
        <f t="shared" si="25"/>
        <v/>
      </c>
      <c r="N244" s="478" t="str">
        <f t="shared" si="26"/>
        <v/>
      </c>
      <c r="O244" s="451" t="str">
        <f t="shared" si="27"/>
        <v/>
      </c>
      <c r="P244" s="452"/>
    </row>
    <row r="245" spans="1:16" s="237" customFormat="1" ht="15" hidden="1" customHeight="1" outlineLevel="2" x14ac:dyDescent="0.25">
      <c r="A245" s="363"/>
      <c r="B245" s="915"/>
      <c r="C245" s="915"/>
      <c r="D245" s="1268"/>
      <c r="E245" s="1268"/>
      <c r="F245" s="438"/>
      <c r="G245" s="438"/>
      <c r="H245" s="1020" t="str">
        <f>IF(OR(D245="",D245="-"),"",VLOOKUP(D245,'Fatores de Emissão'!$E$192:$K$201,3,FALSE))</f>
        <v/>
      </c>
      <c r="I245" s="1111" t="str">
        <f>IF(OR(D245="",D245="-"),"",VLOOKUP(D245,'Fatores de Emissão'!$E$192:$K$201,2,FALSE))</f>
        <v/>
      </c>
      <c r="J245" s="1111" t="str">
        <f>IF(OR(D245="",D245="-"),"",VLOOKUP(D245,'Fatores de Emissão'!$E$192:$K$201,4,FALSE))</f>
        <v/>
      </c>
      <c r="K245" s="1111" t="str">
        <f>IF(OR(D245="",D245="-"),"",VLOOKUP(D245,'Fatores de Emissão'!$E$192:$K$201,6,FALSE))</f>
        <v/>
      </c>
      <c r="L245" s="478" t="str">
        <f t="shared" si="24"/>
        <v/>
      </c>
      <c r="M245" s="478" t="str">
        <f t="shared" si="25"/>
        <v/>
      </c>
      <c r="N245" s="478" t="str">
        <f t="shared" si="26"/>
        <v/>
      </c>
      <c r="O245" s="451" t="str">
        <f t="shared" si="27"/>
        <v/>
      </c>
      <c r="P245" s="452"/>
    </row>
    <row r="246" spans="1:16" s="237" customFormat="1" ht="15" hidden="1" customHeight="1" outlineLevel="2" x14ac:dyDescent="0.25">
      <c r="A246" s="363"/>
      <c r="B246" s="915"/>
      <c r="C246" s="915"/>
      <c r="D246" s="1268"/>
      <c r="E246" s="1268"/>
      <c r="F246" s="438"/>
      <c r="G246" s="438"/>
      <c r="H246" s="1020" t="str">
        <f>IF(OR(D246="",D246="-"),"",VLOOKUP(D246,'Fatores de Emissão'!$E$192:$K$201,3,FALSE))</f>
        <v/>
      </c>
      <c r="I246" s="1111" t="str">
        <f>IF(OR(D246="",D246="-"),"",VLOOKUP(D246,'Fatores de Emissão'!$E$192:$K$201,2,FALSE))</f>
        <v/>
      </c>
      <c r="J246" s="1111" t="str">
        <f>IF(OR(D246="",D246="-"),"",VLOOKUP(D246,'Fatores de Emissão'!$E$192:$K$201,4,FALSE))</f>
        <v/>
      </c>
      <c r="K246" s="1111" t="str">
        <f>IF(OR(D246="",D246="-"),"",VLOOKUP(D246,'Fatores de Emissão'!$E$192:$K$201,6,FALSE))</f>
        <v/>
      </c>
      <c r="L246" s="478" t="str">
        <f t="shared" si="24"/>
        <v/>
      </c>
      <c r="M246" s="478" t="str">
        <f t="shared" si="25"/>
        <v/>
      </c>
      <c r="N246" s="478" t="str">
        <f t="shared" si="26"/>
        <v/>
      </c>
      <c r="O246" s="451" t="str">
        <f t="shared" si="27"/>
        <v/>
      </c>
      <c r="P246" s="452"/>
    </row>
    <row r="247" spans="1:16" s="237" customFormat="1" ht="15" hidden="1" customHeight="1" outlineLevel="2" x14ac:dyDescent="0.25">
      <c r="A247" s="363"/>
      <c r="B247" s="915"/>
      <c r="C247" s="915"/>
      <c r="D247" s="1268"/>
      <c r="E247" s="1268"/>
      <c r="F247" s="438"/>
      <c r="G247" s="438"/>
      <c r="H247" s="1020" t="str">
        <f>IF(OR(D247="",D247="-"),"",VLOOKUP(D247,'Fatores de Emissão'!$E$192:$K$201,3,FALSE))</f>
        <v/>
      </c>
      <c r="I247" s="1111" t="str">
        <f>IF(OR(D247="",D247="-"),"",VLOOKUP(D247,'Fatores de Emissão'!$E$192:$K$201,2,FALSE))</f>
        <v/>
      </c>
      <c r="J247" s="1111" t="str">
        <f>IF(OR(D247="",D247="-"),"",VLOOKUP(D247,'Fatores de Emissão'!$E$192:$K$201,4,FALSE))</f>
        <v/>
      </c>
      <c r="K247" s="1111" t="str">
        <f>IF(OR(D247="",D247="-"),"",VLOOKUP(D247,'Fatores de Emissão'!$E$192:$K$201,6,FALSE))</f>
        <v/>
      </c>
      <c r="L247" s="478" t="str">
        <f t="shared" si="24"/>
        <v/>
      </c>
      <c r="M247" s="478" t="str">
        <f t="shared" si="25"/>
        <v/>
      </c>
      <c r="N247" s="478" t="str">
        <f t="shared" si="26"/>
        <v/>
      </c>
      <c r="O247" s="451" t="str">
        <f t="shared" si="27"/>
        <v/>
      </c>
      <c r="P247" s="452"/>
    </row>
    <row r="248" spans="1:16" s="237" customFormat="1" ht="15" hidden="1" customHeight="1" outlineLevel="2" x14ac:dyDescent="0.25">
      <c r="A248" s="363"/>
      <c r="B248" s="915"/>
      <c r="C248" s="915"/>
      <c r="D248" s="1268"/>
      <c r="E248" s="1268"/>
      <c r="F248" s="438"/>
      <c r="G248" s="438"/>
      <c r="H248" s="1020" t="str">
        <f>IF(OR(D248="",D248="-"),"",VLOOKUP(D248,'Fatores de Emissão'!$E$192:$K$201,3,FALSE))</f>
        <v/>
      </c>
      <c r="I248" s="1111" t="str">
        <f>IF(OR(D248="",D248="-"),"",VLOOKUP(D248,'Fatores de Emissão'!$E$192:$K$201,2,FALSE))</f>
        <v/>
      </c>
      <c r="J248" s="1111" t="str">
        <f>IF(OR(D248="",D248="-"),"",VLOOKUP(D248,'Fatores de Emissão'!$E$192:$K$201,4,FALSE))</f>
        <v/>
      </c>
      <c r="K248" s="1111" t="str">
        <f>IF(OR(D248="",D248="-"),"",VLOOKUP(D248,'Fatores de Emissão'!$E$192:$K$201,6,FALSE))</f>
        <v/>
      </c>
      <c r="L248" s="478" t="str">
        <f t="shared" si="24"/>
        <v/>
      </c>
      <c r="M248" s="478" t="str">
        <f t="shared" si="25"/>
        <v/>
      </c>
      <c r="N248" s="478" t="str">
        <f t="shared" si="26"/>
        <v/>
      </c>
      <c r="O248" s="451" t="str">
        <f t="shared" si="27"/>
        <v/>
      </c>
      <c r="P248" s="452"/>
    </row>
    <row r="249" spans="1:16" s="237" customFormat="1" ht="15" hidden="1" customHeight="1" outlineLevel="2" x14ac:dyDescent="0.25">
      <c r="A249" s="363"/>
      <c r="B249" s="915"/>
      <c r="C249" s="915"/>
      <c r="D249" s="1268"/>
      <c r="E249" s="1268"/>
      <c r="F249" s="438"/>
      <c r="G249" s="438"/>
      <c r="H249" s="1020" t="str">
        <f>IF(OR(D249="",D249="-"),"",VLOOKUP(D249,'Fatores de Emissão'!$E$192:$K$201,3,FALSE))</f>
        <v/>
      </c>
      <c r="I249" s="1111" t="str">
        <f>IF(OR(D249="",D249="-"),"",VLOOKUP(D249,'Fatores de Emissão'!$E$192:$K$201,2,FALSE))</f>
        <v/>
      </c>
      <c r="J249" s="1111" t="str">
        <f>IF(OR(D249="",D249="-"),"",VLOOKUP(D249,'Fatores de Emissão'!$E$192:$K$201,4,FALSE))</f>
        <v/>
      </c>
      <c r="K249" s="1111" t="str">
        <f>IF(OR(D249="",D249="-"),"",VLOOKUP(D249,'Fatores de Emissão'!$E$192:$K$201,6,FALSE))</f>
        <v/>
      </c>
      <c r="L249" s="478" t="str">
        <f t="shared" si="24"/>
        <v/>
      </c>
      <c r="M249" s="478" t="str">
        <f t="shared" si="25"/>
        <v/>
      </c>
      <c r="N249" s="478" t="str">
        <f t="shared" si="26"/>
        <v/>
      </c>
      <c r="O249" s="451" t="str">
        <f t="shared" si="27"/>
        <v/>
      </c>
      <c r="P249" s="452"/>
    </row>
    <row r="250" spans="1:16" s="237" customFormat="1" ht="15" hidden="1" customHeight="1" outlineLevel="2" x14ac:dyDescent="0.25">
      <c r="A250" s="363"/>
      <c r="B250" s="915"/>
      <c r="C250" s="915"/>
      <c r="D250" s="1268"/>
      <c r="E250" s="1268"/>
      <c r="F250" s="438"/>
      <c r="G250" s="438"/>
      <c r="H250" s="1020" t="str">
        <f>IF(OR(D250="",D250="-"),"",VLOOKUP(D250,'Fatores de Emissão'!$E$192:$K$201,3,FALSE))</f>
        <v/>
      </c>
      <c r="I250" s="1111" t="str">
        <f>IF(OR(D250="",D250="-"),"",VLOOKUP(D250,'Fatores de Emissão'!$E$192:$K$201,2,FALSE))</f>
        <v/>
      </c>
      <c r="J250" s="1111" t="str">
        <f>IF(OR(D250="",D250="-"),"",VLOOKUP(D250,'Fatores de Emissão'!$E$192:$K$201,4,FALSE))</f>
        <v/>
      </c>
      <c r="K250" s="1111" t="str">
        <f>IF(OR(D250="",D250="-"),"",VLOOKUP(D250,'Fatores de Emissão'!$E$192:$K$201,6,FALSE))</f>
        <v/>
      </c>
      <c r="L250" s="478" t="str">
        <f t="shared" si="24"/>
        <v/>
      </c>
      <c r="M250" s="478" t="str">
        <f t="shared" si="25"/>
        <v/>
      </c>
      <c r="N250" s="478" t="str">
        <f t="shared" si="26"/>
        <v/>
      </c>
      <c r="O250" s="451" t="str">
        <f t="shared" si="27"/>
        <v/>
      </c>
      <c r="P250" s="452"/>
    </row>
    <row r="251" spans="1:16" s="237" customFormat="1" ht="15" hidden="1" customHeight="1" outlineLevel="2" x14ac:dyDescent="0.25">
      <c r="A251" s="363"/>
      <c r="B251" s="915"/>
      <c r="C251" s="915"/>
      <c r="D251" s="1268"/>
      <c r="E251" s="1268"/>
      <c r="F251" s="438"/>
      <c r="G251" s="438"/>
      <c r="H251" s="1020" t="str">
        <f>IF(OR(D251="",D251="-"),"",VLOOKUP(D251,'Fatores de Emissão'!$E$192:$K$201,3,FALSE))</f>
        <v/>
      </c>
      <c r="I251" s="1111" t="str">
        <f>IF(OR(D251="",D251="-"),"",VLOOKUP(D251,'Fatores de Emissão'!$E$192:$K$201,2,FALSE))</f>
        <v/>
      </c>
      <c r="J251" s="1111" t="str">
        <f>IF(OR(D251="",D251="-"),"",VLOOKUP(D251,'Fatores de Emissão'!$E$192:$K$201,4,FALSE))</f>
        <v/>
      </c>
      <c r="K251" s="1111" t="str">
        <f>IF(OR(D251="",D251="-"),"",VLOOKUP(D251,'Fatores de Emissão'!$E$192:$K$201,6,FALSE))</f>
        <v/>
      </c>
      <c r="L251" s="478" t="str">
        <f t="shared" si="24"/>
        <v/>
      </c>
      <c r="M251" s="478" t="str">
        <f t="shared" si="25"/>
        <v/>
      </c>
      <c r="N251" s="478" t="str">
        <f t="shared" si="26"/>
        <v/>
      </c>
      <c r="O251" s="451" t="str">
        <f t="shared" si="27"/>
        <v/>
      </c>
      <c r="P251" s="452"/>
    </row>
    <row r="252" spans="1:16" s="237" customFormat="1" ht="15" hidden="1" customHeight="1" outlineLevel="2" x14ac:dyDescent="0.25">
      <c r="A252" s="363"/>
      <c r="B252" s="915"/>
      <c r="C252" s="915"/>
      <c r="D252" s="1268"/>
      <c r="E252" s="1268"/>
      <c r="F252" s="438"/>
      <c r="G252" s="438"/>
      <c r="H252" s="1020" t="str">
        <f>IF(OR(D252="",D252="-"),"",VLOOKUP(D252,'Fatores de Emissão'!$E$192:$K$201,3,FALSE))</f>
        <v/>
      </c>
      <c r="I252" s="1111" t="str">
        <f>IF(OR(D252="",D252="-"),"",VLOOKUP(D252,'Fatores de Emissão'!$E$192:$K$201,2,FALSE))</f>
        <v/>
      </c>
      <c r="J252" s="1111" t="str">
        <f>IF(OR(D252="",D252="-"),"",VLOOKUP(D252,'Fatores de Emissão'!$E$192:$K$201,4,FALSE))</f>
        <v/>
      </c>
      <c r="K252" s="1111" t="str">
        <f>IF(OR(D252="",D252="-"),"",VLOOKUP(D252,'Fatores de Emissão'!$E$192:$K$201,6,FALSE))</f>
        <v/>
      </c>
      <c r="L252" s="478" t="str">
        <f t="shared" si="24"/>
        <v/>
      </c>
      <c r="M252" s="478" t="str">
        <f t="shared" si="25"/>
        <v/>
      </c>
      <c r="N252" s="478" t="str">
        <f t="shared" si="26"/>
        <v/>
      </c>
      <c r="O252" s="451" t="str">
        <f t="shared" si="27"/>
        <v/>
      </c>
      <c r="P252" s="452"/>
    </row>
    <row r="253" spans="1:16" s="237" customFormat="1" ht="15" hidden="1" customHeight="1" outlineLevel="2" x14ac:dyDescent="0.25">
      <c r="A253" s="363"/>
      <c r="B253" s="915"/>
      <c r="C253" s="915"/>
      <c r="D253" s="1268"/>
      <c r="E253" s="1268"/>
      <c r="F253" s="438"/>
      <c r="G253" s="438"/>
      <c r="H253" s="1020" t="str">
        <f>IF(OR(D253="",D253="-"),"",VLOOKUP(D253,'Fatores de Emissão'!$E$192:$K$201,3,FALSE))</f>
        <v/>
      </c>
      <c r="I253" s="1111" t="str">
        <f>IF(OR(D253="",D253="-"),"",VLOOKUP(D253,'Fatores de Emissão'!$E$192:$K$201,2,FALSE))</f>
        <v/>
      </c>
      <c r="J253" s="1111" t="str">
        <f>IF(OR(D253="",D253="-"),"",VLOOKUP(D253,'Fatores de Emissão'!$E$192:$K$201,4,FALSE))</f>
        <v/>
      </c>
      <c r="K253" s="1111" t="str">
        <f>IF(OR(D253="",D253="-"),"",VLOOKUP(D253,'Fatores de Emissão'!$E$192:$K$201,6,FALSE))</f>
        <v/>
      </c>
      <c r="L253" s="478" t="str">
        <f t="shared" si="24"/>
        <v/>
      </c>
      <c r="M253" s="478" t="str">
        <f t="shared" si="25"/>
        <v/>
      </c>
      <c r="N253" s="478" t="str">
        <f t="shared" si="26"/>
        <v/>
      </c>
      <c r="O253" s="451" t="str">
        <f t="shared" si="27"/>
        <v/>
      </c>
      <c r="P253" s="452"/>
    </row>
    <row r="254" spans="1:16" s="237" customFormat="1" ht="15" hidden="1" customHeight="1" outlineLevel="2" x14ac:dyDescent="0.25">
      <c r="A254" s="363"/>
      <c r="B254" s="915"/>
      <c r="C254" s="915"/>
      <c r="D254" s="1268"/>
      <c r="E254" s="1268"/>
      <c r="F254" s="438"/>
      <c r="G254" s="438"/>
      <c r="H254" s="1020" t="str">
        <f>IF(OR(D254="",D254="-"),"",VLOOKUP(D254,'Fatores de Emissão'!$E$192:$K$201,3,FALSE))</f>
        <v/>
      </c>
      <c r="I254" s="1111" t="str">
        <f>IF(OR(D254="",D254="-"),"",VLOOKUP(D254,'Fatores de Emissão'!$E$192:$K$201,2,FALSE))</f>
        <v/>
      </c>
      <c r="J254" s="1111" t="str">
        <f>IF(OR(D254="",D254="-"),"",VLOOKUP(D254,'Fatores de Emissão'!$E$192:$K$201,4,FALSE))</f>
        <v/>
      </c>
      <c r="K254" s="1111" t="str">
        <f>IF(OR(D254="",D254="-"),"",VLOOKUP(D254,'Fatores de Emissão'!$E$192:$K$201,6,FALSE))</f>
        <v/>
      </c>
      <c r="L254" s="478" t="str">
        <f t="shared" si="24"/>
        <v/>
      </c>
      <c r="M254" s="478" t="str">
        <f t="shared" si="25"/>
        <v/>
      </c>
      <c r="N254" s="478" t="str">
        <f t="shared" si="26"/>
        <v/>
      </c>
      <c r="O254" s="451" t="str">
        <f t="shared" si="27"/>
        <v/>
      </c>
      <c r="P254" s="452"/>
    </row>
    <row r="255" spans="1:16" s="237" customFormat="1" ht="15" hidden="1" customHeight="1" outlineLevel="2" x14ac:dyDescent="0.25">
      <c r="A255" s="363"/>
      <c r="B255" s="915"/>
      <c r="C255" s="915"/>
      <c r="D255" s="1268"/>
      <c r="E255" s="1268"/>
      <c r="F255" s="438"/>
      <c r="G255" s="438"/>
      <c r="H255" s="1020" t="str">
        <f>IF(OR(D255="",D255="-"),"",VLOOKUP(D255,'Fatores de Emissão'!$E$192:$K$201,3,FALSE))</f>
        <v/>
      </c>
      <c r="I255" s="1111" t="str">
        <f>IF(OR(D255="",D255="-"),"",VLOOKUP(D255,'Fatores de Emissão'!$E$192:$K$201,2,FALSE))</f>
        <v/>
      </c>
      <c r="J255" s="1111" t="str">
        <f>IF(OR(D255="",D255="-"),"",VLOOKUP(D255,'Fatores de Emissão'!$E$192:$K$201,4,FALSE))</f>
        <v/>
      </c>
      <c r="K255" s="1111" t="str">
        <f>IF(OR(D255="",D255="-"),"",VLOOKUP(D255,'Fatores de Emissão'!$E$192:$K$201,6,FALSE))</f>
        <v/>
      </c>
      <c r="L255" s="478" t="str">
        <f t="shared" si="24"/>
        <v/>
      </c>
      <c r="M255" s="478" t="str">
        <f t="shared" si="25"/>
        <v/>
      </c>
      <c r="N255" s="478" t="str">
        <f t="shared" si="26"/>
        <v/>
      </c>
      <c r="O255" s="451" t="str">
        <f t="shared" si="27"/>
        <v/>
      </c>
      <c r="P255" s="452"/>
    </row>
    <row r="256" spans="1:16" s="237" customFormat="1" ht="15" hidden="1" customHeight="1" outlineLevel="2" x14ac:dyDescent="0.25">
      <c r="A256" s="363"/>
      <c r="B256" s="915"/>
      <c r="C256" s="915"/>
      <c r="D256" s="1268"/>
      <c r="E256" s="1268"/>
      <c r="F256" s="438"/>
      <c r="G256" s="438"/>
      <c r="H256" s="1020" t="str">
        <f>IF(OR(D256="",D256="-"),"",VLOOKUP(D256,'Fatores de Emissão'!$E$192:$K$201,3,FALSE))</f>
        <v/>
      </c>
      <c r="I256" s="1111" t="str">
        <f>IF(OR(D256="",D256="-"),"",VLOOKUP(D256,'Fatores de Emissão'!$E$192:$K$201,2,FALSE))</f>
        <v/>
      </c>
      <c r="J256" s="1111" t="str">
        <f>IF(OR(D256="",D256="-"),"",VLOOKUP(D256,'Fatores de Emissão'!$E$192:$K$201,4,FALSE))</f>
        <v/>
      </c>
      <c r="K256" s="1111" t="str">
        <f>IF(OR(D256="",D256="-"),"",VLOOKUP(D256,'Fatores de Emissão'!$E$192:$K$201,6,FALSE))</f>
        <v/>
      </c>
      <c r="L256" s="478" t="str">
        <f t="shared" si="24"/>
        <v/>
      </c>
      <c r="M256" s="478" t="str">
        <f t="shared" si="25"/>
        <v/>
      </c>
      <c r="N256" s="478" t="str">
        <f t="shared" si="26"/>
        <v/>
      </c>
      <c r="O256" s="451" t="str">
        <f t="shared" si="27"/>
        <v/>
      </c>
      <c r="P256" s="452"/>
    </row>
    <row r="257" spans="1:16" s="237" customFormat="1" ht="15" hidden="1" customHeight="1" outlineLevel="2" x14ac:dyDescent="0.25">
      <c r="A257" s="363"/>
      <c r="B257" s="915"/>
      <c r="C257" s="915"/>
      <c r="D257" s="1268"/>
      <c r="E257" s="1268"/>
      <c r="F257" s="438"/>
      <c r="G257" s="438"/>
      <c r="H257" s="1020" t="str">
        <f>IF(OR(D257="",D257="-"),"",VLOOKUP(D257,'Fatores de Emissão'!$E$192:$K$201,3,FALSE))</f>
        <v/>
      </c>
      <c r="I257" s="1111" t="str">
        <f>IF(OR(D257="",D257="-"),"",VLOOKUP(D257,'Fatores de Emissão'!$E$192:$K$201,2,FALSE))</f>
        <v/>
      </c>
      <c r="J257" s="1111" t="str">
        <f>IF(OR(D257="",D257="-"),"",VLOOKUP(D257,'Fatores de Emissão'!$E$192:$K$201,4,FALSE))</f>
        <v/>
      </c>
      <c r="K257" s="1111" t="str">
        <f>IF(OR(D257="",D257="-"),"",VLOOKUP(D257,'Fatores de Emissão'!$E$192:$K$201,6,FALSE))</f>
        <v/>
      </c>
      <c r="L257" s="478" t="str">
        <f t="shared" si="24"/>
        <v/>
      </c>
      <c r="M257" s="478" t="str">
        <f t="shared" si="25"/>
        <v/>
      </c>
      <c r="N257" s="478" t="str">
        <f t="shared" si="26"/>
        <v/>
      </c>
      <c r="O257" s="451" t="str">
        <f t="shared" si="27"/>
        <v/>
      </c>
      <c r="P257" s="452"/>
    </row>
    <row r="258" spans="1:16" s="237" customFormat="1" ht="15" hidden="1" customHeight="1" outlineLevel="2" x14ac:dyDescent="0.25">
      <c r="A258" s="363"/>
      <c r="B258" s="915"/>
      <c r="C258" s="915"/>
      <c r="D258" s="1268"/>
      <c r="E258" s="1268"/>
      <c r="F258" s="438"/>
      <c r="G258" s="438"/>
      <c r="H258" s="1020" t="str">
        <f>IF(OR(D258="",D258="-"),"",VLOOKUP(D258,'Fatores de Emissão'!$E$192:$K$201,3,FALSE))</f>
        <v/>
      </c>
      <c r="I258" s="1111" t="str">
        <f>IF(OR(D258="",D258="-"),"",VLOOKUP(D258,'Fatores de Emissão'!$E$192:$K$201,2,FALSE))</f>
        <v/>
      </c>
      <c r="J258" s="1111" t="str">
        <f>IF(OR(D258="",D258="-"),"",VLOOKUP(D258,'Fatores de Emissão'!$E$192:$K$201,4,FALSE))</f>
        <v/>
      </c>
      <c r="K258" s="1111" t="str">
        <f>IF(OR(D258="",D258="-"),"",VLOOKUP(D258,'Fatores de Emissão'!$E$192:$K$201,6,FALSE))</f>
        <v/>
      </c>
      <c r="L258" s="478" t="str">
        <f t="shared" si="24"/>
        <v/>
      </c>
      <c r="M258" s="478" t="str">
        <f t="shared" si="25"/>
        <v/>
      </c>
      <c r="N258" s="478" t="str">
        <f t="shared" si="26"/>
        <v/>
      </c>
      <c r="O258" s="451" t="str">
        <f t="shared" si="27"/>
        <v/>
      </c>
      <c r="P258" s="452"/>
    </row>
    <row r="259" spans="1:16" s="237" customFormat="1" ht="15" hidden="1" customHeight="1" outlineLevel="2" x14ac:dyDescent="0.25">
      <c r="A259" s="363"/>
      <c r="B259" s="915"/>
      <c r="C259" s="915"/>
      <c r="D259" s="1268"/>
      <c r="E259" s="1268"/>
      <c r="F259" s="438"/>
      <c r="G259" s="438"/>
      <c r="H259" s="1020" t="str">
        <f>IF(OR(D259="",D259="-"),"",VLOOKUP(D259,'Fatores de Emissão'!$E$192:$K$201,3,FALSE))</f>
        <v/>
      </c>
      <c r="I259" s="1111" t="str">
        <f>IF(OR(D259="",D259="-"),"",VLOOKUP(D259,'Fatores de Emissão'!$E$192:$K$201,2,FALSE))</f>
        <v/>
      </c>
      <c r="J259" s="1111" t="str">
        <f>IF(OR(D259="",D259="-"),"",VLOOKUP(D259,'Fatores de Emissão'!$E$192:$K$201,4,FALSE))</f>
        <v/>
      </c>
      <c r="K259" s="1111" t="str">
        <f>IF(OR(D259="",D259="-"),"",VLOOKUP(D259,'Fatores de Emissão'!$E$192:$K$201,6,FALSE))</f>
        <v/>
      </c>
      <c r="L259" s="478" t="str">
        <f t="shared" si="24"/>
        <v/>
      </c>
      <c r="M259" s="478" t="str">
        <f t="shared" si="25"/>
        <v/>
      </c>
      <c r="N259" s="478" t="str">
        <f t="shared" si="26"/>
        <v/>
      </c>
      <c r="O259" s="451" t="str">
        <f t="shared" si="27"/>
        <v/>
      </c>
      <c r="P259" s="452"/>
    </row>
    <row r="260" spans="1:16" s="237" customFormat="1" ht="15" hidden="1" customHeight="1" outlineLevel="2" x14ac:dyDescent="0.25">
      <c r="A260" s="363"/>
      <c r="B260" s="915"/>
      <c r="C260" s="915"/>
      <c r="D260" s="1268"/>
      <c r="E260" s="1268"/>
      <c r="F260" s="438"/>
      <c r="G260" s="438"/>
      <c r="H260" s="1020" t="str">
        <f>IF(OR(D260="",D260="-"),"",VLOOKUP(D260,'Fatores de Emissão'!$E$192:$K$201,3,FALSE))</f>
        <v/>
      </c>
      <c r="I260" s="1111" t="str">
        <f>IF(OR(D260="",D260="-"),"",VLOOKUP(D260,'Fatores de Emissão'!$E$192:$K$201,2,FALSE))</f>
        <v/>
      </c>
      <c r="J260" s="1111" t="str">
        <f>IF(OR(D260="",D260="-"),"",VLOOKUP(D260,'Fatores de Emissão'!$E$192:$K$201,4,FALSE))</f>
        <v/>
      </c>
      <c r="K260" s="1111" t="str">
        <f>IF(OR(D260="",D260="-"),"",VLOOKUP(D260,'Fatores de Emissão'!$E$192:$K$201,6,FALSE))</f>
        <v/>
      </c>
      <c r="L260" s="478" t="str">
        <f t="shared" si="24"/>
        <v/>
      </c>
      <c r="M260" s="478" t="str">
        <f t="shared" si="25"/>
        <v/>
      </c>
      <c r="N260" s="478" t="str">
        <f t="shared" si="26"/>
        <v/>
      </c>
      <c r="O260" s="451" t="str">
        <f t="shared" si="27"/>
        <v/>
      </c>
      <c r="P260" s="452"/>
    </row>
    <row r="261" spans="1:16" s="237" customFormat="1" ht="15" hidden="1" customHeight="1" outlineLevel="2" x14ac:dyDescent="0.25">
      <c r="A261" s="363"/>
      <c r="B261" s="915"/>
      <c r="C261" s="915"/>
      <c r="D261" s="1268"/>
      <c r="E261" s="1268"/>
      <c r="F261" s="438"/>
      <c r="G261" s="438"/>
      <c r="H261" s="1020" t="str">
        <f>IF(OR(D261="",D261="-"),"",VLOOKUP(D261,'Fatores de Emissão'!$E$192:$K$201,3,FALSE))</f>
        <v/>
      </c>
      <c r="I261" s="1111" t="str">
        <f>IF(OR(D261="",D261="-"),"",VLOOKUP(D261,'Fatores de Emissão'!$E$192:$K$201,2,FALSE))</f>
        <v/>
      </c>
      <c r="J261" s="1111" t="str">
        <f>IF(OR(D261="",D261="-"),"",VLOOKUP(D261,'Fatores de Emissão'!$E$192:$K$201,4,FALSE))</f>
        <v/>
      </c>
      <c r="K261" s="1111" t="str">
        <f>IF(OR(D261="",D261="-"),"",VLOOKUP(D261,'Fatores de Emissão'!$E$192:$K$201,6,FALSE))</f>
        <v/>
      </c>
      <c r="L261" s="478" t="str">
        <f t="shared" ref="L261:L278" si="28">IF($D261="","",$F261*$G261*I261/1000)</f>
        <v/>
      </c>
      <c r="M261" s="478" t="str">
        <f t="shared" ref="M261:M278" si="29">IF($D261="","",$F261*$G261*J261/1000)</f>
        <v/>
      </c>
      <c r="N261" s="478" t="str">
        <f t="shared" ref="N261:N278" si="30">IF($D261="","",$F261*$G261*K261/1000)</f>
        <v/>
      </c>
      <c r="O261" s="451" t="str">
        <f t="shared" si="27"/>
        <v/>
      </c>
      <c r="P261" s="452"/>
    </row>
    <row r="262" spans="1:16" s="237" customFormat="1" ht="15" hidden="1" customHeight="1" outlineLevel="2" x14ac:dyDescent="0.25">
      <c r="A262" s="363"/>
      <c r="B262" s="915"/>
      <c r="C262" s="915"/>
      <c r="D262" s="1268"/>
      <c r="E262" s="1268"/>
      <c r="F262" s="438"/>
      <c r="G262" s="438"/>
      <c r="H262" s="1020" t="str">
        <f>IF(OR(D262="",D262="-"),"",VLOOKUP(D262,'Fatores de Emissão'!$E$192:$K$201,3,FALSE))</f>
        <v/>
      </c>
      <c r="I262" s="1111" t="str">
        <f>IF(OR(D262="",D262="-"),"",VLOOKUP(D262,'Fatores de Emissão'!$E$192:$K$201,2,FALSE))</f>
        <v/>
      </c>
      <c r="J262" s="1111" t="str">
        <f>IF(OR(D262="",D262="-"),"",VLOOKUP(D262,'Fatores de Emissão'!$E$192:$K$201,4,FALSE))</f>
        <v/>
      </c>
      <c r="K262" s="1111" t="str">
        <f>IF(OR(D262="",D262="-"),"",VLOOKUP(D262,'Fatores de Emissão'!$E$192:$K$201,6,FALSE))</f>
        <v/>
      </c>
      <c r="L262" s="478" t="str">
        <f t="shared" si="28"/>
        <v/>
      </c>
      <c r="M262" s="478" t="str">
        <f t="shared" si="29"/>
        <v/>
      </c>
      <c r="N262" s="478" t="str">
        <f t="shared" si="30"/>
        <v/>
      </c>
      <c r="O262" s="451" t="str">
        <f t="shared" si="27"/>
        <v/>
      </c>
      <c r="P262" s="452"/>
    </row>
    <row r="263" spans="1:16" s="237" customFormat="1" ht="15" hidden="1" customHeight="1" outlineLevel="2" x14ac:dyDescent="0.25">
      <c r="A263" s="363"/>
      <c r="B263" s="915"/>
      <c r="C263" s="915"/>
      <c r="D263" s="1268"/>
      <c r="E263" s="1268"/>
      <c r="F263" s="438"/>
      <c r="G263" s="438"/>
      <c r="H263" s="1020" t="str">
        <f>IF(OR(D263="",D263="-"),"",VLOOKUP(D263,'Fatores de Emissão'!$E$192:$K$201,3,FALSE))</f>
        <v/>
      </c>
      <c r="I263" s="1111" t="str">
        <f>IF(OR(D263="",D263="-"),"",VLOOKUP(D263,'Fatores de Emissão'!$E$192:$K$201,2,FALSE))</f>
        <v/>
      </c>
      <c r="J263" s="1111" t="str">
        <f>IF(OR(D263="",D263="-"),"",VLOOKUP(D263,'Fatores de Emissão'!$E$192:$K$201,4,FALSE))</f>
        <v/>
      </c>
      <c r="K263" s="1111" t="str">
        <f>IF(OR(D263="",D263="-"),"",VLOOKUP(D263,'Fatores de Emissão'!$E$192:$K$201,6,FALSE))</f>
        <v/>
      </c>
      <c r="L263" s="478" t="str">
        <f t="shared" si="28"/>
        <v/>
      </c>
      <c r="M263" s="478" t="str">
        <f t="shared" si="29"/>
        <v/>
      </c>
      <c r="N263" s="478" t="str">
        <f t="shared" si="30"/>
        <v/>
      </c>
      <c r="O263" s="451" t="str">
        <f t="shared" si="27"/>
        <v/>
      </c>
      <c r="P263" s="452"/>
    </row>
    <row r="264" spans="1:16" s="237" customFormat="1" ht="15" hidden="1" customHeight="1" outlineLevel="2" x14ac:dyDescent="0.25">
      <c r="A264" s="363"/>
      <c r="B264" s="915"/>
      <c r="C264" s="915"/>
      <c r="D264" s="1268"/>
      <c r="E264" s="1268"/>
      <c r="F264" s="438"/>
      <c r="G264" s="438"/>
      <c r="H264" s="1020" t="str">
        <f>IF(OR(D264="",D264="-"),"",VLOOKUP(D264,'Fatores de Emissão'!$E$192:$K$201,3,FALSE))</f>
        <v/>
      </c>
      <c r="I264" s="1111" t="str">
        <f>IF(OR(D264="",D264="-"),"",VLOOKUP(D264,'Fatores de Emissão'!$E$192:$K$201,2,FALSE))</f>
        <v/>
      </c>
      <c r="J264" s="1111" t="str">
        <f>IF(OR(D264="",D264="-"),"",VLOOKUP(D264,'Fatores de Emissão'!$E$192:$K$201,4,FALSE))</f>
        <v/>
      </c>
      <c r="K264" s="1111" t="str">
        <f>IF(OR(D264="",D264="-"),"",VLOOKUP(D264,'Fatores de Emissão'!$E$192:$K$201,6,FALSE))</f>
        <v/>
      </c>
      <c r="L264" s="478" t="str">
        <f t="shared" si="28"/>
        <v/>
      </c>
      <c r="M264" s="478" t="str">
        <f t="shared" si="29"/>
        <v/>
      </c>
      <c r="N264" s="478" t="str">
        <f t="shared" si="30"/>
        <v/>
      </c>
      <c r="O264" s="451" t="str">
        <f t="shared" si="27"/>
        <v/>
      </c>
      <c r="P264" s="452"/>
    </row>
    <row r="265" spans="1:16" s="237" customFormat="1" ht="15" hidden="1" customHeight="1" outlineLevel="2" x14ac:dyDescent="0.25">
      <c r="A265" s="363"/>
      <c r="B265" s="915"/>
      <c r="C265" s="915"/>
      <c r="D265" s="1268"/>
      <c r="E265" s="1268"/>
      <c r="F265" s="438"/>
      <c r="G265" s="438"/>
      <c r="H265" s="1020" t="str">
        <f>IF(OR(D265="",D265="-"),"",VLOOKUP(D265,'Fatores de Emissão'!$E$192:$K$201,3,FALSE))</f>
        <v/>
      </c>
      <c r="I265" s="1111" t="str">
        <f>IF(OR(D265="",D265="-"),"",VLOOKUP(D265,'Fatores de Emissão'!$E$192:$K$201,2,FALSE))</f>
        <v/>
      </c>
      <c r="J265" s="1111" t="str">
        <f>IF(OR(D265="",D265="-"),"",VLOOKUP(D265,'Fatores de Emissão'!$E$192:$K$201,4,FALSE))</f>
        <v/>
      </c>
      <c r="K265" s="1111" t="str">
        <f>IF(OR(D265="",D265="-"),"",VLOOKUP(D265,'Fatores de Emissão'!$E$192:$K$201,6,FALSE))</f>
        <v/>
      </c>
      <c r="L265" s="478" t="str">
        <f t="shared" si="28"/>
        <v/>
      </c>
      <c r="M265" s="478" t="str">
        <f t="shared" si="29"/>
        <v/>
      </c>
      <c r="N265" s="478" t="str">
        <f t="shared" si="30"/>
        <v/>
      </c>
      <c r="O265" s="451" t="str">
        <f t="shared" si="27"/>
        <v/>
      </c>
      <c r="P265" s="452"/>
    </row>
    <row r="266" spans="1:16" s="237" customFormat="1" ht="15" hidden="1" customHeight="1" outlineLevel="2" x14ac:dyDescent="0.25">
      <c r="A266" s="363"/>
      <c r="B266" s="915"/>
      <c r="C266" s="915"/>
      <c r="D266" s="1268"/>
      <c r="E266" s="1268"/>
      <c r="F266" s="438"/>
      <c r="G266" s="438"/>
      <c r="H266" s="1020" t="str">
        <f>IF(OR(D266="",D266="-"),"",VLOOKUP(D266,'Fatores de Emissão'!$E$192:$K$201,3,FALSE))</f>
        <v/>
      </c>
      <c r="I266" s="1111" t="str">
        <f>IF(OR(D266="",D266="-"),"",VLOOKUP(D266,'Fatores de Emissão'!$E$192:$K$201,2,FALSE))</f>
        <v/>
      </c>
      <c r="J266" s="1111" t="str">
        <f>IF(OR(D266="",D266="-"),"",VLOOKUP(D266,'Fatores de Emissão'!$E$192:$K$201,4,FALSE))</f>
        <v/>
      </c>
      <c r="K266" s="1111" t="str">
        <f>IF(OR(D266="",D266="-"),"",VLOOKUP(D266,'Fatores de Emissão'!$E$192:$K$201,6,FALSE))</f>
        <v/>
      </c>
      <c r="L266" s="478" t="str">
        <f t="shared" si="28"/>
        <v/>
      </c>
      <c r="M266" s="478" t="str">
        <f t="shared" si="29"/>
        <v/>
      </c>
      <c r="N266" s="478" t="str">
        <f t="shared" si="30"/>
        <v/>
      </c>
      <c r="O266" s="451" t="str">
        <f t="shared" si="27"/>
        <v/>
      </c>
      <c r="P266" s="452"/>
    </row>
    <row r="267" spans="1:16" s="237" customFormat="1" ht="15" hidden="1" customHeight="1" outlineLevel="2" x14ac:dyDescent="0.25">
      <c r="A267" s="363"/>
      <c r="B267" s="915"/>
      <c r="C267" s="915"/>
      <c r="D267" s="1268"/>
      <c r="E267" s="1268"/>
      <c r="F267" s="438"/>
      <c r="G267" s="438"/>
      <c r="H267" s="1020" t="str">
        <f>IF(OR(D267="",D267="-"),"",VLOOKUP(D267,'Fatores de Emissão'!$E$192:$K$201,3,FALSE))</f>
        <v/>
      </c>
      <c r="I267" s="1111" t="str">
        <f>IF(OR(D267="",D267="-"),"",VLOOKUP(D267,'Fatores de Emissão'!$E$192:$K$201,2,FALSE))</f>
        <v/>
      </c>
      <c r="J267" s="1111" t="str">
        <f>IF(OR(D267="",D267="-"),"",VLOOKUP(D267,'Fatores de Emissão'!$E$192:$K$201,4,FALSE))</f>
        <v/>
      </c>
      <c r="K267" s="1111" t="str">
        <f>IF(OR(D267="",D267="-"),"",VLOOKUP(D267,'Fatores de Emissão'!$E$192:$K$201,6,FALSE))</f>
        <v/>
      </c>
      <c r="L267" s="478" t="str">
        <f t="shared" si="28"/>
        <v/>
      </c>
      <c r="M267" s="478" t="str">
        <f t="shared" si="29"/>
        <v/>
      </c>
      <c r="N267" s="478" t="str">
        <f t="shared" si="30"/>
        <v/>
      </c>
      <c r="O267" s="451" t="str">
        <f t="shared" si="27"/>
        <v/>
      </c>
      <c r="P267" s="452"/>
    </row>
    <row r="268" spans="1:16" s="237" customFormat="1" ht="15" hidden="1" customHeight="1" outlineLevel="2" x14ac:dyDescent="0.25">
      <c r="A268" s="363"/>
      <c r="B268" s="915"/>
      <c r="C268" s="915"/>
      <c r="D268" s="1268"/>
      <c r="E268" s="1268"/>
      <c r="F268" s="438"/>
      <c r="G268" s="438"/>
      <c r="H268" s="1020" t="str">
        <f>IF(OR(D268="",D268="-"),"",VLOOKUP(D268,'Fatores de Emissão'!$E$192:$K$201,3,FALSE))</f>
        <v/>
      </c>
      <c r="I268" s="1111" t="str">
        <f>IF(OR(D268="",D268="-"),"",VLOOKUP(D268,'Fatores de Emissão'!$E$192:$K$201,2,FALSE))</f>
        <v/>
      </c>
      <c r="J268" s="1111" t="str">
        <f>IF(OR(D268="",D268="-"),"",VLOOKUP(D268,'Fatores de Emissão'!$E$192:$K$201,4,FALSE))</f>
        <v/>
      </c>
      <c r="K268" s="1111" t="str">
        <f>IF(OR(D268="",D268="-"),"",VLOOKUP(D268,'Fatores de Emissão'!$E$192:$K$201,6,FALSE))</f>
        <v/>
      </c>
      <c r="L268" s="478" t="str">
        <f t="shared" si="28"/>
        <v/>
      </c>
      <c r="M268" s="478" t="str">
        <f t="shared" si="29"/>
        <v/>
      </c>
      <c r="N268" s="478" t="str">
        <f t="shared" si="30"/>
        <v/>
      </c>
      <c r="O268" s="451" t="str">
        <f t="shared" si="27"/>
        <v/>
      </c>
      <c r="P268" s="452"/>
    </row>
    <row r="269" spans="1:16" s="237" customFormat="1" ht="15" hidden="1" customHeight="1" outlineLevel="2" x14ac:dyDescent="0.25">
      <c r="A269" s="363"/>
      <c r="B269" s="915"/>
      <c r="C269" s="915"/>
      <c r="D269" s="1268"/>
      <c r="E269" s="1268"/>
      <c r="F269" s="438"/>
      <c r="G269" s="438"/>
      <c r="H269" s="1020" t="str">
        <f>IF(OR(D269="",D269="-"),"",VLOOKUP(D269,'Fatores de Emissão'!$E$192:$K$201,3,FALSE))</f>
        <v/>
      </c>
      <c r="I269" s="1111" t="str">
        <f>IF(OR(D269="",D269="-"),"",VLOOKUP(D269,'Fatores de Emissão'!$E$192:$K$201,2,FALSE))</f>
        <v/>
      </c>
      <c r="J269" s="1111" t="str">
        <f>IF(OR(D269="",D269="-"),"",VLOOKUP(D269,'Fatores de Emissão'!$E$192:$K$201,4,FALSE))</f>
        <v/>
      </c>
      <c r="K269" s="1111" t="str">
        <f>IF(OR(D269="",D269="-"),"",VLOOKUP(D269,'Fatores de Emissão'!$E$192:$K$201,6,FALSE))</f>
        <v/>
      </c>
      <c r="L269" s="478" t="str">
        <f t="shared" si="28"/>
        <v/>
      </c>
      <c r="M269" s="478" t="str">
        <f t="shared" si="29"/>
        <v/>
      </c>
      <c r="N269" s="478" t="str">
        <f t="shared" si="30"/>
        <v/>
      </c>
      <c r="O269" s="451" t="str">
        <f t="shared" si="27"/>
        <v/>
      </c>
      <c r="P269" s="452"/>
    </row>
    <row r="270" spans="1:16" s="237" customFormat="1" ht="15" hidden="1" customHeight="1" outlineLevel="2" x14ac:dyDescent="0.25">
      <c r="A270" s="363"/>
      <c r="B270" s="915"/>
      <c r="C270" s="915"/>
      <c r="D270" s="1268"/>
      <c r="E270" s="1268"/>
      <c r="F270" s="438"/>
      <c r="G270" s="438"/>
      <c r="H270" s="1020" t="str">
        <f>IF(OR(D270="",D270="-"),"",VLOOKUP(D270,'Fatores de Emissão'!$E$192:$K$201,3,FALSE))</f>
        <v/>
      </c>
      <c r="I270" s="1111" t="str">
        <f>IF(OR(D270="",D270="-"),"",VLOOKUP(D270,'Fatores de Emissão'!$E$192:$K$201,2,FALSE))</f>
        <v/>
      </c>
      <c r="J270" s="1111" t="str">
        <f>IF(OR(D270="",D270="-"),"",VLOOKUP(D270,'Fatores de Emissão'!$E$192:$K$201,4,FALSE))</f>
        <v/>
      </c>
      <c r="K270" s="1111" t="str">
        <f>IF(OR(D270="",D270="-"),"",VLOOKUP(D270,'Fatores de Emissão'!$E$192:$K$201,6,FALSE))</f>
        <v/>
      </c>
      <c r="L270" s="478" t="str">
        <f t="shared" si="28"/>
        <v/>
      </c>
      <c r="M270" s="478" t="str">
        <f t="shared" si="29"/>
        <v/>
      </c>
      <c r="N270" s="478" t="str">
        <f t="shared" si="30"/>
        <v/>
      </c>
      <c r="O270" s="451" t="str">
        <f t="shared" si="27"/>
        <v/>
      </c>
      <c r="P270" s="452"/>
    </row>
    <row r="271" spans="1:16" s="237" customFormat="1" ht="15" hidden="1" customHeight="1" outlineLevel="2" x14ac:dyDescent="0.25">
      <c r="A271" s="363"/>
      <c r="B271" s="915"/>
      <c r="C271" s="915"/>
      <c r="D271" s="1268"/>
      <c r="E271" s="1268"/>
      <c r="F271" s="438"/>
      <c r="G271" s="438"/>
      <c r="H271" s="1020" t="str">
        <f>IF(OR(D271="",D271="-"),"",VLOOKUP(D271,'Fatores de Emissão'!$E$192:$K$201,3,FALSE))</f>
        <v/>
      </c>
      <c r="I271" s="1111" t="str">
        <f>IF(OR(D271="",D271="-"),"",VLOOKUP(D271,'Fatores de Emissão'!$E$192:$K$201,2,FALSE))</f>
        <v/>
      </c>
      <c r="J271" s="1111" t="str">
        <f>IF(OR(D271="",D271="-"),"",VLOOKUP(D271,'Fatores de Emissão'!$E$192:$K$201,4,FALSE))</f>
        <v/>
      </c>
      <c r="K271" s="1111" t="str">
        <f>IF(OR(D271="",D271="-"),"",VLOOKUP(D271,'Fatores de Emissão'!$E$192:$K$201,6,FALSE))</f>
        <v/>
      </c>
      <c r="L271" s="478" t="str">
        <f t="shared" si="28"/>
        <v/>
      </c>
      <c r="M271" s="478" t="str">
        <f t="shared" si="29"/>
        <v/>
      </c>
      <c r="N271" s="478" t="str">
        <f t="shared" si="30"/>
        <v/>
      </c>
      <c r="O271" s="451" t="str">
        <f t="shared" si="27"/>
        <v/>
      </c>
      <c r="P271" s="452"/>
    </row>
    <row r="272" spans="1:16" s="237" customFormat="1" ht="15" hidden="1" customHeight="1" outlineLevel="2" x14ac:dyDescent="0.25">
      <c r="A272" s="363"/>
      <c r="B272" s="915"/>
      <c r="C272" s="915"/>
      <c r="D272" s="1268"/>
      <c r="E272" s="1268"/>
      <c r="F272" s="438"/>
      <c r="G272" s="438"/>
      <c r="H272" s="1020" t="str">
        <f>IF(OR(D272="",D272="-"),"",VLOOKUP(D272,'Fatores de Emissão'!$E$192:$K$201,3,FALSE))</f>
        <v/>
      </c>
      <c r="I272" s="1111" t="str">
        <f>IF(OR(D272="",D272="-"),"",VLOOKUP(D272,'Fatores de Emissão'!$E$192:$K$201,2,FALSE))</f>
        <v/>
      </c>
      <c r="J272" s="1111" t="str">
        <f>IF(OR(D272="",D272="-"),"",VLOOKUP(D272,'Fatores de Emissão'!$E$192:$K$201,4,FALSE))</f>
        <v/>
      </c>
      <c r="K272" s="1111" t="str">
        <f>IF(OR(D272="",D272="-"),"",VLOOKUP(D272,'Fatores de Emissão'!$E$192:$K$201,6,FALSE))</f>
        <v/>
      </c>
      <c r="L272" s="478" t="str">
        <f t="shared" si="28"/>
        <v/>
      </c>
      <c r="M272" s="478" t="str">
        <f t="shared" si="29"/>
        <v/>
      </c>
      <c r="N272" s="478" t="str">
        <f t="shared" si="30"/>
        <v/>
      </c>
      <c r="O272" s="451" t="str">
        <f t="shared" si="27"/>
        <v/>
      </c>
      <c r="P272" s="452"/>
    </row>
    <row r="273" spans="1:58" s="237" customFormat="1" ht="15" hidden="1" customHeight="1" outlineLevel="2" x14ac:dyDescent="0.25">
      <c r="A273" s="363"/>
      <c r="B273" s="915"/>
      <c r="C273" s="915"/>
      <c r="D273" s="1268"/>
      <c r="E273" s="1268"/>
      <c r="F273" s="438"/>
      <c r="G273" s="438"/>
      <c r="H273" s="1020" t="str">
        <f>IF(OR(D273="",D273="-"),"",VLOOKUP(D273,'Fatores de Emissão'!$E$192:$K$201,3,FALSE))</f>
        <v/>
      </c>
      <c r="I273" s="1111" t="str">
        <f>IF(OR(D273="",D273="-"),"",VLOOKUP(D273,'Fatores de Emissão'!$E$192:$K$201,2,FALSE))</f>
        <v/>
      </c>
      <c r="J273" s="1111" t="str">
        <f>IF(OR(D273="",D273="-"),"",VLOOKUP(D273,'Fatores de Emissão'!$E$192:$K$201,4,FALSE))</f>
        <v/>
      </c>
      <c r="K273" s="1111" t="str">
        <f>IF(OR(D273="",D273="-"),"",VLOOKUP(D273,'Fatores de Emissão'!$E$192:$K$201,6,FALSE))</f>
        <v/>
      </c>
      <c r="L273" s="478" t="str">
        <f t="shared" si="28"/>
        <v/>
      </c>
      <c r="M273" s="478" t="str">
        <f t="shared" si="29"/>
        <v/>
      </c>
      <c r="N273" s="478" t="str">
        <f t="shared" si="30"/>
        <v/>
      </c>
      <c r="O273" s="451" t="str">
        <f t="shared" si="27"/>
        <v/>
      </c>
      <c r="P273" s="452"/>
    </row>
    <row r="274" spans="1:58" s="237" customFormat="1" ht="15" hidden="1" customHeight="1" outlineLevel="2" x14ac:dyDescent="0.25">
      <c r="A274" s="363"/>
      <c r="B274" s="915"/>
      <c r="C274" s="915"/>
      <c r="D274" s="1268"/>
      <c r="E274" s="1268"/>
      <c r="F274" s="438"/>
      <c r="G274" s="438"/>
      <c r="H274" s="1020" t="str">
        <f>IF(OR(D274="",D274="-"),"",VLOOKUP(D274,'Fatores de Emissão'!$E$192:$K$201,3,FALSE))</f>
        <v/>
      </c>
      <c r="I274" s="1111" t="str">
        <f>IF(OR(D274="",D274="-"),"",VLOOKUP(D274,'Fatores de Emissão'!$E$192:$K$201,2,FALSE))</f>
        <v/>
      </c>
      <c r="J274" s="1111" t="str">
        <f>IF(OR(D274="",D274="-"),"",VLOOKUP(D274,'Fatores de Emissão'!$E$192:$K$201,4,FALSE))</f>
        <v/>
      </c>
      <c r="K274" s="1111" t="str">
        <f>IF(OR(D274="",D274="-"),"",VLOOKUP(D274,'Fatores de Emissão'!$E$192:$K$201,6,FALSE))</f>
        <v/>
      </c>
      <c r="L274" s="478" t="str">
        <f t="shared" si="28"/>
        <v/>
      </c>
      <c r="M274" s="478" t="str">
        <f t="shared" si="29"/>
        <v/>
      </c>
      <c r="N274" s="478" t="str">
        <f t="shared" si="30"/>
        <v/>
      </c>
      <c r="O274" s="451" t="str">
        <f t="shared" si="27"/>
        <v/>
      </c>
      <c r="P274" s="452"/>
    </row>
    <row r="275" spans="1:58" s="237" customFormat="1" ht="15" hidden="1" customHeight="1" outlineLevel="2" x14ac:dyDescent="0.25">
      <c r="A275" s="363"/>
      <c r="B275" s="915"/>
      <c r="C275" s="915"/>
      <c r="D275" s="1268"/>
      <c r="E275" s="1268"/>
      <c r="F275" s="438"/>
      <c r="G275" s="438"/>
      <c r="H275" s="1020" t="str">
        <f>IF(OR(D275="",D275="-"),"",VLOOKUP(D275,'Fatores de Emissão'!$E$192:$K$201,3,FALSE))</f>
        <v/>
      </c>
      <c r="I275" s="1111" t="str">
        <f>IF(OR(D275="",D275="-"),"",VLOOKUP(D275,'Fatores de Emissão'!$E$192:$K$201,2,FALSE))</f>
        <v/>
      </c>
      <c r="J275" s="1111" t="str">
        <f>IF(OR(D275="",D275="-"),"",VLOOKUP(D275,'Fatores de Emissão'!$E$192:$K$201,4,FALSE))</f>
        <v/>
      </c>
      <c r="K275" s="1111" t="str">
        <f>IF(OR(D275="",D275="-"),"",VLOOKUP(D275,'Fatores de Emissão'!$E$192:$K$201,6,FALSE))</f>
        <v/>
      </c>
      <c r="L275" s="478" t="str">
        <f t="shared" si="28"/>
        <v/>
      </c>
      <c r="M275" s="478" t="str">
        <f t="shared" si="29"/>
        <v/>
      </c>
      <c r="N275" s="478" t="str">
        <f t="shared" si="30"/>
        <v/>
      </c>
      <c r="O275" s="451" t="str">
        <f t="shared" si="27"/>
        <v/>
      </c>
      <c r="P275" s="452"/>
    </row>
    <row r="276" spans="1:58" s="237" customFormat="1" ht="15" hidden="1" customHeight="1" outlineLevel="2" x14ac:dyDescent="0.25">
      <c r="A276" s="363"/>
      <c r="B276" s="915"/>
      <c r="C276" s="915"/>
      <c r="D276" s="1268"/>
      <c r="E276" s="1268"/>
      <c r="F276" s="438"/>
      <c r="G276" s="438"/>
      <c r="H276" s="1020" t="str">
        <f>IF(OR(D276="",D276="-"),"",VLOOKUP(D276,'Fatores de Emissão'!$E$192:$K$201,3,FALSE))</f>
        <v/>
      </c>
      <c r="I276" s="1111" t="str">
        <f>IF(OR(D276="",D276="-"),"",VLOOKUP(D276,'Fatores de Emissão'!$E$192:$K$201,2,FALSE))</f>
        <v/>
      </c>
      <c r="J276" s="1111" t="str">
        <f>IF(OR(D276="",D276="-"),"",VLOOKUP(D276,'Fatores de Emissão'!$E$192:$K$201,4,FALSE))</f>
        <v/>
      </c>
      <c r="K276" s="1111" t="str">
        <f>IF(OR(D276="",D276="-"),"",VLOOKUP(D276,'Fatores de Emissão'!$E$192:$K$201,6,FALSE))</f>
        <v/>
      </c>
      <c r="L276" s="478" t="str">
        <f t="shared" si="28"/>
        <v/>
      </c>
      <c r="M276" s="478" t="str">
        <f t="shared" si="29"/>
        <v/>
      </c>
      <c r="N276" s="478" t="str">
        <f t="shared" si="30"/>
        <v/>
      </c>
      <c r="O276" s="451" t="str">
        <f t="shared" si="27"/>
        <v/>
      </c>
      <c r="P276" s="452"/>
    </row>
    <row r="277" spans="1:58" s="237" customFormat="1" ht="15" hidden="1" customHeight="1" outlineLevel="2" x14ac:dyDescent="0.25">
      <c r="A277" s="363"/>
      <c r="B277" s="915"/>
      <c r="C277" s="915"/>
      <c r="D277" s="1268"/>
      <c r="E277" s="1268"/>
      <c r="F277" s="438"/>
      <c r="G277" s="438"/>
      <c r="H277" s="1020" t="str">
        <f>IF(OR(D277="",D277="-"),"",VLOOKUP(D277,'Fatores de Emissão'!$E$192:$K$201,3,FALSE))</f>
        <v/>
      </c>
      <c r="I277" s="1111" t="str">
        <f>IF(OR(D277="",D277="-"),"",VLOOKUP(D277,'Fatores de Emissão'!$E$192:$K$201,2,FALSE))</f>
        <v/>
      </c>
      <c r="J277" s="1111" t="str">
        <f>IF(OR(D277="",D277="-"),"",VLOOKUP(D277,'Fatores de Emissão'!$E$192:$K$201,4,FALSE))</f>
        <v/>
      </c>
      <c r="K277" s="1111" t="str">
        <f>IF(OR(D277="",D277="-"),"",VLOOKUP(D277,'Fatores de Emissão'!$E$192:$K$201,6,FALSE))</f>
        <v/>
      </c>
      <c r="L277" s="478" t="str">
        <f t="shared" si="28"/>
        <v/>
      </c>
      <c r="M277" s="478" t="str">
        <f t="shared" si="29"/>
        <v/>
      </c>
      <c r="N277" s="478" t="str">
        <f t="shared" si="30"/>
        <v/>
      </c>
      <c r="O277" s="451" t="str">
        <f t="shared" si="27"/>
        <v/>
      </c>
      <c r="P277" s="452"/>
    </row>
    <row r="278" spans="1:58" s="237" customFormat="1" ht="15" hidden="1" customHeight="1" outlineLevel="2" x14ac:dyDescent="0.25">
      <c r="A278" s="363"/>
      <c r="B278" s="915"/>
      <c r="C278" s="915"/>
      <c r="D278" s="1268"/>
      <c r="E278" s="1268"/>
      <c r="F278" s="438"/>
      <c r="G278" s="438"/>
      <c r="H278" s="1020" t="str">
        <f>IF(OR(D278="",D278="-"),"",VLOOKUP(D278,'Fatores de Emissão'!$E$192:$K$201,3,FALSE))</f>
        <v/>
      </c>
      <c r="I278" s="1111" t="str">
        <f>IF(OR(D278="",D278="-"),"",VLOOKUP(D278,'Fatores de Emissão'!$E$192:$K$201,2,FALSE))</f>
        <v/>
      </c>
      <c r="J278" s="1111" t="str">
        <f>IF(OR(D278="",D278="-"),"",VLOOKUP(D278,'Fatores de Emissão'!$E$192:$K$201,4,FALSE))</f>
        <v/>
      </c>
      <c r="K278" s="1111" t="str">
        <f>IF(OR(D278="",D278="-"),"",VLOOKUP(D278,'Fatores de Emissão'!$E$192:$K$201,6,FALSE))</f>
        <v/>
      </c>
      <c r="L278" s="478" t="str">
        <f t="shared" si="28"/>
        <v/>
      </c>
      <c r="M278" s="478" t="str">
        <f t="shared" si="29"/>
        <v/>
      </c>
      <c r="N278" s="478" t="str">
        <f t="shared" si="30"/>
        <v/>
      </c>
      <c r="O278" s="451" t="str">
        <f t="shared" si="27"/>
        <v/>
      </c>
      <c r="P278" s="452"/>
    </row>
    <row r="279" spans="1:58" s="237" customFormat="1" ht="15" customHeight="1" outlineLevel="1" x14ac:dyDescent="0.25">
      <c r="A279" s="363"/>
      <c r="B279" s="363"/>
      <c r="C279" s="363"/>
      <c r="D279" s="363"/>
      <c r="E279" s="363"/>
      <c r="F279" s="363"/>
      <c r="G279" s="363"/>
      <c r="H279" s="363"/>
      <c r="I279" s="1278" t="s">
        <v>78</v>
      </c>
      <c r="J279" s="1279"/>
      <c r="K279" s="1280"/>
      <c r="L279" s="443">
        <f>SUM(L229:L278)</f>
        <v>0</v>
      </c>
      <c r="M279" s="443">
        <f>SUM(M229:M278)</f>
        <v>0</v>
      </c>
      <c r="N279" s="443">
        <f>SUM(N229:N278)</f>
        <v>0</v>
      </c>
      <c r="O279" s="443">
        <f>SUM(O229:O278)</f>
        <v>0</v>
      </c>
      <c r="P279" s="443">
        <f>SUM(P229:P278)</f>
        <v>0</v>
      </c>
    </row>
    <row r="280" spans="1:58" s="237" customFormat="1" ht="15" customHeight="1" x14ac:dyDescent="0.25">
      <c r="A280" s="363"/>
      <c r="B280" s="373"/>
      <c r="C280" s="373"/>
      <c r="D280" s="442"/>
      <c r="E280" s="442"/>
      <c r="F280" s="373"/>
      <c r="G280" s="373"/>
      <c r="H280" s="373"/>
      <c r="I280" s="373"/>
      <c r="J280" s="373"/>
      <c r="K280" s="373"/>
      <c r="L280" s="373"/>
      <c r="M280" s="373"/>
      <c r="N280" s="373"/>
      <c r="O280" s="373"/>
      <c r="P280" s="373"/>
      <c r="Q280" s="373"/>
      <c r="R280" s="373"/>
      <c r="S280" s="373"/>
      <c r="T280" s="373"/>
      <c r="U280" s="373"/>
      <c r="V280" s="363"/>
      <c r="W280" s="373"/>
      <c r="X280" s="373"/>
      <c r="Z280" s="373"/>
      <c r="AA280" s="373"/>
      <c r="AB280" s="373"/>
    </row>
    <row r="281" spans="1:58" s="463" customFormat="1" ht="18" customHeight="1" x14ac:dyDescent="0.3">
      <c r="A281" s="458"/>
      <c r="B281" s="733" t="s">
        <v>3</v>
      </c>
      <c r="C281" s="459"/>
      <c r="D281" s="460"/>
      <c r="E281" s="460"/>
      <c r="F281" s="460"/>
      <c r="G281" s="461"/>
      <c r="H281" s="461"/>
      <c r="I281" s="461"/>
      <c r="J281" s="461"/>
      <c r="K281" s="461"/>
      <c r="L281" s="461"/>
      <c r="M281" s="461"/>
      <c r="N281" s="461"/>
      <c r="O281" s="461"/>
      <c r="P281" s="461"/>
      <c r="Q281" s="461"/>
      <c r="R281" s="461"/>
      <c r="S281" s="461"/>
      <c r="T281" s="461"/>
      <c r="U281" s="461"/>
      <c r="V281" s="461"/>
      <c r="W281" s="461"/>
      <c r="X281" s="461"/>
      <c r="Y281" s="461"/>
      <c r="Z281" s="461"/>
      <c r="AA281" s="461"/>
      <c r="AB281" s="461"/>
      <c r="AC281" s="461"/>
      <c r="AD281" s="461"/>
      <c r="AE281" s="461"/>
      <c r="AF281" s="461"/>
      <c r="AG281" s="461"/>
      <c r="AH281" s="461"/>
      <c r="AI281" s="461"/>
      <c r="AJ281" s="461"/>
      <c r="AK281" s="461"/>
      <c r="AL281" s="461"/>
      <c r="AM281" s="461"/>
      <c r="AN281" s="461"/>
      <c r="AO281" s="461"/>
      <c r="AP281" s="461"/>
      <c r="AQ281" s="461"/>
      <c r="AR281" s="461"/>
      <c r="AS281" s="461"/>
      <c r="AT281" s="461"/>
      <c r="AU281" s="461"/>
      <c r="AV281" s="461"/>
      <c r="AW281" s="461"/>
      <c r="AX281" s="461"/>
      <c r="AY281" s="461"/>
      <c r="AZ281" s="461"/>
      <c r="BA281" s="461"/>
      <c r="BB281" s="461"/>
      <c r="BC281" s="461"/>
      <c r="BD281" s="461"/>
      <c r="BE281" s="461"/>
      <c r="BF281" s="462"/>
    </row>
    <row r="282" spans="1:58" ht="15" customHeight="1" outlineLevel="1" x14ac:dyDescent="0.2">
      <c r="A282" s="339"/>
      <c r="B282" s="920"/>
      <c r="C282" s="416"/>
      <c r="D282" s="416"/>
      <c r="E282" s="416"/>
      <c r="F282" s="339"/>
      <c r="G282" s="339"/>
      <c r="H282" s="339"/>
      <c r="I282" s="339"/>
      <c r="J282" s="339"/>
      <c r="K282" s="339"/>
      <c r="L282" s="339"/>
      <c r="M282" s="339"/>
      <c r="N282" s="339"/>
      <c r="O282" s="339"/>
      <c r="P282" s="339"/>
      <c r="Q282" s="339"/>
      <c r="R282" s="339"/>
      <c r="AI282" s="339"/>
      <c r="AJ282" s="339"/>
      <c r="AK282" s="339"/>
      <c r="AL282" s="339"/>
      <c r="AM282" s="339"/>
      <c r="AO282" s="339"/>
      <c r="AP282" s="339"/>
      <c r="AQ282" s="339"/>
    </row>
    <row r="283" spans="1:58" ht="15" customHeight="1" outlineLevel="1" x14ac:dyDescent="0.25">
      <c r="A283" s="339"/>
      <c r="B283" s="523" t="s">
        <v>124</v>
      </c>
      <c r="C283" s="416"/>
      <c r="D283" s="416"/>
      <c r="E283" s="416"/>
      <c r="F283" s="339"/>
      <c r="G283" s="339"/>
      <c r="H283" s="339"/>
      <c r="I283" s="339"/>
      <c r="J283" s="339"/>
      <c r="K283" s="339"/>
      <c r="L283" s="339"/>
      <c r="M283" s="339"/>
      <c r="N283" s="339"/>
      <c r="O283" s="339"/>
      <c r="P283" s="339"/>
      <c r="Q283" s="339"/>
      <c r="R283" s="339"/>
      <c r="AI283" s="339"/>
      <c r="AJ283" s="339"/>
      <c r="AK283" s="339"/>
      <c r="AL283" s="339"/>
      <c r="AM283" s="339"/>
      <c r="AO283" s="339"/>
      <c r="AP283" s="339"/>
      <c r="AQ283" s="339"/>
    </row>
    <row r="284" spans="1:58" s="237" customFormat="1" ht="15" customHeight="1" outlineLevel="1" x14ac:dyDescent="0.25">
      <c r="A284" s="363"/>
      <c r="B284" s="449" t="s">
        <v>2055</v>
      </c>
      <c r="C284" s="442"/>
      <c r="D284" s="442"/>
      <c r="E284" s="442"/>
      <c r="F284" s="363"/>
      <c r="G284" s="363"/>
      <c r="H284" s="363"/>
      <c r="I284" s="363"/>
      <c r="J284" s="363"/>
      <c r="K284" s="363"/>
      <c r="L284" s="363"/>
      <c r="M284" s="363"/>
      <c r="N284" s="363"/>
      <c r="O284" s="363"/>
      <c r="P284" s="363"/>
      <c r="Q284" s="363"/>
      <c r="R284" s="363"/>
      <c r="AI284" s="363"/>
      <c r="AJ284" s="363"/>
      <c r="AK284" s="363"/>
      <c r="AL284" s="363"/>
      <c r="AM284" s="363"/>
      <c r="AO284" s="363"/>
      <c r="AP284" s="363"/>
      <c r="AQ284" s="363"/>
    </row>
    <row r="285" spans="1:58" s="237" customFormat="1" ht="15" customHeight="1" outlineLevel="1" x14ac:dyDescent="0.25">
      <c r="A285" s="363"/>
      <c r="B285" s="470" t="s">
        <v>2056</v>
      </c>
      <c r="C285" s="442"/>
      <c r="D285" s="442"/>
      <c r="E285" s="442"/>
      <c r="F285" s="363"/>
      <c r="G285" s="363"/>
      <c r="H285" s="363"/>
      <c r="I285" s="363"/>
      <c r="J285" s="363"/>
      <c r="K285" s="363"/>
      <c r="L285" s="363"/>
      <c r="M285" s="363"/>
      <c r="N285" s="363"/>
      <c r="O285" s="363"/>
      <c r="P285" s="363"/>
      <c r="Q285" s="363"/>
      <c r="R285" s="363"/>
      <c r="AI285" s="363"/>
      <c r="AJ285" s="363"/>
      <c r="AK285" s="363"/>
      <c r="AL285" s="363"/>
      <c r="AM285" s="363"/>
      <c r="AO285" s="363"/>
      <c r="AP285" s="363"/>
      <c r="AQ285" s="363"/>
    </row>
    <row r="286" spans="1:58" s="237" customFormat="1" ht="15" customHeight="1" outlineLevel="1" x14ac:dyDescent="0.25">
      <c r="A286" s="363"/>
      <c r="B286" s="481"/>
      <c r="C286" s="442"/>
      <c r="D286" s="442"/>
      <c r="E286" s="442"/>
      <c r="F286" s="363"/>
      <c r="G286" s="363"/>
      <c r="H286" s="363"/>
      <c r="I286" s="363"/>
      <c r="J286" s="363"/>
      <c r="K286" s="363"/>
      <c r="L286" s="363"/>
      <c r="M286" s="363"/>
      <c r="N286" s="363"/>
      <c r="O286" s="363"/>
      <c r="P286" s="363"/>
      <c r="Q286" s="363"/>
      <c r="R286" s="363"/>
      <c r="AI286" s="363"/>
      <c r="AJ286" s="363"/>
      <c r="AK286" s="363"/>
      <c r="AL286" s="363"/>
      <c r="AM286" s="363"/>
      <c r="AO286" s="363"/>
      <c r="AP286" s="363"/>
      <c r="AQ286" s="363"/>
    </row>
    <row r="287" spans="1:58" s="237" customFormat="1" ht="15" customHeight="1" outlineLevel="1" x14ac:dyDescent="0.25">
      <c r="A287" s="363"/>
      <c r="B287" s="362" t="s">
        <v>2072</v>
      </c>
      <c r="C287" s="442"/>
      <c r="D287" s="442"/>
      <c r="E287" s="442"/>
      <c r="F287" s="363"/>
      <c r="G287" s="363"/>
      <c r="H287" s="363"/>
      <c r="I287" s="363"/>
      <c r="J287" s="363"/>
      <c r="K287" s="363"/>
      <c r="L287" s="363"/>
      <c r="M287" s="363"/>
      <c r="N287" s="363"/>
      <c r="O287" s="363"/>
      <c r="P287" s="363"/>
      <c r="Q287" s="363"/>
      <c r="R287" s="363"/>
      <c r="AI287" s="363"/>
      <c r="AJ287" s="363"/>
      <c r="AK287" s="363"/>
      <c r="AL287" s="363"/>
      <c r="AM287" s="363"/>
      <c r="AO287" s="363"/>
      <c r="AP287" s="363"/>
      <c r="AQ287" s="363"/>
    </row>
    <row r="288" spans="1:58" s="237" customFormat="1" ht="15" customHeight="1" outlineLevel="1" x14ac:dyDescent="0.25">
      <c r="A288" s="363"/>
      <c r="B288" s="1267" t="s">
        <v>1531</v>
      </c>
      <c r="C288" s="1267" t="s">
        <v>2057</v>
      </c>
      <c r="D288" s="1267" t="s">
        <v>1577</v>
      </c>
      <c r="E288" s="1267"/>
      <c r="F288" s="1249" t="s">
        <v>1743</v>
      </c>
      <c r="G288" s="1249" t="s">
        <v>1861</v>
      </c>
      <c r="H288" s="1249" t="s">
        <v>1862</v>
      </c>
      <c r="I288" s="1267" t="s">
        <v>588</v>
      </c>
      <c r="J288" s="1267"/>
      <c r="K288" s="1267"/>
      <c r="L288" s="1249" t="s">
        <v>1408</v>
      </c>
      <c r="M288" s="1249" t="s">
        <v>1409</v>
      </c>
      <c r="N288" s="1249" t="s">
        <v>1410</v>
      </c>
      <c r="O288" s="1249" t="s">
        <v>1411</v>
      </c>
      <c r="P288" s="1267" t="s">
        <v>1530</v>
      </c>
    </row>
    <row r="289" spans="1:16" s="237" customFormat="1" ht="15" customHeight="1" outlineLevel="1" x14ac:dyDescent="0.25">
      <c r="A289" s="363"/>
      <c r="B289" s="1267"/>
      <c r="C289" s="1267"/>
      <c r="D289" s="1267"/>
      <c r="E289" s="1267"/>
      <c r="F289" s="1266"/>
      <c r="G289" s="1266"/>
      <c r="H289" s="1266"/>
      <c r="I289" s="1267"/>
      <c r="J289" s="1267"/>
      <c r="K289" s="1267"/>
      <c r="L289" s="1266"/>
      <c r="M289" s="1266"/>
      <c r="N289" s="1266"/>
      <c r="O289" s="1266"/>
      <c r="P289" s="1267"/>
    </row>
    <row r="290" spans="1:16" s="237" customFormat="1" ht="41.25" customHeight="1" outlineLevel="1" x14ac:dyDescent="0.25">
      <c r="A290" s="363"/>
      <c r="B290" s="1267"/>
      <c r="C290" s="1267"/>
      <c r="D290" s="1267"/>
      <c r="E290" s="1267"/>
      <c r="F290" s="1250"/>
      <c r="G290" s="1250"/>
      <c r="H290" s="1250"/>
      <c r="I290" s="916" t="s">
        <v>1394</v>
      </c>
      <c r="J290" s="916" t="s">
        <v>1863</v>
      </c>
      <c r="K290" s="916" t="s">
        <v>1864</v>
      </c>
      <c r="L290" s="1250"/>
      <c r="M290" s="1250"/>
      <c r="N290" s="1250"/>
      <c r="O290" s="1250"/>
      <c r="P290" s="1267"/>
    </row>
    <row r="291" spans="1:16" s="237" customFormat="1" ht="15" customHeight="1" outlineLevel="1" x14ac:dyDescent="0.25">
      <c r="A291" s="427" t="s">
        <v>606</v>
      </c>
      <c r="B291" s="444" t="s">
        <v>611</v>
      </c>
      <c r="C291" s="1107" t="s">
        <v>92</v>
      </c>
      <c r="D291" s="1281" t="s">
        <v>1709</v>
      </c>
      <c r="E291" s="1282"/>
      <c r="F291" s="482">
        <v>1000</v>
      </c>
      <c r="G291" s="482">
        <v>1000</v>
      </c>
      <c r="H291" s="483" t="s">
        <v>1566</v>
      </c>
      <c r="I291" s="484">
        <v>1.9607299999999999</v>
      </c>
      <c r="J291" s="488">
        <v>2.8562185343495887E-5</v>
      </c>
      <c r="K291" s="488">
        <v>3.2808841197924531E-5</v>
      </c>
      <c r="L291" s="484">
        <v>1960.7299999999998</v>
      </c>
      <c r="M291" s="484">
        <v>2.8562185343495888E-2</v>
      </c>
      <c r="N291" s="484">
        <v>3.2808841197924529E-2</v>
      </c>
      <c r="O291" s="488">
        <v>1971.2210893105687</v>
      </c>
      <c r="P291" s="484">
        <v>0</v>
      </c>
    </row>
    <row r="292" spans="1:16" s="237" customFormat="1" ht="15" customHeight="1" outlineLevel="1" x14ac:dyDescent="0.25">
      <c r="A292" s="363"/>
      <c r="B292" s="915"/>
      <c r="C292" s="915"/>
      <c r="D292" s="1268"/>
      <c r="E292" s="1268"/>
      <c r="F292" s="438"/>
      <c r="G292" s="438"/>
      <c r="H292" s="1020" t="str">
        <f>IF(OR(D292="",D292="-"),"",VLOOKUP(D292,'Fatores de Emissão'!$D$217:$K$219,4,FALSE))</f>
        <v/>
      </c>
      <c r="I292" s="1111" t="str">
        <f>IF(OR(D292="",D292="-"),"",VLOOKUP(D292,'Fatores de Emissão'!$D$217:$K$219,3,FALSE))</f>
        <v/>
      </c>
      <c r="J292" s="1111" t="str">
        <f>IF(OR(D292="",D292="-"),"",VLOOKUP(D292,'Fatores de Emissão'!$D$217:$K$219,5,FALSE))</f>
        <v/>
      </c>
      <c r="K292" s="1111" t="str">
        <f>IF(OR(D292="",D292="-"),"",VLOOKUP(D292,'Fatores de Emissão'!$D$217:$K$219,7,FALSE))</f>
        <v/>
      </c>
      <c r="L292" s="478" t="str">
        <f>IF($D292="","",$F292*1.08*$G292*I292/1000)</f>
        <v/>
      </c>
      <c r="M292" s="478" t="str">
        <f>IF($D292="","",$F292*1.08*$G292*J292/1000)</f>
        <v/>
      </c>
      <c r="N292" s="478" t="str">
        <f>IF($D292="","",$F292*1.08*$G292*K292/1000)</f>
        <v/>
      </c>
      <c r="O292" s="441" t="str">
        <f>IF(ISERR(L292*gwp_CO2+M292*gwp_CH4+N292*gwp_N2O),"",L292*gwp_CO2+M292*gwp_CH4+N292*gwp_N2O)</f>
        <v/>
      </c>
      <c r="P292" s="440"/>
    </row>
    <row r="293" spans="1:16" s="237" customFormat="1" ht="15" customHeight="1" outlineLevel="1" x14ac:dyDescent="0.25">
      <c r="A293" s="363"/>
      <c r="B293" s="915"/>
      <c r="C293" s="915"/>
      <c r="D293" s="1268"/>
      <c r="E293" s="1268"/>
      <c r="F293" s="438"/>
      <c r="G293" s="438"/>
      <c r="H293" s="1020" t="str">
        <f>IF(OR(D293="",D293="-"),"",VLOOKUP(D293,'Fatores de Emissão'!$D$217:$K$219,4,FALSE))</f>
        <v/>
      </c>
      <c r="I293" s="1111" t="str">
        <f>IF(OR(D293="",D293="-"),"",VLOOKUP(D293,'Fatores de Emissão'!$D$217:$K$219,3,FALSE))</f>
        <v/>
      </c>
      <c r="J293" s="1111" t="str">
        <f>IF(OR(D293="",D293="-"),"",VLOOKUP(D293,'Fatores de Emissão'!$D$217:$K$219,5,FALSE))</f>
        <v/>
      </c>
      <c r="K293" s="1111" t="str">
        <f>IF(OR(D293="",D293="-"),"",VLOOKUP(D293,'Fatores de Emissão'!$D$217:$K$219,7,FALSE))</f>
        <v/>
      </c>
      <c r="L293" s="478" t="str">
        <f t="shared" ref="L293:L315" si="31">IF($D293="","",$F293*1.08*$G293*I293/1000)</f>
        <v/>
      </c>
      <c r="M293" s="478" t="str">
        <f t="shared" ref="M293:M315" si="32">IF($D293="","",$F293*1.08*$G293*J293/1000)</f>
        <v/>
      </c>
      <c r="N293" s="478" t="str">
        <f t="shared" ref="N293:N315" si="33">IF($D293="","",$F293*1.08*$G293*K293/1000)</f>
        <v/>
      </c>
      <c r="O293" s="441" t="str">
        <f t="shared" ref="O293:O341" si="34">IF(ISERR(L293*gwp_CO2+M293*gwp_CH4+N293*gwp_N2O),"",L293*gwp_CO2+M293*gwp_CH4+N293*gwp_N2O)</f>
        <v/>
      </c>
      <c r="P293" s="440"/>
    </row>
    <row r="294" spans="1:16" s="237" customFormat="1" ht="15" customHeight="1" outlineLevel="1" x14ac:dyDescent="0.25">
      <c r="A294" s="363"/>
      <c r="B294" s="915"/>
      <c r="C294" s="915"/>
      <c r="D294" s="1268"/>
      <c r="E294" s="1268"/>
      <c r="F294" s="438"/>
      <c r="G294" s="438"/>
      <c r="H294" s="1020" t="str">
        <f>IF(OR(D294="",D294="-"),"",VLOOKUP(D294,'Fatores de Emissão'!$D$217:$K$219,4,FALSE))</f>
        <v/>
      </c>
      <c r="I294" s="1111" t="str">
        <f>IF(OR(D294="",D294="-"),"",VLOOKUP(D294,'Fatores de Emissão'!$D$217:$K$219,3,FALSE))</f>
        <v/>
      </c>
      <c r="J294" s="1111" t="str">
        <f>IF(OR(D294="",D294="-"),"",VLOOKUP(D294,'Fatores de Emissão'!$D$217:$K$219,5,FALSE))</f>
        <v/>
      </c>
      <c r="K294" s="1111" t="str">
        <f>IF(OR(D294="",D294="-"),"",VLOOKUP(D294,'Fatores de Emissão'!$D$217:$K$219,7,FALSE))</f>
        <v/>
      </c>
      <c r="L294" s="478" t="str">
        <f t="shared" si="31"/>
        <v/>
      </c>
      <c r="M294" s="478" t="str">
        <f t="shared" si="32"/>
        <v/>
      </c>
      <c r="N294" s="478" t="str">
        <f t="shared" si="33"/>
        <v/>
      </c>
      <c r="O294" s="441" t="str">
        <f t="shared" si="34"/>
        <v/>
      </c>
      <c r="P294" s="440"/>
    </row>
    <row r="295" spans="1:16" s="237" customFormat="1" ht="15" customHeight="1" outlineLevel="1" x14ac:dyDescent="0.25">
      <c r="A295" s="363"/>
      <c r="B295" s="915"/>
      <c r="C295" s="915"/>
      <c r="D295" s="1268"/>
      <c r="E295" s="1268"/>
      <c r="F295" s="438"/>
      <c r="G295" s="438"/>
      <c r="H295" s="1020" t="str">
        <f>IF(OR(D295="",D295="-"),"",VLOOKUP(D295,'Fatores de Emissão'!$D$217:$K$219,4,FALSE))</f>
        <v/>
      </c>
      <c r="I295" s="1111" t="str">
        <f>IF(OR(D295="",D295="-"),"",VLOOKUP(D295,'Fatores de Emissão'!$D$217:$K$219,3,FALSE))</f>
        <v/>
      </c>
      <c r="J295" s="1111" t="str">
        <f>IF(OR(D295="",D295="-"),"",VLOOKUP(D295,'Fatores de Emissão'!$D$217:$K$219,5,FALSE))</f>
        <v/>
      </c>
      <c r="K295" s="1111" t="str">
        <f>IF(OR(D295="",D295="-"),"",VLOOKUP(D295,'Fatores de Emissão'!$D$217:$K$219,7,FALSE))</f>
        <v/>
      </c>
      <c r="L295" s="478" t="str">
        <f t="shared" si="31"/>
        <v/>
      </c>
      <c r="M295" s="478" t="str">
        <f t="shared" si="32"/>
        <v/>
      </c>
      <c r="N295" s="478" t="str">
        <f t="shared" si="33"/>
        <v/>
      </c>
      <c r="O295" s="441" t="str">
        <f t="shared" si="34"/>
        <v/>
      </c>
      <c r="P295" s="440"/>
    </row>
    <row r="296" spans="1:16" s="237" customFormat="1" ht="15" customHeight="1" outlineLevel="1" x14ac:dyDescent="0.25">
      <c r="A296" s="363"/>
      <c r="B296" s="915"/>
      <c r="C296" s="915"/>
      <c r="D296" s="1268"/>
      <c r="E296" s="1268"/>
      <c r="F296" s="438"/>
      <c r="G296" s="438"/>
      <c r="H296" s="1020" t="str">
        <f>IF(OR(D296="",D296="-"),"",VLOOKUP(D296,'Fatores de Emissão'!$D$217:$K$219,4,FALSE))</f>
        <v/>
      </c>
      <c r="I296" s="1111" t="str">
        <f>IF(OR(D296="",D296="-"),"",VLOOKUP(D296,'Fatores de Emissão'!$D$217:$K$219,3,FALSE))</f>
        <v/>
      </c>
      <c r="J296" s="1111" t="str">
        <f>IF(OR(D296="",D296="-"),"",VLOOKUP(D296,'Fatores de Emissão'!$D$217:$K$219,5,FALSE))</f>
        <v/>
      </c>
      <c r="K296" s="1111" t="str">
        <f>IF(OR(D296="",D296="-"),"",VLOOKUP(D296,'Fatores de Emissão'!$D$217:$K$219,7,FALSE))</f>
        <v/>
      </c>
      <c r="L296" s="478" t="str">
        <f t="shared" si="31"/>
        <v/>
      </c>
      <c r="M296" s="478" t="str">
        <f t="shared" si="32"/>
        <v/>
      </c>
      <c r="N296" s="478" t="str">
        <f t="shared" si="33"/>
        <v/>
      </c>
      <c r="O296" s="441" t="str">
        <f t="shared" si="34"/>
        <v/>
      </c>
      <c r="P296" s="440"/>
    </row>
    <row r="297" spans="1:16" s="237" customFormat="1" ht="15" customHeight="1" outlineLevel="1" x14ac:dyDescent="0.25">
      <c r="A297" s="363"/>
      <c r="B297" s="915"/>
      <c r="C297" s="915"/>
      <c r="D297" s="1268"/>
      <c r="E297" s="1268"/>
      <c r="F297" s="438"/>
      <c r="G297" s="438"/>
      <c r="H297" s="1020" t="str">
        <f>IF(OR(D297="",D297="-"),"",VLOOKUP(D297,'Fatores de Emissão'!$D$217:$K$219,4,FALSE))</f>
        <v/>
      </c>
      <c r="I297" s="1111" t="str">
        <f>IF(OR(D297="",D297="-"),"",VLOOKUP(D297,'Fatores de Emissão'!$D$217:$K$219,3,FALSE))</f>
        <v/>
      </c>
      <c r="J297" s="1111" t="str">
        <f>IF(OR(D297="",D297="-"),"",VLOOKUP(D297,'Fatores de Emissão'!$D$217:$K$219,5,FALSE))</f>
        <v/>
      </c>
      <c r="K297" s="1111" t="str">
        <f>IF(OR(D297="",D297="-"),"",VLOOKUP(D297,'Fatores de Emissão'!$D$217:$K$219,7,FALSE))</f>
        <v/>
      </c>
      <c r="L297" s="478" t="str">
        <f t="shared" si="31"/>
        <v/>
      </c>
      <c r="M297" s="478" t="str">
        <f t="shared" si="32"/>
        <v/>
      </c>
      <c r="N297" s="478" t="str">
        <f t="shared" si="33"/>
        <v/>
      </c>
      <c r="O297" s="441" t="str">
        <f t="shared" si="34"/>
        <v/>
      </c>
      <c r="P297" s="440"/>
    </row>
    <row r="298" spans="1:16" s="237" customFormat="1" ht="15" customHeight="1" outlineLevel="1" x14ac:dyDescent="0.25">
      <c r="A298" s="363"/>
      <c r="B298" s="915"/>
      <c r="C298" s="915"/>
      <c r="D298" s="1268"/>
      <c r="E298" s="1268"/>
      <c r="F298" s="438"/>
      <c r="G298" s="438"/>
      <c r="H298" s="1020" t="str">
        <f>IF(OR(D298="",D298="-"),"",VLOOKUP(D298,'Fatores de Emissão'!$D$217:$K$219,4,FALSE))</f>
        <v/>
      </c>
      <c r="I298" s="1111" t="str">
        <f>IF(OR(D298="",D298="-"),"",VLOOKUP(D298,'Fatores de Emissão'!$D$217:$K$219,3,FALSE))</f>
        <v/>
      </c>
      <c r="J298" s="1111" t="str">
        <f>IF(OR(D298="",D298="-"),"",VLOOKUP(D298,'Fatores de Emissão'!$D$217:$K$219,5,FALSE))</f>
        <v/>
      </c>
      <c r="K298" s="1111" t="str">
        <f>IF(OR(D298="",D298="-"),"",VLOOKUP(D298,'Fatores de Emissão'!$D$217:$K$219,7,FALSE))</f>
        <v/>
      </c>
      <c r="L298" s="478" t="str">
        <f t="shared" si="31"/>
        <v/>
      </c>
      <c r="M298" s="478" t="str">
        <f t="shared" si="32"/>
        <v/>
      </c>
      <c r="N298" s="478" t="str">
        <f t="shared" si="33"/>
        <v/>
      </c>
      <c r="O298" s="441" t="str">
        <f t="shared" si="34"/>
        <v/>
      </c>
      <c r="P298" s="440"/>
    </row>
    <row r="299" spans="1:16" s="237" customFormat="1" ht="15" customHeight="1" outlineLevel="1" x14ac:dyDescent="0.25">
      <c r="A299" s="363"/>
      <c r="B299" s="915"/>
      <c r="C299" s="915"/>
      <c r="D299" s="1268"/>
      <c r="E299" s="1268"/>
      <c r="F299" s="438"/>
      <c r="G299" s="438"/>
      <c r="H299" s="1020" t="str">
        <f>IF(OR(D299="",D299="-"),"",VLOOKUP(D299,'Fatores de Emissão'!$D$217:$K$219,4,FALSE))</f>
        <v/>
      </c>
      <c r="I299" s="1111" t="str">
        <f>IF(OR(D299="",D299="-"),"",VLOOKUP(D299,'Fatores de Emissão'!$D$217:$K$219,3,FALSE))</f>
        <v/>
      </c>
      <c r="J299" s="1111" t="str">
        <f>IF(OR(D299="",D299="-"),"",VLOOKUP(D299,'Fatores de Emissão'!$D$217:$K$219,5,FALSE))</f>
        <v/>
      </c>
      <c r="K299" s="1111" t="str">
        <f>IF(OR(D299="",D299="-"),"",VLOOKUP(D299,'Fatores de Emissão'!$D$217:$K$219,7,FALSE))</f>
        <v/>
      </c>
      <c r="L299" s="478" t="str">
        <f t="shared" si="31"/>
        <v/>
      </c>
      <c r="M299" s="478" t="str">
        <f t="shared" si="32"/>
        <v/>
      </c>
      <c r="N299" s="478" t="str">
        <f t="shared" si="33"/>
        <v/>
      </c>
      <c r="O299" s="441" t="str">
        <f t="shared" si="34"/>
        <v/>
      </c>
      <c r="P299" s="440"/>
    </row>
    <row r="300" spans="1:16" s="237" customFormat="1" ht="15" customHeight="1" outlineLevel="1" x14ac:dyDescent="0.25">
      <c r="A300" s="363"/>
      <c r="B300" s="915"/>
      <c r="C300" s="915"/>
      <c r="D300" s="1268"/>
      <c r="E300" s="1268"/>
      <c r="F300" s="438"/>
      <c r="G300" s="438"/>
      <c r="H300" s="1020" t="str">
        <f>IF(OR(D300="",D300="-"),"",VLOOKUP(D300,'Fatores de Emissão'!$D$217:$K$219,4,FALSE))</f>
        <v/>
      </c>
      <c r="I300" s="1111" t="str">
        <f>IF(OR(D300="",D300="-"),"",VLOOKUP(D300,'Fatores de Emissão'!$D$217:$K$219,3,FALSE))</f>
        <v/>
      </c>
      <c r="J300" s="1111" t="str">
        <f>IF(OR(D300="",D300="-"),"",VLOOKUP(D300,'Fatores de Emissão'!$D$217:$K$219,5,FALSE))</f>
        <v/>
      </c>
      <c r="K300" s="1111" t="str">
        <f>IF(OR(D300="",D300="-"),"",VLOOKUP(D300,'Fatores de Emissão'!$D$217:$K$219,7,FALSE))</f>
        <v/>
      </c>
      <c r="L300" s="478" t="str">
        <f t="shared" si="31"/>
        <v/>
      </c>
      <c r="M300" s="478" t="str">
        <f t="shared" si="32"/>
        <v/>
      </c>
      <c r="N300" s="478" t="str">
        <f t="shared" si="33"/>
        <v/>
      </c>
      <c r="O300" s="441" t="str">
        <f t="shared" si="34"/>
        <v/>
      </c>
      <c r="P300" s="440"/>
    </row>
    <row r="301" spans="1:16" s="237" customFormat="1" ht="15" customHeight="1" outlineLevel="1" collapsed="1" x14ac:dyDescent="0.25">
      <c r="A301" s="363"/>
      <c r="B301" s="915"/>
      <c r="C301" s="915"/>
      <c r="D301" s="1268"/>
      <c r="E301" s="1268"/>
      <c r="F301" s="438"/>
      <c r="G301" s="438"/>
      <c r="H301" s="1020" t="str">
        <f>IF(OR(D301="",D301="-"),"",VLOOKUP(D301,'Fatores de Emissão'!$D$217:$K$219,4,FALSE))</f>
        <v/>
      </c>
      <c r="I301" s="1111" t="str">
        <f>IF(OR(D301="",D301="-"),"",VLOOKUP(D301,'Fatores de Emissão'!$D$217:$K$219,3,FALSE))</f>
        <v/>
      </c>
      <c r="J301" s="1111" t="str">
        <f>IF(OR(D301="",D301="-"),"",VLOOKUP(D301,'Fatores de Emissão'!$D$217:$K$219,5,FALSE))</f>
        <v/>
      </c>
      <c r="K301" s="1111" t="str">
        <f>IF(OR(D301="",D301="-"),"",VLOOKUP(D301,'Fatores de Emissão'!$D$217:$K$219,7,FALSE))</f>
        <v/>
      </c>
      <c r="L301" s="478" t="str">
        <f t="shared" si="31"/>
        <v/>
      </c>
      <c r="M301" s="478" t="str">
        <f t="shared" si="32"/>
        <v/>
      </c>
      <c r="N301" s="478" t="str">
        <f t="shared" si="33"/>
        <v/>
      </c>
      <c r="O301" s="441" t="str">
        <f t="shared" si="34"/>
        <v/>
      </c>
      <c r="P301" s="440"/>
    </row>
    <row r="302" spans="1:16" s="237" customFormat="1" ht="15" hidden="1" customHeight="1" outlineLevel="2" x14ac:dyDescent="0.25">
      <c r="A302" s="363"/>
      <c r="B302" s="915"/>
      <c r="C302" s="915"/>
      <c r="D302" s="1268"/>
      <c r="E302" s="1268"/>
      <c r="F302" s="438"/>
      <c r="G302" s="438"/>
      <c r="H302" s="1020" t="str">
        <f>IF(OR(D302="",D302="-"),"",VLOOKUP(D302,'Fatores de Emissão'!$D$217:$K$219,4,FALSE))</f>
        <v/>
      </c>
      <c r="I302" s="1111" t="str">
        <f>IF(OR(D302="",D302="-"),"",VLOOKUP(D302,'Fatores de Emissão'!$D$217:$K$219,3,FALSE))</f>
        <v/>
      </c>
      <c r="J302" s="1111" t="str">
        <f>IF(OR(D302="",D302="-"),"",VLOOKUP(D302,'Fatores de Emissão'!$D$217:$K$219,5,FALSE))</f>
        <v/>
      </c>
      <c r="K302" s="1111" t="str">
        <f>IF(OR(D302="",D302="-"),"",VLOOKUP(D302,'Fatores de Emissão'!$D$217:$K$219,7,FALSE))</f>
        <v/>
      </c>
      <c r="L302" s="478" t="str">
        <f t="shared" si="31"/>
        <v/>
      </c>
      <c r="M302" s="478" t="str">
        <f t="shared" si="32"/>
        <v/>
      </c>
      <c r="N302" s="478" t="str">
        <f t="shared" si="33"/>
        <v/>
      </c>
      <c r="O302" s="441" t="str">
        <f t="shared" si="34"/>
        <v/>
      </c>
      <c r="P302" s="440"/>
    </row>
    <row r="303" spans="1:16" s="237" customFormat="1" ht="15" hidden="1" customHeight="1" outlineLevel="2" x14ac:dyDescent="0.25">
      <c r="A303" s="363"/>
      <c r="B303" s="915"/>
      <c r="C303" s="915"/>
      <c r="D303" s="1268"/>
      <c r="E303" s="1268"/>
      <c r="F303" s="438"/>
      <c r="G303" s="438"/>
      <c r="H303" s="1020" t="str">
        <f>IF(OR(D303="",D303="-"),"",VLOOKUP(D303,'Fatores de Emissão'!$D$217:$K$219,4,FALSE))</f>
        <v/>
      </c>
      <c r="I303" s="1111" t="str">
        <f>IF(OR(D303="",D303="-"),"",VLOOKUP(D303,'Fatores de Emissão'!$D$217:$K$219,3,FALSE))</f>
        <v/>
      </c>
      <c r="J303" s="1111" t="str">
        <f>IF(OR(D303="",D303="-"),"",VLOOKUP(D303,'Fatores de Emissão'!$D$217:$K$219,5,FALSE))</f>
        <v/>
      </c>
      <c r="K303" s="1111" t="str">
        <f>IF(OR(D303="",D303="-"),"",VLOOKUP(D303,'Fatores de Emissão'!$D$217:$K$219,7,FALSE))</f>
        <v/>
      </c>
      <c r="L303" s="478" t="str">
        <f t="shared" si="31"/>
        <v/>
      </c>
      <c r="M303" s="478" t="str">
        <f t="shared" si="32"/>
        <v/>
      </c>
      <c r="N303" s="478" t="str">
        <f t="shared" si="33"/>
        <v/>
      </c>
      <c r="O303" s="441" t="str">
        <f t="shared" si="34"/>
        <v/>
      </c>
      <c r="P303" s="440"/>
    </row>
    <row r="304" spans="1:16" s="237" customFormat="1" ht="15" hidden="1" customHeight="1" outlineLevel="2" x14ac:dyDescent="0.25">
      <c r="A304" s="363"/>
      <c r="B304" s="915"/>
      <c r="C304" s="915"/>
      <c r="D304" s="1268"/>
      <c r="E304" s="1268"/>
      <c r="F304" s="438"/>
      <c r="G304" s="438"/>
      <c r="H304" s="1020" t="str">
        <f>IF(OR(D304="",D304="-"),"",VLOOKUP(D304,'Fatores de Emissão'!$D$217:$K$219,4,FALSE))</f>
        <v/>
      </c>
      <c r="I304" s="1111" t="str">
        <f>IF(OR(D304="",D304="-"),"",VLOOKUP(D304,'Fatores de Emissão'!$D$217:$K$219,3,FALSE))</f>
        <v/>
      </c>
      <c r="J304" s="1111" t="str">
        <f>IF(OR(D304="",D304="-"),"",VLOOKUP(D304,'Fatores de Emissão'!$D$217:$K$219,5,FALSE))</f>
        <v/>
      </c>
      <c r="K304" s="1111" t="str">
        <f>IF(OR(D304="",D304="-"),"",VLOOKUP(D304,'Fatores de Emissão'!$D$217:$K$219,7,FALSE))</f>
        <v/>
      </c>
      <c r="L304" s="478" t="str">
        <f t="shared" si="31"/>
        <v/>
      </c>
      <c r="M304" s="478" t="str">
        <f t="shared" si="32"/>
        <v/>
      </c>
      <c r="N304" s="478" t="str">
        <f t="shared" si="33"/>
        <v/>
      </c>
      <c r="O304" s="441" t="str">
        <f t="shared" si="34"/>
        <v/>
      </c>
      <c r="P304" s="440"/>
    </row>
    <row r="305" spans="1:16" s="237" customFormat="1" ht="15" hidden="1" customHeight="1" outlineLevel="2" x14ac:dyDescent="0.25">
      <c r="A305" s="363"/>
      <c r="B305" s="915"/>
      <c r="C305" s="915"/>
      <c r="D305" s="1268"/>
      <c r="E305" s="1268"/>
      <c r="F305" s="438"/>
      <c r="G305" s="438"/>
      <c r="H305" s="1020" t="str">
        <f>IF(OR(D305="",D305="-"),"",VLOOKUP(D305,'Fatores de Emissão'!$D$217:$K$219,4,FALSE))</f>
        <v/>
      </c>
      <c r="I305" s="1111" t="str">
        <f>IF(OR(D305="",D305="-"),"",VLOOKUP(D305,'Fatores de Emissão'!$D$217:$K$219,3,FALSE))</f>
        <v/>
      </c>
      <c r="J305" s="1111" t="str">
        <f>IF(OR(D305="",D305="-"),"",VLOOKUP(D305,'Fatores de Emissão'!$D$217:$K$219,5,FALSE))</f>
        <v/>
      </c>
      <c r="K305" s="1111" t="str">
        <f>IF(OR(D305="",D305="-"),"",VLOOKUP(D305,'Fatores de Emissão'!$D$217:$K$219,7,FALSE))</f>
        <v/>
      </c>
      <c r="L305" s="478" t="str">
        <f t="shared" si="31"/>
        <v/>
      </c>
      <c r="M305" s="478" t="str">
        <f t="shared" si="32"/>
        <v/>
      </c>
      <c r="N305" s="478" t="str">
        <f t="shared" si="33"/>
        <v/>
      </c>
      <c r="O305" s="441" t="str">
        <f t="shared" si="34"/>
        <v/>
      </c>
      <c r="P305" s="440"/>
    </row>
    <row r="306" spans="1:16" s="237" customFormat="1" ht="15" hidden="1" customHeight="1" outlineLevel="2" x14ac:dyDescent="0.25">
      <c r="A306" s="363"/>
      <c r="B306" s="915"/>
      <c r="C306" s="915"/>
      <c r="D306" s="1268"/>
      <c r="E306" s="1268"/>
      <c r="F306" s="438"/>
      <c r="G306" s="438"/>
      <c r="H306" s="1020" t="str">
        <f>IF(OR(D306="",D306="-"),"",VLOOKUP(D306,'Fatores de Emissão'!$D$217:$K$219,4,FALSE))</f>
        <v/>
      </c>
      <c r="I306" s="1111" t="str">
        <f>IF(OR(D306="",D306="-"),"",VLOOKUP(D306,'Fatores de Emissão'!$D$217:$K$219,3,FALSE))</f>
        <v/>
      </c>
      <c r="J306" s="1111" t="str">
        <f>IF(OR(D306="",D306="-"),"",VLOOKUP(D306,'Fatores de Emissão'!$D$217:$K$219,5,FALSE))</f>
        <v/>
      </c>
      <c r="K306" s="1111" t="str">
        <f>IF(OR(D306="",D306="-"),"",VLOOKUP(D306,'Fatores de Emissão'!$D$217:$K$219,7,FALSE))</f>
        <v/>
      </c>
      <c r="L306" s="478" t="str">
        <f t="shared" si="31"/>
        <v/>
      </c>
      <c r="M306" s="478" t="str">
        <f t="shared" si="32"/>
        <v/>
      </c>
      <c r="N306" s="478" t="str">
        <f t="shared" si="33"/>
        <v/>
      </c>
      <c r="O306" s="441" t="str">
        <f t="shared" si="34"/>
        <v/>
      </c>
      <c r="P306" s="440"/>
    </row>
    <row r="307" spans="1:16" s="237" customFormat="1" ht="15" hidden="1" customHeight="1" outlineLevel="2" x14ac:dyDescent="0.25">
      <c r="A307" s="363"/>
      <c r="B307" s="915"/>
      <c r="C307" s="915"/>
      <c r="D307" s="1268"/>
      <c r="E307" s="1268"/>
      <c r="F307" s="438"/>
      <c r="G307" s="438"/>
      <c r="H307" s="1020" t="str">
        <f>IF(OR(D307="",D307="-"),"",VLOOKUP(D307,'Fatores de Emissão'!$D$217:$K$219,4,FALSE))</f>
        <v/>
      </c>
      <c r="I307" s="1111" t="str">
        <f>IF(OR(D307="",D307="-"),"",VLOOKUP(D307,'Fatores de Emissão'!$D$217:$K$219,3,FALSE))</f>
        <v/>
      </c>
      <c r="J307" s="1111" t="str">
        <f>IF(OR(D307="",D307="-"),"",VLOOKUP(D307,'Fatores de Emissão'!$D$217:$K$219,5,FALSE))</f>
        <v/>
      </c>
      <c r="K307" s="1111" t="str">
        <f>IF(OR(D307="",D307="-"),"",VLOOKUP(D307,'Fatores de Emissão'!$D$217:$K$219,7,FALSE))</f>
        <v/>
      </c>
      <c r="L307" s="478" t="str">
        <f t="shared" si="31"/>
        <v/>
      </c>
      <c r="M307" s="478" t="str">
        <f t="shared" si="32"/>
        <v/>
      </c>
      <c r="N307" s="478" t="str">
        <f t="shared" si="33"/>
        <v/>
      </c>
      <c r="O307" s="441" t="str">
        <f t="shared" si="34"/>
        <v/>
      </c>
      <c r="P307" s="440"/>
    </row>
    <row r="308" spans="1:16" s="237" customFormat="1" ht="15" hidden="1" customHeight="1" outlineLevel="2" x14ac:dyDescent="0.25">
      <c r="A308" s="363"/>
      <c r="B308" s="915"/>
      <c r="C308" s="915"/>
      <c r="D308" s="1268"/>
      <c r="E308" s="1268"/>
      <c r="F308" s="438"/>
      <c r="G308" s="438"/>
      <c r="H308" s="1020" t="str">
        <f>IF(OR(D308="",D308="-"),"",VLOOKUP(D308,'Fatores de Emissão'!$D$217:$K$219,4,FALSE))</f>
        <v/>
      </c>
      <c r="I308" s="1111" t="str">
        <f>IF(OR(D308="",D308="-"),"",VLOOKUP(D308,'Fatores de Emissão'!$D$217:$K$219,3,FALSE))</f>
        <v/>
      </c>
      <c r="J308" s="1111" t="str">
        <f>IF(OR(D308="",D308="-"),"",VLOOKUP(D308,'Fatores de Emissão'!$D$217:$K$219,5,FALSE))</f>
        <v/>
      </c>
      <c r="K308" s="1111" t="str">
        <f>IF(OR(D308="",D308="-"),"",VLOOKUP(D308,'Fatores de Emissão'!$D$217:$K$219,7,FALSE))</f>
        <v/>
      </c>
      <c r="L308" s="478" t="str">
        <f t="shared" si="31"/>
        <v/>
      </c>
      <c r="M308" s="478" t="str">
        <f t="shared" si="32"/>
        <v/>
      </c>
      <c r="N308" s="478" t="str">
        <f t="shared" si="33"/>
        <v/>
      </c>
      <c r="O308" s="441" t="str">
        <f t="shared" si="34"/>
        <v/>
      </c>
      <c r="P308" s="440"/>
    </row>
    <row r="309" spans="1:16" s="237" customFormat="1" ht="15" hidden="1" customHeight="1" outlineLevel="2" x14ac:dyDescent="0.25">
      <c r="A309" s="363"/>
      <c r="B309" s="915"/>
      <c r="C309" s="915"/>
      <c r="D309" s="1268"/>
      <c r="E309" s="1268"/>
      <c r="F309" s="438"/>
      <c r="G309" s="438"/>
      <c r="H309" s="1020" t="str">
        <f>IF(OR(D309="",D309="-"),"",VLOOKUP(D309,'Fatores de Emissão'!$D$217:$K$219,4,FALSE))</f>
        <v/>
      </c>
      <c r="I309" s="1111" t="str">
        <f>IF(OR(D309="",D309="-"),"",VLOOKUP(D309,'Fatores de Emissão'!$D$217:$K$219,3,FALSE))</f>
        <v/>
      </c>
      <c r="J309" s="1111" t="str">
        <f>IF(OR(D309="",D309="-"),"",VLOOKUP(D309,'Fatores de Emissão'!$D$217:$K$219,5,FALSE))</f>
        <v/>
      </c>
      <c r="K309" s="1111" t="str">
        <f>IF(OR(D309="",D309="-"),"",VLOOKUP(D309,'Fatores de Emissão'!$D$217:$K$219,7,FALSE))</f>
        <v/>
      </c>
      <c r="L309" s="478" t="str">
        <f t="shared" si="31"/>
        <v/>
      </c>
      <c r="M309" s="478" t="str">
        <f t="shared" si="32"/>
        <v/>
      </c>
      <c r="N309" s="478" t="str">
        <f t="shared" si="33"/>
        <v/>
      </c>
      <c r="O309" s="441" t="str">
        <f t="shared" si="34"/>
        <v/>
      </c>
      <c r="P309" s="440"/>
    </row>
    <row r="310" spans="1:16" s="237" customFormat="1" ht="15" hidden="1" customHeight="1" outlineLevel="2" x14ac:dyDescent="0.25">
      <c r="A310" s="363"/>
      <c r="B310" s="915"/>
      <c r="C310" s="915"/>
      <c r="D310" s="1268"/>
      <c r="E310" s="1268"/>
      <c r="F310" s="438"/>
      <c r="G310" s="438"/>
      <c r="H310" s="1020" t="str">
        <f>IF(OR(D310="",D310="-"),"",VLOOKUP(D310,'Fatores de Emissão'!$D$217:$K$219,4,FALSE))</f>
        <v/>
      </c>
      <c r="I310" s="1111" t="str">
        <f>IF(OR(D310="",D310="-"),"",VLOOKUP(D310,'Fatores de Emissão'!$D$217:$K$219,3,FALSE))</f>
        <v/>
      </c>
      <c r="J310" s="1111" t="str">
        <f>IF(OR(D310="",D310="-"),"",VLOOKUP(D310,'Fatores de Emissão'!$D$217:$K$219,5,FALSE))</f>
        <v/>
      </c>
      <c r="K310" s="1111" t="str">
        <f>IF(OR(D310="",D310="-"),"",VLOOKUP(D310,'Fatores de Emissão'!$D$217:$K$219,7,FALSE))</f>
        <v/>
      </c>
      <c r="L310" s="478" t="str">
        <f t="shared" si="31"/>
        <v/>
      </c>
      <c r="M310" s="478" t="str">
        <f t="shared" si="32"/>
        <v/>
      </c>
      <c r="N310" s="478" t="str">
        <f t="shared" si="33"/>
        <v/>
      </c>
      <c r="O310" s="441" t="str">
        <f t="shared" si="34"/>
        <v/>
      </c>
      <c r="P310" s="440"/>
    </row>
    <row r="311" spans="1:16" s="237" customFormat="1" ht="15" hidden="1" customHeight="1" outlineLevel="2" x14ac:dyDescent="0.25">
      <c r="A311" s="363"/>
      <c r="B311" s="915"/>
      <c r="C311" s="915"/>
      <c r="D311" s="1268"/>
      <c r="E311" s="1268"/>
      <c r="F311" s="438"/>
      <c r="G311" s="438"/>
      <c r="H311" s="1020" t="str">
        <f>IF(OR(D311="",D311="-"),"",VLOOKUP(D311,'Fatores de Emissão'!$D$217:$K$219,4,FALSE))</f>
        <v/>
      </c>
      <c r="I311" s="1111" t="str">
        <f>IF(OR(D311="",D311="-"),"",VLOOKUP(D311,'Fatores de Emissão'!$D$217:$K$219,3,FALSE))</f>
        <v/>
      </c>
      <c r="J311" s="1111" t="str">
        <f>IF(OR(D311="",D311="-"),"",VLOOKUP(D311,'Fatores de Emissão'!$D$217:$K$219,5,FALSE))</f>
        <v/>
      </c>
      <c r="K311" s="1111" t="str">
        <f>IF(OR(D311="",D311="-"),"",VLOOKUP(D311,'Fatores de Emissão'!$D$217:$K$219,7,FALSE))</f>
        <v/>
      </c>
      <c r="L311" s="478" t="str">
        <f t="shared" si="31"/>
        <v/>
      </c>
      <c r="M311" s="478" t="str">
        <f t="shared" si="32"/>
        <v/>
      </c>
      <c r="N311" s="478" t="str">
        <f t="shared" si="33"/>
        <v/>
      </c>
      <c r="O311" s="441" t="str">
        <f t="shared" si="34"/>
        <v/>
      </c>
      <c r="P311" s="440"/>
    </row>
    <row r="312" spans="1:16" s="237" customFormat="1" ht="15" hidden="1" customHeight="1" outlineLevel="2" x14ac:dyDescent="0.25">
      <c r="A312" s="363"/>
      <c r="B312" s="915"/>
      <c r="C312" s="915"/>
      <c r="D312" s="1268"/>
      <c r="E312" s="1268"/>
      <c r="F312" s="438"/>
      <c r="G312" s="438"/>
      <c r="H312" s="1020" t="str">
        <f>IF(OR(D312="",D312="-"),"",VLOOKUP(D312,'Fatores de Emissão'!$D$217:$K$219,4,FALSE))</f>
        <v/>
      </c>
      <c r="I312" s="1111" t="str">
        <f>IF(OR(D312="",D312="-"),"",VLOOKUP(D312,'Fatores de Emissão'!$D$217:$K$219,3,FALSE))</f>
        <v/>
      </c>
      <c r="J312" s="1111" t="str">
        <f>IF(OR(D312="",D312="-"),"",VLOOKUP(D312,'Fatores de Emissão'!$D$217:$K$219,5,FALSE))</f>
        <v/>
      </c>
      <c r="K312" s="1111" t="str">
        <f>IF(OR(D312="",D312="-"),"",VLOOKUP(D312,'Fatores de Emissão'!$D$217:$K$219,7,FALSE))</f>
        <v/>
      </c>
      <c r="L312" s="478" t="str">
        <f t="shared" si="31"/>
        <v/>
      </c>
      <c r="M312" s="478" t="str">
        <f t="shared" si="32"/>
        <v/>
      </c>
      <c r="N312" s="478" t="str">
        <f t="shared" si="33"/>
        <v/>
      </c>
      <c r="O312" s="441" t="str">
        <f t="shared" si="34"/>
        <v/>
      </c>
      <c r="P312" s="440"/>
    </row>
    <row r="313" spans="1:16" s="237" customFormat="1" ht="15" hidden="1" customHeight="1" outlineLevel="2" x14ac:dyDescent="0.25">
      <c r="A313" s="363"/>
      <c r="B313" s="915"/>
      <c r="C313" s="915"/>
      <c r="D313" s="1268"/>
      <c r="E313" s="1268"/>
      <c r="F313" s="438"/>
      <c r="G313" s="438"/>
      <c r="H313" s="1020" t="str">
        <f>IF(OR(D313="",D313="-"),"",VLOOKUP(D313,'Fatores de Emissão'!$D$217:$K$219,4,FALSE))</f>
        <v/>
      </c>
      <c r="I313" s="1111" t="str">
        <f>IF(OR(D313="",D313="-"),"",VLOOKUP(D313,'Fatores de Emissão'!$D$217:$K$219,3,FALSE))</f>
        <v/>
      </c>
      <c r="J313" s="1111" t="str">
        <f>IF(OR(D313="",D313="-"),"",VLOOKUP(D313,'Fatores de Emissão'!$D$217:$K$219,5,FALSE))</f>
        <v/>
      </c>
      <c r="K313" s="1111" t="str">
        <f>IF(OR(D313="",D313="-"),"",VLOOKUP(D313,'Fatores de Emissão'!$D$217:$K$219,7,FALSE))</f>
        <v/>
      </c>
      <c r="L313" s="478" t="str">
        <f t="shared" si="31"/>
        <v/>
      </c>
      <c r="M313" s="478" t="str">
        <f t="shared" si="32"/>
        <v/>
      </c>
      <c r="N313" s="478" t="str">
        <f t="shared" si="33"/>
        <v/>
      </c>
      <c r="O313" s="441" t="str">
        <f t="shared" si="34"/>
        <v/>
      </c>
      <c r="P313" s="440"/>
    </row>
    <row r="314" spans="1:16" s="237" customFormat="1" ht="15" hidden="1" customHeight="1" outlineLevel="2" x14ac:dyDescent="0.25">
      <c r="A314" s="363"/>
      <c r="B314" s="915"/>
      <c r="C314" s="915"/>
      <c r="D314" s="1268"/>
      <c r="E314" s="1268"/>
      <c r="F314" s="438"/>
      <c r="G314" s="438"/>
      <c r="H314" s="1020" t="str">
        <f>IF(OR(D314="",D314="-"),"",VLOOKUP(D314,'Fatores de Emissão'!$D$217:$K$219,4,FALSE))</f>
        <v/>
      </c>
      <c r="I314" s="1111" t="str">
        <f>IF(OR(D314="",D314="-"),"",VLOOKUP(D314,'Fatores de Emissão'!$D$217:$K$219,3,FALSE))</f>
        <v/>
      </c>
      <c r="J314" s="1111" t="str">
        <f>IF(OR(D314="",D314="-"),"",VLOOKUP(D314,'Fatores de Emissão'!$D$217:$K$219,5,FALSE))</f>
        <v/>
      </c>
      <c r="K314" s="1111" t="str">
        <f>IF(OR(D314="",D314="-"),"",VLOOKUP(D314,'Fatores de Emissão'!$D$217:$K$219,7,FALSE))</f>
        <v/>
      </c>
      <c r="L314" s="478" t="str">
        <f t="shared" si="31"/>
        <v/>
      </c>
      <c r="M314" s="478" t="str">
        <f t="shared" si="32"/>
        <v/>
      </c>
      <c r="N314" s="478" t="str">
        <f t="shared" si="33"/>
        <v/>
      </c>
      <c r="O314" s="441" t="str">
        <f t="shared" si="34"/>
        <v/>
      </c>
      <c r="P314" s="440"/>
    </row>
    <row r="315" spans="1:16" s="237" customFormat="1" ht="15" hidden="1" customHeight="1" outlineLevel="2" x14ac:dyDescent="0.25">
      <c r="A315" s="363"/>
      <c r="B315" s="915"/>
      <c r="C315" s="915"/>
      <c r="D315" s="1268"/>
      <c r="E315" s="1268"/>
      <c r="F315" s="438"/>
      <c r="G315" s="438"/>
      <c r="H315" s="1020" t="str">
        <f>IF(OR(D315="",D315="-"),"",VLOOKUP(D315,'Fatores de Emissão'!$D$217:$K$219,4,FALSE))</f>
        <v/>
      </c>
      <c r="I315" s="1111" t="str">
        <f>IF(OR(D315="",D315="-"),"",VLOOKUP(D315,'Fatores de Emissão'!$D$217:$K$219,3,FALSE))</f>
        <v/>
      </c>
      <c r="J315" s="1111" t="str">
        <f>IF(OR(D315="",D315="-"),"",VLOOKUP(D315,'Fatores de Emissão'!$D$217:$K$219,5,FALSE))</f>
        <v/>
      </c>
      <c r="K315" s="1111" t="str">
        <f>IF(OR(D315="",D315="-"),"",VLOOKUP(D315,'Fatores de Emissão'!$D$217:$K$219,7,FALSE))</f>
        <v/>
      </c>
      <c r="L315" s="478" t="str">
        <f t="shared" si="31"/>
        <v/>
      </c>
      <c r="M315" s="478" t="str">
        <f t="shared" si="32"/>
        <v/>
      </c>
      <c r="N315" s="478" t="str">
        <f t="shared" si="33"/>
        <v/>
      </c>
      <c r="O315" s="441" t="str">
        <f t="shared" si="34"/>
        <v/>
      </c>
      <c r="P315" s="440"/>
    </row>
    <row r="316" spans="1:16" s="237" customFormat="1" ht="15" hidden="1" customHeight="1" outlineLevel="2" x14ac:dyDescent="0.25">
      <c r="A316" s="363"/>
      <c r="B316" s="915"/>
      <c r="C316" s="915"/>
      <c r="D316" s="1268"/>
      <c r="E316" s="1268"/>
      <c r="F316" s="438"/>
      <c r="G316" s="438"/>
      <c r="H316" s="1020" t="str">
        <f>IF(OR(D316="",D316="-"),"",VLOOKUP(D316,'Fatores de Emissão'!$D$217:$K$219,4,FALSE))</f>
        <v/>
      </c>
      <c r="I316" s="1111" t="str">
        <f>IF(OR(D316="",D316="-"),"",VLOOKUP(D316,'Fatores de Emissão'!$D$217:$K$219,3,FALSE))</f>
        <v/>
      </c>
      <c r="J316" s="1111" t="str">
        <f>IF(OR(D316="",D316="-"),"",VLOOKUP(D316,'Fatores de Emissão'!$D$217:$K$219,5,FALSE))</f>
        <v/>
      </c>
      <c r="K316" s="1111" t="str">
        <f>IF(OR(D316="",D316="-"),"",VLOOKUP(D316,'Fatores de Emissão'!$D$217:$K$219,7,FALSE))</f>
        <v/>
      </c>
      <c r="L316" s="478" t="str">
        <f>IF($D316="","",$F316*1.08*$G316*I316/1000)</f>
        <v/>
      </c>
      <c r="M316" s="478" t="str">
        <f>IF($D316="","",$F316*1.08*$G316*J316/1000)</f>
        <v/>
      </c>
      <c r="N316" s="478" t="str">
        <f>IF($D316="","",$F316*1.08*$G316*K316/1000)</f>
        <v/>
      </c>
      <c r="O316" s="441" t="str">
        <f t="shared" si="34"/>
        <v/>
      </c>
      <c r="P316" s="440"/>
    </row>
    <row r="317" spans="1:16" s="237" customFormat="1" ht="15" hidden="1" customHeight="1" outlineLevel="2" x14ac:dyDescent="0.25">
      <c r="A317" s="363"/>
      <c r="B317" s="915"/>
      <c r="C317" s="915"/>
      <c r="D317" s="1268"/>
      <c r="E317" s="1268"/>
      <c r="F317" s="438"/>
      <c r="G317" s="438"/>
      <c r="H317" s="1020" t="str">
        <f>IF(OR(D317="",D317="-"),"",VLOOKUP(D317,'Fatores de Emissão'!$D$217:$K$219,4,FALSE))</f>
        <v/>
      </c>
      <c r="I317" s="1111" t="str">
        <f>IF(OR(D317="",D317="-"),"",VLOOKUP(D317,'Fatores de Emissão'!$D$217:$K$219,3,FALSE))</f>
        <v/>
      </c>
      <c r="J317" s="1111" t="str">
        <f>IF(OR(D317="",D317="-"),"",VLOOKUP(D317,'Fatores de Emissão'!$D$217:$K$219,5,FALSE))</f>
        <v/>
      </c>
      <c r="K317" s="1111" t="str">
        <f>IF(OR(D317="",D317="-"),"",VLOOKUP(D317,'Fatores de Emissão'!$D$217:$K$219,7,FALSE))</f>
        <v/>
      </c>
      <c r="L317" s="478" t="str">
        <f t="shared" ref="L317:L336" si="35">IF($D317="","",$F317*1.08*$G317*I317/1000)</f>
        <v/>
      </c>
      <c r="M317" s="478" t="str">
        <f t="shared" ref="M317:M336" si="36">IF($D317="","",$F317*1.08*$G317*J317/1000)</f>
        <v/>
      </c>
      <c r="N317" s="478" t="str">
        <f t="shared" ref="N317:N336" si="37">IF($D317="","",$F317*1.08*$G317*K317/1000)</f>
        <v/>
      </c>
      <c r="O317" s="441" t="str">
        <f t="shared" si="34"/>
        <v/>
      </c>
      <c r="P317" s="440"/>
    </row>
    <row r="318" spans="1:16" s="237" customFormat="1" ht="15" hidden="1" customHeight="1" outlineLevel="2" x14ac:dyDescent="0.25">
      <c r="A318" s="363"/>
      <c r="B318" s="915"/>
      <c r="C318" s="915"/>
      <c r="D318" s="1268"/>
      <c r="E318" s="1268"/>
      <c r="F318" s="438"/>
      <c r="G318" s="438"/>
      <c r="H318" s="1020" t="str">
        <f>IF(OR(D318="",D318="-"),"",VLOOKUP(D318,'Fatores de Emissão'!$D$217:$K$219,4,FALSE))</f>
        <v/>
      </c>
      <c r="I318" s="1111" t="str">
        <f>IF(OR(D318="",D318="-"),"",VLOOKUP(D318,'Fatores de Emissão'!$D$217:$K$219,3,FALSE))</f>
        <v/>
      </c>
      <c r="J318" s="1111" t="str">
        <f>IF(OR(D318="",D318="-"),"",VLOOKUP(D318,'Fatores de Emissão'!$D$217:$K$219,5,FALSE))</f>
        <v/>
      </c>
      <c r="K318" s="1111" t="str">
        <f>IF(OR(D318="",D318="-"),"",VLOOKUP(D318,'Fatores de Emissão'!$D$217:$K$219,7,FALSE))</f>
        <v/>
      </c>
      <c r="L318" s="478" t="str">
        <f t="shared" si="35"/>
        <v/>
      </c>
      <c r="M318" s="478" t="str">
        <f t="shared" si="36"/>
        <v/>
      </c>
      <c r="N318" s="478" t="str">
        <f t="shared" si="37"/>
        <v/>
      </c>
      <c r="O318" s="441" t="str">
        <f t="shared" si="34"/>
        <v/>
      </c>
      <c r="P318" s="440"/>
    </row>
    <row r="319" spans="1:16" s="237" customFormat="1" ht="15" hidden="1" customHeight="1" outlineLevel="2" x14ac:dyDescent="0.25">
      <c r="A319" s="363"/>
      <c r="B319" s="915"/>
      <c r="C319" s="915"/>
      <c r="D319" s="1268"/>
      <c r="E319" s="1268"/>
      <c r="F319" s="438"/>
      <c r="G319" s="438"/>
      <c r="H319" s="1020" t="str">
        <f>IF(OR(D319="",D319="-"),"",VLOOKUP(D319,'Fatores de Emissão'!$D$217:$K$219,4,FALSE))</f>
        <v/>
      </c>
      <c r="I319" s="1111" t="str">
        <f>IF(OR(D319="",D319="-"),"",VLOOKUP(D319,'Fatores de Emissão'!$D$217:$K$219,3,FALSE))</f>
        <v/>
      </c>
      <c r="J319" s="1111" t="str">
        <f>IF(OR(D319="",D319="-"),"",VLOOKUP(D319,'Fatores de Emissão'!$D$217:$K$219,5,FALSE))</f>
        <v/>
      </c>
      <c r="K319" s="1111" t="str">
        <f>IF(OR(D319="",D319="-"),"",VLOOKUP(D319,'Fatores de Emissão'!$D$217:$K$219,7,FALSE))</f>
        <v/>
      </c>
      <c r="L319" s="478" t="str">
        <f t="shared" si="35"/>
        <v/>
      </c>
      <c r="M319" s="478" t="str">
        <f t="shared" si="36"/>
        <v/>
      </c>
      <c r="N319" s="478" t="str">
        <f t="shared" si="37"/>
        <v/>
      </c>
      <c r="O319" s="441" t="str">
        <f t="shared" si="34"/>
        <v/>
      </c>
      <c r="P319" s="440"/>
    </row>
    <row r="320" spans="1:16" s="237" customFormat="1" ht="15" hidden="1" customHeight="1" outlineLevel="2" x14ac:dyDescent="0.25">
      <c r="A320" s="363"/>
      <c r="B320" s="915"/>
      <c r="C320" s="915"/>
      <c r="D320" s="1268"/>
      <c r="E320" s="1268"/>
      <c r="F320" s="438"/>
      <c r="G320" s="438"/>
      <c r="H320" s="1020" t="str">
        <f>IF(OR(D320="",D320="-"),"",VLOOKUP(D320,'Fatores de Emissão'!$D$217:$K$219,4,FALSE))</f>
        <v/>
      </c>
      <c r="I320" s="1111" t="str">
        <f>IF(OR(D320="",D320="-"),"",VLOOKUP(D320,'Fatores de Emissão'!$D$217:$K$219,3,FALSE))</f>
        <v/>
      </c>
      <c r="J320" s="1111" t="str">
        <f>IF(OR(D320="",D320="-"),"",VLOOKUP(D320,'Fatores de Emissão'!$D$217:$K$219,5,FALSE))</f>
        <v/>
      </c>
      <c r="K320" s="1111" t="str">
        <f>IF(OR(D320="",D320="-"),"",VLOOKUP(D320,'Fatores de Emissão'!$D$217:$K$219,7,FALSE))</f>
        <v/>
      </c>
      <c r="L320" s="478" t="str">
        <f t="shared" si="35"/>
        <v/>
      </c>
      <c r="M320" s="478" t="str">
        <f t="shared" si="36"/>
        <v/>
      </c>
      <c r="N320" s="478" t="str">
        <f t="shared" si="37"/>
        <v/>
      </c>
      <c r="O320" s="441" t="str">
        <f t="shared" si="34"/>
        <v/>
      </c>
      <c r="P320" s="440"/>
    </row>
    <row r="321" spans="1:16" s="237" customFormat="1" ht="15" hidden="1" customHeight="1" outlineLevel="2" x14ac:dyDescent="0.25">
      <c r="A321" s="363"/>
      <c r="B321" s="915"/>
      <c r="C321" s="915"/>
      <c r="D321" s="1268"/>
      <c r="E321" s="1268"/>
      <c r="F321" s="438"/>
      <c r="G321" s="438"/>
      <c r="H321" s="1020" t="str">
        <f>IF(OR(D321="",D321="-"),"",VLOOKUP(D321,'Fatores de Emissão'!$D$217:$K$219,4,FALSE))</f>
        <v/>
      </c>
      <c r="I321" s="1111" t="str">
        <f>IF(OR(D321="",D321="-"),"",VLOOKUP(D321,'Fatores de Emissão'!$D$217:$K$219,3,FALSE))</f>
        <v/>
      </c>
      <c r="J321" s="1111" t="str">
        <f>IF(OR(D321="",D321="-"),"",VLOOKUP(D321,'Fatores de Emissão'!$D$217:$K$219,5,FALSE))</f>
        <v/>
      </c>
      <c r="K321" s="1111" t="str">
        <f>IF(OR(D321="",D321="-"),"",VLOOKUP(D321,'Fatores de Emissão'!$D$217:$K$219,7,FALSE))</f>
        <v/>
      </c>
      <c r="L321" s="478" t="str">
        <f t="shared" si="35"/>
        <v/>
      </c>
      <c r="M321" s="478" t="str">
        <f t="shared" si="36"/>
        <v/>
      </c>
      <c r="N321" s="478" t="str">
        <f t="shared" si="37"/>
        <v/>
      </c>
      <c r="O321" s="441" t="str">
        <f t="shared" si="34"/>
        <v/>
      </c>
      <c r="P321" s="440"/>
    </row>
    <row r="322" spans="1:16" s="237" customFormat="1" ht="15" hidden="1" customHeight="1" outlineLevel="2" x14ac:dyDescent="0.25">
      <c r="A322" s="363"/>
      <c r="B322" s="915"/>
      <c r="C322" s="915"/>
      <c r="D322" s="1268"/>
      <c r="E322" s="1268"/>
      <c r="F322" s="438"/>
      <c r="G322" s="438"/>
      <c r="H322" s="1020" t="str">
        <f>IF(OR(D322="",D322="-"),"",VLOOKUP(D322,'Fatores de Emissão'!$D$217:$K$219,4,FALSE))</f>
        <v/>
      </c>
      <c r="I322" s="1111" t="str">
        <f>IF(OR(D322="",D322="-"),"",VLOOKUP(D322,'Fatores de Emissão'!$D$217:$K$219,3,FALSE))</f>
        <v/>
      </c>
      <c r="J322" s="1111" t="str">
        <f>IF(OR(D322="",D322="-"),"",VLOOKUP(D322,'Fatores de Emissão'!$D$217:$K$219,5,FALSE))</f>
        <v/>
      </c>
      <c r="K322" s="1111" t="str">
        <f>IF(OR(D322="",D322="-"),"",VLOOKUP(D322,'Fatores de Emissão'!$D$217:$K$219,7,FALSE))</f>
        <v/>
      </c>
      <c r="L322" s="478" t="str">
        <f t="shared" si="35"/>
        <v/>
      </c>
      <c r="M322" s="478" t="str">
        <f t="shared" si="36"/>
        <v/>
      </c>
      <c r="N322" s="478" t="str">
        <f t="shared" si="37"/>
        <v/>
      </c>
      <c r="O322" s="441" t="str">
        <f t="shared" si="34"/>
        <v/>
      </c>
      <c r="P322" s="440"/>
    </row>
    <row r="323" spans="1:16" s="237" customFormat="1" ht="15" hidden="1" customHeight="1" outlineLevel="2" x14ac:dyDescent="0.25">
      <c r="A323" s="363"/>
      <c r="B323" s="915"/>
      <c r="C323" s="915"/>
      <c r="D323" s="1268"/>
      <c r="E323" s="1268"/>
      <c r="F323" s="438"/>
      <c r="G323" s="438"/>
      <c r="H323" s="1020" t="str">
        <f>IF(OR(D323="",D323="-"),"",VLOOKUP(D323,'Fatores de Emissão'!$D$217:$K$219,4,FALSE))</f>
        <v/>
      </c>
      <c r="I323" s="1111" t="str">
        <f>IF(OR(D323="",D323="-"),"",VLOOKUP(D323,'Fatores de Emissão'!$D$217:$K$219,3,FALSE))</f>
        <v/>
      </c>
      <c r="J323" s="1111" t="str">
        <f>IF(OR(D323="",D323="-"),"",VLOOKUP(D323,'Fatores de Emissão'!$D$217:$K$219,5,FALSE))</f>
        <v/>
      </c>
      <c r="K323" s="1111" t="str">
        <f>IF(OR(D323="",D323="-"),"",VLOOKUP(D323,'Fatores de Emissão'!$D$217:$K$219,7,FALSE))</f>
        <v/>
      </c>
      <c r="L323" s="478" t="str">
        <f t="shared" si="35"/>
        <v/>
      </c>
      <c r="M323" s="478" t="str">
        <f t="shared" si="36"/>
        <v/>
      </c>
      <c r="N323" s="478" t="str">
        <f t="shared" si="37"/>
        <v/>
      </c>
      <c r="O323" s="441" t="str">
        <f t="shared" si="34"/>
        <v/>
      </c>
      <c r="P323" s="440"/>
    </row>
    <row r="324" spans="1:16" s="237" customFormat="1" ht="15" hidden="1" customHeight="1" outlineLevel="2" x14ac:dyDescent="0.25">
      <c r="A324" s="363"/>
      <c r="B324" s="915"/>
      <c r="C324" s="915"/>
      <c r="D324" s="1268"/>
      <c r="E324" s="1268"/>
      <c r="F324" s="438"/>
      <c r="G324" s="438"/>
      <c r="H324" s="1020" t="str">
        <f>IF(OR(D324="",D324="-"),"",VLOOKUP(D324,'Fatores de Emissão'!$D$217:$K$219,4,FALSE))</f>
        <v/>
      </c>
      <c r="I324" s="1111" t="str">
        <f>IF(OR(D324="",D324="-"),"",VLOOKUP(D324,'Fatores de Emissão'!$D$217:$K$219,3,FALSE))</f>
        <v/>
      </c>
      <c r="J324" s="1111" t="str">
        <f>IF(OR(D324="",D324="-"),"",VLOOKUP(D324,'Fatores de Emissão'!$D$217:$K$219,5,FALSE))</f>
        <v/>
      </c>
      <c r="K324" s="1111" t="str">
        <f>IF(OR(D324="",D324="-"),"",VLOOKUP(D324,'Fatores de Emissão'!$D$217:$K$219,7,FALSE))</f>
        <v/>
      </c>
      <c r="L324" s="478" t="str">
        <f t="shared" si="35"/>
        <v/>
      </c>
      <c r="M324" s="478" t="str">
        <f t="shared" si="36"/>
        <v/>
      </c>
      <c r="N324" s="478" t="str">
        <f t="shared" si="37"/>
        <v/>
      </c>
      <c r="O324" s="441" t="str">
        <f t="shared" si="34"/>
        <v/>
      </c>
      <c r="P324" s="440"/>
    </row>
    <row r="325" spans="1:16" s="237" customFormat="1" ht="15" hidden="1" customHeight="1" outlineLevel="2" x14ac:dyDescent="0.25">
      <c r="A325" s="363"/>
      <c r="B325" s="915"/>
      <c r="C325" s="915"/>
      <c r="D325" s="1268"/>
      <c r="E325" s="1268"/>
      <c r="F325" s="438"/>
      <c r="G325" s="438"/>
      <c r="H325" s="1020" t="str">
        <f>IF(OR(D325="",D325="-"),"",VLOOKUP(D325,'Fatores de Emissão'!$D$217:$K$219,4,FALSE))</f>
        <v/>
      </c>
      <c r="I325" s="1111" t="str">
        <f>IF(OR(D325="",D325="-"),"",VLOOKUP(D325,'Fatores de Emissão'!$D$217:$K$219,3,FALSE))</f>
        <v/>
      </c>
      <c r="J325" s="1111" t="str">
        <f>IF(OR(D325="",D325="-"),"",VLOOKUP(D325,'Fatores de Emissão'!$D$217:$K$219,5,FALSE))</f>
        <v/>
      </c>
      <c r="K325" s="1111" t="str">
        <f>IF(OR(D325="",D325="-"),"",VLOOKUP(D325,'Fatores de Emissão'!$D$217:$K$219,7,FALSE))</f>
        <v/>
      </c>
      <c r="L325" s="478" t="str">
        <f t="shared" si="35"/>
        <v/>
      </c>
      <c r="M325" s="478" t="str">
        <f t="shared" si="36"/>
        <v/>
      </c>
      <c r="N325" s="478" t="str">
        <f t="shared" si="37"/>
        <v/>
      </c>
      <c r="O325" s="441" t="str">
        <f t="shared" si="34"/>
        <v/>
      </c>
      <c r="P325" s="440"/>
    </row>
    <row r="326" spans="1:16" s="237" customFormat="1" ht="15" hidden="1" customHeight="1" outlineLevel="2" x14ac:dyDescent="0.25">
      <c r="A326" s="363"/>
      <c r="B326" s="915"/>
      <c r="C326" s="915"/>
      <c r="D326" s="1268"/>
      <c r="E326" s="1268"/>
      <c r="F326" s="438"/>
      <c r="G326" s="438"/>
      <c r="H326" s="1020" t="str">
        <f>IF(OR(D326="",D326="-"),"",VLOOKUP(D326,'Fatores de Emissão'!$D$217:$K$219,4,FALSE))</f>
        <v/>
      </c>
      <c r="I326" s="1111" t="str">
        <f>IF(OR(D326="",D326="-"),"",VLOOKUP(D326,'Fatores de Emissão'!$D$217:$K$219,3,FALSE))</f>
        <v/>
      </c>
      <c r="J326" s="1111" t="str">
        <f>IF(OR(D326="",D326="-"),"",VLOOKUP(D326,'Fatores de Emissão'!$D$217:$K$219,5,FALSE))</f>
        <v/>
      </c>
      <c r="K326" s="1111" t="str">
        <f>IF(OR(D326="",D326="-"),"",VLOOKUP(D326,'Fatores de Emissão'!$D$217:$K$219,7,FALSE))</f>
        <v/>
      </c>
      <c r="L326" s="478" t="str">
        <f t="shared" si="35"/>
        <v/>
      </c>
      <c r="M326" s="478" t="str">
        <f t="shared" si="36"/>
        <v/>
      </c>
      <c r="N326" s="478" t="str">
        <f t="shared" si="37"/>
        <v/>
      </c>
      <c r="O326" s="441" t="str">
        <f t="shared" si="34"/>
        <v/>
      </c>
      <c r="P326" s="440"/>
    </row>
    <row r="327" spans="1:16" s="237" customFormat="1" ht="15" hidden="1" customHeight="1" outlineLevel="2" x14ac:dyDescent="0.25">
      <c r="A327" s="363"/>
      <c r="B327" s="915"/>
      <c r="C327" s="915"/>
      <c r="D327" s="1268"/>
      <c r="E327" s="1268"/>
      <c r="F327" s="438"/>
      <c r="G327" s="438"/>
      <c r="H327" s="1020" t="str">
        <f>IF(OR(D327="",D327="-"),"",VLOOKUP(D327,'Fatores de Emissão'!$D$217:$K$219,4,FALSE))</f>
        <v/>
      </c>
      <c r="I327" s="1111" t="str">
        <f>IF(OR(D327="",D327="-"),"",VLOOKUP(D327,'Fatores de Emissão'!$D$217:$K$219,3,FALSE))</f>
        <v/>
      </c>
      <c r="J327" s="1111" t="str">
        <f>IF(OR(D327="",D327="-"),"",VLOOKUP(D327,'Fatores de Emissão'!$D$217:$K$219,5,FALSE))</f>
        <v/>
      </c>
      <c r="K327" s="1111" t="str">
        <f>IF(OR(D327="",D327="-"),"",VLOOKUP(D327,'Fatores de Emissão'!$D$217:$K$219,7,FALSE))</f>
        <v/>
      </c>
      <c r="L327" s="478" t="str">
        <f t="shared" si="35"/>
        <v/>
      </c>
      <c r="M327" s="478" t="str">
        <f t="shared" si="36"/>
        <v/>
      </c>
      <c r="N327" s="478" t="str">
        <f t="shared" si="37"/>
        <v/>
      </c>
      <c r="O327" s="441" t="str">
        <f t="shared" si="34"/>
        <v/>
      </c>
      <c r="P327" s="440"/>
    </row>
    <row r="328" spans="1:16" s="237" customFormat="1" ht="15" hidden="1" customHeight="1" outlineLevel="2" x14ac:dyDescent="0.25">
      <c r="A328" s="363"/>
      <c r="B328" s="915"/>
      <c r="C328" s="915"/>
      <c r="D328" s="1268"/>
      <c r="E328" s="1268"/>
      <c r="F328" s="438"/>
      <c r="G328" s="438"/>
      <c r="H328" s="1020" t="str">
        <f>IF(OR(D328="",D328="-"),"",VLOOKUP(D328,'Fatores de Emissão'!$D$217:$K$219,4,FALSE))</f>
        <v/>
      </c>
      <c r="I328" s="1111" t="str">
        <f>IF(OR(D328="",D328="-"),"",VLOOKUP(D328,'Fatores de Emissão'!$D$217:$K$219,3,FALSE))</f>
        <v/>
      </c>
      <c r="J328" s="1111" t="str">
        <f>IF(OR(D328="",D328="-"),"",VLOOKUP(D328,'Fatores de Emissão'!$D$217:$K$219,5,FALSE))</f>
        <v/>
      </c>
      <c r="K328" s="1111" t="str">
        <f>IF(OR(D328="",D328="-"),"",VLOOKUP(D328,'Fatores de Emissão'!$D$217:$K$219,7,FALSE))</f>
        <v/>
      </c>
      <c r="L328" s="478" t="str">
        <f t="shared" si="35"/>
        <v/>
      </c>
      <c r="M328" s="478" t="str">
        <f t="shared" si="36"/>
        <v/>
      </c>
      <c r="N328" s="478" t="str">
        <f t="shared" si="37"/>
        <v/>
      </c>
      <c r="O328" s="441" t="str">
        <f t="shared" si="34"/>
        <v/>
      </c>
      <c r="P328" s="440"/>
    </row>
    <row r="329" spans="1:16" s="237" customFormat="1" ht="15" hidden="1" customHeight="1" outlineLevel="2" x14ac:dyDescent="0.25">
      <c r="A329" s="363"/>
      <c r="B329" s="915"/>
      <c r="C329" s="915"/>
      <c r="D329" s="1268"/>
      <c r="E329" s="1268"/>
      <c r="F329" s="438"/>
      <c r="G329" s="438"/>
      <c r="H329" s="1020" t="str">
        <f>IF(OR(D329="",D329="-"),"",VLOOKUP(D329,'Fatores de Emissão'!$D$217:$K$219,4,FALSE))</f>
        <v/>
      </c>
      <c r="I329" s="1111" t="str">
        <f>IF(OR(D329="",D329="-"),"",VLOOKUP(D329,'Fatores de Emissão'!$D$217:$K$219,3,FALSE))</f>
        <v/>
      </c>
      <c r="J329" s="1111" t="str">
        <f>IF(OR(D329="",D329="-"),"",VLOOKUP(D329,'Fatores de Emissão'!$D$217:$K$219,5,FALSE))</f>
        <v/>
      </c>
      <c r="K329" s="1111" t="str">
        <f>IF(OR(D329="",D329="-"),"",VLOOKUP(D329,'Fatores de Emissão'!$D$217:$K$219,7,FALSE))</f>
        <v/>
      </c>
      <c r="L329" s="478" t="str">
        <f t="shared" si="35"/>
        <v/>
      </c>
      <c r="M329" s="478" t="str">
        <f t="shared" si="36"/>
        <v/>
      </c>
      <c r="N329" s="478" t="str">
        <f t="shared" si="37"/>
        <v/>
      </c>
      <c r="O329" s="441" t="str">
        <f t="shared" si="34"/>
        <v/>
      </c>
      <c r="P329" s="440"/>
    </row>
    <row r="330" spans="1:16" s="237" customFormat="1" ht="15" hidden="1" customHeight="1" outlineLevel="2" x14ac:dyDescent="0.25">
      <c r="A330" s="363"/>
      <c r="B330" s="915"/>
      <c r="C330" s="915"/>
      <c r="D330" s="1268"/>
      <c r="E330" s="1268"/>
      <c r="F330" s="438"/>
      <c r="G330" s="438"/>
      <c r="H330" s="1020" t="str">
        <f>IF(OR(D330="",D330="-"),"",VLOOKUP(D330,'Fatores de Emissão'!$D$217:$K$219,4,FALSE))</f>
        <v/>
      </c>
      <c r="I330" s="1111" t="str">
        <f>IF(OR(D330="",D330="-"),"",VLOOKUP(D330,'Fatores de Emissão'!$D$217:$K$219,3,FALSE))</f>
        <v/>
      </c>
      <c r="J330" s="1111" t="str">
        <f>IF(OR(D330="",D330="-"),"",VLOOKUP(D330,'Fatores de Emissão'!$D$217:$K$219,5,FALSE))</f>
        <v/>
      </c>
      <c r="K330" s="1111" t="str">
        <f>IF(OR(D330="",D330="-"),"",VLOOKUP(D330,'Fatores de Emissão'!$D$217:$K$219,7,FALSE))</f>
        <v/>
      </c>
      <c r="L330" s="478" t="str">
        <f t="shared" si="35"/>
        <v/>
      </c>
      <c r="M330" s="478" t="str">
        <f t="shared" si="36"/>
        <v/>
      </c>
      <c r="N330" s="478" t="str">
        <f t="shared" si="37"/>
        <v/>
      </c>
      <c r="O330" s="441" t="str">
        <f t="shared" si="34"/>
        <v/>
      </c>
      <c r="P330" s="440"/>
    </row>
    <row r="331" spans="1:16" s="237" customFormat="1" ht="15" hidden="1" customHeight="1" outlineLevel="2" x14ac:dyDescent="0.25">
      <c r="A331" s="363"/>
      <c r="B331" s="915"/>
      <c r="C331" s="915"/>
      <c r="D331" s="1268"/>
      <c r="E331" s="1268"/>
      <c r="F331" s="438"/>
      <c r="G331" s="438"/>
      <c r="H331" s="1020" t="str">
        <f>IF(OR(D331="",D331="-"),"",VLOOKUP(D331,'Fatores de Emissão'!$D$217:$K$219,4,FALSE))</f>
        <v/>
      </c>
      <c r="I331" s="1111" t="str">
        <f>IF(OR(D331="",D331="-"),"",VLOOKUP(D331,'Fatores de Emissão'!$D$217:$K$219,3,FALSE))</f>
        <v/>
      </c>
      <c r="J331" s="1111" t="str">
        <f>IF(OR(D331="",D331="-"),"",VLOOKUP(D331,'Fatores de Emissão'!$D$217:$K$219,5,FALSE))</f>
        <v/>
      </c>
      <c r="K331" s="1111" t="str">
        <f>IF(OR(D331="",D331="-"),"",VLOOKUP(D331,'Fatores de Emissão'!$D$217:$K$219,7,FALSE))</f>
        <v/>
      </c>
      <c r="L331" s="478" t="str">
        <f t="shared" si="35"/>
        <v/>
      </c>
      <c r="M331" s="478" t="str">
        <f t="shared" si="36"/>
        <v/>
      </c>
      <c r="N331" s="478" t="str">
        <f t="shared" si="37"/>
        <v/>
      </c>
      <c r="O331" s="441" t="str">
        <f t="shared" si="34"/>
        <v/>
      </c>
      <c r="P331" s="440"/>
    </row>
    <row r="332" spans="1:16" s="237" customFormat="1" ht="15" hidden="1" customHeight="1" outlineLevel="2" x14ac:dyDescent="0.25">
      <c r="A332" s="363"/>
      <c r="B332" s="915"/>
      <c r="C332" s="915"/>
      <c r="D332" s="1268"/>
      <c r="E332" s="1268"/>
      <c r="F332" s="438"/>
      <c r="G332" s="438"/>
      <c r="H332" s="1020" t="str">
        <f>IF(OR(D332="",D332="-"),"",VLOOKUP(D332,'Fatores de Emissão'!$D$217:$K$219,4,FALSE))</f>
        <v/>
      </c>
      <c r="I332" s="1111" t="str">
        <f>IF(OR(D332="",D332="-"),"",VLOOKUP(D332,'Fatores de Emissão'!$D$217:$K$219,3,FALSE))</f>
        <v/>
      </c>
      <c r="J332" s="1111" t="str">
        <f>IF(OR(D332="",D332="-"),"",VLOOKUP(D332,'Fatores de Emissão'!$D$217:$K$219,5,FALSE))</f>
        <v/>
      </c>
      <c r="K332" s="1111" t="str">
        <f>IF(OR(D332="",D332="-"),"",VLOOKUP(D332,'Fatores de Emissão'!$D$217:$K$219,7,FALSE))</f>
        <v/>
      </c>
      <c r="L332" s="478" t="str">
        <f t="shared" si="35"/>
        <v/>
      </c>
      <c r="M332" s="478" t="str">
        <f t="shared" si="36"/>
        <v/>
      </c>
      <c r="N332" s="478" t="str">
        <f t="shared" si="37"/>
        <v/>
      </c>
      <c r="O332" s="441" t="str">
        <f t="shared" si="34"/>
        <v/>
      </c>
      <c r="P332" s="440"/>
    </row>
    <row r="333" spans="1:16" s="237" customFormat="1" ht="15" hidden="1" customHeight="1" outlineLevel="2" x14ac:dyDescent="0.25">
      <c r="A333" s="363"/>
      <c r="B333" s="915"/>
      <c r="C333" s="915"/>
      <c r="D333" s="1268"/>
      <c r="E333" s="1268"/>
      <c r="F333" s="438"/>
      <c r="G333" s="438"/>
      <c r="H333" s="1020" t="str">
        <f>IF(OR(D333="",D333="-"),"",VLOOKUP(D333,'Fatores de Emissão'!$D$217:$K$219,4,FALSE))</f>
        <v/>
      </c>
      <c r="I333" s="1111" t="str">
        <f>IF(OR(D333="",D333="-"),"",VLOOKUP(D333,'Fatores de Emissão'!$D$217:$K$219,3,FALSE))</f>
        <v/>
      </c>
      <c r="J333" s="1111" t="str">
        <f>IF(OR(D333="",D333="-"),"",VLOOKUP(D333,'Fatores de Emissão'!$D$217:$K$219,5,FALSE))</f>
        <v/>
      </c>
      <c r="K333" s="1111" t="str">
        <f>IF(OR(D333="",D333="-"),"",VLOOKUP(D333,'Fatores de Emissão'!$D$217:$K$219,7,FALSE))</f>
        <v/>
      </c>
      <c r="L333" s="478" t="str">
        <f t="shared" si="35"/>
        <v/>
      </c>
      <c r="M333" s="478" t="str">
        <f t="shared" si="36"/>
        <v/>
      </c>
      <c r="N333" s="478" t="str">
        <f t="shared" si="37"/>
        <v/>
      </c>
      <c r="O333" s="441" t="str">
        <f t="shared" si="34"/>
        <v/>
      </c>
      <c r="P333" s="440"/>
    </row>
    <row r="334" spans="1:16" s="237" customFormat="1" ht="15" hidden="1" customHeight="1" outlineLevel="2" x14ac:dyDescent="0.25">
      <c r="A334" s="363"/>
      <c r="B334" s="915"/>
      <c r="C334" s="915"/>
      <c r="D334" s="1268"/>
      <c r="E334" s="1268"/>
      <c r="F334" s="438"/>
      <c r="G334" s="438"/>
      <c r="H334" s="1020" t="str">
        <f>IF(OR(D334="",D334="-"),"",VLOOKUP(D334,'Fatores de Emissão'!$D$217:$K$219,4,FALSE))</f>
        <v/>
      </c>
      <c r="I334" s="1111" t="str">
        <f>IF(OR(D334="",D334="-"),"",VLOOKUP(D334,'Fatores de Emissão'!$D$217:$K$219,3,FALSE))</f>
        <v/>
      </c>
      <c r="J334" s="1111" t="str">
        <f>IF(OR(D334="",D334="-"),"",VLOOKUP(D334,'Fatores de Emissão'!$D$217:$K$219,5,FALSE))</f>
        <v/>
      </c>
      <c r="K334" s="1111" t="str">
        <f>IF(OR(D334="",D334="-"),"",VLOOKUP(D334,'Fatores de Emissão'!$D$217:$K$219,7,FALSE))</f>
        <v/>
      </c>
      <c r="L334" s="478" t="str">
        <f t="shared" si="35"/>
        <v/>
      </c>
      <c r="M334" s="478" t="str">
        <f t="shared" si="36"/>
        <v/>
      </c>
      <c r="N334" s="478" t="str">
        <f t="shared" si="37"/>
        <v/>
      </c>
      <c r="O334" s="441" t="str">
        <f t="shared" si="34"/>
        <v/>
      </c>
      <c r="P334" s="440"/>
    </row>
    <row r="335" spans="1:16" s="237" customFormat="1" ht="15" hidden="1" customHeight="1" outlineLevel="2" x14ac:dyDescent="0.25">
      <c r="A335" s="363"/>
      <c r="B335" s="915"/>
      <c r="C335" s="915"/>
      <c r="D335" s="1268"/>
      <c r="E335" s="1268"/>
      <c r="F335" s="438"/>
      <c r="G335" s="438"/>
      <c r="H335" s="1020" t="str">
        <f>IF(OR(D335="",D335="-"),"",VLOOKUP(D335,'Fatores de Emissão'!$D$217:$K$219,4,FALSE))</f>
        <v/>
      </c>
      <c r="I335" s="1111" t="str">
        <f>IF(OR(D335="",D335="-"),"",VLOOKUP(D335,'Fatores de Emissão'!$D$217:$K$219,3,FALSE))</f>
        <v/>
      </c>
      <c r="J335" s="1111" t="str">
        <f>IF(OR(D335="",D335="-"),"",VLOOKUP(D335,'Fatores de Emissão'!$D$217:$K$219,5,FALSE))</f>
        <v/>
      </c>
      <c r="K335" s="1111" t="str">
        <f>IF(OR(D335="",D335="-"),"",VLOOKUP(D335,'Fatores de Emissão'!$D$217:$K$219,7,FALSE))</f>
        <v/>
      </c>
      <c r="L335" s="478" t="str">
        <f t="shared" si="35"/>
        <v/>
      </c>
      <c r="M335" s="478" t="str">
        <f t="shared" si="36"/>
        <v/>
      </c>
      <c r="N335" s="478" t="str">
        <f t="shared" si="37"/>
        <v/>
      </c>
      <c r="O335" s="441" t="str">
        <f t="shared" si="34"/>
        <v/>
      </c>
      <c r="P335" s="440"/>
    </row>
    <row r="336" spans="1:16" s="237" customFormat="1" ht="15" hidden="1" customHeight="1" outlineLevel="2" x14ac:dyDescent="0.25">
      <c r="A336" s="363"/>
      <c r="B336" s="915"/>
      <c r="C336" s="915"/>
      <c r="D336" s="1268"/>
      <c r="E336" s="1268"/>
      <c r="F336" s="438"/>
      <c r="G336" s="438"/>
      <c r="H336" s="1020" t="str">
        <f>IF(OR(D336="",D336="-"),"",VLOOKUP(D336,'Fatores de Emissão'!$D$217:$K$219,4,FALSE))</f>
        <v/>
      </c>
      <c r="I336" s="1111" t="str">
        <f>IF(OR(D336="",D336="-"),"",VLOOKUP(D336,'Fatores de Emissão'!$D$217:$K$219,3,FALSE))</f>
        <v/>
      </c>
      <c r="J336" s="1111" t="str">
        <f>IF(OR(D336="",D336="-"),"",VLOOKUP(D336,'Fatores de Emissão'!$D$217:$K$219,5,FALSE))</f>
        <v/>
      </c>
      <c r="K336" s="1111" t="str">
        <f>IF(OR(D336="",D336="-"),"",VLOOKUP(D336,'Fatores de Emissão'!$D$217:$K$219,7,FALSE))</f>
        <v/>
      </c>
      <c r="L336" s="478" t="str">
        <f t="shared" si="35"/>
        <v/>
      </c>
      <c r="M336" s="478" t="str">
        <f t="shared" si="36"/>
        <v/>
      </c>
      <c r="N336" s="478" t="str">
        <f t="shared" si="37"/>
        <v/>
      </c>
      <c r="O336" s="441" t="str">
        <f t="shared" si="34"/>
        <v/>
      </c>
      <c r="P336" s="440"/>
    </row>
    <row r="337" spans="1:58" s="237" customFormat="1" ht="15" hidden="1" customHeight="1" outlineLevel="2" x14ac:dyDescent="0.25">
      <c r="A337" s="363"/>
      <c r="B337" s="915"/>
      <c r="C337" s="915"/>
      <c r="D337" s="1268"/>
      <c r="E337" s="1268"/>
      <c r="F337" s="438"/>
      <c r="G337" s="438"/>
      <c r="H337" s="1020" t="str">
        <f>IF(OR(D337="",D337="-"),"",VLOOKUP(D337,'Fatores de Emissão'!$D$217:$K$219,4,FALSE))</f>
        <v/>
      </c>
      <c r="I337" s="1111" t="str">
        <f>IF(OR(D337="",D337="-"),"",VLOOKUP(D337,'Fatores de Emissão'!$D$217:$K$219,3,FALSE))</f>
        <v/>
      </c>
      <c r="J337" s="1111" t="str">
        <f>IF(OR(D337="",D337="-"),"",VLOOKUP(D337,'Fatores de Emissão'!$D$217:$K$219,5,FALSE))</f>
        <v/>
      </c>
      <c r="K337" s="1111" t="str">
        <f>IF(OR(D337="",D337="-"),"",VLOOKUP(D337,'Fatores de Emissão'!$D$217:$K$219,7,FALSE))</f>
        <v/>
      </c>
      <c r="L337" s="478" t="str">
        <f>IF($D337="","",$F337*1.08*$G337*I337/1000)</f>
        <v/>
      </c>
      <c r="M337" s="478" t="str">
        <f>IF($D337="","",$F337*1.08*$G337*J337/1000)</f>
        <v/>
      </c>
      <c r="N337" s="478" t="str">
        <f>IF($D337="","",$F337*1.08*$G337*K337/1000)</f>
        <v/>
      </c>
      <c r="O337" s="441" t="str">
        <f t="shared" si="34"/>
        <v/>
      </c>
      <c r="P337" s="440"/>
    </row>
    <row r="338" spans="1:58" s="237" customFormat="1" ht="15" hidden="1" customHeight="1" outlineLevel="2" x14ac:dyDescent="0.25">
      <c r="A338" s="363"/>
      <c r="B338" s="915"/>
      <c r="C338" s="915"/>
      <c r="D338" s="1268"/>
      <c r="E338" s="1268"/>
      <c r="F338" s="438"/>
      <c r="G338" s="438"/>
      <c r="H338" s="1020" t="str">
        <f>IF(OR(D338="",D338="-"),"",VLOOKUP(D338,'Fatores de Emissão'!$D$217:$K$219,4,FALSE))</f>
        <v/>
      </c>
      <c r="I338" s="1111" t="str">
        <f>IF(OR(D338="",D338="-"),"",VLOOKUP(D338,'Fatores de Emissão'!$D$217:$K$219,3,FALSE))</f>
        <v/>
      </c>
      <c r="J338" s="1111" t="str">
        <f>IF(OR(D338="",D338="-"),"",VLOOKUP(D338,'Fatores de Emissão'!$D$217:$K$219,5,FALSE))</f>
        <v/>
      </c>
      <c r="K338" s="1111" t="str">
        <f>IF(OR(D338="",D338="-"),"",VLOOKUP(D338,'Fatores de Emissão'!$D$217:$K$219,7,FALSE))</f>
        <v/>
      </c>
      <c r="L338" s="478" t="str">
        <f t="shared" ref="L338:L341" si="38">IF($D338="","",$F338*1.08*$G338*I338/1000)</f>
        <v/>
      </c>
      <c r="M338" s="478" t="str">
        <f t="shared" ref="M338:M341" si="39">IF($D338="","",$F338*1.08*$G338*J338/1000)</f>
        <v/>
      </c>
      <c r="N338" s="478" t="str">
        <f t="shared" ref="N338:N341" si="40">IF($D338="","",$F338*1.08*$G338*K338/1000)</f>
        <v/>
      </c>
      <c r="O338" s="441" t="str">
        <f t="shared" si="34"/>
        <v/>
      </c>
      <c r="P338" s="440"/>
    </row>
    <row r="339" spans="1:58" s="237" customFormat="1" ht="15" hidden="1" customHeight="1" outlineLevel="2" x14ac:dyDescent="0.25">
      <c r="A339" s="363"/>
      <c r="B339" s="915"/>
      <c r="C339" s="915"/>
      <c r="D339" s="1268"/>
      <c r="E339" s="1268"/>
      <c r="F339" s="438"/>
      <c r="G339" s="438"/>
      <c r="H339" s="1020" t="str">
        <f>IF(OR(D339="",D339="-"),"",VLOOKUP(D339,'Fatores de Emissão'!$D$217:$K$219,4,FALSE))</f>
        <v/>
      </c>
      <c r="I339" s="1111" t="str">
        <f>IF(OR(D339="",D339="-"),"",VLOOKUP(D339,'Fatores de Emissão'!$D$217:$K$219,3,FALSE))</f>
        <v/>
      </c>
      <c r="J339" s="1111" t="str">
        <f>IF(OR(D339="",D339="-"),"",VLOOKUP(D339,'Fatores de Emissão'!$D$217:$K$219,5,FALSE))</f>
        <v/>
      </c>
      <c r="K339" s="1111" t="str">
        <f>IF(OR(D339="",D339="-"),"",VLOOKUP(D339,'Fatores de Emissão'!$D$217:$K$219,7,FALSE))</f>
        <v/>
      </c>
      <c r="L339" s="478" t="str">
        <f t="shared" si="38"/>
        <v/>
      </c>
      <c r="M339" s="478" t="str">
        <f t="shared" si="39"/>
        <v/>
      </c>
      <c r="N339" s="478" t="str">
        <f t="shared" si="40"/>
        <v/>
      </c>
      <c r="O339" s="441" t="str">
        <f t="shared" si="34"/>
        <v/>
      </c>
      <c r="P339" s="440"/>
    </row>
    <row r="340" spans="1:58" s="237" customFormat="1" ht="15" hidden="1" customHeight="1" outlineLevel="2" x14ac:dyDescent="0.25">
      <c r="A340" s="363"/>
      <c r="B340" s="915"/>
      <c r="C340" s="915"/>
      <c r="D340" s="1268"/>
      <c r="E340" s="1268"/>
      <c r="F340" s="438"/>
      <c r="G340" s="438"/>
      <c r="H340" s="1020" t="str">
        <f>IF(OR(D340="",D340="-"),"",VLOOKUP(D340,'Fatores de Emissão'!$D$217:$K$219,4,FALSE))</f>
        <v/>
      </c>
      <c r="I340" s="1111" t="str">
        <f>IF(OR(D340="",D340="-"),"",VLOOKUP(D340,'Fatores de Emissão'!$D$217:$K$219,3,FALSE))</f>
        <v/>
      </c>
      <c r="J340" s="1111" t="str">
        <f>IF(OR(D340="",D340="-"),"",VLOOKUP(D340,'Fatores de Emissão'!$D$217:$K$219,5,FALSE))</f>
        <v/>
      </c>
      <c r="K340" s="1111" t="str">
        <f>IF(OR(D340="",D340="-"),"",VLOOKUP(D340,'Fatores de Emissão'!$D$217:$K$219,7,FALSE))</f>
        <v/>
      </c>
      <c r="L340" s="478" t="str">
        <f t="shared" si="38"/>
        <v/>
      </c>
      <c r="M340" s="478" t="str">
        <f t="shared" si="39"/>
        <v/>
      </c>
      <c r="N340" s="478" t="str">
        <f t="shared" si="40"/>
        <v/>
      </c>
      <c r="O340" s="441" t="str">
        <f t="shared" si="34"/>
        <v/>
      </c>
      <c r="P340" s="440"/>
    </row>
    <row r="341" spans="1:58" s="237" customFormat="1" ht="15" hidden="1" customHeight="1" outlineLevel="2" x14ac:dyDescent="0.25">
      <c r="A341" s="363"/>
      <c r="B341" s="915"/>
      <c r="C341" s="915"/>
      <c r="D341" s="1268"/>
      <c r="E341" s="1268"/>
      <c r="F341" s="438"/>
      <c r="G341" s="438"/>
      <c r="H341" s="1020" t="str">
        <f>IF(OR(D341="",D341="-"),"",VLOOKUP(D341,'Fatores de Emissão'!$D$217:$K$219,4,FALSE))</f>
        <v/>
      </c>
      <c r="I341" s="1111" t="str">
        <f>IF(OR(D341="",D341="-"),"",VLOOKUP(D341,'Fatores de Emissão'!$D$217:$K$219,3,FALSE))</f>
        <v/>
      </c>
      <c r="J341" s="1111" t="str">
        <f>IF(OR(D341="",D341="-"),"",VLOOKUP(D341,'Fatores de Emissão'!$D$217:$K$219,5,FALSE))</f>
        <v/>
      </c>
      <c r="K341" s="1111" t="str">
        <f>IF(OR(D341="",D341="-"),"",VLOOKUP(D341,'Fatores de Emissão'!$D$217:$K$219,7,FALSE))</f>
        <v/>
      </c>
      <c r="L341" s="478" t="str">
        <f t="shared" si="38"/>
        <v/>
      </c>
      <c r="M341" s="478" t="str">
        <f t="shared" si="39"/>
        <v/>
      </c>
      <c r="N341" s="478" t="str">
        <f t="shared" si="40"/>
        <v/>
      </c>
      <c r="O341" s="441" t="str">
        <f t="shared" si="34"/>
        <v/>
      </c>
      <c r="P341" s="440"/>
    </row>
    <row r="342" spans="1:58" s="237" customFormat="1" ht="15" customHeight="1" outlineLevel="1" x14ac:dyDescent="0.25">
      <c r="A342" s="363"/>
      <c r="B342" s="363"/>
      <c r="C342" s="363"/>
      <c r="D342" s="363"/>
      <c r="E342" s="363"/>
      <c r="F342" s="363"/>
      <c r="G342" s="363"/>
      <c r="H342" s="363"/>
      <c r="I342" s="1278" t="s">
        <v>78</v>
      </c>
      <c r="J342" s="1279"/>
      <c r="K342" s="1280"/>
      <c r="L342" s="443">
        <f>SUM(L292:L341)</f>
        <v>0</v>
      </c>
      <c r="M342" s="443">
        <f>SUM(M292:M341)</f>
        <v>0</v>
      </c>
      <c r="N342" s="443">
        <f>SUM(N292:N341)</f>
        <v>0</v>
      </c>
      <c r="O342" s="443">
        <f>SUM(O292:O341)</f>
        <v>0</v>
      </c>
      <c r="P342" s="443">
        <f>SUM(P292:P341)</f>
        <v>0</v>
      </c>
    </row>
    <row r="343" spans="1:58" s="237" customFormat="1" ht="15" customHeight="1" x14ac:dyDescent="0.25">
      <c r="A343" s="363"/>
      <c r="B343" s="373"/>
      <c r="C343" s="373"/>
      <c r="D343" s="442"/>
      <c r="E343" s="442"/>
      <c r="F343" s="373"/>
      <c r="G343" s="373"/>
      <c r="H343" s="373"/>
      <c r="I343" s="373"/>
      <c r="J343" s="373"/>
      <c r="K343" s="373"/>
      <c r="L343" s="373"/>
      <c r="M343" s="373"/>
      <c r="N343" s="373"/>
      <c r="O343" s="373"/>
      <c r="P343" s="373"/>
      <c r="Q343" s="373"/>
      <c r="R343" s="373"/>
      <c r="S343" s="373"/>
      <c r="T343" s="373"/>
      <c r="U343" s="373"/>
      <c r="V343" s="363"/>
      <c r="W343" s="373"/>
      <c r="X343" s="373"/>
      <c r="Z343" s="373"/>
      <c r="AA343" s="373"/>
      <c r="AB343" s="373"/>
    </row>
    <row r="344" spans="1:58" s="463" customFormat="1" ht="18" customHeight="1" x14ac:dyDescent="0.3">
      <c r="A344" s="972"/>
      <c r="B344" s="973" t="s">
        <v>1893</v>
      </c>
      <c r="C344" s="974"/>
      <c r="D344" s="974"/>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c r="AL344" s="974"/>
      <c r="AM344" s="974"/>
      <c r="AN344" s="974"/>
      <c r="AO344" s="974"/>
      <c r="AP344" s="974"/>
      <c r="AQ344" s="974"/>
      <c r="AR344" s="974"/>
      <c r="AS344" s="974"/>
      <c r="AT344" s="974"/>
      <c r="AU344" s="974"/>
      <c r="AV344" s="974"/>
      <c r="AW344" s="974"/>
      <c r="AX344" s="974"/>
      <c r="AY344" s="974"/>
      <c r="AZ344" s="974"/>
      <c r="BA344" s="974"/>
      <c r="BB344" s="974"/>
      <c r="BC344" s="974"/>
      <c r="BD344" s="974"/>
      <c r="BE344" s="974"/>
      <c r="BF344" s="975"/>
    </row>
    <row r="345" spans="1:58" ht="15.75" customHeight="1" x14ac:dyDescent="0.2">
      <c r="A345" s="339"/>
      <c r="B345" s="339"/>
      <c r="C345" s="339"/>
      <c r="D345" s="339"/>
      <c r="E345" s="339"/>
      <c r="F345" s="339"/>
      <c r="G345" s="339"/>
      <c r="H345" s="339"/>
      <c r="I345" s="339"/>
      <c r="J345" s="339"/>
      <c r="K345" s="339"/>
      <c r="L345" s="339"/>
      <c r="M345" s="339"/>
      <c r="N345" s="339"/>
      <c r="O345" s="339"/>
      <c r="P345" s="339"/>
      <c r="Q345" s="339"/>
      <c r="R345" s="339"/>
      <c r="S345" s="339"/>
      <c r="T345" s="339"/>
      <c r="U345" s="339"/>
      <c r="V345" s="339"/>
      <c r="W345" s="339"/>
      <c r="X345" s="339"/>
      <c r="Y345" s="339"/>
      <c r="Z345" s="339"/>
      <c r="AA345" s="339"/>
      <c r="AB345" s="339"/>
    </row>
    <row r="346" spans="1:58" ht="15" x14ac:dyDescent="0.25">
      <c r="A346" s="339"/>
      <c r="B346" s="362" t="s">
        <v>1894</v>
      </c>
      <c r="C346" s="338"/>
      <c r="D346" s="338"/>
      <c r="E346" s="339"/>
      <c r="F346" s="339"/>
      <c r="G346" s="339"/>
      <c r="H346" s="339"/>
      <c r="I346" s="339"/>
      <c r="J346" s="339"/>
      <c r="K346" s="339"/>
      <c r="L346" s="339"/>
      <c r="M346" s="339"/>
      <c r="N346" s="339"/>
      <c r="O346" s="339"/>
      <c r="P346" s="339"/>
      <c r="Q346" s="339"/>
      <c r="R346" s="339"/>
      <c r="S346" s="339"/>
      <c r="T346" s="339"/>
      <c r="U346" s="339"/>
      <c r="V346" s="339"/>
      <c r="W346" s="339"/>
      <c r="X346" s="339"/>
      <c r="Y346" s="339"/>
      <c r="Z346" s="339"/>
      <c r="AA346" s="339"/>
      <c r="AB346" s="339"/>
    </row>
    <row r="347" spans="1:58" ht="5.0999999999999996" customHeight="1" thickBot="1" x14ac:dyDescent="0.25">
      <c r="A347" s="339"/>
      <c r="B347" s="339"/>
      <c r="C347" s="339"/>
      <c r="D347" s="339"/>
      <c r="E347" s="339"/>
      <c r="F347" s="339"/>
      <c r="G347" s="339"/>
      <c r="H347" s="339"/>
      <c r="I347" s="339"/>
      <c r="J347" s="339"/>
      <c r="K347" s="339"/>
      <c r="L347" s="339"/>
      <c r="M347" s="339"/>
      <c r="N347" s="339"/>
      <c r="O347" s="339"/>
      <c r="P347" s="339"/>
      <c r="Q347" s="339"/>
      <c r="R347" s="339"/>
      <c r="S347" s="339"/>
      <c r="T347" s="339"/>
      <c r="U347" s="339"/>
      <c r="V347" s="339"/>
      <c r="W347" s="339"/>
      <c r="X347" s="339"/>
      <c r="Y347" s="339"/>
      <c r="Z347" s="339"/>
      <c r="AA347" s="339"/>
      <c r="AB347" s="339"/>
    </row>
    <row r="348" spans="1:58" s="212" customFormat="1" ht="30" customHeight="1" thickBot="1" x14ac:dyDescent="0.3">
      <c r="A348" s="909"/>
      <c r="B348" s="963" t="s">
        <v>1407</v>
      </c>
      <c r="C348" s="977"/>
      <c r="D348" s="977"/>
      <c r="E348" s="977"/>
      <c r="F348" s="978">
        <f>SUM(total_TeD_up_rod_opcao2_CO2e,total_TeD_up_rod_opcao3_CO2e,total_TeD_up_ferro_CO2e,total_TeD_up_hidro_CO2e,total_TeD_up_aero_CO2e)</f>
        <v>0</v>
      </c>
      <c r="G348" s="979"/>
      <c r="H348" s="909"/>
      <c r="I348" s="909"/>
      <c r="J348" s="909"/>
      <c r="K348" s="909"/>
      <c r="L348" s="909"/>
      <c r="M348" s="909"/>
      <c r="N348" s="909"/>
      <c r="O348" s="909"/>
      <c r="P348" s="909"/>
      <c r="Q348" s="909"/>
      <c r="R348" s="909"/>
      <c r="S348" s="909"/>
      <c r="T348" s="909"/>
      <c r="U348" s="909"/>
      <c r="V348" s="909"/>
      <c r="W348" s="909"/>
      <c r="X348" s="909"/>
      <c r="Y348" s="909"/>
      <c r="Z348" s="909"/>
      <c r="AA348" s="909"/>
      <c r="AB348" s="909"/>
    </row>
    <row r="349" spans="1:58" s="212" customFormat="1" ht="5.0999999999999996" customHeight="1" thickBot="1" x14ac:dyDescent="0.3">
      <c r="A349" s="909"/>
      <c r="B349" s="909"/>
      <c r="C349" s="909"/>
      <c r="D349" s="909"/>
      <c r="E349" s="909"/>
      <c r="F349" s="909"/>
      <c r="G349" s="909"/>
      <c r="H349" s="909"/>
      <c r="I349" s="909"/>
      <c r="J349" s="909"/>
      <c r="K349" s="909"/>
      <c r="L349" s="909"/>
      <c r="M349" s="909"/>
      <c r="N349" s="909"/>
      <c r="O349" s="909"/>
      <c r="P349" s="909"/>
      <c r="Q349" s="909"/>
      <c r="R349" s="909"/>
      <c r="S349" s="909"/>
      <c r="T349" s="909"/>
      <c r="U349" s="909"/>
      <c r="V349" s="909"/>
      <c r="W349" s="909"/>
      <c r="X349" s="909"/>
      <c r="Y349" s="909"/>
      <c r="Z349" s="909"/>
      <c r="AA349" s="909"/>
      <c r="AB349" s="909"/>
    </row>
    <row r="350" spans="1:58" s="212" customFormat="1" ht="30" customHeight="1" thickBot="1" x14ac:dyDescent="0.3">
      <c r="A350" s="909"/>
      <c r="B350" s="410" t="s">
        <v>1504</v>
      </c>
      <c r="C350" s="944"/>
      <c r="D350" s="944"/>
      <c r="E350" s="944"/>
      <c r="F350" s="490">
        <f>SUM(total_TeD_up_rod_opcao2_CO2bio,total_TeD_up_rod_opcao3_CO2bio,total_TeD_up_ferro_CO2bio, total_TeD_up_hidro_CO2bio, total_TeD_up_aero_CO2bio)</f>
        <v>0</v>
      </c>
      <c r="G350" s="979"/>
      <c r="H350" s="909"/>
      <c r="I350" s="909"/>
      <c r="J350" s="909"/>
      <c r="K350" s="909"/>
      <c r="L350" s="909"/>
      <c r="M350" s="909"/>
      <c r="N350" s="909"/>
      <c r="O350" s="909"/>
      <c r="P350" s="909"/>
      <c r="Q350" s="909"/>
      <c r="R350" s="909"/>
      <c r="S350" s="909"/>
      <c r="T350" s="909"/>
      <c r="U350" s="909"/>
      <c r="V350" s="909"/>
      <c r="W350" s="909"/>
      <c r="X350" s="909"/>
      <c r="Y350" s="909"/>
      <c r="Z350" s="909"/>
      <c r="AA350" s="909"/>
      <c r="AB350" s="909"/>
    </row>
    <row r="351" spans="1:58" ht="15" customHeight="1" x14ac:dyDescent="0.2">
      <c r="A351" s="339"/>
      <c r="B351" s="339"/>
      <c r="C351" s="339"/>
      <c r="D351" s="339"/>
      <c r="E351" s="339"/>
      <c r="F351" s="339"/>
      <c r="G351" s="339"/>
      <c r="H351" s="339"/>
      <c r="I351" s="339"/>
      <c r="J351" s="339"/>
      <c r="K351" s="339"/>
      <c r="L351" s="339"/>
      <c r="M351" s="339"/>
      <c r="N351" s="339"/>
      <c r="O351" s="339"/>
      <c r="P351" s="339"/>
      <c r="Q351" s="339"/>
      <c r="R351" s="339"/>
      <c r="S351" s="339"/>
      <c r="T351" s="339"/>
      <c r="U351" s="339"/>
      <c r="V351" s="339"/>
      <c r="W351" s="339"/>
      <c r="X351" s="339"/>
      <c r="Y351" s="339"/>
      <c r="Z351" s="339"/>
      <c r="AA351" s="339"/>
      <c r="AB351" s="339"/>
    </row>
    <row r="352" spans="1:58" s="237" customFormat="1" ht="15" customHeight="1" x14ac:dyDescent="0.25">
      <c r="A352" s="363"/>
      <c r="B352" s="362" t="s">
        <v>97</v>
      </c>
      <c r="C352" s="363"/>
      <c r="D352" s="363"/>
      <c r="E352" s="363"/>
      <c r="F352" s="363"/>
      <c r="G352" s="363"/>
      <c r="H352" s="363"/>
      <c r="I352" s="363"/>
      <c r="J352" s="363"/>
      <c r="K352" s="363"/>
      <c r="L352" s="363"/>
      <c r="M352" s="363"/>
      <c r="N352" s="363"/>
      <c r="O352" s="363"/>
      <c r="P352" s="363"/>
      <c r="Q352" s="363"/>
      <c r="R352" s="363"/>
      <c r="S352" s="363"/>
      <c r="T352" s="363"/>
      <c r="U352" s="363"/>
      <c r="V352" s="363"/>
      <c r="W352" s="363"/>
      <c r="X352" s="363"/>
      <c r="Y352" s="363"/>
      <c r="Z352" s="363"/>
      <c r="AA352" s="363"/>
      <c r="AB352" s="363"/>
    </row>
    <row r="353" spans="1:28" s="237" customFormat="1" ht="15" customHeight="1" x14ac:dyDescent="0.35">
      <c r="A353" s="363"/>
      <c r="B353" s="491" t="s">
        <v>1528</v>
      </c>
      <c r="C353" s="363"/>
      <c r="D353" s="363"/>
      <c r="E353" s="363"/>
      <c r="F353" s="363"/>
      <c r="G353" s="363"/>
      <c r="H353" s="363"/>
      <c r="I353" s="363"/>
      <c r="J353" s="363"/>
      <c r="K353" s="363"/>
      <c r="L353" s="363"/>
      <c r="M353" s="363"/>
      <c r="N353" s="363"/>
      <c r="O353" s="363"/>
      <c r="P353" s="363"/>
      <c r="Q353" s="363"/>
      <c r="R353" s="363"/>
      <c r="S353" s="363"/>
      <c r="T353" s="363"/>
      <c r="U353" s="363"/>
      <c r="V353" s="363"/>
      <c r="W353" s="363"/>
      <c r="X353" s="363"/>
      <c r="Y353" s="363"/>
      <c r="Z353" s="363"/>
      <c r="AA353" s="363"/>
      <c r="AB353" s="363"/>
    </row>
    <row r="354" spans="1:28" ht="15" customHeight="1" x14ac:dyDescent="0.2">
      <c r="E354" s="420"/>
    </row>
    <row r="355" spans="1:28" ht="15" customHeight="1" x14ac:dyDescent="0.2"/>
    <row r="356" spans="1:28" ht="15" customHeight="1" x14ac:dyDescent="0.2"/>
    <row r="357" spans="1:28" ht="15" customHeight="1" x14ac:dyDescent="0.2"/>
    <row r="358" spans="1:28" ht="15" customHeight="1" x14ac:dyDescent="0.2"/>
    <row r="359" spans="1:28" ht="15" customHeight="1" x14ac:dyDescent="0.2"/>
    <row r="360" spans="1:28" ht="15" customHeight="1" x14ac:dyDescent="0.2"/>
    <row r="361" spans="1:28" ht="15" customHeight="1" x14ac:dyDescent="0.2"/>
    <row r="362" spans="1:28" ht="15" customHeight="1" x14ac:dyDescent="0.2"/>
    <row r="363" spans="1:28" ht="15" customHeight="1" x14ac:dyDescent="0.2"/>
    <row r="364" spans="1:28" ht="15" customHeight="1" x14ac:dyDescent="0.2"/>
    <row r="365" spans="1:28" ht="15" customHeight="1" x14ac:dyDescent="0.2"/>
    <row r="366" spans="1:28" ht="15" customHeight="1" x14ac:dyDescent="0.2"/>
    <row r="367" spans="1:28" ht="15" customHeight="1" x14ac:dyDescent="0.2"/>
    <row r="368" spans="1:2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sheetData>
  <dataConsolidate/>
  <mergeCells count="273">
    <mergeCell ref="D339:E339"/>
    <mergeCell ref="D340:E340"/>
    <mergeCell ref="D341:E341"/>
    <mergeCell ref="I342:K342"/>
    <mergeCell ref="P7:Q7"/>
    <mergeCell ref="D333:E333"/>
    <mergeCell ref="D334:E334"/>
    <mergeCell ref="D335:E335"/>
    <mergeCell ref="D336:E336"/>
    <mergeCell ref="D337:E337"/>
    <mergeCell ref="D338:E338"/>
    <mergeCell ref="D327:E327"/>
    <mergeCell ref="D328:E328"/>
    <mergeCell ref="D329:E329"/>
    <mergeCell ref="D330:E330"/>
    <mergeCell ref="D331:E331"/>
    <mergeCell ref="D332:E332"/>
    <mergeCell ref="D321:E321"/>
    <mergeCell ref="D322:E322"/>
    <mergeCell ref="D323:E323"/>
    <mergeCell ref="D324:E324"/>
    <mergeCell ref="D325:E325"/>
    <mergeCell ref="D326:E326"/>
    <mergeCell ref="D315:E315"/>
    <mergeCell ref="D316:E316"/>
    <mergeCell ref="D317:E317"/>
    <mergeCell ref="D318:E318"/>
    <mergeCell ref="D319:E319"/>
    <mergeCell ref="D320:E320"/>
    <mergeCell ref="D309:E309"/>
    <mergeCell ref="D310:E310"/>
    <mergeCell ref="D311:E311"/>
    <mergeCell ref="D312:E312"/>
    <mergeCell ref="D313:E313"/>
    <mergeCell ref="D314:E314"/>
    <mergeCell ref="D303:E303"/>
    <mergeCell ref="D304:E304"/>
    <mergeCell ref="D305:E305"/>
    <mergeCell ref="D306:E306"/>
    <mergeCell ref="D307:E307"/>
    <mergeCell ref="D308:E308"/>
    <mergeCell ref="D297:E297"/>
    <mergeCell ref="D298:E298"/>
    <mergeCell ref="D299:E299"/>
    <mergeCell ref="D300:E300"/>
    <mergeCell ref="D301:E301"/>
    <mergeCell ref="D302:E302"/>
    <mergeCell ref="D291:E291"/>
    <mergeCell ref="D292:E292"/>
    <mergeCell ref="D293:E293"/>
    <mergeCell ref="D294:E294"/>
    <mergeCell ref="D295:E295"/>
    <mergeCell ref="D296:E296"/>
    <mergeCell ref="N288:N290"/>
    <mergeCell ref="O288:O290"/>
    <mergeCell ref="P288:P290"/>
    <mergeCell ref="I288:K289"/>
    <mergeCell ref="L288:L290"/>
    <mergeCell ref="M288:M290"/>
    <mergeCell ref="F288:F290"/>
    <mergeCell ref="G288:G290"/>
    <mergeCell ref="D276:E276"/>
    <mergeCell ref="D277:E277"/>
    <mergeCell ref="D278:E278"/>
    <mergeCell ref="I279:K279"/>
    <mergeCell ref="B288:B290"/>
    <mergeCell ref="C288:C290"/>
    <mergeCell ref="D288:E290"/>
    <mergeCell ref="H288:H290"/>
    <mergeCell ref="D270:E270"/>
    <mergeCell ref="D271:E271"/>
    <mergeCell ref="D272:E272"/>
    <mergeCell ref="D273:E273"/>
    <mergeCell ref="D274:E274"/>
    <mergeCell ref="D275:E275"/>
    <mergeCell ref="D264:E264"/>
    <mergeCell ref="D265:E265"/>
    <mergeCell ref="D266:E266"/>
    <mergeCell ref="D267:E267"/>
    <mergeCell ref="D268:E268"/>
    <mergeCell ref="D269:E269"/>
    <mergeCell ref="D258:E258"/>
    <mergeCell ref="D259:E259"/>
    <mergeCell ref="D260:E260"/>
    <mergeCell ref="D261:E261"/>
    <mergeCell ref="D262:E262"/>
    <mergeCell ref="D263:E263"/>
    <mergeCell ref="D252:E252"/>
    <mergeCell ref="D253:E253"/>
    <mergeCell ref="D254:E254"/>
    <mergeCell ref="D255:E255"/>
    <mergeCell ref="D256:E256"/>
    <mergeCell ref="D257:E257"/>
    <mergeCell ref="D246:E246"/>
    <mergeCell ref="D247:E247"/>
    <mergeCell ref="D248:E248"/>
    <mergeCell ref="D249:E249"/>
    <mergeCell ref="D250:E250"/>
    <mergeCell ref="D251:E251"/>
    <mergeCell ref="D240:E240"/>
    <mergeCell ref="D241:E241"/>
    <mergeCell ref="D242:E242"/>
    <mergeCell ref="D243:E243"/>
    <mergeCell ref="D244:E244"/>
    <mergeCell ref="D245:E245"/>
    <mergeCell ref="D234:E234"/>
    <mergeCell ref="D235:E235"/>
    <mergeCell ref="D236:E236"/>
    <mergeCell ref="D237:E237"/>
    <mergeCell ref="D238:E238"/>
    <mergeCell ref="D239:E239"/>
    <mergeCell ref="D228:E228"/>
    <mergeCell ref="D229:E229"/>
    <mergeCell ref="D230:E230"/>
    <mergeCell ref="D231:E231"/>
    <mergeCell ref="D232:E232"/>
    <mergeCell ref="D233:E233"/>
    <mergeCell ref="N225:N227"/>
    <mergeCell ref="O225:O227"/>
    <mergeCell ref="P225:P227"/>
    <mergeCell ref="I225:K226"/>
    <mergeCell ref="L225:L227"/>
    <mergeCell ref="M225:M227"/>
    <mergeCell ref="D213:E213"/>
    <mergeCell ref="D214:E214"/>
    <mergeCell ref="D215:E215"/>
    <mergeCell ref="I216:K216"/>
    <mergeCell ref="B225:B227"/>
    <mergeCell ref="C225:C227"/>
    <mergeCell ref="D225:E227"/>
    <mergeCell ref="H225:H227"/>
    <mergeCell ref="F225:F227"/>
    <mergeCell ref="G225:G227"/>
    <mergeCell ref="D207:E207"/>
    <mergeCell ref="D208:E208"/>
    <mergeCell ref="D209:E209"/>
    <mergeCell ref="D210:E210"/>
    <mergeCell ref="D211:E211"/>
    <mergeCell ref="D212:E212"/>
    <mergeCell ref="D201:E201"/>
    <mergeCell ref="D202:E202"/>
    <mergeCell ref="D203:E203"/>
    <mergeCell ref="D204:E204"/>
    <mergeCell ref="D205:E205"/>
    <mergeCell ref="D206:E206"/>
    <mergeCell ref="D195:E195"/>
    <mergeCell ref="D196:E196"/>
    <mergeCell ref="D197:E197"/>
    <mergeCell ref="D198:E198"/>
    <mergeCell ref="D199:E199"/>
    <mergeCell ref="D200:E200"/>
    <mergeCell ref="D189:E189"/>
    <mergeCell ref="D190:E190"/>
    <mergeCell ref="D191:E191"/>
    <mergeCell ref="D192:E192"/>
    <mergeCell ref="D193:E193"/>
    <mergeCell ref="D194:E194"/>
    <mergeCell ref="D183:E183"/>
    <mergeCell ref="D184:E184"/>
    <mergeCell ref="D185:E185"/>
    <mergeCell ref="D186:E186"/>
    <mergeCell ref="D187:E187"/>
    <mergeCell ref="D188:E188"/>
    <mergeCell ref="D177:E177"/>
    <mergeCell ref="D178:E178"/>
    <mergeCell ref="D179:E179"/>
    <mergeCell ref="D180:E180"/>
    <mergeCell ref="D181:E181"/>
    <mergeCell ref="D182:E182"/>
    <mergeCell ref="D171:E171"/>
    <mergeCell ref="D172:E172"/>
    <mergeCell ref="D173:E173"/>
    <mergeCell ref="D174:E174"/>
    <mergeCell ref="D175:E175"/>
    <mergeCell ref="D176:E176"/>
    <mergeCell ref="D165:E165"/>
    <mergeCell ref="D166:E166"/>
    <mergeCell ref="D167:E167"/>
    <mergeCell ref="D168:E168"/>
    <mergeCell ref="D169:E169"/>
    <mergeCell ref="D170:E170"/>
    <mergeCell ref="B162:B164"/>
    <mergeCell ref="C162:C164"/>
    <mergeCell ref="D162:E164"/>
    <mergeCell ref="H162:H164"/>
    <mergeCell ref="I162:K163"/>
    <mergeCell ref="L162:L164"/>
    <mergeCell ref="M162:M164"/>
    <mergeCell ref="F162:F164"/>
    <mergeCell ref="G162:G164"/>
    <mergeCell ref="O99:O101"/>
    <mergeCell ref="K99:K101"/>
    <mergeCell ref="L99:L101"/>
    <mergeCell ref="M99:M101"/>
    <mergeCell ref="N99:N101"/>
    <mergeCell ref="G99:G101"/>
    <mergeCell ref="N162:N164"/>
    <mergeCell ref="O162:O164"/>
    <mergeCell ref="P162:P164"/>
    <mergeCell ref="I153:J153"/>
    <mergeCell ref="D91:E91"/>
    <mergeCell ref="D92:E92"/>
    <mergeCell ref="D93:E93"/>
    <mergeCell ref="H94:J94"/>
    <mergeCell ref="B99:B101"/>
    <mergeCell ref="C99:C101"/>
    <mergeCell ref="D99:D101"/>
    <mergeCell ref="E99:E101"/>
    <mergeCell ref="F99:F101"/>
    <mergeCell ref="H99:J100"/>
    <mergeCell ref="D85:E85"/>
    <mergeCell ref="D86:E86"/>
    <mergeCell ref="D87:E87"/>
    <mergeCell ref="D88:E88"/>
    <mergeCell ref="D89:E89"/>
    <mergeCell ref="D90:E90"/>
    <mergeCell ref="D79:E79"/>
    <mergeCell ref="D80:E80"/>
    <mergeCell ref="D81:E81"/>
    <mergeCell ref="D82:E82"/>
    <mergeCell ref="D83:E83"/>
    <mergeCell ref="D84:E84"/>
    <mergeCell ref="D73:E73"/>
    <mergeCell ref="D74:E74"/>
    <mergeCell ref="D75:E75"/>
    <mergeCell ref="D76:E76"/>
    <mergeCell ref="D77:E77"/>
    <mergeCell ref="D78:E78"/>
    <mergeCell ref="D67:E67"/>
    <mergeCell ref="D68:E68"/>
    <mergeCell ref="D69:E69"/>
    <mergeCell ref="D70:E70"/>
    <mergeCell ref="D71:E71"/>
    <mergeCell ref="D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B15:K17"/>
    <mergeCell ref="D13:F13"/>
    <mergeCell ref="B21:K21"/>
    <mergeCell ref="B30:J31"/>
    <mergeCell ref="F40:F42"/>
    <mergeCell ref="M40:M42"/>
    <mergeCell ref="N40:N42"/>
    <mergeCell ref="O40:O42"/>
    <mergeCell ref="B40:B42"/>
    <mergeCell ref="C40:C42"/>
    <mergeCell ref="D40:E42"/>
    <mergeCell ref="G40:G42"/>
    <mergeCell ref="H40:J41"/>
    <mergeCell ref="K40:K42"/>
    <mergeCell ref="L40:L42"/>
  </mergeCells>
  <conditionalFormatting sqref="D13">
    <cfRule type="containsText" dxfId="9349" priority="4555" operator="containsText" text="Escolha o ano do inventário na aba 'Introdução">
      <formula>NOT(ISERROR(SEARCH("Escolha o ano do inventário na aba 'Introdução",D13)))</formula>
    </cfRule>
  </conditionalFormatting>
  <conditionalFormatting sqref="D103:D153">
    <cfRule type="expression" dxfId="9348" priority="4557">
      <formula>#REF!&lt;&gt;""</formula>
    </cfRule>
  </conditionalFormatting>
  <conditionalFormatting sqref="D44">
    <cfRule type="expression" dxfId="9347" priority="4551">
      <formula>#REF!&lt;&gt;""</formula>
    </cfRule>
  </conditionalFormatting>
  <conditionalFormatting sqref="D86:D93">
    <cfRule type="expression" dxfId="9346" priority="4550">
      <formula>#REF!&lt;&gt;""</formula>
    </cfRule>
  </conditionalFormatting>
  <conditionalFormatting sqref="D45">
    <cfRule type="expression" dxfId="9345" priority="4549">
      <formula>#REF!&lt;&gt;""</formula>
    </cfRule>
  </conditionalFormatting>
  <conditionalFormatting sqref="D46:D85">
    <cfRule type="expression" dxfId="9344" priority="4548">
      <formula>#REF!&lt;&gt;""</formula>
    </cfRule>
  </conditionalFormatting>
  <conditionalFormatting sqref="D208:D216">
    <cfRule type="expression" dxfId="9343" priority="4544">
      <formula>#REF!&lt;&gt;""</formula>
    </cfRule>
  </conditionalFormatting>
  <conditionalFormatting sqref="D176:D207">
    <cfRule type="expression" dxfId="9342" priority="4542">
      <formula>#REF!&lt;&gt;""</formula>
    </cfRule>
  </conditionalFormatting>
  <conditionalFormatting sqref="D342">
    <cfRule type="expression" dxfId="9341" priority="4532">
      <formula>#REF!&lt;&gt;""</formula>
    </cfRule>
  </conditionalFormatting>
  <conditionalFormatting sqref="P7">
    <cfRule type="expression" dxfId="9340" priority="4529" stopIfTrue="1">
      <formula>NOT(ISERROR(SEARCH("ESCOLHA",P7)))</formula>
    </cfRule>
  </conditionalFormatting>
  <conditionalFormatting sqref="F44">
    <cfRule type="expression" dxfId="9339" priority="3843">
      <formula>#REF!&lt;&gt;""</formula>
    </cfRule>
    <cfRule type="expression" dxfId="9338" priority="3844">
      <formula>#REF!&lt;&gt;""</formula>
    </cfRule>
    <cfRule type="expression" dxfId="9337" priority="3845">
      <formula>#REF!&lt;&gt;""</formula>
    </cfRule>
    <cfRule type="expression" dxfId="9336" priority="3846">
      <formula>#REF!&lt;&gt;""</formula>
    </cfRule>
    <cfRule type="expression" dxfId="9335" priority="3847">
      <formula>#REF!&lt;&gt;""</formula>
    </cfRule>
    <cfRule type="expression" dxfId="9334" priority="3848">
      <formula>#REF!&lt;&gt;""</formula>
    </cfRule>
    <cfRule type="expression" dxfId="9333" priority="3849">
      <formula>#REF!&lt;&gt;""</formula>
    </cfRule>
    <cfRule type="expression" dxfId="9332" priority="3850">
      <formula>#REF!&lt;&gt;""</formula>
    </cfRule>
    <cfRule type="expression" dxfId="9331" priority="3851">
      <formula>#REF!&lt;&gt;""</formula>
    </cfRule>
    <cfRule type="expression" dxfId="9330" priority="3852">
      <formula>#REF!&lt;&gt;""</formula>
    </cfRule>
    <cfRule type="expression" dxfId="9329" priority="3853">
      <formula>#REF!&lt;&gt;""</formula>
    </cfRule>
    <cfRule type="expression" dxfId="9328" priority="3854">
      <formula>#REF!&lt;&gt;""</formula>
    </cfRule>
  </conditionalFormatting>
  <conditionalFormatting sqref="F45">
    <cfRule type="expression" dxfId="9327" priority="3830">
      <formula>#REF!&lt;&gt;""</formula>
    </cfRule>
    <cfRule type="expression" dxfId="9326" priority="3831">
      <formula>#REF!&lt;&gt;""</formula>
    </cfRule>
    <cfRule type="expression" dxfId="9325" priority="3832">
      <formula>#REF!&lt;&gt;""</formula>
    </cfRule>
    <cfRule type="expression" dxfId="9324" priority="3833">
      <formula>#REF!&lt;&gt;""</formula>
    </cfRule>
    <cfRule type="expression" dxfId="9323" priority="3834">
      <formula>#REF!&lt;&gt;""</formula>
    </cfRule>
    <cfRule type="expression" dxfId="9322" priority="3835">
      <formula>#REF!&lt;&gt;""</formula>
    </cfRule>
    <cfRule type="expression" dxfId="9321" priority="3836">
      <formula>#REF!&lt;&gt;""</formula>
    </cfRule>
    <cfRule type="expression" dxfId="9320" priority="3837">
      <formula>#REF!&lt;&gt;""</formula>
    </cfRule>
    <cfRule type="expression" dxfId="9319" priority="3838">
      <formula>#REF!&lt;&gt;""</formula>
    </cfRule>
    <cfRule type="expression" dxfId="9318" priority="3839">
      <formula>#REF!&lt;&gt;""</formula>
    </cfRule>
    <cfRule type="expression" dxfId="9317" priority="3840">
      <formula>#REF!&lt;&gt;""</formula>
    </cfRule>
    <cfRule type="expression" dxfId="9316" priority="3841">
      <formula>#REF!&lt;&gt;""</formula>
    </cfRule>
  </conditionalFormatting>
  <conditionalFormatting sqref="F46">
    <cfRule type="expression" dxfId="9315" priority="3817">
      <formula>#REF!&lt;&gt;""</formula>
    </cfRule>
    <cfRule type="expression" dxfId="9314" priority="3818">
      <formula>#REF!&lt;&gt;""</formula>
    </cfRule>
    <cfRule type="expression" dxfId="9313" priority="3819">
      <formula>#REF!&lt;&gt;""</formula>
    </cfRule>
    <cfRule type="expression" dxfId="9312" priority="3820">
      <formula>#REF!&lt;&gt;""</formula>
    </cfRule>
    <cfRule type="expression" dxfId="9311" priority="3821">
      <formula>#REF!&lt;&gt;""</formula>
    </cfRule>
    <cfRule type="expression" dxfId="9310" priority="3822">
      <formula>#REF!&lt;&gt;""</formula>
    </cfRule>
    <cfRule type="expression" dxfId="9309" priority="3823">
      <formula>#REF!&lt;&gt;""</formula>
    </cfRule>
    <cfRule type="expression" dxfId="9308" priority="3824">
      <formula>#REF!&lt;&gt;""</formula>
    </cfRule>
    <cfRule type="expression" dxfId="9307" priority="3825">
      <formula>#REF!&lt;&gt;""</formula>
    </cfRule>
    <cfRule type="expression" dxfId="9306" priority="3826">
      <formula>#REF!&lt;&gt;""</formula>
    </cfRule>
    <cfRule type="expression" dxfId="9305" priority="3827">
      <formula>#REF!&lt;&gt;""</formula>
    </cfRule>
    <cfRule type="expression" dxfId="9304" priority="3828">
      <formula>#REF!&lt;&gt;""</formula>
    </cfRule>
  </conditionalFormatting>
  <conditionalFormatting sqref="F47">
    <cfRule type="expression" dxfId="9303" priority="3804">
      <formula>#REF!&lt;&gt;""</formula>
    </cfRule>
    <cfRule type="expression" dxfId="9302" priority="3805">
      <formula>#REF!&lt;&gt;""</formula>
    </cfRule>
    <cfRule type="expression" dxfId="9301" priority="3806">
      <formula>#REF!&lt;&gt;""</formula>
    </cfRule>
    <cfRule type="expression" dxfId="9300" priority="3807">
      <formula>#REF!&lt;&gt;""</formula>
    </cfRule>
    <cfRule type="expression" dxfId="9299" priority="3808">
      <formula>#REF!&lt;&gt;""</formula>
    </cfRule>
    <cfRule type="expression" dxfId="9298" priority="3809">
      <formula>#REF!&lt;&gt;""</formula>
    </cfRule>
    <cfRule type="expression" dxfId="9297" priority="3810">
      <formula>#REF!&lt;&gt;""</formula>
    </cfRule>
    <cfRule type="expression" dxfId="9296" priority="3811">
      <formula>#REF!&lt;&gt;""</formula>
    </cfRule>
    <cfRule type="expression" dxfId="9295" priority="3812">
      <formula>#REF!&lt;&gt;""</formula>
    </cfRule>
    <cfRule type="expression" dxfId="9294" priority="3813">
      <formula>#REF!&lt;&gt;""</formula>
    </cfRule>
    <cfRule type="expression" dxfId="9293" priority="3814">
      <formula>#REF!&lt;&gt;""</formula>
    </cfRule>
    <cfRule type="expression" dxfId="9292" priority="3815">
      <formula>#REF!&lt;&gt;""</formula>
    </cfRule>
  </conditionalFormatting>
  <conditionalFormatting sqref="F48">
    <cfRule type="expression" dxfId="9291" priority="3791">
      <formula>#REF!&lt;&gt;""</formula>
    </cfRule>
    <cfRule type="expression" dxfId="9290" priority="3792">
      <formula>#REF!&lt;&gt;""</formula>
    </cfRule>
    <cfRule type="expression" dxfId="9289" priority="3793">
      <formula>#REF!&lt;&gt;""</formula>
    </cfRule>
    <cfRule type="expression" dxfId="9288" priority="3794">
      <formula>#REF!&lt;&gt;""</formula>
    </cfRule>
    <cfRule type="expression" dxfId="9287" priority="3795">
      <formula>#REF!&lt;&gt;""</formula>
    </cfRule>
    <cfRule type="expression" dxfId="9286" priority="3796">
      <formula>#REF!&lt;&gt;""</formula>
    </cfRule>
    <cfRule type="expression" dxfId="9285" priority="3797">
      <formula>#REF!&lt;&gt;""</formula>
    </cfRule>
    <cfRule type="expression" dxfId="9284" priority="3798">
      <formula>#REF!&lt;&gt;""</formula>
    </cfRule>
    <cfRule type="expression" dxfId="9283" priority="3799">
      <formula>#REF!&lt;&gt;""</formula>
    </cfRule>
    <cfRule type="expression" dxfId="9282" priority="3800">
      <formula>#REF!&lt;&gt;""</formula>
    </cfRule>
    <cfRule type="expression" dxfId="9281" priority="3801">
      <formula>#REF!&lt;&gt;""</formula>
    </cfRule>
    <cfRule type="expression" dxfId="9280" priority="3802">
      <formula>#REF!&lt;&gt;""</formula>
    </cfRule>
  </conditionalFormatting>
  <conditionalFormatting sqref="F49">
    <cfRule type="expression" dxfId="9279" priority="3778">
      <formula>#REF!&lt;&gt;""</formula>
    </cfRule>
    <cfRule type="expression" dxfId="9278" priority="3779">
      <formula>#REF!&lt;&gt;""</formula>
    </cfRule>
    <cfRule type="expression" dxfId="9277" priority="3780">
      <formula>#REF!&lt;&gt;""</formula>
    </cfRule>
    <cfRule type="expression" dxfId="9276" priority="3781">
      <formula>#REF!&lt;&gt;""</formula>
    </cfRule>
    <cfRule type="expression" dxfId="9275" priority="3782">
      <formula>#REF!&lt;&gt;""</formula>
    </cfRule>
    <cfRule type="expression" dxfId="9274" priority="3783">
      <formula>#REF!&lt;&gt;""</formula>
    </cfRule>
    <cfRule type="expression" dxfId="9273" priority="3784">
      <formula>#REF!&lt;&gt;""</formula>
    </cfRule>
    <cfRule type="expression" dxfId="9272" priority="3785">
      <formula>#REF!&lt;&gt;""</formula>
    </cfRule>
    <cfRule type="expression" dxfId="9271" priority="3786">
      <formula>#REF!&lt;&gt;""</formula>
    </cfRule>
    <cfRule type="expression" dxfId="9270" priority="3787">
      <formula>#REF!&lt;&gt;""</formula>
    </cfRule>
    <cfRule type="expression" dxfId="9269" priority="3788">
      <formula>#REF!&lt;&gt;""</formula>
    </cfRule>
    <cfRule type="expression" dxfId="9268" priority="3789">
      <formula>#REF!&lt;&gt;""</formula>
    </cfRule>
  </conditionalFormatting>
  <conditionalFormatting sqref="F50">
    <cfRule type="expression" dxfId="9267" priority="3765">
      <formula>#REF!&lt;&gt;""</formula>
    </cfRule>
    <cfRule type="expression" dxfId="9266" priority="3766">
      <formula>#REF!&lt;&gt;""</formula>
    </cfRule>
    <cfRule type="expression" dxfId="9265" priority="3767">
      <formula>#REF!&lt;&gt;""</formula>
    </cfRule>
    <cfRule type="expression" dxfId="9264" priority="3768">
      <formula>#REF!&lt;&gt;""</formula>
    </cfRule>
    <cfRule type="expression" dxfId="9263" priority="3769">
      <formula>#REF!&lt;&gt;""</formula>
    </cfRule>
    <cfRule type="expression" dxfId="9262" priority="3770">
      <formula>#REF!&lt;&gt;""</formula>
    </cfRule>
    <cfRule type="expression" dxfId="9261" priority="3771">
      <formula>#REF!&lt;&gt;""</formula>
    </cfRule>
    <cfRule type="expression" dxfId="9260" priority="3772">
      <formula>#REF!&lt;&gt;""</formula>
    </cfRule>
    <cfRule type="expression" dxfId="9259" priority="3773">
      <formula>#REF!&lt;&gt;""</formula>
    </cfRule>
    <cfRule type="expression" dxfId="9258" priority="3774">
      <formula>#REF!&lt;&gt;""</formula>
    </cfRule>
    <cfRule type="expression" dxfId="9257" priority="3775">
      <formula>#REF!&lt;&gt;""</formula>
    </cfRule>
    <cfRule type="expression" dxfId="9256" priority="3776">
      <formula>#REF!&lt;&gt;""</formula>
    </cfRule>
  </conditionalFormatting>
  <conditionalFormatting sqref="F51">
    <cfRule type="expression" dxfId="9255" priority="3752">
      <formula>#REF!&lt;&gt;""</formula>
    </cfRule>
    <cfRule type="expression" dxfId="9254" priority="3753">
      <formula>#REF!&lt;&gt;""</formula>
    </cfRule>
    <cfRule type="expression" dxfId="9253" priority="3754">
      <formula>#REF!&lt;&gt;""</formula>
    </cfRule>
    <cfRule type="expression" dxfId="9252" priority="3755">
      <formula>#REF!&lt;&gt;""</formula>
    </cfRule>
    <cfRule type="expression" dxfId="9251" priority="3756">
      <formula>#REF!&lt;&gt;""</formula>
    </cfRule>
    <cfRule type="expression" dxfId="9250" priority="3757">
      <formula>#REF!&lt;&gt;""</formula>
    </cfRule>
    <cfRule type="expression" dxfId="9249" priority="3758">
      <formula>#REF!&lt;&gt;""</formula>
    </cfRule>
    <cfRule type="expression" dxfId="9248" priority="3759">
      <formula>#REF!&lt;&gt;""</formula>
    </cfRule>
    <cfRule type="expression" dxfId="9247" priority="3760">
      <formula>#REF!&lt;&gt;""</formula>
    </cfRule>
    <cfRule type="expression" dxfId="9246" priority="3761">
      <formula>#REF!&lt;&gt;""</formula>
    </cfRule>
    <cfRule type="expression" dxfId="9245" priority="3762">
      <formula>#REF!&lt;&gt;""</formula>
    </cfRule>
    <cfRule type="expression" dxfId="9244" priority="3763">
      <formula>#REF!&lt;&gt;""</formula>
    </cfRule>
  </conditionalFormatting>
  <conditionalFormatting sqref="F52">
    <cfRule type="expression" dxfId="9243" priority="3739">
      <formula>#REF!&lt;&gt;""</formula>
    </cfRule>
    <cfRule type="expression" dxfId="9242" priority="3740">
      <formula>#REF!&lt;&gt;""</formula>
    </cfRule>
    <cfRule type="expression" dxfId="9241" priority="3741">
      <formula>#REF!&lt;&gt;""</formula>
    </cfRule>
    <cfRule type="expression" dxfId="9240" priority="3742">
      <formula>#REF!&lt;&gt;""</formula>
    </cfRule>
    <cfRule type="expression" dxfId="9239" priority="3743">
      <formula>#REF!&lt;&gt;""</formula>
    </cfRule>
    <cfRule type="expression" dxfId="9238" priority="3744">
      <formula>#REF!&lt;&gt;""</formula>
    </cfRule>
    <cfRule type="expression" dxfId="9237" priority="3745">
      <formula>#REF!&lt;&gt;""</formula>
    </cfRule>
    <cfRule type="expression" dxfId="9236" priority="3746">
      <formula>#REF!&lt;&gt;""</formula>
    </cfRule>
    <cfRule type="expression" dxfId="9235" priority="3747">
      <formula>#REF!&lt;&gt;""</formula>
    </cfRule>
    <cfRule type="expression" dxfId="9234" priority="3748">
      <formula>#REF!&lt;&gt;""</formula>
    </cfRule>
    <cfRule type="expression" dxfId="9233" priority="3749">
      <formula>#REF!&lt;&gt;""</formula>
    </cfRule>
    <cfRule type="expression" dxfId="9232" priority="3750">
      <formula>#REF!&lt;&gt;""</formula>
    </cfRule>
  </conditionalFormatting>
  <conditionalFormatting sqref="F53">
    <cfRule type="expression" dxfId="9231" priority="3726">
      <formula>#REF!&lt;&gt;""</formula>
    </cfRule>
    <cfRule type="expression" dxfId="9230" priority="3727">
      <formula>#REF!&lt;&gt;""</formula>
    </cfRule>
    <cfRule type="expression" dxfId="9229" priority="3728">
      <formula>#REF!&lt;&gt;""</formula>
    </cfRule>
    <cfRule type="expression" dxfId="9228" priority="3729">
      <formula>#REF!&lt;&gt;""</formula>
    </cfRule>
    <cfRule type="expression" dxfId="9227" priority="3730">
      <formula>#REF!&lt;&gt;""</formula>
    </cfRule>
    <cfRule type="expression" dxfId="9226" priority="3731">
      <formula>#REF!&lt;&gt;""</formula>
    </cfRule>
    <cfRule type="expression" dxfId="9225" priority="3732">
      <formula>#REF!&lt;&gt;""</formula>
    </cfRule>
    <cfRule type="expression" dxfId="9224" priority="3733">
      <formula>#REF!&lt;&gt;""</formula>
    </cfRule>
    <cfRule type="expression" dxfId="9223" priority="3734">
      <formula>#REF!&lt;&gt;""</formula>
    </cfRule>
    <cfRule type="expression" dxfId="9222" priority="3735">
      <formula>#REF!&lt;&gt;""</formula>
    </cfRule>
    <cfRule type="expression" dxfId="9221" priority="3736">
      <formula>#REF!&lt;&gt;""</formula>
    </cfRule>
    <cfRule type="expression" dxfId="9220" priority="3737">
      <formula>#REF!&lt;&gt;""</formula>
    </cfRule>
  </conditionalFormatting>
  <conditionalFormatting sqref="F54">
    <cfRule type="expression" dxfId="9219" priority="3713">
      <formula>#REF!&lt;&gt;""</formula>
    </cfRule>
    <cfRule type="expression" dxfId="9218" priority="3714">
      <formula>#REF!&lt;&gt;""</formula>
    </cfRule>
    <cfRule type="expression" dxfId="9217" priority="3715">
      <formula>#REF!&lt;&gt;""</formula>
    </cfRule>
    <cfRule type="expression" dxfId="9216" priority="3716">
      <formula>#REF!&lt;&gt;""</formula>
    </cfRule>
    <cfRule type="expression" dxfId="9215" priority="3717">
      <formula>#REF!&lt;&gt;""</formula>
    </cfRule>
    <cfRule type="expression" dxfId="9214" priority="3718">
      <formula>#REF!&lt;&gt;""</formula>
    </cfRule>
    <cfRule type="expression" dxfId="9213" priority="3719">
      <formula>#REF!&lt;&gt;""</formula>
    </cfRule>
    <cfRule type="expression" dxfId="9212" priority="3720">
      <formula>#REF!&lt;&gt;""</formula>
    </cfRule>
    <cfRule type="expression" dxfId="9211" priority="3721">
      <formula>#REF!&lt;&gt;""</formula>
    </cfRule>
    <cfRule type="expression" dxfId="9210" priority="3722">
      <formula>#REF!&lt;&gt;""</formula>
    </cfRule>
    <cfRule type="expression" dxfId="9209" priority="3723">
      <formula>#REF!&lt;&gt;""</formula>
    </cfRule>
    <cfRule type="expression" dxfId="9208" priority="3724">
      <formula>#REF!&lt;&gt;""</formula>
    </cfRule>
  </conditionalFormatting>
  <conditionalFormatting sqref="F55">
    <cfRule type="expression" dxfId="9207" priority="3700">
      <formula>#REF!&lt;&gt;""</formula>
    </cfRule>
    <cfRule type="expression" dxfId="9206" priority="3701">
      <formula>#REF!&lt;&gt;""</formula>
    </cfRule>
    <cfRule type="expression" dxfId="9205" priority="3702">
      <formula>#REF!&lt;&gt;""</formula>
    </cfRule>
    <cfRule type="expression" dxfId="9204" priority="3703">
      <formula>#REF!&lt;&gt;""</formula>
    </cfRule>
    <cfRule type="expression" dxfId="9203" priority="3704">
      <formula>#REF!&lt;&gt;""</formula>
    </cfRule>
    <cfRule type="expression" dxfId="9202" priority="3705">
      <formula>#REF!&lt;&gt;""</formula>
    </cfRule>
    <cfRule type="expression" dxfId="9201" priority="3706">
      <formula>#REF!&lt;&gt;""</formula>
    </cfRule>
    <cfRule type="expression" dxfId="9200" priority="3707">
      <formula>#REF!&lt;&gt;""</formula>
    </cfRule>
    <cfRule type="expression" dxfId="9199" priority="3708">
      <formula>#REF!&lt;&gt;""</formula>
    </cfRule>
    <cfRule type="expression" dxfId="9198" priority="3709">
      <formula>#REF!&lt;&gt;""</formula>
    </cfRule>
    <cfRule type="expression" dxfId="9197" priority="3710">
      <formula>#REF!&lt;&gt;""</formula>
    </cfRule>
    <cfRule type="expression" dxfId="9196" priority="3711">
      <formula>#REF!&lt;&gt;""</formula>
    </cfRule>
  </conditionalFormatting>
  <conditionalFormatting sqref="F56">
    <cfRule type="expression" dxfId="9195" priority="3687">
      <formula>#REF!&lt;&gt;""</formula>
    </cfRule>
    <cfRule type="expression" dxfId="9194" priority="3688">
      <formula>#REF!&lt;&gt;""</formula>
    </cfRule>
    <cfRule type="expression" dxfId="9193" priority="3689">
      <formula>#REF!&lt;&gt;""</formula>
    </cfRule>
    <cfRule type="expression" dxfId="9192" priority="3690">
      <formula>#REF!&lt;&gt;""</formula>
    </cfRule>
    <cfRule type="expression" dxfId="9191" priority="3691">
      <formula>#REF!&lt;&gt;""</formula>
    </cfRule>
    <cfRule type="expression" dxfId="9190" priority="3692">
      <formula>#REF!&lt;&gt;""</formula>
    </cfRule>
    <cfRule type="expression" dxfId="9189" priority="3693">
      <formula>#REF!&lt;&gt;""</formula>
    </cfRule>
    <cfRule type="expression" dxfId="9188" priority="3694">
      <formula>#REF!&lt;&gt;""</formula>
    </cfRule>
    <cfRule type="expression" dxfId="9187" priority="3695">
      <formula>#REF!&lt;&gt;""</formula>
    </cfRule>
    <cfRule type="expression" dxfId="9186" priority="3696">
      <formula>#REF!&lt;&gt;""</formula>
    </cfRule>
    <cfRule type="expression" dxfId="9185" priority="3697">
      <formula>#REF!&lt;&gt;""</formula>
    </cfRule>
    <cfRule type="expression" dxfId="9184" priority="3698">
      <formula>#REF!&lt;&gt;""</formula>
    </cfRule>
  </conditionalFormatting>
  <conditionalFormatting sqref="F57">
    <cfRule type="expression" dxfId="9183" priority="3674">
      <formula>#REF!&lt;&gt;""</formula>
    </cfRule>
    <cfRule type="expression" dxfId="9182" priority="3675">
      <formula>#REF!&lt;&gt;""</formula>
    </cfRule>
    <cfRule type="expression" dxfId="9181" priority="3676">
      <formula>#REF!&lt;&gt;""</formula>
    </cfRule>
    <cfRule type="expression" dxfId="9180" priority="3677">
      <formula>#REF!&lt;&gt;""</formula>
    </cfRule>
    <cfRule type="expression" dxfId="9179" priority="3678">
      <formula>#REF!&lt;&gt;""</formula>
    </cfRule>
    <cfRule type="expression" dxfId="9178" priority="3679">
      <formula>#REF!&lt;&gt;""</formula>
    </cfRule>
    <cfRule type="expression" dxfId="9177" priority="3680">
      <formula>#REF!&lt;&gt;""</formula>
    </cfRule>
    <cfRule type="expression" dxfId="9176" priority="3681">
      <formula>#REF!&lt;&gt;""</formula>
    </cfRule>
    <cfRule type="expression" dxfId="9175" priority="3682">
      <formula>#REF!&lt;&gt;""</formula>
    </cfRule>
    <cfRule type="expression" dxfId="9174" priority="3683">
      <formula>#REF!&lt;&gt;""</formula>
    </cfRule>
    <cfRule type="expression" dxfId="9173" priority="3684">
      <formula>#REF!&lt;&gt;""</formula>
    </cfRule>
    <cfRule type="expression" dxfId="9172" priority="3685">
      <formula>#REF!&lt;&gt;""</formula>
    </cfRule>
  </conditionalFormatting>
  <conditionalFormatting sqref="F58">
    <cfRule type="expression" dxfId="9171" priority="3661">
      <formula>#REF!&lt;&gt;""</formula>
    </cfRule>
    <cfRule type="expression" dxfId="9170" priority="3662">
      <formula>#REF!&lt;&gt;""</formula>
    </cfRule>
    <cfRule type="expression" dxfId="9169" priority="3663">
      <formula>#REF!&lt;&gt;""</formula>
    </cfRule>
    <cfRule type="expression" dxfId="9168" priority="3664">
      <formula>#REF!&lt;&gt;""</formula>
    </cfRule>
    <cfRule type="expression" dxfId="9167" priority="3665">
      <formula>#REF!&lt;&gt;""</formula>
    </cfRule>
    <cfRule type="expression" dxfId="9166" priority="3666">
      <formula>#REF!&lt;&gt;""</formula>
    </cfRule>
    <cfRule type="expression" dxfId="9165" priority="3667">
      <formula>#REF!&lt;&gt;""</formula>
    </cfRule>
    <cfRule type="expression" dxfId="9164" priority="3668">
      <formula>#REF!&lt;&gt;""</formula>
    </cfRule>
    <cfRule type="expression" dxfId="9163" priority="3669">
      <formula>#REF!&lt;&gt;""</formula>
    </cfRule>
    <cfRule type="expression" dxfId="9162" priority="3670">
      <formula>#REF!&lt;&gt;""</formula>
    </cfRule>
    <cfRule type="expression" dxfId="9161" priority="3671">
      <formula>#REF!&lt;&gt;""</formula>
    </cfRule>
    <cfRule type="expression" dxfId="9160" priority="3672">
      <formula>#REF!&lt;&gt;""</formula>
    </cfRule>
  </conditionalFormatting>
  <conditionalFormatting sqref="F59">
    <cfRule type="expression" dxfId="9159" priority="3648">
      <formula>#REF!&lt;&gt;""</formula>
    </cfRule>
    <cfRule type="expression" dxfId="9158" priority="3649">
      <formula>#REF!&lt;&gt;""</formula>
    </cfRule>
    <cfRule type="expression" dxfId="9157" priority="3650">
      <formula>#REF!&lt;&gt;""</formula>
    </cfRule>
    <cfRule type="expression" dxfId="9156" priority="3651">
      <formula>#REF!&lt;&gt;""</formula>
    </cfRule>
    <cfRule type="expression" dxfId="9155" priority="3652">
      <formula>#REF!&lt;&gt;""</formula>
    </cfRule>
    <cfRule type="expression" dxfId="9154" priority="3653">
      <formula>#REF!&lt;&gt;""</formula>
    </cfRule>
    <cfRule type="expression" dxfId="9153" priority="3654">
      <formula>#REF!&lt;&gt;""</formula>
    </cfRule>
    <cfRule type="expression" dxfId="9152" priority="3655">
      <formula>#REF!&lt;&gt;""</formula>
    </cfRule>
    <cfRule type="expression" dxfId="9151" priority="3656">
      <formula>#REF!&lt;&gt;""</formula>
    </cfRule>
    <cfRule type="expression" dxfId="9150" priority="3657">
      <formula>#REF!&lt;&gt;""</formula>
    </cfRule>
    <cfRule type="expression" dxfId="9149" priority="3658">
      <formula>#REF!&lt;&gt;""</formula>
    </cfRule>
    <cfRule type="expression" dxfId="9148" priority="3659">
      <formula>#REF!&lt;&gt;""</formula>
    </cfRule>
  </conditionalFormatting>
  <conditionalFormatting sqref="F60">
    <cfRule type="expression" dxfId="9147" priority="3635">
      <formula>#REF!&lt;&gt;""</formula>
    </cfRule>
    <cfRule type="expression" dxfId="9146" priority="3636">
      <formula>#REF!&lt;&gt;""</formula>
    </cfRule>
    <cfRule type="expression" dxfId="9145" priority="3637">
      <formula>#REF!&lt;&gt;""</formula>
    </cfRule>
    <cfRule type="expression" dxfId="9144" priority="3638">
      <formula>#REF!&lt;&gt;""</formula>
    </cfRule>
    <cfRule type="expression" dxfId="9143" priority="3639">
      <formula>#REF!&lt;&gt;""</formula>
    </cfRule>
    <cfRule type="expression" dxfId="9142" priority="3640">
      <formula>#REF!&lt;&gt;""</formula>
    </cfRule>
    <cfRule type="expression" dxfId="9141" priority="3641">
      <formula>#REF!&lt;&gt;""</formula>
    </cfRule>
    <cfRule type="expression" dxfId="9140" priority="3642">
      <formula>#REF!&lt;&gt;""</formula>
    </cfRule>
    <cfRule type="expression" dxfId="9139" priority="3643">
      <formula>#REF!&lt;&gt;""</formula>
    </cfRule>
    <cfRule type="expression" dxfId="9138" priority="3644">
      <formula>#REF!&lt;&gt;""</formula>
    </cfRule>
    <cfRule type="expression" dxfId="9137" priority="3645">
      <formula>#REF!&lt;&gt;""</formula>
    </cfRule>
    <cfRule type="expression" dxfId="9136" priority="3646">
      <formula>#REF!&lt;&gt;""</formula>
    </cfRule>
  </conditionalFormatting>
  <conditionalFormatting sqref="F61">
    <cfRule type="expression" dxfId="9135" priority="3622">
      <formula>#REF!&lt;&gt;""</formula>
    </cfRule>
    <cfRule type="expression" dxfId="9134" priority="3623">
      <formula>#REF!&lt;&gt;""</formula>
    </cfRule>
    <cfRule type="expression" dxfId="9133" priority="3624">
      <formula>#REF!&lt;&gt;""</formula>
    </cfRule>
    <cfRule type="expression" dxfId="9132" priority="3625">
      <formula>#REF!&lt;&gt;""</formula>
    </cfRule>
    <cfRule type="expression" dxfId="9131" priority="3626">
      <formula>#REF!&lt;&gt;""</formula>
    </cfRule>
    <cfRule type="expression" dxfId="9130" priority="3627">
      <formula>#REF!&lt;&gt;""</formula>
    </cfRule>
    <cfRule type="expression" dxfId="9129" priority="3628">
      <formula>#REF!&lt;&gt;""</formula>
    </cfRule>
    <cfRule type="expression" dxfId="9128" priority="3629">
      <formula>#REF!&lt;&gt;""</formula>
    </cfRule>
    <cfRule type="expression" dxfId="9127" priority="3630">
      <formula>#REF!&lt;&gt;""</formula>
    </cfRule>
    <cfRule type="expression" dxfId="9126" priority="3631">
      <formula>#REF!&lt;&gt;""</formula>
    </cfRule>
    <cfRule type="expression" dxfId="9125" priority="3632">
      <formula>#REF!&lt;&gt;""</formula>
    </cfRule>
    <cfRule type="expression" dxfId="9124" priority="3633">
      <formula>#REF!&lt;&gt;""</formula>
    </cfRule>
  </conditionalFormatting>
  <conditionalFormatting sqref="F62">
    <cfRule type="expression" dxfId="9123" priority="3609">
      <formula>#REF!&lt;&gt;""</formula>
    </cfRule>
    <cfRule type="expression" dxfId="9122" priority="3610">
      <formula>#REF!&lt;&gt;""</formula>
    </cfRule>
    <cfRule type="expression" dxfId="9121" priority="3611">
      <formula>#REF!&lt;&gt;""</formula>
    </cfRule>
    <cfRule type="expression" dxfId="9120" priority="3612">
      <formula>#REF!&lt;&gt;""</formula>
    </cfRule>
    <cfRule type="expression" dxfId="9119" priority="3613">
      <formula>#REF!&lt;&gt;""</formula>
    </cfRule>
    <cfRule type="expression" dxfId="9118" priority="3614">
      <formula>#REF!&lt;&gt;""</formula>
    </cfRule>
    <cfRule type="expression" dxfId="9117" priority="3615">
      <formula>#REF!&lt;&gt;""</formula>
    </cfRule>
    <cfRule type="expression" dxfId="9116" priority="3616">
      <formula>#REF!&lt;&gt;""</formula>
    </cfRule>
    <cfRule type="expression" dxfId="9115" priority="3617">
      <formula>#REF!&lt;&gt;""</formula>
    </cfRule>
    <cfRule type="expression" dxfId="9114" priority="3618">
      <formula>#REF!&lt;&gt;""</formula>
    </cfRule>
    <cfRule type="expression" dxfId="9113" priority="3619">
      <formula>#REF!&lt;&gt;""</formula>
    </cfRule>
    <cfRule type="expression" dxfId="9112" priority="3620">
      <formula>#REF!&lt;&gt;""</formula>
    </cfRule>
  </conditionalFormatting>
  <conditionalFormatting sqref="F63">
    <cfRule type="expression" dxfId="9111" priority="3596">
      <formula>#REF!&lt;&gt;""</formula>
    </cfRule>
    <cfRule type="expression" dxfId="9110" priority="3597">
      <formula>#REF!&lt;&gt;""</formula>
    </cfRule>
    <cfRule type="expression" dxfId="9109" priority="3598">
      <formula>#REF!&lt;&gt;""</formula>
    </cfRule>
    <cfRule type="expression" dxfId="9108" priority="3599">
      <formula>#REF!&lt;&gt;""</formula>
    </cfRule>
    <cfRule type="expression" dxfId="9107" priority="3600">
      <formula>#REF!&lt;&gt;""</formula>
    </cfRule>
    <cfRule type="expression" dxfId="9106" priority="3601">
      <formula>#REF!&lt;&gt;""</formula>
    </cfRule>
    <cfRule type="expression" dxfId="9105" priority="3602">
      <formula>#REF!&lt;&gt;""</formula>
    </cfRule>
    <cfRule type="expression" dxfId="9104" priority="3603">
      <formula>#REF!&lt;&gt;""</formula>
    </cfRule>
    <cfRule type="expression" dxfId="9103" priority="3604">
      <formula>#REF!&lt;&gt;""</formula>
    </cfRule>
    <cfRule type="expression" dxfId="9102" priority="3605">
      <formula>#REF!&lt;&gt;""</formula>
    </cfRule>
    <cfRule type="expression" dxfId="9101" priority="3606">
      <formula>#REF!&lt;&gt;""</formula>
    </cfRule>
    <cfRule type="expression" dxfId="9100" priority="3607">
      <formula>#REF!&lt;&gt;""</formula>
    </cfRule>
  </conditionalFormatting>
  <conditionalFormatting sqref="F64">
    <cfRule type="expression" dxfId="9099" priority="3583">
      <formula>#REF!&lt;&gt;""</formula>
    </cfRule>
    <cfRule type="expression" dxfId="9098" priority="3584">
      <formula>#REF!&lt;&gt;""</formula>
    </cfRule>
    <cfRule type="expression" dxfId="9097" priority="3585">
      <formula>#REF!&lt;&gt;""</formula>
    </cfRule>
    <cfRule type="expression" dxfId="9096" priority="3586">
      <formula>#REF!&lt;&gt;""</formula>
    </cfRule>
    <cfRule type="expression" dxfId="9095" priority="3587">
      <formula>#REF!&lt;&gt;""</formula>
    </cfRule>
    <cfRule type="expression" dxfId="9094" priority="3588">
      <formula>#REF!&lt;&gt;""</formula>
    </cfRule>
    <cfRule type="expression" dxfId="9093" priority="3589">
      <formula>#REF!&lt;&gt;""</formula>
    </cfRule>
    <cfRule type="expression" dxfId="9092" priority="3590">
      <formula>#REF!&lt;&gt;""</formula>
    </cfRule>
    <cfRule type="expression" dxfId="9091" priority="3591">
      <formula>#REF!&lt;&gt;""</formula>
    </cfRule>
    <cfRule type="expression" dxfId="9090" priority="3592">
      <formula>#REF!&lt;&gt;""</formula>
    </cfRule>
    <cfRule type="expression" dxfId="9089" priority="3593">
      <formula>#REF!&lt;&gt;""</formula>
    </cfRule>
    <cfRule type="expression" dxfId="9088" priority="3594">
      <formula>#REF!&lt;&gt;""</formula>
    </cfRule>
  </conditionalFormatting>
  <conditionalFormatting sqref="F65">
    <cfRule type="expression" dxfId="9087" priority="3570">
      <formula>#REF!&lt;&gt;""</formula>
    </cfRule>
    <cfRule type="expression" dxfId="9086" priority="3571">
      <formula>#REF!&lt;&gt;""</formula>
    </cfRule>
    <cfRule type="expression" dxfId="9085" priority="3572">
      <formula>#REF!&lt;&gt;""</formula>
    </cfRule>
    <cfRule type="expression" dxfId="9084" priority="3573">
      <formula>#REF!&lt;&gt;""</formula>
    </cfRule>
    <cfRule type="expression" dxfId="9083" priority="3574">
      <formula>#REF!&lt;&gt;""</formula>
    </cfRule>
    <cfRule type="expression" dxfId="9082" priority="3575">
      <formula>#REF!&lt;&gt;""</formula>
    </cfRule>
    <cfRule type="expression" dxfId="9081" priority="3576">
      <formula>#REF!&lt;&gt;""</formula>
    </cfRule>
    <cfRule type="expression" dxfId="9080" priority="3577">
      <formula>#REF!&lt;&gt;""</formula>
    </cfRule>
    <cfRule type="expression" dxfId="9079" priority="3578">
      <formula>#REF!&lt;&gt;""</formula>
    </cfRule>
    <cfRule type="expression" dxfId="9078" priority="3579">
      <formula>#REF!&lt;&gt;""</formula>
    </cfRule>
    <cfRule type="expression" dxfId="9077" priority="3580">
      <formula>#REF!&lt;&gt;""</formula>
    </cfRule>
    <cfRule type="expression" dxfId="9076" priority="3581">
      <formula>#REF!&lt;&gt;""</formula>
    </cfRule>
  </conditionalFormatting>
  <conditionalFormatting sqref="F66">
    <cfRule type="expression" dxfId="9075" priority="3557">
      <formula>#REF!&lt;&gt;""</formula>
    </cfRule>
    <cfRule type="expression" dxfId="9074" priority="3558">
      <formula>#REF!&lt;&gt;""</formula>
    </cfRule>
    <cfRule type="expression" dxfId="9073" priority="3559">
      <formula>#REF!&lt;&gt;""</formula>
    </cfRule>
    <cfRule type="expression" dxfId="9072" priority="3560">
      <formula>#REF!&lt;&gt;""</formula>
    </cfRule>
    <cfRule type="expression" dxfId="9071" priority="3561">
      <formula>#REF!&lt;&gt;""</formula>
    </cfRule>
    <cfRule type="expression" dxfId="9070" priority="3562">
      <formula>#REF!&lt;&gt;""</formula>
    </cfRule>
    <cfRule type="expression" dxfId="9069" priority="3563">
      <formula>#REF!&lt;&gt;""</formula>
    </cfRule>
    <cfRule type="expression" dxfId="9068" priority="3564">
      <formula>#REF!&lt;&gt;""</formula>
    </cfRule>
    <cfRule type="expression" dxfId="9067" priority="3565">
      <formula>#REF!&lt;&gt;""</formula>
    </cfRule>
    <cfRule type="expression" dxfId="9066" priority="3566">
      <formula>#REF!&lt;&gt;""</formula>
    </cfRule>
    <cfRule type="expression" dxfId="9065" priority="3567">
      <formula>#REF!&lt;&gt;""</formula>
    </cfRule>
    <cfRule type="expression" dxfId="9064" priority="3568">
      <formula>#REF!&lt;&gt;""</formula>
    </cfRule>
  </conditionalFormatting>
  <conditionalFormatting sqref="F67">
    <cfRule type="expression" dxfId="9063" priority="3544">
      <formula>#REF!&lt;&gt;""</formula>
    </cfRule>
    <cfRule type="expression" dxfId="9062" priority="3545">
      <formula>#REF!&lt;&gt;""</formula>
    </cfRule>
    <cfRule type="expression" dxfId="9061" priority="3546">
      <formula>#REF!&lt;&gt;""</formula>
    </cfRule>
    <cfRule type="expression" dxfId="9060" priority="3547">
      <formula>#REF!&lt;&gt;""</formula>
    </cfRule>
    <cfRule type="expression" dxfId="9059" priority="3548">
      <formula>#REF!&lt;&gt;""</formula>
    </cfRule>
    <cfRule type="expression" dxfId="9058" priority="3549">
      <formula>#REF!&lt;&gt;""</formula>
    </cfRule>
    <cfRule type="expression" dxfId="9057" priority="3550">
      <formula>#REF!&lt;&gt;""</formula>
    </cfRule>
    <cfRule type="expression" dxfId="9056" priority="3551">
      <formula>#REF!&lt;&gt;""</formula>
    </cfRule>
    <cfRule type="expression" dxfId="9055" priority="3552">
      <formula>#REF!&lt;&gt;""</formula>
    </cfRule>
    <cfRule type="expression" dxfId="9054" priority="3553">
      <formula>#REF!&lt;&gt;""</formula>
    </cfRule>
    <cfRule type="expression" dxfId="9053" priority="3554">
      <formula>#REF!&lt;&gt;""</formula>
    </cfRule>
    <cfRule type="expression" dxfId="9052" priority="3555">
      <formula>#REF!&lt;&gt;""</formula>
    </cfRule>
  </conditionalFormatting>
  <conditionalFormatting sqref="F68">
    <cfRule type="expression" dxfId="9051" priority="3531">
      <formula>#REF!&lt;&gt;""</formula>
    </cfRule>
    <cfRule type="expression" dxfId="9050" priority="3532">
      <formula>#REF!&lt;&gt;""</formula>
    </cfRule>
    <cfRule type="expression" dxfId="9049" priority="3533">
      <formula>#REF!&lt;&gt;""</formula>
    </cfRule>
    <cfRule type="expression" dxfId="9048" priority="3534">
      <formula>#REF!&lt;&gt;""</formula>
    </cfRule>
    <cfRule type="expression" dxfId="9047" priority="3535">
      <formula>#REF!&lt;&gt;""</formula>
    </cfRule>
    <cfRule type="expression" dxfId="9046" priority="3536">
      <formula>#REF!&lt;&gt;""</formula>
    </cfRule>
    <cfRule type="expression" dxfId="9045" priority="3537">
      <formula>#REF!&lt;&gt;""</formula>
    </cfRule>
    <cfRule type="expression" dxfId="9044" priority="3538">
      <formula>#REF!&lt;&gt;""</formula>
    </cfRule>
    <cfRule type="expression" dxfId="9043" priority="3539">
      <formula>#REF!&lt;&gt;""</formula>
    </cfRule>
    <cfRule type="expression" dxfId="9042" priority="3540">
      <formula>#REF!&lt;&gt;""</formula>
    </cfRule>
    <cfRule type="expression" dxfId="9041" priority="3541">
      <formula>#REF!&lt;&gt;""</formula>
    </cfRule>
    <cfRule type="expression" dxfId="9040" priority="3542">
      <formula>#REF!&lt;&gt;""</formula>
    </cfRule>
  </conditionalFormatting>
  <conditionalFormatting sqref="F69">
    <cfRule type="expression" dxfId="9039" priority="3518">
      <formula>#REF!&lt;&gt;""</formula>
    </cfRule>
    <cfRule type="expression" dxfId="9038" priority="3519">
      <formula>#REF!&lt;&gt;""</formula>
    </cfRule>
    <cfRule type="expression" dxfId="9037" priority="3520">
      <formula>#REF!&lt;&gt;""</formula>
    </cfRule>
    <cfRule type="expression" dxfId="9036" priority="3521">
      <formula>#REF!&lt;&gt;""</formula>
    </cfRule>
    <cfRule type="expression" dxfId="9035" priority="3522">
      <formula>#REF!&lt;&gt;""</formula>
    </cfRule>
    <cfRule type="expression" dxfId="9034" priority="3523">
      <formula>#REF!&lt;&gt;""</formula>
    </cfRule>
    <cfRule type="expression" dxfId="9033" priority="3524">
      <formula>#REF!&lt;&gt;""</formula>
    </cfRule>
    <cfRule type="expression" dxfId="9032" priority="3525">
      <formula>#REF!&lt;&gt;""</formula>
    </cfRule>
    <cfRule type="expression" dxfId="9031" priority="3526">
      <formula>#REF!&lt;&gt;""</formula>
    </cfRule>
    <cfRule type="expression" dxfId="9030" priority="3527">
      <formula>#REF!&lt;&gt;""</formula>
    </cfRule>
    <cfRule type="expression" dxfId="9029" priority="3528">
      <formula>#REF!&lt;&gt;""</formula>
    </cfRule>
    <cfRule type="expression" dxfId="9028" priority="3529">
      <formula>#REF!&lt;&gt;""</formula>
    </cfRule>
  </conditionalFormatting>
  <conditionalFormatting sqref="F70">
    <cfRule type="expression" dxfId="9027" priority="3505">
      <formula>#REF!&lt;&gt;""</formula>
    </cfRule>
    <cfRule type="expression" dxfId="9026" priority="3506">
      <formula>#REF!&lt;&gt;""</formula>
    </cfRule>
    <cfRule type="expression" dxfId="9025" priority="3507">
      <formula>#REF!&lt;&gt;""</formula>
    </cfRule>
    <cfRule type="expression" dxfId="9024" priority="3508">
      <formula>#REF!&lt;&gt;""</formula>
    </cfRule>
    <cfRule type="expression" dxfId="9023" priority="3509">
      <formula>#REF!&lt;&gt;""</formula>
    </cfRule>
    <cfRule type="expression" dxfId="9022" priority="3510">
      <formula>#REF!&lt;&gt;""</formula>
    </cfRule>
    <cfRule type="expression" dxfId="9021" priority="3511">
      <formula>#REF!&lt;&gt;""</formula>
    </cfRule>
    <cfRule type="expression" dxfId="9020" priority="3512">
      <formula>#REF!&lt;&gt;""</formula>
    </cfRule>
    <cfRule type="expression" dxfId="9019" priority="3513">
      <formula>#REF!&lt;&gt;""</formula>
    </cfRule>
    <cfRule type="expression" dxfId="9018" priority="3514">
      <formula>#REF!&lt;&gt;""</formula>
    </cfRule>
    <cfRule type="expression" dxfId="9017" priority="3515">
      <formula>#REF!&lt;&gt;""</formula>
    </cfRule>
    <cfRule type="expression" dxfId="9016" priority="3516">
      <formula>#REF!&lt;&gt;""</formula>
    </cfRule>
  </conditionalFormatting>
  <conditionalFormatting sqref="F71">
    <cfRule type="expression" dxfId="9015" priority="3492">
      <formula>#REF!&lt;&gt;""</formula>
    </cfRule>
    <cfRule type="expression" dxfId="9014" priority="3493">
      <formula>#REF!&lt;&gt;""</formula>
    </cfRule>
    <cfRule type="expression" dxfId="9013" priority="3494">
      <formula>#REF!&lt;&gt;""</formula>
    </cfRule>
    <cfRule type="expression" dxfId="9012" priority="3495">
      <formula>#REF!&lt;&gt;""</formula>
    </cfRule>
    <cfRule type="expression" dxfId="9011" priority="3496">
      <formula>#REF!&lt;&gt;""</formula>
    </cfRule>
    <cfRule type="expression" dxfId="9010" priority="3497">
      <formula>#REF!&lt;&gt;""</formula>
    </cfRule>
    <cfRule type="expression" dxfId="9009" priority="3498">
      <formula>#REF!&lt;&gt;""</formula>
    </cfRule>
    <cfRule type="expression" dxfId="9008" priority="3499">
      <formula>#REF!&lt;&gt;""</formula>
    </cfRule>
    <cfRule type="expression" dxfId="9007" priority="3500">
      <formula>#REF!&lt;&gt;""</formula>
    </cfRule>
    <cfRule type="expression" dxfId="9006" priority="3501">
      <formula>#REF!&lt;&gt;""</formula>
    </cfRule>
    <cfRule type="expression" dxfId="9005" priority="3502">
      <formula>#REF!&lt;&gt;""</formula>
    </cfRule>
    <cfRule type="expression" dxfId="9004" priority="3503">
      <formula>#REF!&lt;&gt;""</formula>
    </cfRule>
  </conditionalFormatting>
  <conditionalFormatting sqref="F72">
    <cfRule type="expression" dxfId="9003" priority="3479">
      <formula>#REF!&lt;&gt;""</formula>
    </cfRule>
    <cfRule type="expression" dxfId="9002" priority="3480">
      <formula>#REF!&lt;&gt;""</formula>
    </cfRule>
    <cfRule type="expression" dxfId="9001" priority="3481">
      <formula>#REF!&lt;&gt;""</formula>
    </cfRule>
    <cfRule type="expression" dxfId="9000" priority="3482">
      <formula>#REF!&lt;&gt;""</formula>
    </cfRule>
    <cfRule type="expression" dxfId="8999" priority="3483">
      <formula>#REF!&lt;&gt;""</formula>
    </cfRule>
    <cfRule type="expression" dxfId="8998" priority="3484">
      <formula>#REF!&lt;&gt;""</formula>
    </cfRule>
    <cfRule type="expression" dxfId="8997" priority="3485">
      <formula>#REF!&lt;&gt;""</formula>
    </cfRule>
    <cfRule type="expression" dxfId="8996" priority="3486">
      <formula>#REF!&lt;&gt;""</formula>
    </cfRule>
    <cfRule type="expression" dxfId="8995" priority="3487">
      <formula>#REF!&lt;&gt;""</formula>
    </cfRule>
    <cfRule type="expression" dxfId="8994" priority="3488">
      <formula>#REF!&lt;&gt;""</formula>
    </cfRule>
    <cfRule type="expression" dxfId="8993" priority="3489">
      <formula>#REF!&lt;&gt;""</formula>
    </cfRule>
    <cfRule type="expression" dxfId="8992" priority="3490">
      <formula>#REF!&lt;&gt;""</formula>
    </cfRule>
  </conditionalFormatting>
  <conditionalFormatting sqref="F73">
    <cfRule type="expression" dxfId="8991" priority="3466">
      <formula>#REF!&lt;&gt;""</formula>
    </cfRule>
    <cfRule type="expression" dxfId="8990" priority="3467">
      <formula>#REF!&lt;&gt;""</formula>
    </cfRule>
    <cfRule type="expression" dxfId="8989" priority="3468">
      <formula>#REF!&lt;&gt;""</formula>
    </cfRule>
    <cfRule type="expression" dxfId="8988" priority="3469">
      <formula>#REF!&lt;&gt;""</formula>
    </cfRule>
    <cfRule type="expression" dxfId="8987" priority="3470">
      <formula>#REF!&lt;&gt;""</formula>
    </cfRule>
    <cfRule type="expression" dxfId="8986" priority="3471">
      <formula>#REF!&lt;&gt;""</formula>
    </cfRule>
    <cfRule type="expression" dxfId="8985" priority="3472">
      <formula>#REF!&lt;&gt;""</formula>
    </cfRule>
    <cfRule type="expression" dxfId="8984" priority="3473">
      <formula>#REF!&lt;&gt;""</formula>
    </cfRule>
    <cfRule type="expression" dxfId="8983" priority="3474">
      <formula>#REF!&lt;&gt;""</formula>
    </cfRule>
    <cfRule type="expression" dxfId="8982" priority="3475">
      <formula>#REF!&lt;&gt;""</formula>
    </cfRule>
    <cfRule type="expression" dxfId="8981" priority="3476">
      <formula>#REF!&lt;&gt;""</formula>
    </cfRule>
    <cfRule type="expression" dxfId="8980" priority="3477">
      <formula>#REF!&lt;&gt;""</formula>
    </cfRule>
  </conditionalFormatting>
  <conditionalFormatting sqref="F74">
    <cfRule type="expression" dxfId="8979" priority="3453">
      <formula>#REF!&lt;&gt;""</formula>
    </cfRule>
    <cfRule type="expression" dxfId="8978" priority="3454">
      <formula>#REF!&lt;&gt;""</formula>
    </cfRule>
    <cfRule type="expression" dxfId="8977" priority="3455">
      <formula>#REF!&lt;&gt;""</formula>
    </cfRule>
    <cfRule type="expression" dxfId="8976" priority="3456">
      <formula>#REF!&lt;&gt;""</formula>
    </cfRule>
    <cfRule type="expression" dxfId="8975" priority="3457">
      <formula>#REF!&lt;&gt;""</formula>
    </cfRule>
    <cfRule type="expression" dxfId="8974" priority="3458">
      <formula>#REF!&lt;&gt;""</formula>
    </cfRule>
    <cfRule type="expression" dxfId="8973" priority="3459">
      <formula>#REF!&lt;&gt;""</formula>
    </cfRule>
    <cfRule type="expression" dxfId="8972" priority="3460">
      <formula>#REF!&lt;&gt;""</formula>
    </cfRule>
    <cfRule type="expression" dxfId="8971" priority="3461">
      <formula>#REF!&lt;&gt;""</formula>
    </cfRule>
    <cfRule type="expression" dxfId="8970" priority="3462">
      <formula>#REF!&lt;&gt;""</formula>
    </cfRule>
    <cfRule type="expression" dxfId="8969" priority="3463">
      <formula>#REF!&lt;&gt;""</formula>
    </cfRule>
    <cfRule type="expression" dxfId="8968" priority="3464">
      <formula>#REF!&lt;&gt;""</formula>
    </cfRule>
  </conditionalFormatting>
  <conditionalFormatting sqref="F75">
    <cfRule type="expression" dxfId="8967" priority="3440">
      <formula>#REF!&lt;&gt;""</formula>
    </cfRule>
    <cfRule type="expression" dxfId="8966" priority="3441">
      <formula>#REF!&lt;&gt;""</formula>
    </cfRule>
    <cfRule type="expression" dxfId="8965" priority="3442">
      <formula>#REF!&lt;&gt;""</formula>
    </cfRule>
    <cfRule type="expression" dxfId="8964" priority="3443">
      <formula>#REF!&lt;&gt;""</formula>
    </cfRule>
    <cfRule type="expression" dxfId="8963" priority="3444">
      <formula>#REF!&lt;&gt;""</formula>
    </cfRule>
    <cfRule type="expression" dxfId="8962" priority="3445">
      <formula>#REF!&lt;&gt;""</formula>
    </cfRule>
    <cfRule type="expression" dxfId="8961" priority="3446">
      <formula>#REF!&lt;&gt;""</formula>
    </cfRule>
    <cfRule type="expression" dxfId="8960" priority="3447">
      <formula>#REF!&lt;&gt;""</formula>
    </cfRule>
    <cfRule type="expression" dxfId="8959" priority="3448">
      <formula>#REF!&lt;&gt;""</formula>
    </cfRule>
    <cfRule type="expression" dxfId="8958" priority="3449">
      <formula>#REF!&lt;&gt;""</formula>
    </cfRule>
    <cfRule type="expression" dxfId="8957" priority="3450">
      <formula>#REF!&lt;&gt;""</formula>
    </cfRule>
    <cfRule type="expression" dxfId="8956" priority="3451">
      <formula>#REF!&lt;&gt;""</formula>
    </cfRule>
  </conditionalFormatting>
  <conditionalFormatting sqref="F76">
    <cfRule type="expression" dxfId="8955" priority="3427">
      <formula>#REF!&lt;&gt;""</formula>
    </cfRule>
    <cfRule type="expression" dxfId="8954" priority="3428">
      <formula>#REF!&lt;&gt;""</formula>
    </cfRule>
    <cfRule type="expression" dxfId="8953" priority="3429">
      <formula>#REF!&lt;&gt;""</formula>
    </cfRule>
    <cfRule type="expression" dxfId="8952" priority="3430">
      <formula>#REF!&lt;&gt;""</formula>
    </cfRule>
    <cfRule type="expression" dxfId="8951" priority="3431">
      <formula>#REF!&lt;&gt;""</formula>
    </cfRule>
    <cfRule type="expression" dxfId="8950" priority="3432">
      <formula>#REF!&lt;&gt;""</formula>
    </cfRule>
    <cfRule type="expression" dxfId="8949" priority="3433">
      <formula>#REF!&lt;&gt;""</formula>
    </cfRule>
    <cfRule type="expression" dxfId="8948" priority="3434">
      <formula>#REF!&lt;&gt;""</formula>
    </cfRule>
    <cfRule type="expression" dxfId="8947" priority="3435">
      <formula>#REF!&lt;&gt;""</formula>
    </cfRule>
    <cfRule type="expression" dxfId="8946" priority="3436">
      <formula>#REF!&lt;&gt;""</formula>
    </cfRule>
    <cfRule type="expression" dxfId="8945" priority="3437">
      <formula>#REF!&lt;&gt;""</formula>
    </cfRule>
    <cfRule type="expression" dxfId="8944" priority="3438">
      <formula>#REF!&lt;&gt;""</formula>
    </cfRule>
  </conditionalFormatting>
  <conditionalFormatting sqref="F77">
    <cfRule type="expression" dxfId="8943" priority="3414">
      <formula>#REF!&lt;&gt;""</formula>
    </cfRule>
    <cfRule type="expression" dxfId="8942" priority="3415">
      <formula>#REF!&lt;&gt;""</formula>
    </cfRule>
    <cfRule type="expression" dxfId="8941" priority="3416">
      <formula>#REF!&lt;&gt;""</formula>
    </cfRule>
    <cfRule type="expression" dxfId="8940" priority="3417">
      <formula>#REF!&lt;&gt;""</formula>
    </cfRule>
    <cfRule type="expression" dxfId="8939" priority="3418">
      <formula>#REF!&lt;&gt;""</formula>
    </cfRule>
    <cfRule type="expression" dxfId="8938" priority="3419">
      <formula>#REF!&lt;&gt;""</formula>
    </cfRule>
    <cfRule type="expression" dxfId="8937" priority="3420">
      <formula>#REF!&lt;&gt;""</formula>
    </cfRule>
    <cfRule type="expression" dxfId="8936" priority="3421">
      <formula>#REF!&lt;&gt;""</formula>
    </cfRule>
    <cfRule type="expression" dxfId="8935" priority="3422">
      <formula>#REF!&lt;&gt;""</formula>
    </cfRule>
    <cfRule type="expression" dxfId="8934" priority="3423">
      <formula>#REF!&lt;&gt;""</formula>
    </cfRule>
    <cfRule type="expression" dxfId="8933" priority="3424">
      <formula>#REF!&lt;&gt;""</formula>
    </cfRule>
    <cfRule type="expression" dxfId="8932" priority="3425">
      <formula>#REF!&lt;&gt;""</formula>
    </cfRule>
  </conditionalFormatting>
  <conditionalFormatting sqref="F78">
    <cfRule type="expression" dxfId="8931" priority="3401">
      <formula>#REF!&lt;&gt;""</formula>
    </cfRule>
    <cfRule type="expression" dxfId="8930" priority="3402">
      <formula>#REF!&lt;&gt;""</formula>
    </cfRule>
    <cfRule type="expression" dxfId="8929" priority="3403">
      <formula>#REF!&lt;&gt;""</formula>
    </cfRule>
    <cfRule type="expression" dxfId="8928" priority="3404">
      <formula>#REF!&lt;&gt;""</formula>
    </cfRule>
    <cfRule type="expression" dxfId="8927" priority="3405">
      <formula>#REF!&lt;&gt;""</formula>
    </cfRule>
    <cfRule type="expression" dxfId="8926" priority="3406">
      <formula>#REF!&lt;&gt;""</formula>
    </cfRule>
    <cfRule type="expression" dxfId="8925" priority="3407">
      <formula>#REF!&lt;&gt;""</formula>
    </cfRule>
    <cfRule type="expression" dxfId="8924" priority="3408">
      <formula>#REF!&lt;&gt;""</formula>
    </cfRule>
    <cfRule type="expression" dxfId="8923" priority="3409">
      <formula>#REF!&lt;&gt;""</formula>
    </cfRule>
    <cfRule type="expression" dxfId="8922" priority="3410">
      <formula>#REF!&lt;&gt;""</formula>
    </cfRule>
    <cfRule type="expression" dxfId="8921" priority="3411">
      <formula>#REF!&lt;&gt;""</formula>
    </cfRule>
    <cfRule type="expression" dxfId="8920" priority="3412">
      <formula>#REF!&lt;&gt;""</formula>
    </cfRule>
  </conditionalFormatting>
  <conditionalFormatting sqref="F79">
    <cfRule type="expression" dxfId="8919" priority="3388">
      <formula>#REF!&lt;&gt;""</formula>
    </cfRule>
    <cfRule type="expression" dxfId="8918" priority="3389">
      <formula>#REF!&lt;&gt;""</formula>
    </cfRule>
    <cfRule type="expression" dxfId="8917" priority="3390">
      <formula>#REF!&lt;&gt;""</formula>
    </cfRule>
    <cfRule type="expression" dxfId="8916" priority="3391">
      <formula>#REF!&lt;&gt;""</formula>
    </cfRule>
    <cfRule type="expression" dxfId="8915" priority="3392">
      <formula>#REF!&lt;&gt;""</formula>
    </cfRule>
    <cfRule type="expression" dxfId="8914" priority="3393">
      <formula>#REF!&lt;&gt;""</formula>
    </cfRule>
    <cfRule type="expression" dxfId="8913" priority="3394">
      <formula>#REF!&lt;&gt;""</formula>
    </cfRule>
    <cfRule type="expression" dxfId="8912" priority="3395">
      <formula>#REF!&lt;&gt;""</formula>
    </cfRule>
    <cfRule type="expression" dxfId="8911" priority="3396">
      <formula>#REF!&lt;&gt;""</formula>
    </cfRule>
    <cfRule type="expression" dxfId="8910" priority="3397">
      <formula>#REF!&lt;&gt;""</formula>
    </cfRule>
    <cfRule type="expression" dxfId="8909" priority="3398">
      <formula>#REF!&lt;&gt;""</formula>
    </cfRule>
    <cfRule type="expression" dxfId="8908" priority="3399">
      <formula>#REF!&lt;&gt;""</formula>
    </cfRule>
  </conditionalFormatting>
  <conditionalFormatting sqref="F80">
    <cfRule type="expression" dxfId="8907" priority="3375">
      <formula>#REF!&lt;&gt;""</formula>
    </cfRule>
    <cfRule type="expression" dxfId="8906" priority="3376">
      <formula>#REF!&lt;&gt;""</formula>
    </cfRule>
    <cfRule type="expression" dxfId="8905" priority="3377">
      <formula>#REF!&lt;&gt;""</formula>
    </cfRule>
    <cfRule type="expression" dxfId="8904" priority="3378">
      <formula>#REF!&lt;&gt;""</formula>
    </cfRule>
    <cfRule type="expression" dxfId="8903" priority="3379">
      <formula>#REF!&lt;&gt;""</formula>
    </cfRule>
    <cfRule type="expression" dxfId="8902" priority="3380">
      <formula>#REF!&lt;&gt;""</formula>
    </cfRule>
    <cfRule type="expression" dxfId="8901" priority="3381">
      <formula>#REF!&lt;&gt;""</formula>
    </cfRule>
    <cfRule type="expression" dxfId="8900" priority="3382">
      <formula>#REF!&lt;&gt;""</formula>
    </cfRule>
    <cfRule type="expression" dxfId="8899" priority="3383">
      <formula>#REF!&lt;&gt;""</formula>
    </cfRule>
    <cfRule type="expression" dxfId="8898" priority="3384">
      <formula>#REF!&lt;&gt;""</formula>
    </cfRule>
    <cfRule type="expression" dxfId="8897" priority="3385">
      <formula>#REF!&lt;&gt;""</formula>
    </cfRule>
    <cfRule type="expression" dxfId="8896" priority="3386">
      <formula>#REF!&lt;&gt;""</formula>
    </cfRule>
  </conditionalFormatting>
  <conditionalFormatting sqref="F81">
    <cfRule type="expression" dxfId="8895" priority="3362">
      <formula>#REF!&lt;&gt;""</formula>
    </cfRule>
    <cfRule type="expression" dxfId="8894" priority="3363">
      <formula>#REF!&lt;&gt;""</formula>
    </cfRule>
    <cfRule type="expression" dxfId="8893" priority="3364">
      <formula>#REF!&lt;&gt;""</formula>
    </cfRule>
    <cfRule type="expression" dxfId="8892" priority="3365">
      <formula>#REF!&lt;&gt;""</formula>
    </cfRule>
    <cfRule type="expression" dxfId="8891" priority="3366">
      <formula>#REF!&lt;&gt;""</formula>
    </cfRule>
    <cfRule type="expression" dxfId="8890" priority="3367">
      <formula>#REF!&lt;&gt;""</formula>
    </cfRule>
    <cfRule type="expression" dxfId="8889" priority="3368">
      <formula>#REF!&lt;&gt;""</formula>
    </cfRule>
    <cfRule type="expression" dxfId="8888" priority="3369">
      <formula>#REF!&lt;&gt;""</formula>
    </cfRule>
    <cfRule type="expression" dxfId="8887" priority="3370">
      <formula>#REF!&lt;&gt;""</formula>
    </cfRule>
    <cfRule type="expression" dxfId="8886" priority="3371">
      <formula>#REF!&lt;&gt;""</formula>
    </cfRule>
    <cfRule type="expression" dxfId="8885" priority="3372">
      <formula>#REF!&lt;&gt;""</formula>
    </cfRule>
    <cfRule type="expression" dxfId="8884" priority="3373">
      <formula>#REF!&lt;&gt;""</formula>
    </cfRule>
  </conditionalFormatting>
  <conditionalFormatting sqref="F82">
    <cfRule type="expression" dxfId="8883" priority="3349">
      <formula>#REF!&lt;&gt;""</formula>
    </cfRule>
    <cfRule type="expression" dxfId="8882" priority="3350">
      <formula>#REF!&lt;&gt;""</formula>
    </cfRule>
    <cfRule type="expression" dxfId="8881" priority="3351">
      <formula>#REF!&lt;&gt;""</formula>
    </cfRule>
    <cfRule type="expression" dxfId="8880" priority="3352">
      <formula>#REF!&lt;&gt;""</formula>
    </cfRule>
    <cfRule type="expression" dxfId="8879" priority="3353">
      <formula>#REF!&lt;&gt;""</formula>
    </cfRule>
    <cfRule type="expression" dxfId="8878" priority="3354">
      <formula>#REF!&lt;&gt;""</formula>
    </cfRule>
    <cfRule type="expression" dxfId="8877" priority="3355">
      <formula>#REF!&lt;&gt;""</formula>
    </cfRule>
    <cfRule type="expression" dxfId="8876" priority="3356">
      <formula>#REF!&lt;&gt;""</formula>
    </cfRule>
    <cfRule type="expression" dxfId="8875" priority="3357">
      <formula>#REF!&lt;&gt;""</formula>
    </cfRule>
    <cfRule type="expression" dxfId="8874" priority="3358">
      <formula>#REF!&lt;&gt;""</formula>
    </cfRule>
    <cfRule type="expression" dxfId="8873" priority="3359">
      <formula>#REF!&lt;&gt;""</formula>
    </cfRule>
    <cfRule type="expression" dxfId="8872" priority="3360">
      <formula>#REF!&lt;&gt;""</formula>
    </cfRule>
  </conditionalFormatting>
  <conditionalFormatting sqref="F83">
    <cfRule type="expression" dxfId="8871" priority="3336">
      <formula>#REF!&lt;&gt;""</formula>
    </cfRule>
    <cfRule type="expression" dxfId="8870" priority="3337">
      <formula>#REF!&lt;&gt;""</formula>
    </cfRule>
    <cfRule type="expression" dxfId="8869" priority="3338">
      <formula>#REF!&lt;&gt;""</formula>
    </cfRule>
    <cfRule type="expression" dxfId="8868" priority="3339">
      <formula>#REF!&lt;&gt;""</formula>
    </cfRule>
    <cfRule type="expression" dxfId="8867" priority="3340">
      <formula>#REF!&lt;&gt;""</formula>
    </cfRule>
    <cfRule type="expression" dxfId="8866" priority="3341">
      <formula>#REF!&lt;&gt;""</formula>
    </cfRule>
    <cfRule type="expression" dxfId="8865" priority="3342">
      <formula>#REF!&lt;&gt;""</formula>
    </cfRule>
    <cfRule type="expression" dxfId="8864" priority="3343">
      <formula>#REF!&lt;&gt;""</formula>
    </cfRule>
    <cfRule type="expression" dxfId="8863" priority="3344">
      <formula>#REF!&lt;&gt;""</formula>
    </cfRule>
    <cfRule type="expression" dxfId="8862" priority="3345">
      <formula>#REF!&lt;&gt;""</formula>
    </cfRule>
    <cfRule type="expression" dxfId="8861" priority="3346">
      <formula>#REF!&lt;&gt;""</formula>
    </cfRule>
    <cfRule type="expression" dxfId="8860" priority="3347">
      <formula>#REF!&lt;&gt;""</formula>
    </cfRule>
  </conditionalFormatting>
  <conditionalFormatting sqref="F84">
    <cfRule type="expression" dxfId="8859" priority="3323">
      <formula>#REF!&lt;&gt;""</formula>
    </cfRule>
    <cfRule type="expression" dxfId="8858" priority="3324">
      <formula>#REF!&lt;&gt;""</formula>
    </cfRule>
    <cfRule type="expression" dxfId="8857" priority="3325">
      <formula>#REF!&lt;&gt;""</formula>
    </cfRule>
    <cfRule type="expression" dxfId="8856" priority="3326">
      <formula>#REF!&lt;&gt;""</formula>
    </cfRule>
    <cfRule type="expression" dxfId="8855" priority="3327">
      <formula>#REF!&lt;&gt;""</formula>
    </cfRule>
    <cfRule type="expression" dxfId="8854" priority="3328">
      <formula>#REF!&lt;&gt;""</formula>
    </cfRule>
    <cfRule type="expression" dxfId="8853" priority="3329">
      <formula>#REF!&lt;&gt;""</formula>
    </cfRule>
    <cfRule type="expression" dxfId="8852" priority="3330">
      <formula>#REF!&lt;&gt;""</formula>
    </cfRule>
    <cfRule type="expression" dxfId="8851" priority="3331">
      <formula>#REF!&lt;&gt;""</formula>
    </cfRule>
    <cfRule type="expression" dxfId="8850" priority="3332">
      <formula>#REF!&lt;&gt;""</formula>
    </cfRule>
    <cfRule type="expression" dxfId="8849" priority="3333">
      <formula>#REF!&lt;&gt;""</formula>
    </cfRule>
    <cfRule type="expression" dxfId="8848" priority="3334">
      <formula>#REF!&lt;&gt;""</formula>
    </cfRule>
  </conditionalFormatting>
  <conditionalFormatting sqref="F85">
    <cfRule type="expression" dxfId="8847" priority="3310">
      <formula>#REF!&lt;&gt;""</formula>
    </cfRule>
    <cfRule type="expression" dxfId="8846" priority="3311">
      <formula>#REF!&lt;&gt;""</formula>
    </cfRule>
    <cfRule type="expression" dxfId="8845" priority="3312">
      <formula>#REF!&lt;&gt;""</formula>
    </cfRule>
    <cfRule type="expression" dxfId="8844" priority="3313">
      <formula>#REF!&lt;&gt;""</formula>
    </cfRule>
    <cfRule type="expression" dxfId="8843" priority="3314">
      <formula>#REF!&lt;&gt;""</formula>
    </cfRule>
    <cfRule type="expression" dxfId="8842" priority="3315">
      <formula>#REF!&lt;&gt;""</formula>
    </cfRule>
    <cfRule type="expression" dxfId="8841" priority="3316">
      <formula>#REF!&lt;&gt;""</formula>
    </cfRule>
    <cfRule type="expression" dxfId="8840" priority="3317">
      <formula>#REF!&lt;&gt;""</formula>
    </cfRule>
    <cfRule type="expression" dxfId="8839" priority="3318">
      <formula>#REF!&lt;&gt;""</formula>
    </cfRule>
    <cfRule type="expression" dxfId="8838" priority="3319">
      <formula>#REF!&lt;&gt;""</formula>
    </cfRule>
    <cfRule type="expression" dxfId="8837" priority="3320">
      <formula>#REF!&lt;&gt;""</formula>
    </cfRule>
    <cfRule type="expression" dxfId="8836" priority="3321">
      <formula>#REF!&lt;&gt;""</formula>
    </cfRule>
  </conditionalFormatting>
  <conditionalFormatting sqref="F86">
    <cfRule type="expression" dxfId="8835" priority="3297">
      <formula>#REF!&lt;&gt;""</formula>
    </cfRule>
    <cfRule type="expression" dxfId="8834" priority="3298">
      <formula>#REF!&lt;&gt;""</formula>
    </cfRule>
    <cfRule type="expression" dxfId="8833" priority="3299">
      <formula>#REF!&lt;&gt;""</formula>
    </cfRule>
    <cfRule type="expression" dxfId="8832" priority="3300">
      <formula>#REF!&lt;&gt;""</formula>
    </cfRule>
    <cfRule type="expression" dxfId="8831" priority="3301">
      <formula>#REF!&lt;&gt;""</formula>
    </cfRule>
    <cfRule type="expression" dxfId="8830" priority="3302">
      <formula>#REF!&lt;&gt;""</formula>
    </cfRule>
    <cfRule type="expression" dxfId="8829" priority="3303">
      <formula>#REF!&lt;&gt;""</formula>
    </cfRule>
    <cfRule type="expression" dxfId="8828" priority="3304">
      <formula>#REF!&lt;&gt;""</formula>
    </cfRule>
    <cfRule type="expression" dxfId="8827" priority="3305">
      <formula>#REF!&lt;&gt;""</formula>
    </cfRule>
    <cfRule type="expression" dxfId="8826" priority="3306">
      <formula>#REF!&lt;&gt;""</formula>
    </cfRule>
    <cfRule type="expression" dxfId="8825" priority="3307">
      <formula>#REF!&lt;&gt;""</formula>
    </cfRule>
    <cfRule type="expression" dxfId="8824" priority="3308">
      <formula>#REF!&lt;&gt;""</formula>
    </cfRule>
  </conditionalFormatting>
  <conditionalFormatting sqref="F87">
    <cfRule type="expression" dxfId="8823" priority="3284">
      <formula>#REF!&lt;&gt;""</formula>
    </cfRule>
    <cfRule type="expression" dxfId="8822" priority="3285">
      <formula>#REF!&lt;&gt;""</formula>
    </cfRule>
    <cfRule type="expression" dxfId="8821" priority="3286">
      <formula>#REF!&lt;&gt;""</formula>
    </cfRule>
    <cfRule type="expression" dxfId="8820" priority="3287">
      <formula>#REF!&lt;&gt;""</formula>
    </cfRule>
    <cfRule type="expression" dxfId="8819" priority="3288">
      <formula>#REF!&lt;&gt;""</formula>
    </cfRule>
    <cfRule type="expression" dxfId="8818" priority="3289">
      <formula>#REF!&lt;&gt;""</formula>
    </cfRule>
    <cfRule type="expression" dxfId="8817" priority="3290">
      <formula>#REF!&lt;&gt;""</formula>
    </cfRule>
    <cfRule type="expression" dxfId="8816" priority="3291">
      <formula>#REF!&lt;&gt;""</formula>
    </cfRule>
    <cfRule type="expression" dxfId="8815" priority="3292">
      <formula>#REF!&lt;&gt;""</formula>
    </cfRule>
    <cfRule type="expression" dxfId="8814" priority="3293">
      <formula>#REF!&lt;&gt;""</formula>
    </cfRule>
    <cfRule type="expression" dxfId="8813" priority="3294">
      <formula>#REF!&lt;&gt;""</formula>
    </cfRule>
    <cfRule type="expression" dxfId="8812" priority="3295">
      <formula>#REF!&lt;&gt;""</formula>
    </cfRule>
  </conditionalFormatting>
  <conditionalFormatting sqref="F88">
    <cfRule type="expression" dxfId="8811" priority="3271">
      <formula>#REF!&lt;&gt;""</formula>
    </cfRule>
    <cfRule type="expression" dxfId="8810" priority="3272">
      <formula>#REF!&lt;&gt;""</formula>
    </cfRule>
    <cfRule type="expression" dxfId="8809" priority="3273">
      <formula>#REF!&lt;&gt;""</formula>
    </cfRule>
    <cfRule type="expression" dxfId="8808" priority="3274">
      <formula>#REF!&lt;&gt;""</formula>
    </cfRule>
    <cfRule type="expression" dxfId="8807" priority="3275">
      <formula>#REF!&lt;&gt;""</formula>
    </cfRule>
    <cfRule type="expression" dxfId="8806" priority="3276">
      <formula>#REF!&lt;&gt;""</formula>
    </cfRule>
    <cfRule type="expression" dxfId="8805" priority="3277">
      <formula>#REF!&lt;&gt;""</formula>
    </cfRule>
    <cfRule type="expression" dxfId="8804" priority="3278">
      <formula>#REF!&lt;&gt;""</formula>
    </cfRule>
    <cfRule type="expression" dxfId="8803" priority="3279">
      <formula>#REF!&lt;&gt;""</formula>
    </cfRule>
    <cfRule type="expression" dxfId="8802" priority="3280">
      <formula>#REF!&lt;&gt;""</formula>
    </cfRule>
    <cfRule type="expression" dxfId="8801" priority="3281">
      <formula>#REF!&lt;&gt;""</formula>
    </cfRule>
    <cfRule type="expression" dxfId="8800" priority="3282">
      <formula>#REF!&lt;&gt;""</formula>
    </cfRule>
  </conditionalFormatting>
  <conditionalFormatting sqref="F89">
    <cfRule type="expression" dxfId="8799" priority="3258">
      <formula>#REF!&lt;&gt;""</formula>
    </cfRule>
    <cfRule type="expression" dxfId="8798" priority="3259">
      <formula>#REF!&lt;&gt;""</formula>
    </cfRule>
    <cfRule type="expression" dxfId="8797" priority="3260">
      <formula>#REF!&lt;&gt;""</formula>
    </cfRule>
    <cfRule type="expression" dxfId="8796" priority="3261">
      <formula>#REF!&lt;&gt;""</formula>
    </cfRule>
    <cfRule type="expression" dxfId="8795" priority="3262">
      <formula>#REF!&lt;&gt;""</formula>
    </cfRule>
    <cfRule type="expression" dxfId="8794" priority="3263">
      <formula>#REF!&lt;&gt;""</formula>
    </cfRule>
    <cfRule type="expression" dxfId="8793" priority="3264">
      <formula>#REF!&lt;&gt;""</formula>
    </cfRule>
    <cfRule type="expression" dxfId="8792" priority="3265">
      <formula>#REF!&lt;&gt;""</formula>
    </cfRule>
    <cfRule type="expression" dxfId="8791" priority="3266">
      <formula>#REF!&lt;&gt;""</formula>
    </cfRule>
    <cfRule type="expression" dxfId="8790" priority="3267">
      <formula>#REF!&lt;&gt;""</formula>
    </cfRule>
    <cfRule type="expression" dxfId="8789" priority="3268">
      <formula>#REF!&lt;&gt;""</formula>
    </cfRule>
    <cfRule type="expression" dxfId="8788" priority="3269">
      <formula>#REF!&lt;&gt;""</formula>
    </cfRule>
  </conditionalFormatting>
  <conditionalFormatting sqref="F90">
    <cfRule type="expression" dxfId="8787" priority="3245">
      <formula>#REF!&lt;&gt;""</formula>
    </cfRule>
    <cfRule type="expression" dxfId="8786" priority="3246">
      <formula>#REF!&lt;&gt;""</formula>
    </cfRule>
    <cfRule type="expression" dxfId="8785" priority="3247">
      <formula>#REF!&lt;&gt;""</formula>
    </cfRule>
    <cfRule type="expression" dxfId="8784" priority="3248">
      <formula>#REF!&lt;&gt;""</formula>
    </cfRule>
    <cfRule type="expression" dxfId="8783" priority="3249">
      <formula>#REF!&lt;&gt;""</formula>
    </cfRule>
    <cfRule type="expression" dxfId="8782" priority="3250">
      <formula>#REF!&lt;&gt;""</formula>
    </cfRule>
    <cfRule type="expression" dxfId="8781" priority="3251">
      <formula>#REF!&lt;&gt;""</formula>
    </cfRule>
    <cfRule type="expression" dxfId="8780" priority="3252">
      <formula>#REF!&lt;&gt;""</formula>
    </cfRule>
    <cfRule type="expression" dxfId="8779" priority="3253">
      <formula>#REF!&lt;&gt;""</formula>
    </cfRule>
    <cfRule type="expression" dxfId="8778" priority="3254">
      <formula>#REF!&lt;&gt;""</formula>
    </cfRule>
    <cfRule type="expression" dxfId="8777" priority="3255">
      <formula>#REF!&lt;&gt;""</formula>
    </cfRule>
    <cfRule type="expression" dxfId="8776" priority="3256">
      <formula>#REF!&lt;&gt;""</formula>
    </cfRule>
  </conditionalFormatting>
  <conditionalFormatting sqref="F91">
    <cfRule type="expression" dxfId="8775" priority="3232">
      <formula>#REF!&lt;&gt;""</formula>
    </cfRule>
    <cfRule type="expression" dxfId="8774" priority="3233">
      <formula>#REF!&lt;&gt;""</formula>
    </cfRule>
    <cfRule type="expression" dxfId="8773" priority="3234">
      <formula>#REF!&lt;&gt;""</formula>
    </cfRule>
    <cfRule type="expression" dxfId="8772" priority="3235">
      <formula>#REF!&lt;&gt;""</formula>
    </cfRule>
    <cfRule type="expression" dxfId="8771" priority="3236">
      <formula>#REF!&lt;&gt;""</formula>
    </cfRule>
    <cfRule type="expression" dxfId="8770" priority="3237">
      <formula>#REF!&lt;&gt;""</formula>
    </cfRule>
    <cfRule type="expression" dxfId="8769" priority="3238">
      <formula>#REF!&lt;&gt;""</formula>
    </cfRule>
    <cfRule type="expression" dxfId="8768" priority="3239">
      <formula>#REF!&lt;&gt;""</formula>
    </cfRule>
    <cfRule type="expression" dxfId="8767" priority="3240">
      <formula>#REF!&lt;&gt;""</formula>
    </cfRule>
    <cfRule type="expression" dxfId="8766" priority="3241">
      <formula>#REF!&lt;&gt;""</formula>
    </cfRule>
    <cfRule type="expression" dxfId="8765" priority="3242">
      <formula>#REF!&lt;&gt;""</formula>
    </cfRule>
    <cfRule type="expression" dxfId="8764" priority="3243">
      <formula>#REF!&lt;&gt;""</formula>
    </cfRule>
  </conditionalFormatting>
  <conditionalFormatting sqref="F92">
    <cfRule type="expression" dxfId="8763" priority="3219">
      <formula>#REF!&lt;&gt;""</formula>
    </cfRule>
    <cfRule type="expression" dxfId="8762" priority="3220">
      <formula>#REF!&lt;&gt;""</formula>
    </cfRule>
    <cfRule type="expression" dxfId="8761" priority="3221">
      <formula>#REF!&lt;&gt;""</formula>
    </cfRule>
    <cfRule type="expression" dxfId="8760" priority="3222">
      <formula>#REF!&lt;&gt;""</formula>
    </cfRule>
    <cfRule type="expression" dxfId="8759" priority="3223">
      <formula>#REF!&lt;&gt;""</formula>
    </cfRule>
    <cfRule type="expression" dxfId="8758" priority="3224">
      <formula>#REF!&lt;&gt;""</formula>
    </cfRule>
    <cfRule type="expression" dxfId="8757" priority="3225">
      <formula>#REF!&lt;&gt;""</formula>
    </cfRule>
    <cfRule type="expression" dxfId="8756" priority="3226">
      <formula>#REF!&lt;&gt;""</formula>
    </cfRule>
    <cfRule type="expression" dxfId="8755" priority="3227">
      <formula>#REF!&lt;&gt;""</formula>
    </cfRule>
    <cfRule type="expression" dxfId="8754" priority="3228">
      <formula>#REF!&lt;&gt;""</formula>
    </cfRule>
    <cfRule type="expression" dxfId="8753" priority="3229">
      <formula>#REF!&lt;&gt;""</formula>
    </cfRule>
    <cfRule type="expression" dxfId="8752" priority="3230">
      <formula>#REF!&lt;&gt;""</formula>
    </cfRule>
  </conditionalFormatting>
  <conditionalFormatting sqref="F93">
    <cfRule type="expression" dxfId="8751" priority="3206">
      <formula>#REF!&lt;&gt;""</formula>
    </cfRule>
    <cfRule type="expression" dxfId="8750" priority="3207">
      <formula>#REF!&lt;&gt;""</formula>
    </cfRule>
    <cfRule type="expression" dxfId="8749" priority="3208">
      <formula>#REF!&lt;&gt;""</formula>
    </cfRule>
    <cfRule type="expression" dxfId="8748" priority="3209">
      <formula>#REF!&lt;&gt;""</formula>
    </cfRule>
    <cfRule type="expression" dxfId="8747" priority="3210">
      <formula>#REF!&lt;&gt;""</formula>
    </cfRule>
    <cfRule type="expression" dxfId="8746" priority="3211">
      <formula>#REF!&lt;&gt;""</formula>
    </cfRule>
    <cfRule type="expression" dxfId="8745" priority="3212">
      <formula>#REF!&lt;&gt;""</formula>
    </cfRule>
    <cfRule type="expression" dxfId="8744" priority="3213">
      <formula>#REF!&lt;&gt;""</formula>
    </cfRule>
    <cfRule type="expression" dxfId="8743" priority="3214">
      <formula>#REF!&lt;&gt;""</formula>
    </cfRule>
    <cfRule type="expression" dxfId="8742" priority="3215">
      <formula>#REF!&lt;&gt;""</formula>
    </cfRule>
    <cfRule type="expression" dxfId="8741" priority="3216">
      <formula>#REF!&lt;&gt;""</formula>
    </cfRule>
    <cfRule type="expression" dxfId="8740" priority="3217">
      <formula>#REF!&lt;&gt;""</formula>
    </cfRule>
  </conditionalFormatting>
  <conditionalFormatting sqref="E103">
    <cfRule type="expression" dxfId="8739" priority="3193">
      <formula>#REF!&lt;&gt;""</formula>
    </cfRule>
    <cfRule type="expression" dxfId="8738" priority="3194">
      <formula>#REF!&lt;&gt;""</formula>
    </cfRule>
    <cfRule type="expression" dxfId="8737" priority="3195">
      <formula>#REF!&lt;&gt;""</formula>
    </cfRule>
    <cfRule type="expression" dxfId="8736" priority="3196">
      <formula>#REF!&lt;&gt;""</formula>
    </cfRule>
    <cfRule type="expression" dxfId="8735" priority="3197">
      <formula>#REF!&lt;&gt;""</formula>
    </cfRule>
    <cfRule type="expression" dxfId="8734" priority="3198">
      <formula>#REF!&lt;&gt;""</formula>
    </cfRule>
    <cfRule type="expression" dxfId="8733" priority="3199">
      <formula>#REF!&lt;&gt;""</formula>
    </cfRule>
    <cfRule type="expression" dxfId="8732" priority="3200">
      <formula>#REF!&lt;&gt;""</formula>
    </cfRule>
    <cfRule type="expression" dxfId="8731" priority="3201">
      <formula>#REF!&lt;&gt;""</formula>
    </cfRule>
    <cfRule type="expression" dxfId="8730" priority="3202">
      <formula>#REF!&lt;&gt;""</formula>
    </cfRule>
    <cfRule type="expression" dxfId="8729" priority="3203">
      <formula>#REF!&lt;&gt;""</formula>
    </cfRule>
    <cfRule type="expression" dxfId="8728" priority="3204">
      <formula>#REF!&lt;&gt;""</formula>
    </cfRule>
  </conditionalFormatting>
  <conditionalFormatting sqref="E104">
    <cfRule type="expression" dxfId="8727" priority="3180">
      <formula>#REF!&lt;&gt;""</formula>
    </cfRule>
    <cfRule type="expression" dxfId="8726" priority="3181">
      <formula>#REF!&lt;&gt;""</formula>
    </cfRule>
    <cfRule type="expression" dxfId="8725" priority="3182">
      <formula>#REF!&lt;&gt;""</formula>
    </cfRule>
    <cfRule type="expression" dxfId="8724" priority="3183">
      <formula>#REF!&lt;&gt;""</formula>
    </cfRule>
    <cfRule type="expression" dxfId="8723" priority="3184">
      <formula>#REF!&lt;&gt;""</formula>
    </cfRule>
    <cfRule type="expression" dxfId="8722" priority="3185">
      <formula>#REF!&lt;&gt;""</formula>
    </cfRule>
    <cfRule type="expression" dxfId="8721" priority="3186">
      <formula>#REF!&lt;&gt;""</formula>
    </cfRule>
    <cfRule type="expression" dxfId="8720" priority="3187">
      <formula>#REF!&lt;&gt;""</formula>
    </cfRule>
    <cfRule type="expression" dxfId="8719" priority="3188">
      <formula>#REF!&lt;&gt;""</formula>
    </cfRule>
    <cfRule type="expression" dxfId="8718" priority="3189">
      <formula>#REF!&lt;&gt;""</formula>
    </cfRule>
    <cfRule type="expression" dxfId="8717" priority="3190">
      <formula>#REF!&lt;&gt;""</formula>
    </cfRule>
    <cfRule type="expression" dxfId="8716" priority="3191">
      <formula>#REF!&lt;&gt;""</formula>
    </cfRule>
  </conditionalFormatting>
  <conditionalFormatting sqref="E105">
    <cfRule type="expression" dxfId="8715" priority="3167">
      <formula>#REF!&lt;&gt;""</formula>
    </cfRule>
    <cfRule type="expression" dxfId="8714" priority="3168">
      <formula>#REF!&lt;&gt;""</formula>
    </cfRule>
    <cfRule type="expression" dxfId="8713" priority="3169">
      <formula>#REF!&lt;&gt;""</formula>
    </cfRule>
    <cfRule type="expression" dxfId="8712" priority="3170">
      <formula>#REF!&lt;&gt;""</formula>
    </cfRule>
    <cfRule type="expression" dxfId="8711" priority="3171">
      <formula>#REF!&lt;&gt;""</formula>
    </cfRule>
    <cfRule type="expression" dxfId="8710" priority="3172">
      <formula>#REF!&lt;&gt;""</formula>
    </cfRule>
    <cfRule type="expression" dxfId="8709" priority="3173">
      <formula>#REF!&lt;&gt;""</formula>
    </cfRule>
    <cfRule type="expression" dxfId="8708" priority="3174">
      <formula>#REF!&lt;&gt;""</formula>
    </cfRule>
    <cfRule type="expression" dxfId="8707" priority="3175">
      <formula>#REF!&lt;&gt;""</formula>
    </cfRule>
    <cfRule type="expression" dxfId="8706" priority="3176">
      <formula>#REF!&lt;&gt;""</formula>
    </cfRule>
    <cfRule type="expression" dxfId="8705" priority="3177">
      <formula>#REF!&lt;&gt;""</formula>
    </cfRule>
    <cfRule type="expression" dxfId="8704" priority="3178">
      <formula>#REF!&lt;&gt;""</formula>
    </cfRule>
  </conditionalFormatting>
  <conditionalFormatting sqref="E106">
    <cfRule type="expression" dxfId="8703" priority="3154">
      <formula>#REF!&lt;&gt;""</formula>
    </cfRule>
    <cfRule type="expression" dxfId="8702" priority="3155">
      <formula>#REF!&lt;&gt;""</formula>
    </cfRule>
    <cfRule type="expression" dxfId="8701" priority="3156">
      <formula>#REF!&lt;&gt;""</formula>
    </cfRule>
    <cfRule type="expression" dxfId="8700" priority="3157">
      <formula>#REF!&lt;&gt;""</formula>
    </cfRule>
    <cfRule type="expression" dxfId="8699" priority="3158">
      <formula>#REF!&lt;&gt;""</formula>
    </cfRule>
    <cfRule type="expression" dxfId="8698" priority="3159">
      <formula>#REF!&lt;&gt;""</formula>
    </cfRule>
    <cfRule type="expression" dxfId="8697" priority="3160">
      <formula>#REF!&lt;&gt;""</formula>
    </cfRule>
    <cfRule type="expression" dxfId="8696" priority="3161">
      <formula>#REF!&lt;&gt;""</formula>
    </cfRule>
    <cfRule type="expression" dxfId="8695" priority="3162">
      <formula>#REF!&lt;&gt;""</formula>
    </cfRule>
    <cfRule type="expression" dxfId="8694" priority="3163">
      <formula>#REF!&lt;&gt;""</formula>
    </cfRule>
    <cfRule type="expression" dxfId="8693" priority="3164">
      <formula>#REF!&lt;&gt;""</formula>
    </cfRule>
    <cfRule type="expression" dxfId="8692" priority="3165">
      <formula>#REF!&lt;&gt;""</formula>
    </cfRule>
  </conditionalFormatting>
  <conditionalFormatting sqref="E107">
    <cfRule type="expression" dxfId="8691" priority="3141">
      <formula>#REF!&lt;&gt;""</formula>
    </cfRule>
    <cfRule type="expression" dxfId="8690" priority="3142">
      <formula>#REF!&lt;&gt;""</formula>
    </cfRule>
    <cfRule type="expression" dxfId="8689" priority="3143">
      <formula>#REF!&lt;&gt;""</formula>
    </cfRule>
    <cfRule type="expression" dxfId="8688" priority="3144">
      <formula>#REF!&lt;&gt;""</formula>
    </cfRule>
    <cfRule type="expression" dxfId="8687" priority="3145">
      <formula>#REF!&lt;&gt;""</formula>
    </cfRule>
    <cfRule type="expression" dxfId="8686" priority="3146">
      <formula>#REF!&lt;&gt;""</formula>
    </cfRule>
    <cfRule type="expression" dxfId="8685" priority="3147">
      <formula>#REF!&lt;&gt;""</formula>
    </cfRule>
    <cfRule type="expression" dxfId="8684" priority="3148">
      <formula>#REF!&lt;&gt;""</formula>
    </cfRule>
    <cfRule type="expression" dxfId="8683" priority="3149">
      <formula>#REF!&lt;&gt;""</formula>
    </cfRule>
    <cfRule type="expression" dxfId="8682" priority="3150">
      <formula>#REF!&lt;&gt;""</formula>
    </cfRule>
    <cfRule type="expression" dxfId="8681" priority="3151">
      <formula>#REF!&lt;&gt;""</formula>
    </cfRule>
    <cfRule type="expression" dxfId="8680" priority="3152">
      <formula>#REF!&lt;&gt;""</formula>
    </cfRule>
  </conditionalFormatting>
  <conditionalFormatting sqref="E108">
    <cfRule type="expression" dxfId="8679" priority="3128">
      <formula>#REF!&lt;&gt;""</formula>
    </cfRule>
    <cfRule type="expression" dxfId="8678" priority="3129">
      <formula>#REF!&lt;&gt;""</formula>
    </cfRule>
    <cfRule type="expression" dxfId="8677" priority="3130">
      <formula>#REF!&lt;&gt;""</formula>
    </cfRule>
    <cfRule type="expression" dxfId="8676" priority="3131">
      <formula>#REF!&lt;&gt;""</formula>
    </cfRule>
    <cfRule type="expression" dxfId="8675" priority="3132">
      <formula>#REF!&lt;&gt;""</formula>
    </cfRule>
    <cfRule type="expression" dxfId="8674" priority="3133">
      <formula>#REF!&lt;&gt;""</formula>
    </cfRule>
    <cfRule type="expression" dxfId="8673" priority="3134">
      <formula>#REF!&lt;&gt;""</formula>
    </cfRule>
    <cfRule type="expression" dxfId="8672" priority="3135">
      <formula>#REF!&lt;&gt;""</formula>
    </cfRule>
    <cfRule type="expression" dxfId="8671" priority="3136">
      <formula>#REF!&lt;&gt;""</formula>
    </cfRule>
    <cfRule type="expression" dxfId="8670" priority="3137">
      <formula>#REF!&lt;&gt;""</formula>
    </cfRule>
    <cfRule type="expression" dxfId="8669" priority="3138">
      <formula>#REF!&lt;&gt;""</formula>
    </cfRule>
    <cfRule type="expression" dxfId="8668" priority="3139">
      <formula>#REF!&lt;&gt;""</formula>
    </cfRule>
  </conditionalFormatting>
  <conditionalFormatting sqref="E109">
    <cfRule type="expression" dxfId="8667" priority="3115">
      <formula>#REF!&lt;&gt;""</formula>
    </cfRule>
    <cfRule type="expression" dxfId="8666" priority="3116">
      <formula>#REF!&lt;&gt;""</formula>
    </cfRule>
    <cfRule type="expression" dxfId="8665" priority="3117">
      <formula>#REF!&lt;&gt;""</formula>
    </cfRule>
    <cfRule type="expression" dxfId="8664" priority="3118">
      <formula>#REF!&lt;&gt;""</formula>
    </cfRule>
    <cfRule type="expression" dxfId="8663" priority="3119">
      <formula>#REF!&lt;&gt;""</formula>
    </cfRule>
    <cfRule type="expression" dxfId="8662" priority="3120">
      <formula>#REF!&lt;&gt;""</formula>
    </cfRule>
    <cfRule type="expression" dxfId="8661" priority="3121">
      <formula>#REF!&lt;&gt;""</formula>
    </cfRule>
    <cfRule type="expression" dxfId="8660" priority="3122">
      <formula>#REF!&lt;&gt;""</formula>
    </cfRule>
    <cfRule type="expression" dxfId="8659" priority="3123">
      <formula>#REF!&lt;&gt;""</formula>
    </cfRule>
    <cfRule type="expression" dxfId="8658" priority="3124">
      <formula>#REF!&lt;&gt;""</formula>
    </cfRule>
    <cfRule type="expression" dxfId="8657" priority="3125">
      <formula>#REF!&lt;&gt;""</formula>
    </cfRule>
    <cfRule type="expression" dxfId="8656" priority="3126">
      <formula>#REF!&lt;&gt;""</formula>
    </cfRule>
  </conditionalFormatting>
  <conditionalFormatting sqref="E110">
    <cfRule type="expression" dxfId="8655" priority="3102">
      <formula>#REF!&lt;&gt;""</formula>
    </cfRule>
    <cfRule type="expression" dxfId="8654" priority="3103">
      <formula>#REF!&lt;&gt;""</formula>
    </cfRule>
    <cfRule type="expression" dxfId="8653" priority="3104">
      <formula>#REF!&lt;&gt;""</formula>
    </cfRule>
    <cfRule type="expression" dxfId="8652" priority="3105">
      <formula>#REF!&lt;&gt;""</formula>
    </cfRule>
    <cfRule type="expression" dxfId="8651" priority="3106">
      <formula>#REF!&lt;&gt;""</formula>
    </cfRule>
    <cfRule type="expression" dxfId="8650" priority="3107">
      <formula>#REF!&lt;&gt;""</formula>
    </cfRule>
    <cfRule type="expression" dxfId="8649" priority="3108">
      <formula>#REF!&lt;&gt;""</formula>
    </cfRule>
    <cfRule type="expression" dxfId="8648" priority="3109">
      <formula>#REF!&lt;&gt;""</formula>
    </cfRule>
    <cfRule type="expression" dxfId="8647" priority="3110">
      <formula>#REF!&lt;&gt;""</formula>
    </cfRule>
    <cfRule type="expression" dxfId="8646" priority="3111">
      <formula>#REF!&lt;&gt;""</formula>
    </cfRule>
    <cfRule type="expression" dxfId="8645" priority="3112">
      <formula>#REF!&lt;&gt;""</formula>
    </cfRule>
    <cfRule type="expression" dxfId="8644" priority="3113">
      <formula>#REF!&lt;&gt;""</formula>
    </cfRule>
  </conditionalFormatting>
  <conditionalFormatting sqref="E111">
    <cfRule type="expression" dxfId="8643" priority="3089">
      <formula>#REF!&lt;&gt;""</formula>
    </cfRule>
    <cfRule type="expression" dxfId="8642" priority="3090">
      <formula>#REF!&lt;&gt;""</formula>
    </cfRule>
    <cfRule type="expression" dxfId="8641" priority="3091">
      <formula>#REF!&lt;&gt;""</formula>
    </cfRule>
    <cfRule type="expression" dxfId="8640" priority="3092">
      <formula>#REF!&lt;&gt;""</formula>
    </cfRule>
    <cfRule type="expression" dxfId="8639" priority="3093">
      <formula>#REF!&lt;&gt;""</formula>
    </cfRule>
    <cfRule type="expression" dxfId="8638" priority="3094">
      <formula>#REF!&lt;&gt;""</formula>
    </cfRule>
    <cfRule type="expression" dxfId="8637" priority="3095">
      <formula>#REF!&lt;&gt;""</formula>
    </cfRule>
    <cfRule type="expression" dxfId="8636" priority="3096">
      <formula>#REF!&lt;&gt;""</formula>
    </cfRule>
    <cfRule type="expression" dxfId="8635" priority="3097">
      <formula>#REF!&lt;&gt;""</formula>
    </cfRule>
    <cfRule type="expression" dxfId="8634" priority="3098">
      <formula>#REF!&lt;&gt;""</formula>
    </cfRule>
    <cfRule type="expression" dxfId="8633" priority="3099">
      <formula>#REF!&lt;&gt;""</formula>
    </cfRule>
    <cfRule type="expression" dxfId="8632" priority="3100">
      <formula>#REF!&lt;&gt;""</formula>
    </cfRule>
  </conditionalFormatting>
  <conditionalFormatting sqref="E112">
    <cfRule type="expression" dxfId="8631" priority="3076">
      <formula>#REF!&lt;&gt;""</formula>
    </cfRule>
    <cfRule type="expression" dxfId="8630" priority="3077">
      <formula>#REF!&lt;&gt;""</formula>
    </cfRule>
    <cfRule type="expression" dxfId="8629" priority="3078">
      <formula>#REF!&lt;&gt;""</formula>
    </cfRule>
    <cfRule type="expression" dxfId="8628" priority="3079">
      <formula>#REF!&lt;&gt;""</formula>
    </cfRule>
    <cfRule type="expression" dxfId="8627" priority="3080">
      <formula>#REF!&lt;&gt;""</formula>
    </cfRule>
    <cfRule type="expression" dxfId="8626" priority="3081">
      <formula>#REF!&lt;&gt;""</formula>
    </cfRule>
    <cfRule type="expression" dxfId="8625" priority="3082">
      <formula>#REF!&lt;&gt;""</formula>
    </cfRule>
    <cfRule type="expression" dxfId="8624" priority="3083">
      <formula>#REF!&lt;&gt;""</formula>
    </cfRule>
    <cfRule type="expression" dxfId="8623" priority="3084">
      <formula>#REF!&lt;&gt;""</formula>
    </cfRule>
    <cfRule type="expression" dxfId="8622" priority="3085">
      <formula>#REF!&lt;&gt;""</formula>
    </cfRule>
    <cfRule type="expression" dxfId="8621" priority="3086">
      <formula>#REF!&lt;&gt;""</formula>
    </cfRule>
    <cfRule type="expression" dxfId="8620" priority="3087">
      <formula>#REF!&lt;&gt;""</formula>
    </cfRule>
  </conditionalFormatting>
  <conditionalFormatting sqref="E113">
    <cfRule type="expression" dxfId="8619" priority="3063">
      <formula>#REF!&lt;&gt;""</formula>
    </cfRule>
    <cfRule type="expression" dxfId="8618" priority="3064">
      <formula>#REF!&lt;&gt;""</formula>
    </cfRule>
    <cfRule type="expression" dxfId="8617" priority="3065">
      <formula>#REF!&lt;&gt;""</formula>
    </cfRule>
    <cfRule type="expression" dxfId="8616" priority="3066">
      <formula>#REF!&lt;&gt;""</formula>
    </cfRule>
    <cfRule type="expression" dxfId="8615" priority="3067">
      <formula>#REF!&lt;&gt;""</formula>
    </cfRule>
    <cfRule type="expression" dxfId="8614" priority="3068">
      <formula>#REF!&lt;&gt;""</formula>
    </cfRule>
    <cfRule type="expression" dxfId="8613" priority="3069">
      <formula>#REF!&lt;&gt;""</formula>
    </cfRule>
    <cfRule type="expression" dxfId="8612" priority="3070">
      <formula>#REF!&lt;&gt;""</formula>
    </cfRule>
    <cfRule type="expression" dxfId="8611" priority="3071">
      <formula>#REF!&lt;&gt;""</formula>
    </cfRule>
    <cfRule type="expression" dxfId="8610" priority="3072">
      <formula>#REF!&lt;&gt;""</formula>
    </cfRule>
    <cfRule type="expression" dxfId="8609" priority="3073">
      <formula>#REF!&lt;&gt;""</formula>
    </cfRule>
    <cfRule type="expression" dxfId="8608" priority="3074">
      <formula>#REF!&lt;&gt;""</formula>
    </cfRule>
  </conditionalFormatting>
  <conditionalFormatting sqref="E114">
    <cfRule type="expression" dxfId="8607" priority="3050">
      <formula>#REF!&lt;&gt;""</formula>
    </cfRule>
    <cfRule type="expression" dxfId="8606" priority="3051">
      <formula>#REF!&lt;&gt;""</formula>
    </cfRule>
    <cfRule type="expression" dxfId="8605" priority="3052">
      <formula>#REF!&lt;&gt;""</formula>
    </cfRule>
    <cfRule type="expression" dxfId="8604" priority="3053">
      <formula>#REF!&lt;&gt;""</formula>
    </cfRule>
    <cfRule type="expression" dxfId="8603" priority="3054">
      <formula>#REF!&lt;&gt;""</formula>
    </cfRule>
    <cfRule type="expression" dxfId="8602" priority="3055">
      <formula>#REF!&lt;&gt;""</formula>
    </cfRule>
    <cfRule type="expression" dxfId="8601" priority="3056">
      <formula>#REF!&lt;&gt;""</formula>
    </cfRule>
    <cfRule type="expression" dxfId="8600" priority="3057">
      <formula>#REF!&lt;&gt;""</formula>
    </cfRule>
    <cfRule type="expression" dxfId="8599" priority="3058">
      <formula>#REF!&lt;&gt;""</formula>
    </cfRule>
    <cfRule type="expression" dxfId="8598" priority="3059">
      <formula>#REF!&lt;&gt;""</formula>
    </cfRule>
    <cfRule type="expression" dxfId="8597" priority="3060">
      <formula>#REF!&lt;&gt;""</formula>
    </cfRule>
    <cfRule type="expression" dxfId="8596" priority="3061">
      <formula>#REF!&lt;&gt;""</formula>
    </cfRule>
  </conditionalFormatting>
  <conditionalFormatting sqref="E115">
    <cfRule type="expression" dxfId="8595" priority="3037">
      <formula>#REF!&lt;&gt;""</formula>
    </cfRule>
    <cfRule type="expression" dxfId="8594" priority="3038">
      <formula>#REF!&lt;&gt;""</formula>
    </cfRule>
    <cfRule type="expression" dxfId="8593" priority="3039">
      <formula>#REF!&lt;&gt;""</formula>
    </cfRule>
    <cfRule type="expression" dxfId="8592" priority="3040">
      <formula>#REF!&lt;&gt;""</formula>
    </cfRule>
    <cfRule type="expression" dxfId="8591" priority="3041">
      <formula>#REF!&lt;&gt;""</formula>
    </cfRule>
    <cfRule type="expression" dxfId="8590" priority="3042">
      <formula>#REF!&lt;&gt;""</formula>
    </cfRule>
    <cfRule type="expression" dxfId="8589" priority="3043">
      <formula>#REF!&lt;&gt;""</formula>
    </cfRule>
    <cfRule type="expression" dxfId="8588" priority="3044">
      <formula>#REF!&lt;&gt;""</formula>
    </cfRule>
    <cfRule type="expression" dxfId="8587" priority="3045">
      <formula>#REF!&lt;&gt;""</formula>
    </cfRule>
    <cfRule type="expression" dxfId="8586" priority="3046">
      <formula>#REF!&lt;&gt;""</formula>
    </cfRule>
    <cfRule type="expression" dxfId="8585" priority="3047">
      <formula>#REF!&lt;&gt;""</formula>
    </cfRule>
    <cfRule type="expression" dxfId="8584" priority="3048">
      <formula>#REF!&lt;&gt;""</formula>
    </cfRule>
  </conditionalFormatting>
  <conditionalFormatting sqref="E116">
    <cfRule type="expression" dxfId="8583" priority="3024">
      <formula>#REF!&lt;&gt;""</formula>
    </cfRule>
    <cfRule type="expression" dxfId="8582" priority="3025">
      <formula>#REF!&lt;&gt;""</formula>
    </cfRule>
    <cfRule type="expression" dxfId="8581" priority="3026">
      <formula>#REF!&lt;&gt;""</formula>
    </cfRule>
    <cfRule type="expression" dxfId="8580" priority="3027">
      <formula>#REF!&lt;&gt;""</formula>
    </cfRule>
    <cfRule type="expression" dxfId="8579" priority="3028">
      <formula>#REF!&lt;&gt;""</formula>
    </cfRule>
    <cfRule type="expression" dxfId="8578" priority="3029">
      <formula>#REF!&lt;&gt;""</formula>
    </cfRule>
    <cfRule type="expression" dxfId="8577" priority="3030">
      <formula>#REF!&lt;&gt;""</formula>
    </cfRule>
    <cfRule type="expression" dxfId="8576" priority="3031">
      <formula>#REF!&lt;&gt;""</formula>
    </cfRule>
    <cfRule type="expression" dxfId="8575" priority="3032">
      <formula>#REF!&lt;&gt;""</formula>
    </cfRule>
    <cfRule type="expression" dxfId="8574" priority="3033">
      <formula>#REF!&lt;&gt;""</formula>
    </cfRule>
    <cfRule type="expression" dxfId="8573" priority="3034">
      <formula>#REF!&lt;&gt;""</formula>
    </cfRule>
    <cfRule type="expression" dxfId="8572" priority="3035">
      <formula>#REF!&lt;&gt;""</formula>
    </cfRule>
  </conditionalFormatting>
  <conditionalFormatting sqref="E117">
    <cfRule type="expression" dxfId="8571" priority="3011">
      <formula>#REF!&lt;&gt;""</formula>
    </cfRule>
    <cfRule type="expression" dxfId="8570" priority="3012">
      <formula>#REF!&lt;&gt;""</formula>
    </cfRule>
    <cfRule type="expression" dxfId="8569" priority="3013">
      <formula>#REF!&lt;&gt;""</formula>
    </cfRule>
    <cfRule type="expression" dxfId="8568" priority="3014">
      <formula>#REF!&lt;&gt;""</formula>
    </cfRule>
    <cfRule type="expression" dxfId="8567" priority="3015">
      <formula>#REF!&lt;&gt;""</formula>
    </cfRule>
    <cfRule type="expression" dxfId="8566" priority="3016">
      <formula>#REF!&lt;&gt;""</formula>
    </cfRule>
    <cfRule type="expression" dxfId="8565" priority="3017">
      <formula>#REF!&lt;&gt;""</formula>
    </cfRule>
    <cfRule type="expression" dxfId="8564" priority="3018">
      <formula>#REF!&lt;&gt;""</formula>
    </cfRule>
    <cfRule type="expression" dxfId="8563" priority="3019">
      <formula>#REF!&lt;&gt;""</formula>
    </cfRule>
    <cfRule type="expression" dxfId="8562" priority="3020">
      <formula>#REF!&lt;&gt;""</formula>
    </cfRule>
    <cfRule type="expression" dxfId="8561" priority="3021">
      <formula>#REF!&lt;&gt;""</formula>
    </cfRule>
    <cfRule type="expression" dxfId="8560" priority="3022">
      <formula>#REF!&lt;&gt;""</formula>
    </cfRule>
  </conditionalFormatting>
  <conditionalFormatting sqref="E118">
    <cfRule type="expression" dxfId="8559" priority="2998">
      <formula>#REF!&lt;&gt;""</formula>
    </cfRule>
    <cfRule type="expression" dxfId="8558" priority="2999">
      <formula>#REF!&lt;&gt;""</formula>
    </cfRule>
    <cfRule type="expression" dxfId="8557" priority="3000">
      <formula>#REF!&lt;&gt;""</formula>
    </cfRule>
    <cfRule type="expression" dxfId="8556" priority="3001">
      <formula>#REF!&lt;&gt;""</formula>
    </cfRule>
    <cfRule type="expression" dxfId="8555" priority="3002">
      <formula>#REF!&lt;&gt;""</formula>
    </cfRule>
    <cfRule type="expression" dxfId="8554" priority="3003">
      <formula>#REF!&lt;&gt;""</formula>
    </cfRule>
    <cfRule type="expression" dxfId="8553" priority="3004">
      <formula>#REF!&lt;&gt;""</formula>
    </cfRule>
    <cfRule type="expression" dxfId="8552" priority="3005">
      <formula>#REF!&lt;&gt;""</formula>
    </cfRule>
    <cfRule type="expression" dxfId="8551" priority="3006">
      <formula>#REF!&lt;&gt;""</formula>
    </cfRule>
    <cfRule type="expression" dxfId="8550" priority="3007">
      <formula>#REF!&lt;&gt;""</formula>
    </cfRule>
    <cfRule type="expression" dxfId="8549" priority="3008">
      <formula>#REF!&lt;&gt;""</formula>
    </cfRule>
    <cfRule type="expression" dxfId="8548" priority="3009">
      <formula>#REF!&lt;&gt;""</formula>
    </cfRule>
  </conditionalFormatting>
  <conditionalFormatting sqref="E119">
    <cfRule type="expression" dxfId="8547" priority="2985">
      <formula>#REF!&lt;&gt;""</formula>
    </cfRule>
    <cfRule type="expression" dxfId="8546" priority="2986">
      <formula>#REF!&lt;&gt;""</formula>
    </cfRule>
    <cfRule type="expression" dxfId="8545" priority="2987">
      <formula>#REF!&lt;&gt;""</formula>
    </cfRule>
    <cfRule type="expression" dxfId="8544" priority="2988">
      <formula>#REF!&lt;&gt;""</formula>
    </cfRule>
    <cfRule type="expression" dxfId="8543" priority="2989">
      <formula>#REF!&lt;&gt;""</formula>
    </cfRule>
    <cfRule type="expression" dxfId="8542" priority="2990">
      <formula>#REF!&lt;&gt;""</formula>
    </cfRule>
    <cfRule type="expression" dxfId="8541" priority="2991">
      <formula>#REF!&lt;&gt;""</formula>
    </cfRule>
    <cfRule type="expression" dxfId="8540" priority="2992">
      <formula>#REF!&lt;&gt;""</formula>
    </cfRule>
    <cfRule type="expression" dxfId="8539" priority="2993">
      <formula>#REF!&lt;&gt;""</formula>
    </cfRule>
    <cfRule type="expression" dxfId="8538" priority="2994">
      <formula>#REF!&lt;&gt;""</formula>
    </cfRule>
    <cfRule type="expression" dxfId="8537" priority="2995">
      <formula>#REF!&lt;&gt;""</formula>
    </cfRule>
    <cfRule type="expression" dxfId="8536" priority="2996">
      <formula>#REF!&lt;&gt;""</formula>
    </cfRule>
  </conditionalFormatting>
  <conditionalFormatting sqref="E120">
    <cfRule type="expression" dxfId="8535" priority="2972">
      <formula>#REF!&lt;&gt;""</formula>
    </cfRule>
    <cfRule type="expression" dxfId="8534" priority="2973">
      <formula>#REF!&lt;&gt;""</formula>
    </cfRule>
    <cfRule type="expression" dxfId="8533" priority="2974">
      <formula>#REF!&lt;&gt;""</formula>
    </cfRule>
    <cfRule type="expression" dxfId="8532" priority="2975">
      <formula>#REF!&lt;&gt;""</formula>
    </cfRule>
    <cfRule type="expression" dxfId="8531" priority="2976">
      <formula>#REF!&lt;&gt;""</formula>
    </cfRule>
    <cfRule type="expression" dxfId="8530" priority="2977">
      <formula>#REF!&lt;&gt;""</formula>
    </cfRule>
    <cfRule type="expression" dxfId="8529" priority="2978">
      <formula>#REF!&lt;&gt;""</formula>
    </cfRule>
    <cfRule type="expression" dxfId="8528" priority="2979">
      <formula>#REF!&lt;&gt;""</formula>
    </cfRule>
    <cfRule type="expression" dxfId="8527" priority="2980">
      <formula>#REF!&lt;&gt;""</formula>
    </cfRule>
    <cfRule type="expression" dxfId="8526" priority="2981">
      <formula>#REF!&lt;&gt;""</formula>
    </cfRule>
    <cfRule type="expression" dxfId="8525" priority="2982">
      <formula>#REF!&lt;&gt;""</formula>
    </cfRule>
    <cfRule type="expression" dxfId="8524" priority="2983">
      <formula>#REF!&lt;&gt;""</formula>
    </cfRule>
  </conditionalFormatting>
  <conditionalFormatting sqref="E121">
    <cfRule type="expression" dxfId="8523" priority="2959">
      <formula>#REF!&lt;&gt;""</formula>
    </cfRule>
    <cfRule type="expression" dxfId="8522" priority="2960">
      <formula>#REF!&lt;&gt;""</formula>
    </cfRule>
    <cfRule type="expression" dxfId="8521" priority="2961">
      <formula>#REF!&lt;&gt;""</formula>
    </cfRule>
    <cfRule type="expression" dxfId="8520" priority="2962">
      <formula>#REF!&lt;&gt;""</formula>
    </cfRule>
    <cfRule type="expression" dxfId="8519" priority="2963">
      <formula>#REF!&lt;&gt;""</formula>
    </cfRule>
    <cfRule type="expression" dxfId="8518" priority="2964">
      <formula>#REF!&lt;&gt;""</formula>
    </cfRule>
    <cfRule type="expression" dxfId="8517" priority="2965">
      <formula>#REF!&lt;&gt;""</formula>
    </cfRule>
    <cfRule type="expression" dxfId="8516" priority="2966">
      <formula>#REF!&lt;&gt;""</formula>
    </cfRule>
    <cfRule type="expression" dxfId="8515" priority="2967">
      <formula>#REF!&lt;&gt;""</formula>
    </cfRule>
    <cfRule type="expression" dxfId="8514" priority="2968">
      <formula>#REF!&lt;&gt;""</formula>
    </cfRule>
    <cfRule type="expression" dxfId="8513" priority="2969">
      <formula>#REF!&lt;&gt;""</formula>
    </cfRule>
    <cfRule type="expression" dxfId="8512" priority="2970">
      <formula>#REF!&lt;&gt;""</formula>
    </cfRule>
  </conditionalFormatting>
  <conditionalFormatting sqref="E122">
    <cfRule type="expression" dxfId="8511" priority="2946">
      <formula>#REF!&lt;&gt;""</formula>
    </cfRule>
    <cfRule type="expression" dxfId="8510" priority="2947">
      <formula>#REF!&lt;&gt;""</formula>
    </cfRule>
    <cfRule type="expression" dxfId="8509" priority="2948">
      <formula>#REF!&lt;&gt;""</formula>
    </cfRule>
    <cfRule type="expression" dxfId="8508" priority="2949">
      <formula>#REF!&lt;&gt;""</formula>
    </cfRule>
    <cfRule type="expression" dxfId="8507" priority="2950">
      <formula>#REF!&lt;&gt;""</formula>
    </cfRule>
    <cfRule type="expression" dxfId="8506" priority="2951">
      <formula>#REF!&lt;&gt;""</formula>
    </cfRule>
    <cfRule type="expression" dxfId="8505" priority="2952">
      <formula>#REF!&lt;&gt;""</formula>
    </cfRule>
    <cfRule type="expression" dxfId="8504" priority="2953">
      <formula>#REF!&lt;&gt;""</formula>
    </cfRule>
    <cfRule type="expression" dxfId="8503" priority="2954">
      <formula>#REF!&lt;&gt;""</formula>
    </cfRule>
    <cfRule type="expression" dxfId="8502" priority="2955">
      <formula>#REF!&lt;&gt;""</formula>
    </cfRule>
    <cfRule type="expression" dxfId="8501" priority="2956">
      <formula>#REF!&lt;&gt;""</formula>
    </cfRule>
    <cfRule type="expression" dxfId="8500" priority="2957">
      <formula>#REF!&lt;&gt;""</formula>
    </cfRule>
  </conditionalFormatting>
  <conditionalFormatting sqref="E123">
    <cfRule type="expression" dxfId="8499" priority="2933">
      <formula>#REF!&lt;&gt;""</formula>
    </cfRule>
    <cfRule type="expression" dxfId="8498" priority="2934">
      <formula>#REF!&lt;&gt;""</formula>
    </cfRule>
    <cfRule type="expression" dxfId="8497" priority="2935">
      <formula>#REF!&lt;&gt;""</formula>
    </cfRule>
    <cfRule type="expression" dxfId="8496" priority="2936">
      <formula>#REF!&lt;&gt;""</formula>
    </cfRule>
    <cfRule type="expression" dxfId="8495" priority="2937">
      <formula>#REF!&lt;&gt;""</formula>
    </cfRule>
    <cfRule type="expression" dxfId="8494" priority="2938">
      <formula>#REF!&lt;&gt;""</formula>
    </cfRule>
    <cfRule type="expression" dxfId="8493" priority="2939">
      <formula>#REF!&lt;&gt;""</formula>
    </cfRule>
    <cfRule type="expression" dxfId="8492" priority="2940">
      <formula>#REF!&lt;&gt;""</formula>
    </cfRule>
    <cfRule type="expression" dxfId="8491" priority="2941">
      <formula>#REF!&lt;&gt;""</formula>
    </cfRule>
    <cfRule type="expression" dxfId="8490" priority="2942">
      <formula>#REF!&lt;&gt;""</formula>
    </cfRule>
    <cfRule type="expression" dxfId="8489" priority="2943">
      <formula>#REF!&lt;&gt;""</formula>
    </cfRule>
    <cfRule type="expression" dxfId="8488" priority="2944">
      <formula>#REF!&lt;&gt;""</formula>
    </cfRule>
  </conditionalFormatting>
  <conditionalFormatting sqref="E124">
    <cfRule type="expression" dxfId="8487" priority="2920">
      <formula>#REF!&lt;&gt;""</formula>
    </cfRule>
    <cfRule type="expression" dxfId="8486" priority="2921">
      <formula>#REF!&lt;&gt;""</formula>
    </cfRule>
    <cfRule type="expression" dxfId="8485" priority="2922">
      <formula>#REF!&lt;&gt;""</formula>
    </cfRule>
    <cfRule type="expression" dxfId="8484" priority="2923">
      <formula>#REF!&lt;&gt;""</formula>
    </cfRule>
    <cfRule type="expression" dxfId="8483" priority="2924">
      <formula>#REF!&lt;&gt;""</formula>
    </cfRule>
    <cfRule type="expression" dxfId="8482" priority="2925">
      <formula>#REF!&lt;&gt;""</formula>
    </cfRule>
    <cfRule type="expression" dxfId="8481" priority="2926">
      <formula>#REF!&lt;&gt;""</formula>
    </cfRule>
    <cfRule type="expression" dxfId="8480" priority="2927">
      <formula>#REF!&lt;&gt;""</formula>
    </cfRule>
    <cfRule type="expression" dxfId="8479" priority="2928">
      <formula>#REF!&lt;&gt;""</formula>
    </cfRule>
    <cfRule type="expression" dxfId="8478" priority="2929">
      <formula>#REF!&lt;&gt;""</formula>
    </cfRule>
    <cfRule type="expression" dxfId="8477" priority="2930">
      <formula>#REF!&lt;&gt;""</formula>
    </cfRule>
    <cfRule type="expression" dxfId="8476" priority="2931">
      <formula>#REF!&lt;&gt;""</formula>
    </cfRule>
  </conditionalFormatting>
  <conditionalFormatting sqref="E125">
    <cfRule type="expression" dxfId="8475" priority="2907">
      <formula>#REF!&lt;&gt;""</formula>
    </cfRule>
    <cfRule type="expression" dxfId="8474" priority="2908">
      <formula>#REF!&lt;&gt;""</formula>
    </cfRule>
    <cfRule type="expression" dxfId="8473" priority="2909">
      <formula>#REF!&lt;&gt;""</formula>
    </cfRule>
    <cfRule type="expression" dxfId="8472" priority="2910">
      <formula>#REF!&lt;&gt;""</formula>
    </cfRule>
    <cfRule type="expression" dxfId="8471" priority="2911">
      <formula>#REF!&lt;&gt;""</formula>
    </cfRule>
    <cfRule type="expression" dxfId="8470" priority="2912">
      <formula>#REF!&lt;&gt;""</formula>
    </cfRule>
    <cfRule type="expression" dxfId="8469" priority="2913">
      <formula>#REF!&lt;&gt;""</formula>
    </cfRule>
    <cfRule type="expression" dxfId="8468" priority="2914">
      <formula>#REF!&lt;&gt;""</formula>
    </cfRule>
    <cfRule type="expression" dxfId="8467" priority="2915">
      <formula>#REF!&lt;&gt;""</formula>
    </cfRule>
    <cfRule type="expression" dxfId="8466" priority="2916">
      <formula>#REF!&lt;&gt;""</formula>
    </cfRule>
    <cfRule type="expression" dxfId="8465" priority="2917">
      <formula>#REF!&lt;&gt;""</formula>
    </cfRule>
    <cfRule type="expression" dxfId="8464" priority="2918">
      <formula>#REF!&lt;&gt;""</formula>
    </cfRule>
  </conditionalFormatting>
  <conditionalFormatting sqref="E126">
    <cfRule type="expression" dxfId="8463" priority="2894">
      <formula>#REF!&lt;&gt;""</formula>
    </cfRule>
    <cfRule type="expression" dxfId="8462" priority="2895">
      <formula>#REF!&lt;&gt;""</formula>
    </cfRule>
    <cfRule type="expression" dxfId="8461" priority="2896">
      <formula>#REF!&lt;&gt;""</formula>
    </cfRule>
    <cfRule type="expression" dxfId="8460" priority="2897">
      <formula>#REF!&lt;&gt;""</formula>
    </cfRule>
    <cfRule type="expression" dxfId="8459" priority="2898">
      <formula>#REF!&lt;&gt;""</formula>
    </cfRule>
    <cfRule type="expression" dxfId="8458" priority="2899">
      <formula>#REF!&lt;&gt;""</formula>
    </cfRule>
    <cfRule type="expression" dxfId="8457" priority="2900">
      <formula>#REF!&lt;&gt;""</formula>
    </cfRule>
    <cfRule type="expression" dxfId="8456" priority="2901">
      <formula>#REF!&lt;&gt;""</formula>
    </cfRule>
    <cfRule type="expression" dxfId="8455" priority="2902">
      <formula>#REF!&lt;&gt;""</formula>
    </cfRule>
    <cfRule type="expression" dxfId="8454" priority="2903">
      <formula>#REF!&lt;&gt;""</formula>
    </cfRule>
    <cfRule type="expression" dxfId="8453" priority="2904">
      <formula>#REF!&lt;&gt;""</formula>
    </cfRule>
    <cfRule type="expression" dxfId="8452" priority="2905">
      <formula>#REF!&lt;&gt;""</formula>
    </cfRule>
  </conditionalFormatting>
  <conditionalFormatting sqref="E127">
    <cfRule type="expression" dxfId="8451" priority="2881">
      <formula>#REF!&lt;&gt;""</formula>
    </cfRule>
    <cfRule type="expression" dxfId="8450" priority="2882">
      <formula>#REF!&lt;&gt;""</formula>
    </cfRule>
    <cfRule type="expression" dxfId="8449" priority="2883">
      <formula>#REF!&lt;&gt;""</formula>
    </cfRule>
    <cfRule type="expression" dxfId="8448" priority="2884">
      <formula>#REF!&lt;&gt;""</formula>
    </cfRule>
    <cfRule type="expression" dxfId="8447" priority="2885">
      <formula>#REF!&lt;&gt;""</formula>
    </cfRule>
    <cfRule type="expression" dxfId="8446" priority="2886">
      <formula>#REF!&lt;&gt;""</formula>
    </cfRule>
    <cfRule type="expression" dxfId="8445" priority="2887">
      <formula>#REF!&lt;&gt;""</formula>
    </cfRule>
    <cfRule type="expression" dxfId="8444" priority="2888">
      <formula>#REF!&lt;&gt;""</formula>
    </cfRule>
    <cfRule type="expression" dxfId="8443" priority="2889">
      <formula>#REF!&lt;&gt;""</formula>
    </cfRule>
    <cfRule type="expression" dxfId="8442" priority="2890">
      <formula>#REF!&lt;&gt;""</formula>
    </cfRule>
    <cfRule type="expression" dxfId="8441" priority="2891">
      <formula>#REF!&lt;&gt;""</formula>
    </cfRule>
    <cfRule type="expression" dxfId="8440" priority="2892">
      <formula>#REF!&lt;&gt;""</formula>
    </cfRule>
  </conditionalFormatting>
  <conditionalFormatting sqref="E128">
    <cfRule type="expression" dxfId="8439" priority="2868">
      <formula>#REF!&lt;&gt;""</formula>
    </cfRule>
    <cfRule type="expression" dxfId="8438" priority="2869">
      <formula>#REF!&lt;&gt;""</formula>
    </cfRule>
    <cfRule type="expression" dxfId="8437" priority="2870">
      <formula>#REF!&lt;&gt;""</formula>
    </cfRule>
    <cfRule type="expression" dxfId="8436" priority="2871">
      <formula>#REF!&lt;&gt;""</formula>
    </cfRule>
    <cfRule type="expression" dxfId="8435" priority="2872">
      <formula>#REF!&lt;&gt;""</formula>
    </cfRule>
    <cfRule type="expression" dxfId="8434" priority="2873">
      <formula>#REF!&lt;&gt;""</formula>
    </cfRule>
    <cfRule type="expression" dxfId="8433" priority="2874">
      <formula>#REF!&lt;&gt;""</formula>
    </cfRule>
    <cfRule type="expression" dxfId="8432" priority="2875">
      <formula>#REF!&lt;&gt;""</formula>
    </cfRule>
    <cfRule type="expression" dxfId="8431" priority="2876">
      <formula>#REF!&lt;&gt;""</formula>
    </cfRule>
    <cfRule type="expression" dxfId="8430" priority="2877">
      <formula>#REF!&lt;&gt;""</formula>
    </cfRule>
    <cfRule type="expression" dxfId="8429" priority="2878">
      <formula>#REF!&lt;&gt;""</formula>
    </cfRule>
    <cfRule type="expression" dxfId="8428" priority="2879">
      <formula>#REF!&lt;&gt;""</formula>
    </cfRule>
  </conditionalFormatting>
  <conditionalFormatting sqref="E129">
    <cfRule type="expression" dxfId="8427" priority="2855">
      <formula>#REF!&lt;&gt;""</formula>
    </cfRule>
    <cfRule type="expression" dxfId="8426" priority="2856">
      <formula>#REF!&lt;&gt;""</formula>
    </cfRule>
    <cfRule type="expression" dxfId="8425" priority="2857">
      <formula>#REF!&lt;&gt;""</formula>
    </cfRule>
    <cfRule type="expression" dxfId="8424" priority="2858">
      <formula>#REF!&lt;&gt;""</formula>
    </cfRule>
    <cfRule type="expression" dxfId="8423" priority="2859">
      <formula>#REF!&lt;&gt;""</formula>
    </cfRule>
    <cfRule type="expression" dxfId="8422" priority="2860">
      <formula>#REF!&lt;&gt;""</formula>
    </cfRule>
    <cfRule type="expression" dxfId="8421" priority="2861">
      <formula>#REF!&lt;&gt;""</formula>
    </cfRule>
    <cfRule type="expression" dxfId="8420" priority="2862">
      <formula>#REF!&lt;&gt;""</formula>
    </cfRule>
    <cfRule type="expression" dxfId="8419" priority="2863">
      <formula>#REF!&lt;&gt;""</formula>
    </cfRule>
    <cfRule type="expression" dxfId="8418" priority="2864">
      <formula>#REF!&lt;&gt;""</formula>
    </cfRule>
    <cfRule type="expression" dxfId="8417" priority="2865">
      <formula>#REF!&lt;&gt;""</formula>
    </cfRule>
    <cfRule type="expression" dxfId="8416" priority="2866">
      <formula>#REF!&lt;&gt;""</formula>
    </cfRule>
  </conditionalFormatting>
  <conditionalFormatting sqref="E130">
    <cfRule type="expression" dxfId="8415" priority="2842">
      <formula>#REF!&lt;&gt;""</formula>
    </cfRule>
    <cfRule type="expression" dxfId="8414" priority="2843">
      <formula>#REF!&lt;&gt;""</formula>
    </cfRule>
    <cfRule type="expression" dxfId="8413" priority="2844">
      <formula>#REF!&lt;&gt;""</formula>
    </cfRule>
    <cfRule type="expression" dxfId="8412" priority="2845">
      <formula>#REF!&lt;&gt;""</formula>
    </cfRule>
    <cfRule type="expression" dxfId="8411" priority="2846">
      <formula>#REF!&lt;&gt;""</formula>
    </cfRule>
    <cfRule type="expression" dxfId="8410" priority="2847">
      <formula>#REF!&lt;&gt;""</formula>
    </cfRule>
    <cfRule type="expression" dxfId="8409" priority="2848">
      <formula>#REF!&lt;&gt;""</formula>
    </cfRule>
    <cfRule type="expression" dxfId="8408" priority="2849">
      <formula>#REF!&lt;&gt;""</formula>
    </cfRule>
    <cfRule type="expression" dxfId="8407" priority="2850">
      <formula>#REF!&lt;&gt;""</formula>
    </cfRule>
    <cfRule type="expression" dxfId="8406" priority="2851">
      <formula>#REF!&lt;&gt;""</formula>
    </cfRule>
    <cfRule type="expression" dxfId="8405" priority="2852">
      <formula>#REF!&lt;&gt;""</formula>
    </cfRule>
    <cfRule type="expression" dxfId="8404" priority="2853">
      <formula>#REF!&lt;&gt;""</formula>
    </cfRule>
  </conditionalFormatting>
  <conditionalFormatting sqref="E131">
    <cfRule type="expression" dxfId="8403" priority="2829">
      <formula>#REF!&lt;&gt;""</formula>
    </cfRule>
    <cfRule type="expression" dxfId="8402" priority="2830">
      <formula>#REF!&lt;&gt;""</formula>
    </cfRule>
    <cfRule type="expression" dxfId="8401" priority="2831">
      <formula>#REF!&lt;&gt;""</formula>
    </cfRule>
    <cfRule type="expression" dxfId="8400" priority="2832">
      <formula>#REF!&lt;&gt;""</formula>
    </cfRule>
    <cfRule type="expression" dxfId="8399" priority="2833">
      <formula>#REF!&lt;&gt;""</formula>
    </cfRule>
    <cfRule type="expression" dxfId="8398" priority="2834">
      <formula>#REF!&lt;&gt;""</formula>
    </cfRule>
    <cfRule type="expression" dxfId="8397" priority="2835">
      <formula>#REF!&lt;&gt;""</formula>
    </cfRule>
    <cfRule type="expression" dxfId="8396" priority="2836">
      <formula>#REF!&lt;&gt;""</formula>
    </cfRule>
    <cfRule type="expression" dxfId="8395" priority="2837">
      <formula>#REF!&lt;&gt;""</formula>
    </cfRule>
    <cfRule type="expression" dxfId="8394" priority="2838">
      <formula>#REF!&lt;&gt;""</formula>
    </cfRule>
    <cfRule type="expression" dxfId="8393" priority="2839">
      <formula>#REF!&lt;&gt;""</formula>
    </cfRule>
    <cfRule type="expression" dxfId="8392" priority="2840">
      <formula>#REF!&lt;&gt;""</formula>
    </cfRule>
  </conditionalFormatting>
  <conditionalFormatting sqref="E132">
    <cfRule type="expression" dxfId="8391" priority="2816">
      <formula>#REF!&lt;&gt;""</formula>
    </cfRule>
    <cfRule type="expression" dxfId="8390" priority="2817">
      <formula>#REF!&lt;&gt;""</formula>
    </cfRule>
    <cfRule type="expression" dxfId="8389" priority="2818">
      <formula>#REF!&lt;&gt;""</formula>
    </cfRule>
    <cfRule type="expression" dxfId="8388" priority="2819">
      <formula>#REF!&lt;&gt;""</formula>
    </cfRule>
    <cfRule type="expression" dxfId="8387" priority="2820">
      <formula>#REF!&lt;&gt;""</formula>
    </cfRule>
    <cfRule type="expression" dxfId="8386" priority="2821">
      <formula>#REF!&lt;&gt;""</formula>
    </cfRule>
    <cfRule type="expression" dxfId="8385" priority="2822">
      <formula>#REF!&lt;&gt;""</formula>
    </cfRule>
    <cfRule type="expression" dxfId="8384" priority="2823">
      <formula>#REF!&lt;&gt;""</formula>
    </cfRule>
    <cfRule type="expression" dxfId="8383" priority="2824">
      <formula>#REF!&lt;&gt;""</formula>
    </cfRule>
    <cfRule type="expression" dxfId="8382" priority="2825">
      <formula>#REF!&lt;&gt;""</formula>
    </cfRule>
    <cfRule type="expression" dxfId="8381" priority="2826">
      <formula>#REF!&lt;&gt;""</formula>
    </cfRule>
    <cfRule type="expression" dxfId="8380" priority="2827">
      <formula>#REF!&lt;&gt;""</formula>
    </cfRule>
  </conditionalFormatting>
  <conditionalFormatting sqref="E133">
    <cfRule type="expression" dxfId="8379" priority="2803">
      <formula>#REF!&lt;&gt;""</formula>
    </cfRule>
    <cfRule type="expression" dxfId="8378" priority="2804">
      <formula>#REF!&lt;&gt;""</formula>
    </cfRule>
    <cfRule type="expression" dxfId="8377" priority="2805">
      <formula>#REF!&lt;&gt;""</formula>
    </cfRule>
    <cfRule type="expression" dxfId="8376" priority="2806">
      <formula>#REF!&lt;&gt;""</formula>
    </cfRule>
    <cfRule type="expression" dxfId="8375" priority="2807">
      <formula>#REF!&lt;&gt;""</formula>
    </cfRule>
    <cfRule type="expression" dxfId="8374" priority="2808">
      <formula>#REF!&lt;&gt;""</formula>
    </cfRule>
    <cfRule type="expression" dxfId="8373" priority="2809">
      <formula>#REF!&lt;&gt;""</formula>
    </cfRule>
    <cfRule type="expression" dxfId="8372" priority="2810">
      <formula>#REF!&lt;&gt;""</formula>
    </cfRule>
    <cfRule type="expression" dxfId="8371" priority="2811">
      <formula>#REF!&lt;&gt;""</formula>
    </cfRule>
    <cfRule type="expression" dxfId="8370" priority="2812">
      <formula>#REF!&lt;&gt;""</formula>
    </cfRule>
    <cfRule type="expression" dxfId="8369" priority="2813">
      <formula>#REF!&lt;&gt;""</formula>
    </cfRule>
    <cfRule type="expression" dxfId="8368" priority="2814">
      <formula>#REF!&lt;&gt;""</formula>
    </cfRule>
  </conditionalFormatting>
  <conditionalFormatting sqref="E134">
    <cfRule type="expression" dxfId="8367" priority="2790">
      <formula>#REF!&lt;&gt;""</formula>
    </cfRule>
    <cfRule type="expression" dxfId="8366" priority="2791">
      <formula>#REF!&lt;&gt;""</formula>
    </cfRule>
    <cfRule type="expression" dxfId="8365" priority="2792">
      <formula>#REF!&lt;&gt;""</formula>
    </cfRule>
    <cfRule type="expression" dxfId="8364" priority="2793">
      <formula>#REF!&lt;&gt;""</formula>
    </cfRule>
    <cfRule type="expression" dxfId="8363" priority="2794">
      <formula>#REF!&lt;&gt;""</formula>
    </cfRule>
    <cfRule type="expression" dxfId="8362" priority="2795">
      <formula>#REF!&lt;&gt;""</formula>
    </cfRule>
    <cfRule type="expression" dxfId="8361" priority="2796">
      <formula>#REF!&lt;&gt;""</formula>
    </cfRule>
    <cfRule type="expression" dxfId="8360" priority="2797">
      <formula>#REF!&lt;&gt;""</formula>
    </cfRule>
    <cfRule type="expression" dxfId="8359" priority="2798">
      <formula>#REF!&lt;&gt;""</formula>
    </cfRule>
    <cfRule type="expression" dxfId="8358" priority="2799">
      <formula>#REF!&lt;&gt;""</formula>
    </cfRule>
    <cfRule type="expression" dxfId="8357" priority="2800">
      <formula>#REF!&lt;&gt;""</formula>
    </cfRule>
    <cfRule type="expression" dxfId="8356" priority="2801">
      <formula>#REF!&lt;&gt;""</formula>
    </cfRule>
  </conditionalFormatting>
  <conditionalFormatting sqref="E135">
    <cfRule type="expression" dxfId="8355" priority="2777">
      <formula>#REF!&lt;&gt;""</formula>
    </cfRule>
    <cfRule type="expression" dxfId="8354" priority="2778">
      <formula>#REF!&lt;&gt;""</formula>
    </cfRule>
    <cfRule type="expression" dxfId="8353" priority="2779">
      <formula>#REF!&lt;&gt;""</formula>
    </cfRule>
    <cfRule type="expression" dxfId="8352" priority="2780">
      <formula>#REF!&lt;&gt;""</formula>
    </cfRule>
    <cfRule type="expression" dxfId="8351" priority="2781">
      <formula>#REF!&lt;&gt;""</formula>
    </cfRule>
    <cfRule type="expression" dxfId="8350" priority="2782">
      <formula>#REF!&lt;&gt;""</formula>
    </cfRule>
    <cfRule type="expression" dxfId="8349" priority="2783">
      <formula>#REF!&lt;&gt;""</formula>
    </cfRule>
    <cfRule type="expression" dxfId="8348" priority="2784">
      <formula>#REF!&lt;&gt;""</formula>
    </cfRule>
    <cfRule type="expression" dxfId="8347" priority="2785">
      <formula>#REF!&lt;&gt;""</formula>
    </cfRule>
    <cfRule type="expression" dxfId="8346" priority="2786">
      <formula>#REF!&lt;&gt;""</formula>
    </cfRule>
    <cfRule type="expression" dxfId="8345" priority="2787">
      <formula>#REF!&lt;&gt;""</formula>
    </cfRule>
    <cfRule type="expression" dxfId="8344" priority="2788">
      <formula>#REF!&lt;&gt;""</formula>
    </cfRule>
  </conditionalFormatting>
  <conditionalFormatting sqref="E136">
    <cfRule type="expression" dxfId="8343" priority="2764">
      <formula>#REF!&lt;&gt;""</formula>
    </cfRule>
    <cfRule type="expression" dxfId="8342" priority="2765">
      <formula>#REF!&lt;&gt;""</formula>
    </cfRule>
    <cfRule type="expression" dxfId="8341" priority="2766">
      <formula>#REF!&lt;&gt;""</formula>
    </cfRule>
    <cfRule type="expression" dxfId="8340" priority="2767">
      <formula>#REF!&lt;&gt;""</formula>
    </cfRule>
    <cfRule type="expression" dxfId="8339" priority="2768">
      <formula>#REF!&lt;&gt;""</formula>
    </cfRule>
    <cfRule type="expression" dxfId="8338" priority="2769">
      <formula>#REF!&lt;&gt;""</formula>
    </cfRule>
    <cfRule type="expression" dxfId="8337" priority="2770">
      <formula>#REF!&lt;&gt;""</formula>
    </cfRule>
    <cfRule type="expression" dxfId="8336" priority="2771">
      <formula>#REF!&lt;&gt;""</formula>
    </cfRule>
    <cfRule type="expression" dxfId="8335" priority="2772">
      <formula>#REF!&lt;&gt;""</formula>
    </cfRule>
    <cfRule type="expression" dxfId="8334" priority="2773">
      <formula>#REF!&lt;&gt;""</formula>
    </cfRule>
    <cfRule type="expression" dxfId="8333" priority="2774">
      <formula>#REF!&lt;&gt;""</formula>
    </cfRule>
    <cfRule type="expression" dxfId="8332" priority="2775">
      <formula>#REF!&lt;&gt;""</formula>
    </cfRule>
  </conditionalFormatting>
  <conditionalFormatting sqref="E137">
    <cfRule type="expression" dxfId="8331" priority="2751">
      <formula>#REF!&lt;&gt;""</formula>
    </cfRule>
    <cfRule type="expression" dxfId="8330" priority="2752">
      <formula>#REF!&lt;&gt;""</formula>
    </cfRule>
    <cfRule type="expression" dxfId="8329" priority="2753">
      <formula>#REF!&lt;&gt;""</formula>
    </cfRule>
    <cfRule type="expression" dxfId="8328" priority="2754">
      <formula>#REF!&lt;&gt;""</formula>
    </cfRule>
    <cfRule type="expression" dxfId="8327" priority="2755">
      <formula>#REF!&lt;&gt;""</formula>
    </cfRule>
    <cfRule type="expression" dxfId="8326" priority="2756">
      <formula>#REF!&lt;&gt;""</formula>
    </cfRule>
    <cfRule type="expression" dxfId="8325" priority="2757">
      <formula>#REF!&lt;&gt;""</formula>
    </cfRule>
    <cfRule type="expression" dxfId="8324" priority="2758">
      <formula>#REF!&lt;&gt;""</formula>
    </cfRule>
    <cfRule type="expression" dxfId="8323" priority="2759">
      <formula>#REF!&lt;&gt;""</formula>
    </cfRule>
    <cfRule type="expression" dxfId="8322" priority="2760">
      <formula>#REF!&lt;&gt;""</formula>
    </cfRule>
    <cfRule type="expression" dxfId="8321" priority="2761">
      <formula>#REF!&lt;&gt;""</formula>
    </cfRule>
    <cfRule type="expression" dxfId="8320" priority="2762">
      <formula>#REF!&lt;&gt;""</formula>
    </cfRule>
  </conditionalFormatting>
  <conditionalFormatting sqref="E138">
    <cfRule type="expression" dxfId="8319" priority="2738">
      <formula>#REF!&lt;&gt;""</formula>
    </cfRule>
    <cfRule type="expression" dxfId="8318" priority="2739">
      <formula>#REF!&lt;&gt;""</formula>
    </cfRule>
    <cfRule type="expression" dxfId="8317" priority="2740">
      <formula>#REF!&lt;&gt;""</formula>
    </cfRule>
    <cfRule type="expression" dxfId="8316" priority="2741">
      <formula>#REF!&lt;&gt;""</formula>
    </cfRule>
    <cfRule type="expression" dxfId="8315" priority="2742">
      <formula>#REF!&lt;&gt;""</formula>
    </cfRule>
    <cfRule type="expression" dxfId="8314" priority="2743">
      <formula>#REF!&lt;&gt;""</formula>
    </cfRule>
    <cfRule type="expression" dxfId="8313" priority="2744">
      <formula>#REF!&lt;&gt;""</formula>
    </cfRule>
    <cfRule type="expression" dxfId="8312" priority="2745">
      <formula>#REF!&lt;&gt;""</formula>
    </cfRule>
    <cfRule type="expression" dxfId="8311" priority="2746">
      <formula>#REF!&lt;&gt;""</formula>
    </cfRule>
    <cfRule type="expression" dxfId="8310" priority="2747">
      <formula>#REF!&lt;&gt;""</formula>
    </cfRule>
    <cfRule type="expression" dxfId="8309" priority="2748">
      <formula>#REF!&lt;&gt;""</formula>
    </cfRule>
    <cfRule type="expression" dxfId="8308" priority="2749">
      <formula>#REF!&lt;&gt;""</formula>
    </cfRule>
  </conditionalFormatting>
  <conditionalFormatting sqref="E139">
    <cfRule type="expression" dxfId="8307" priority="2725">
      <formula>#REF!&lt;&gt;""</formula>
    </cfRule>
    <cfRule type="expression" dxfId="8306" priority="2726">
      <formula>#REF!&lt;&gt;""</formula>
    </cfRule>
    <cfRule type="expression" dxfId="8305" priority="2727">
      <formula>#REF!&lt;&gt;""</formula>
    </cfRule>
    <cfRule type="expression" dxfId="8304" priority="2728">
      <formula>#REF!&lt;&gt;""</formula>
    </cfRule>
    <cfRule type="expression" dxfId="8303" priority="2729">
      <formula>#REF!&lt;&gt;""</formula>
    </cfRule>
    <cfRule type="expression" dxfId="8302" priority="2730">
      <formula>#REF!&lt;&gt;""</formula>
    </cfRule>
    <cfRule type="expression" dxfId="8301" priority="2731">
      <formula>#REF!&lt;&gt;""</formula>
    </cfRule>
    <cfRule type="expression" dxfId="8300" priority="2732">
      <formula>#REF!&lt;&gt;""</formula>
    </cfRule>
    <cfRule type="expression" dxfId="8299" priority="2733">
      <formula>#REF!&lt;&gt;""</formula>
    </cfRule>
    <cfRule type="expression" dxfId="8298" priority="2734">
      <formula>#REF!&lt;&gt;""</formula>
    </cfRule>
    <cfRule type="expression" dxfId="8297" priority="2735">
      <formula>#REF!&lt;&gt;""</formula>
    </cfRule>
    <cfRule type="expression" dxfId="8296" priority="2736">
      <formula>#REF!&lt;&gt;""</formula>
    </cfRule>
  </conditionalFormatting>
  <conditionalFormatting sqref="E140">
    <cfRule type="expression" dxfId="8295" priority="2712">
      <formula>#REF!&lt;&gt;""</formula>
    </cfRule>
    <cfRule type="expression" dxfId="8294" priority="2713">
      <formula>#REF!&lt;&gt;""</formula>
    </cfRule>
    <cfRule type="expression" dxfId="8293" priority="2714">
      <formula>#REF!&lt;&gt;""</formula>
    </cfRule>
    <cfRule type="expression" dxfId="8292" priority="2715">
      <formula>#REF!&lt;&gt;""</formula>
    </cfRule>
    <cfRule type="expression" dxfId="8291" priority="2716">
      <formula>#REF!&lt;&gt;""</formula>
    </cfRule>
    <cfRule type="expression" dxfId="8290" priority="2717">
      <formula>#REF!&lt;&gt;""</formula>
    </cfRule>
    <cfRule type="expression" dxfId="8289" priority="2718">
      <formula>#REF!&lt;&gt;""</formula>
    </cfRule>
    <cfRule type="expression" dxfId="8288" priority="2719">
      <formula>#REF!&lt;&gt;""</formula>
    </cfRule>
    <cfRule type="expression" dxfId="8287" priority="2720">
      <formula>#REF!&lt;&gt;""</formula>
    </cfRule>
    <cfRule type="expression" dxfId="8286" priority="2721">
      <formula>#REF!&lt;&gt;""</formula>
    </cfRule>
    <cfRule type="expression" dxfId="8285" priority="2722">
      <formula>#REF!&lt;&gt;""</formula>
    </cfRule>
    <cfRule type="expression" dxfId="8284" priority="2723">
      <formula>#REF!&lt;&gt;""</formula>
    </cfRule>
  </conditionalFormatting>
  <conditionalFormatting sqref="E141">
    <cfRule type="expression" dxfId="8283" priority="2699">
      <formula>#REF!&lt;&gt;""</formula>
    </cfRule>
    <cfRule type="expression" dxfId="8282" priority="2700">
      <formula>#REF!&lt;&gt;""</formula>
    </cfRule>
    <cfRule type="expression" dxfId="8281" priority="2701">
      <formula>#REF!&lt;&gt;""</formula>
    </cfRule>
    <cfRule type="expression" dxfId="8280" priority="2702">
      <formula>#REF!&lt;&gt;""</formula>
    </cfRule>
    <cfRule type="expression" dxfId="8279" priority="2703">
      <formula>#REF!&lt;&gt;""</formula>
    </cfRule>
    <cfRule type="expression" dxfId="8278" priority="2704">
      <formula>#REF!&lt;&gt;""</formula>
    </cfRule>
    <cfRule type="expression" dxfId="8277" priority="2705">
      <formula>#REF!&lt;&gt;""</formula>
    </cfRule>
    <cfRule type="expression" dxfId="8276" priority="2706">
      <formula>#REF!&lt;&gt;""</formula>
    </cfRule>
    <cfRule type="expression" dxfId="8275" priority="2707">
      <formula>#REF!&lt;&gt;""</formula>
    </cfRule>
    <cfRule type="expression" dxfId="8274" priority="2708">
      <formula>#REF!&lt;&gt;""</formula>
    </cfRule>
    <cfRule type="expression" dxfId="8273" priority="2709">
      <formula>#REF!&lt;&gt;""</formula>
    </cfRule>
    <cfRule type="expression" dxfId="8272" priority="2710">
      <formula>#REF!&lt;&gt;""</formula>
    </cfRule>
  </conditionalFormatting>
  <conditionalFormatting sqref="E142">
    <cfRule type="expression" dxfId="8271" priority="2686">
      <formula>#REF!&lt;&gt;""</formula>
    </cfRule>
    <cfRule type="expression" dxfId="8270" priority="2687">
      <formula>#REF!&lt;&gt;""</formula>
    </cfRule>
    <cfRule type="expression" dxfId="8269" priority="2688">
      <formula>#REF!&lt;&gt;""</formula>
    </cfRule>
    <cfRule type="expression" dxfId="8268" priority="2689">
      <formula>#REF!&lt;&gt;""</formula>
    </cfRule>
    <cfRule type="expression" dxfId="8267" priority="2690">
      <formula>#REF!&lt;&gt;""</formula>
    </cfRule>
    <cfRule type="expression" dxfId="8266" priority="2691">
      <formula>#REF!&lt;&gt;""</formula>
    </cfRule>
    <cfRule type="expression" dxfId="8265" priority="2692">
      <formula>#REF!&lt;&gt;""</formula>
    </cfRule>
    <cfRule type="expression" dxfId="8264" priority="2693">
      <formula>#REF!&lt;&gt;""</formula>
    </cfRule>
    <cfRule type="expression" dxfId="8263" priority="2694">
      <formula>#REF!&lt;&gt;""</formula>
    </cfRule>
    <cfRule type="expression" dxfId="8262" priority="2695">
      <formula>#REF!&lt;&gt;""</formula>
    </cfRule>
    <cfRule type="expression" dxfId="8261" priority="2696">
      <formula>#REF!&lt;&gt;""</formula>
    </cfRule>
    <cfRule type="expression" dxfId="8260" priority="2697">
      <formula>#REF!&lt;&gt;""</formula>
    </cfRule>
  </conditionalFormatting>
  <conditionalFormatting sqref="E143">
    <cfRule type="expression" dxfId="8259" priority="2673">
      <formula>#REF!&lt;&gt;""</formula>
    </cfRule>
    <cfRule type="expression" dxfId="8258" priority="2674">
      <formula>#REF!&lt;&gt;""</formula>
    </cfRule>
    <cfRule type="expression" dxfId="8257" priority="2675">
      <formula>#REF!&lt;&gt;""</formula>
    </cfRule>
    <cfRule type="expression" dxfId="8256" priority="2676">
      <formula>#REF!&lt;&gt;""</formula>
    </cfRule>
    <cfRule type="expression" dxfId="8255" priority="2677">
      <formula>#REF!&lt;&gt;""</formula>
    </cfRule>
    <cfRule type="expression" dxfId="8254" priority="2678">
      <formula>#REF!&lt;&gt;""</formula>
    </cfRule>
    <cfRule type="expression" dxfId="8253" priority="2679">
      <formula>#REF!&lt;&gt;""</formula>
    </cfRule>
    <cfRule type="expression" dxfId="8252" priority="2680">
      <formula>#REF!&lt;&gt;""</formula>
    </cfRule>
    <cfRule type="expression" dxfId="8251" priority="2681">
      <formula>#REF!&lt;&gt;""</formula>
    </cfRule>
    <cfRule type="expression" dxfId="8250" priority="2682">
      <formula>#REF!&lt;&gt;""</formula>
    </cfRule>
    <cfRule type="expression" dxfId="8249" priority="2683">
      <formula>#REF!&lt;&gt;""</formula>
    </cfRule>
    <cfRule type="expression" dxfId="8248" priority="2684">
      <formula>#REF!&lt;&gt;""</formula>
    </cfRule>
  </conditionalFormatting>
  <conditionalFormatting sqref="E144">
    <cfRule type="expression" dxfId="8247" priority="2660">
      <formula>#REF!&lt;&gt;""</formula>
    </cfRule>
    <cfRule type="expression" dxfId="8246" priority="2661">
      <formula>#REF!&lt;&gt;""</formula>
    </cfRule>
    <cfRule type="expression" dxfId="8245" priority="2662">
      <formula>#REF!&lt;&gt;""</formula>
    </cfRule>
    <cfRule type="expression" dxfId="8244" priority="2663">
      <formula>#REF!&lt;&gt;""</formula>
    </cfRule>
    <cfRule type="expression" dxfId="8243" priority="2664">
      <formula>#REF!&lt;&gt;""</formula>
    </cfRule>
    <cfRule type="expression" dxfId="8242" priority="2665">
      <formula>#REF!&lt;&gt;""</formula>
    </cfRule>
    <cfRule type="expression" dxfId="8241" priority="2666">
      <formula>#REF!&lt;&gt;""</formula>
    </cfRule>
    <cfRule type="expression" dxfId="8240" priority="2667">
      <formula>#REF!&lt;&gt;""</formula>
    </cfRule>
    <cfRule type="expression" dxfId="8239" priority="2668">
      <formula>#REF!&lt;&gt;""</formula>
    </cfRule>
    <cfRule type="expression" dxfId="8238" priority="2669">
      <formula>#REF!&lt;&gt;""</formula>
    </cfRule>
    <cfRule type="expression" dxfId="8237" priority="2670">
      <formula>#REF!&lt;&gt;""</formula>
    </cfRule>
    <cfRule type="expression" dxfId="8236" priority="2671">
      <formula>#REF!&lt;&gt;""</formula>
    </cfRule>
  </conditionalFormatting>
  <conditionalFormatting sqref="E145">
    <cfRule type="expression" dxfId="8235" priority="2647">
      <formula>#REF!&lt;&gt;""</formula>
    </cfRule>
    <cfRule type="expression" dxfId="8234" priority="2648">
      <formula>#REF!&lt;&gt;""</formula>
    </cfRule>
    <cfRule type="expression" dxfId="8233" priority="2649">
      <formula>#REF!&lt;&gt;""</formula>
    </cfRule>
    <cfRule type="expression" dxfId="8232" priority="2650">
      <formula>#REF!&lt;&gt;""</formula>
    </cfRule>
    <cfRule type="expression" dxfId="8231" priority="2651">
      <formula>#REF!&lt;&gt;""</formula>
    </cfRule>
    <cfRule type="expression" dxfId="8230" priority="2652">
      <formula>#REF!&lt;&gt;""</formula>
    </cfRule>
    <cfRule type="expression" dxfId="8229" priority="2653">
      <formula>#REF!&lt;&gt;""</formula>
    </cfRule>
    <cfRule type="expression" dxfId="8228" priority="2654">
      <formula>#REF!&lt;&gt;""</formula>
    </cfRule>
    <cfRule type="expression" dxfId="8227" priority="2655">
      <formula>#REF!&lt;&gt;""</formula>
    </cfRule>
    <cfRule type="expression" dxfId="8226" priority="2656">
      <formula>#REF!&lt;&gt;""</formula>
    </cfRule>
    <cfRule type="expression" dxfId="8225" priority="2657">
      <formula>#REF!&lt;&gt;""</formula>
    </cfRule>
    <cfRule type="expression" dxfId="8224" priority="2658">
      <formula>#REF!&lt;&gt;""</formula>
    </cfRule>
  </conditionalFormatting>
  <conditionalFormatting sqref="E146">
    <cfRule type="expression" dxfId="8223" priority="2634">
      <formula>#REF!&lt;&gt;""</formula>
    </cfRule>
    <cfRule type="expression" dxfId="8222" priority="2635">
      <formula>#REF!&lt;&gt;""</formula>
    </cfRule>
    <cfRule type="expression" dxfId="8221" priority="2636">
      <formula>#REF!&lt;&gt;""</formula>
    </cfRule>
    <cfRule type="expression" dxfId="8220" priority="2637">
      <formula>#REF!&lt;&gt;""</formula>
    </cfRule>
    <cfRule type="expression" dxfId="8219" priority="2638">
      <formula>#REF!&lt;&gt;""</formula>
    </cfRule>
    <cfRule type="expression" dxfId="8218" priority="2639">
      <formula>#REF!&lt;&gt;""</formula>
    </cfRule>
    <cfRule type="expression" dxfId="8217" priority="2640">
      <formula>#REF!&lt;&gt;""</formula>
    </cfRule>
    <cfRule type="expression" dxfId="8216" priority="2641">
      <formula>#REF!&lt;&gt;""</formula>
    </cfRule>
    <cfRule type="expression" dxfId="8215" priority="2642">
      <formula>#REF!&lt;&gt;""</formula>
    </cfRule>
    <cfRule type="expression" dxfId="8214" priority="2643">
      <formula>#REF!&lt;&gt;""</formula>
    </cfRule>
    <cfRule type="expression" dxfId="8213" priority="2644">
      <formula>#REF!&lt;&gt;""</formula>
    </cfRule>
    <cfRule type="expression" dxfId="8212" priority="2645">
      <formula>#REF!&lt;&gt;""</formula>
    </cfRule>
  </conditionalFormatting>
  <conditionalFormatting sqref="E147">
    <cfRule type="expression" dxfId="8211" priority="2621">
      <formula>#REF!&lt;&gt;""</formula>
    </cfRule>
    <cfRule type="expression" dxfId="8210" priority="2622">
      <formula>#REF!&lt;&gt;""</formula>
    </cfRule>
    <cfRule type="expression" dxfId="8209" priority="2623">
      <formula>#REF!&lt;&gt;""</formula>
    </cfRule>
    <cfRule type="expression" dxfId="8208" priority="2624">
      <formula>#REF!&lt;&gt;""</formula>
    </cfRule>
    <cfRule type="expression" dxfId="8207" priority="2625">
      <formula>#REF!&lt;&gt;""</formula>
    </cfRule>
    <cfRule type="expression" dxfId="8206" priority="2626">
      <formula>#REF!&lt;&gt;""</formula>
    </cfRule>
    <cfRule type="expression" dxfId="8205" priority="2627">
      <formula>#REF!&lt;&gt;""</formula>
    </cfRule>
    <cfRule type="expression" dxfId="8204" priority="2628">
      <formula>#REF!&lt;&gt;""</formula>
    </cfRule>
    <cfRule type="expression" dxfId="8203" priority="2629">
      <formula>#REF!&lt;&gt;""</formula>
    </cfRule>
    <cfRule type="expression" dxfId="8202" priority="2630">
      <formula>#REF!&lt;&gt;""</formula>
    </cfRule>
    <cfRule type="expression" dxfId="8201" priority="2631">
      <formula>#REF!&lt;&gt;""</formula>
    </cfRule>
    <cfRule type="expression" dxfId="8200" priority="2632">
      <formula>#REF!&lt;&gt;""</formula>
    </cfRule>
  </conditionalFormatting>
  <conditionalFormatting sqref="E148">
    <cfRule type="expression" dxfId="8199" priority="2608">
      <formula>#REF!&lt;&gt;""</formula>
    </cfRule>
    <cfRule type="expression" dxfId="8198" priority="2609">
      <formula>#REF!&lt;&gt;""</formula>
    </cfRule>
    <cfRule type="expression" dxfId="8197" priority="2610">
      <formula>#REF!&lt;&gt;""</formula>
    </cfRule>
    <cfRule type="expression" dxfId="8196" priority="2611">
      <formula>#REF!&lt;&gt;""</formula>
    </cfRule>
    <cfRule type="expression" dxfId="8195" priority="2612">
      <formula>#REF!&lt;&gt;""</formula>
    </cfRule>
    <cfRule type="expression" dxfId="8194" priority="2613">
      <formula>#REF!&lt;&gt;""</formula>
    </cfRule>
    <cfRule type="expression" dxfId="8193" priority="2614">
      <formula>#REF!&lt;&gt;""</formula>
    </cfRule>
    <cfRule type="expression" dxfId="8192" priority="2615">
      <formula>#REF!&lt;&gt;""</formula>
    </cfRule>
    <cfRule type="expression" dxfId="8191" priority="2616">
      <formula>#REF!&lt;&gt;""</formula>
    </cfRule>
    <cfRule type="expression" dxfId="8190" priority="2617">
      <formula>#REF!&lt;&gt;""</formula>
    </cfRule>
    <cfRule type="expression" dxfId="8189" priority="2618">
      <formula>#REF!&lt;&gt;""</formula>
    </cfRule>
    <cfRule type="expression" dxfId="8188" priority="2619">
      <formula>#REF!&lt;&gt;""</formula>
    </cfRule>
  </conditionalFormatting>
  <conditionalFormatting sqref="E149">
    <cfRule type="expression" dxfId="8187" priority="2595">
      <formula>#REF!&lt;&gt;""</formula>
    </cfRule>
    <cfRule type="expression" dxfId="8186" priority="2596">
      <formula>#REF!&lt;&gt;""</formula>
    </cfRule>
    <cfRule type="expression" dxfId="8185" priority="2597">
      <formula>#REF!&lt;&gt;""</formula>
    </cfRule>
    <cfRule type="expression" dxfId="8184" priority="2598">
      <formula>#REF!&lt;&gt;""</formula>
    </cfRule>
    <cfRule type="expression" dxfId="8183" priority="2599">
      <formula>#REF!&lt;&gt;""</formula>
    </cfRule>
    <cfRule type="expression" dxfId="8182" priority="2600">
      <formula>#REF!&lt;&gt;""</formula>
    </cfRule>
    <cfRule type="expression" dxfId="8181" priority="2601">
      <formula>#REF!&lt;&gt;""</formula>
    </cfRule>
    <cfRule type="expression" dxfId="8180" priority="2602">
      <formula>#REF!&lt;&gt;""</formula>
    </cfRule>
    <cfRule type="expression" dxfId="8179" priority="2603">
      <formula>#REF!&lt;&gt;""</formula>
    </cfRule>
    <cfRule type="expression" dxfId="8178" priority="2604">
      <formula>#REF!&lt;&gt;""</formula>
    </cfRule>
    <cfRule type="expression" dxfId="8177" priority="2605">
      <formula>#REF!&lt;&gt;""</formula>
    </cfRule>
    <cfRule type="expression" dxfId="8176" priority="2606">
      <formula>#REF!&lt;&gt;""</formula>
    </cfRule>
  </conditionalFormatting>
  <conditionalFormatting sqref="E150">
    <cfRule type="expression" dxfId="8175" priority="2582">
      <formula>#REF!&lt;&gt;""</formula>
    </cfRule>
    <cfRule type="expression" dxfId="8174" priority="2583">
      <formula>#REF!&lt;&gt;""</formula>
    </cfRule>
    <cfRule type="expression" dxfId="8173" priority="2584">
      <formula>#REF!&lt;&gt;""</formula>
    </cfRule>
    <cfRule type="expression" dxfId="8172" priority="2585">
      <formula>#REF!&lt;&gt;""</formula>
    </cfRule>
    <cfRule type="expression" dxfId="8171" priority="2586">
      <formula>#REF!&lt;&gt;""</formula>
    </cfRule>
    <cfRule type="expression" dxfId="8170" priority="2587">
      <formula>#REF!&lt;&gt;""</formula>
    </cfRule>
    <cfRule type="expression" dxfId="8169" priority="2588">
      <formula>#REF!&lt;&gt;""</formula>
    </cfRule>
    <cfRule type="expression" dxfId="8168" priority="2589">
      <formula>#REF!&lt;&gt;""</formula>
    </cfRule>
    <cfRule type="expression" dxfId="8167" priority="2590">
      <formula>#REF!&lt;&gt;""</formula>
    </cfRule>
    <cfRule type="expression" dxfId="8166" priority="2591">
      <formula>#REF!&lt;&gt;""</formula>
    </cfRule>
    <cfRule type="expression" dxfId="8165" priority="2592">
      <formula>#REF!&lt;&gt;""</formula>
    </cfRule>
    <cfRule type="expression" dxfId="8164" priority="2593">
      <formula>#REF!&lt;&gt;""</formula>
    </cfRule>
  </conditionalFormatting>
  <conditionalFormatting sqref="E151">
    <cfRule type="expression" dxfId="8163" priority="2569">
      <formula>#REF!&lt;&gt;""</formula>
    </cfRule>
    <cfRule type="expression" dxfId="8162" priority="2570">
      <formula>#REF!&lt;&gt;""</formula>
    </cfRule>
    <cfRule type="expression" dxfId="8161" priority="2571">
      <formula>#REF!&lt;&gt;""</formula>
    </cfRule>
    <cfRule type="expression" dxfId="8160" priority="2572">
      <formula>#REF!&lt;&gt;""</formula>
    </cfRule>
    <cfRule type="expression" dxfId="8159" priority="2573">
      <formula>#REF!&lt;&gt;""</formula>
    </cfRule>
    <cfRule type="expression" dxfId="8158" priority="2574">
      <formula>#REF!&lt;&gt;""</formula>
    </cfRule>
    <cfRule type="expression" dxfId="8157" priority="2575">
      <formula>#REF!&lt;&gt;""</formula>
    </cfRule>
    <cfRule type="expression" dxfId="8156" priority="2576">
      <formula>#REF!&lt;&gt;""</formula>
    </cfRule>
    <cfRule type="expression" dxfId="8155" priority="2577">
      <formula>#REF!&lt;&gt;""</formula>
    </cfRule>
    <cfRule type="expression" dxfId="8154" priority="2578">
      <formula>#REF!&lt;&gt;""</formula>
    </cfRule>
    <cfRule type="expression" dxfId="8153" priority="2579">
      <formula>#REF!&lt;&gt;""</formula>
    </cfRule>
    <cfRule type="expression" dxfId="8152" priority="2580">
      <formula>#REF!&lt;&gt;""</formula>
    </cfRule>
  </conditionalFormatting>
  <conditionalFormatting sqref="E152">
    <cfRule type="expression" dxfId="8151" priority="2556">
      <formula>#REF!&lt;&gt;""</formula>
    </cfRule>
    <cfRule type="expression" dxfId="8150" priority="2557">
      <formula>#REF!&lt;&gt;""</formula>
    </cfRule>
    <cfRule type="expression" dxfId="8149" priority="2558">
      <formula>#REF!&lt;&gt;""</formula>
    </cfRule>
    <cfRule type="expression" dxfId="8148" priority="2559">
      <formula>#REF!&lt;&gt;""</formula>
    </cfRule>
    <cfRule type="expression" dxfId="8147" priority="2560">
      <formula>#REF!&lt;&gt;""</formula>
    </cfRule>
    <cfRule type="expression" dxfId="8146" priority="2561">
      <formula>#REF!&lt;&gt;""</formula>
    </cfRule>
    <cfRule type="expression" dxfId="8145" priority="2562">
      <formula>#REF!&lt;&gt;""</formula>
    </cfRule>
    <cfRule type="expression" dxfId="8144" priority="2563">
      <formula>#REF!&lt;&gt;""</formula>
    </cfRule>
    <cfRule type="expression" dxfId="8143" priority="2564">
      <formula>#REF!&lt;&gt;""</formula>
    </cfRule>
    <cfRule type="expression" dxfId="8142" priority="2565">
      <formula>#REF!&lt;&gt;""</formula>
    </cfRule>
    <cfRule type="expression" dxfId="8141" priority="2566">
      <formula>#REF!&lt;&gt;""</formula>
    </cfRule>
    <cfRule type="expression" dxfId="8140" priority="2567">
      <formula>#REF!&lt;&gt;""</formula>
    </cfRule>
  </conditionalFormatting>
  <conditionalFormatting sqref="F166 G166:G215">
    <cfRule type="expression" dxfId="8139" priority="2543">
      <formula>#REF!&lt;&gt;""</formula>
    </cfRule>
    <cfRule type="expression" dxfId="8138" priority="2544">
      <formula>#REF!&lt;&gt;""</formula>
    </cfRule>
    <cfRule type="expression" dxfId="8137" priority="2545">
      <formula>#REF!&lt;&gt;""</formula>
    </cfRule>
    <cfRule type="expression" dxfId="8136" priority="2546">
      <formula>#REF!&lt;&gt;""</formula>
    </cfRule>
    <cfRule type="expression" dxfId="8135" priority="2547">
      <formula>#REF!&lt;&gt;""</formula>
    </cfRule>
    <cfRule type="expression" dxfId="8134" priority="2548">
      <formula>#REF!&lt;&gt;""</formula>
    </cfRule>
    <cfRule type="expression" dxfId="8133" priority="2549">
      <formula>#REF!&lt;&gt;""</formula>
    </cfRule>
    <cfRule type="expression" dxfId="8132" priority="2550">
      <formula>#REF!&lt;&gt;""</formula>
    </cfRule>
    <cfRule type="expression" dxfId="8131" priority="2551">
      <formula>#REF!&lt;&gt;""</formula>
    </cfRule>
    <cfRule type="expression" dxfId="8130" priority="2552">
      <formula>#REF!&lt;&gt;""</formula>
    </cfRule>
    <cfRule type="expression" dxfId="8129" priority="2553">
      <formula>#REF!&lt;&gt;""</formula>
    </cfRule>
    <cfRule type="expression" dxfId="8128" priority="2554">
      <formula>#REF!&lt;&gt;""</formula>
    </cfRule>
  </conditionalFormatting>
  <conditionalFormatting sqref="F167">
    <cfRule type="expression" dxfId="8127" priority="2530">
      <formula>#REF!&lt;&gt;""</formula>
    </cfRule>
    <cfRule type="expression" dxfId="8126" priority="2531">
      <formula>#REF!&lt;&gt;""</formula>
    </cfRule>
    <cfRule type="expression" dxfId="8125" priority="2532">
      <formula>#REF!&lt;&gt;""</formula>
    </cfRule>
    <cfRule type="expression" dxfId="8124" priority="2533">
      <formula>#REF!&lt;&gt;""</formula>
    </cfRule>
    <cfRule type="expression" dxfId="8123" priority="2534">
      <formula>#REF!&lt;&gt;""</formula>
    </cfRule>
    <cfRule type="expression" dxfId="8122" priority="2535">
      <formula>#REF!&lt;&gt;""</formula>
    </cfRule>
    <cfRule type="expression" dxfId="8121" priority="2536">
      <formula>#REF!&lt;&gt;""</formula>
    </cfRule>
    <cfRule type="expression" dxfId="8120" priority="2537">
      <formula>#REF!&lt;&gt;""</formula>
    </cfRule>
    <cfRule type="expression" dxfId="8119" priority="2538">
      <formula>#REF!&lt;&gt;""</formula>
    </cfRule>
    <cfRule type="expression" dxfId="8118" priority="2539">
      <formula>#REF!&lt;&gt;""</formula>
    </cfRule>
    <cfRule type="expression" dxfId="8117" priority="2540">
      <formula>#REF!&lt;&gt;""</formula>
    </cfRule>
    <cfRule type="expression" dxfId="8116" priority="2541">
      <formula>#REF!&lt;&gt;""</formula>
    </cfRule>
  </conditionalFormatting>
  <conditionalFormatting sqref="F168">
    <cfRule type="expression" dxfId="8115" priority="2517">
      <formula>#REF!&lt;&gt;""</formula>
    </cfRule>
    <cfRule type="expression" dxfId="8114" priority="2518">
      <formula>#REF!&lt;&gt;""</formula>
    </cfRule>
    <cfRule type="expression" dxfId="8113" priority="2519">
      <formula>#REF!&lt;&gt;""</formula>
    </cfRule>
    <cfRule type="expression" dxfId="8112" priority="2520">
      <formula>#REF!&lt;&gt;""</formula>
    </cfRule>
    <cfRule type="expression" dxfId="8111" priority="2521">
      <formula>#REF!&lt;&gt;""</formula>
    </cfRule>
    <cfRule type="expression" dxfId="8110" priority="2522">
      <formula>#REF!&lt;&gt;""</formula>
    </cfRule>
    <cfRule type="expression" dxfId="8109" priority="2523">
      <formula>#REF!&lt;&gt;""</formula>
    </cfRule>
    <cfRule type="expression" dxfId="8108" priority="2524">
      <formula>#REF!&lt;&gt;""</formula>
    </cfRule>
    <cfRule type="expression" dxfId="8107" priority="2525">
      <formula>#REF!&lt;&gt;""</formula>
    </cfRule>
    <cfRule type="expression" dxfId="8106" priority="2526">
      <formula>#REF!&lt;&gt;""</formula>
    </cfRule>
    <cfRule type="expression" dxfId="8105" priority="2527">
      <formula>#REF!&lt;&gt;""</formula>
    </cfRule>
    <cfRule type="expression" dxfId="8104" priority="2528">
      <formula>#REF!&lt;&gt;""</formula>
    </cfRule>
  </conditionalFormatting>
  <conditionalFormatting sqref="F169">
    <cfRule type="expression" dxfId="8103" priority="2504">
      <formula>#REF!&lt;&gt;""</formula>
    </cfRule>
    <cfRule type="expression" dxfId="8102" priority="2505">
      <formula>#REF!&lt;&gt;""</formula>
    </cfRule>
    <cfRule type="expression" dxfId="8101" priority="2506">
      <formula>#REF!&lt;&gt;""</formula>
    </cfRule>
    <cfRule type="expression" dxfId="8100" priority="2507">
      <formula>#REF!&lt;&gt;""</formula>
    </cfRule>
    <cfRule type="expression" dxfId="8099" priority="2508">
      <formula>#REF!&lt;&gt;""</formula>
    </cfRule>
    <cfRule type="expression" dxfId="8098" priority="2509">
      <formula>#REF!&lt;&gt;""</formula>
    </cfRule>
    <cfRule type="expression" dxfId="8097" priority="2510">
      <formula>#REF!&lt;&gt;""</formula>
    </cfRule>
    <cfRule type="expression" dxfId="8096" priority="2511">
      <formula>#REF!&lt;&gt;""</formula>
    </cfRule>
    <cfRule type="expression" dxfId="8095" priority="2512">
      <formula>#REF!&lt;&gt;""</formula>
    </cfRule>
    <cfRule type="expression" dxfId="8094" priority="2513">
      <formula>#REF!&lt;&gt;""</formula>
    </cfRule>
    <cfRule type="expression" dxfId="8093" priority="2514">
      <formula>#REF!&lt;&gt;""</formula>
    </cfRule>
    <cfRule type="expression" dxfId="8092" priority="2515">
      <formula>#REF!&lt;&gt;""</formula>
    </cfRule>
  </conditionalFormatting>
  <conditionalFormatting sqref="F170">
    <cfRule type="expression" dxfId="8091" priority="2491">
      <formula>#REF!&lt;&gt;""</formula>
    </cfRule>
    <cfRule type="expression" dxfId="8090" priority="2492">
      <formula>#REF!&lt;&gt;""</formula>
    </cfRule>
    <cfRule type="expression" dxfId="8089" priority="2493">
      <formula>#REF!&lt;&gt;""</formula>
    </cfRule>
    <cfRule type="expression" dxfId="8088" priority="2494">
      <formula>#REF!&lt;&gt;""</formula>
    </cfRule>
    <cfRule type="expression" dxfId="8087" priority="2495">
      <formula>#REF!&lt;&gt;""</formula>
    </cfRule>
    <cfRule type="expression" dxfId="8086" priority="2496">
      <formula>#REF!&lt;&gt;""</formula>
    </cfRule>
    <cfRule type="expression" dxfId="8085" priority="2497">
      <formula>#REF!&lt;&gt;""</formula>
    </cfRule>
    <cfRule type="expression" dxfId="8084" priority="2498">
      <formula>#REF!&lt;&gt;""</formula>
    </cfRule>
    <cfRule type="expression" dxfId="8083" priority="2499">
      <formula>#REF!&lt;&gt;""</formula>
    </cfRule>
    <cfRule type="expression" dxfId="8082" priority="2500">
      <formula>#REF!&lt;&gt;""</formula>
    </cfRule>
    <cfRule type="expression" dxfId="8081" priority="2501">
      <formula>#REF!&lt;&gt;""</formula>
    </cfRule>
    <cfRule type="expression" dxfId="8080" priority="2502">
      <formula>#REF!&lt;&gt;""</formula>
    </cfRule>
  </conditionalFormatting>
  <conditionalFormatting sqref="F171">
    <cfRule type="expression" dxfId="8079" priority="2478">
      <formula>#REF!&lt;&gt;""</formula>
    </cfRule>
    <cfRule type="expression" dxfId="8078" priority="2479">
      <formula>#REF!&lt;&gt;""</formula>
    </cfRule>
    <cfRule type="expression" dxfId="8077" priority="2480">
      <formula>#REF!&lt;&gt;""</formula>
    </cfRule>
    <cfRule type="expression" dxfId="8076" priority="2481">
      <formula>#REF!&lt;&gt;""</formula>
    </cfRule>
    <cfRule type="expression" dxfId="8075" priority="2482">
      <formula>#REF!&lt;&gt;""</formula>
    </cfRule>
    <cfRule type="expression" dxfId="8074" priority="2483">
      <formula>#REF!&lt;&gt;""</formula>
    </cfRule>
    <cfRule type="expression" dxfId="8073" priority="2484">
      <formula>#REF!&lt;&gt;""</formula>
    </cfRule>
    <cfRule type="expression" dxfId="8072" priority="2485">
      <formula>#REF!&lt;&gt;""</formula>
    </cfRule>
    <cfRule type="expression" dxfId="8071" priority="2486">
      <formula>#REF!&lt;&gt;""</formula>
    </cfRule>
    <cfRule type="expression" dxfId="8070" priority="2487">
      <formula>#REF!&lt;&gt;""</formula>
    </cfRule>
    <cfRule type="expression" dxfId="8069" priority="2488">
      <formula>#REF!&lt;&gt;""</formula>
    </cfRule>
    <cfRule type="expression" dxfId="8068" priority="2489">
      <formula>#REF!&lt;&gt;""</formula>
    </cfRule>
  </conditionalFormatting>
  <conditionalFormatting sqref="F172">
    <cfRule type="expression" dxfId="8067" priority="2465">
      <formula>#REF!&lt;&gt;""</formula>
    </cfRule>
    <cfRule type="expression" dxfId="8066" priority="2466">
      <formula>#REF!&lt;&gt;""</formula>
    </cfRule>
    <cfRule type="expression" dxfId="8065" priority="2467">
      <formula>#REF!&lt;&gt;""</formula>
    </cfRule>
    <cfRule type="expression" dxfId="8064" priority="2468">
      <formula>#REF!&lt;&gt;""</formula>
    </cfRule>
    <cfRule type="expression" dxfId="8063" priority="2469">
      <formula>#REF!&lt;&gt;""</formula>
    </cfRule>
    <cfRule type="expression" dxfId="8062" priority="2470">
      <formula>#REF!&lt;&gt;""</formula>
    </cfRule>
    <cfRule type="expression" dxfId="8061" priority="2471">
      <formula>#REF!&lt;&gt;""</formula>
    </cfRule>
    <cfRule type="expression" dxfId="8060" priority="2472">
      <formula>#REF!&lt;&gt;""</formula>
    </cfRule>
    <cfRule type="expression" dxfId="8059" priority="2473">
      <formula>#REF!&lt;&gt;""</formula>
    </cfRule>
    <cfRule type="expression" dxfId="8058" priority="2474">
      <formula>#REF!&lt;&gt;""</formula>
    </cfRule>
    <cfRule type="expression" dxfId="8057" priority="2475">
      <formula>#REF!&lt;&gt;""</formula>
    </cfRule>
    <cfRule type="expression" dxfId="8056" priority="2476">
      <formula>#REF!&lt;&gt;""</formula>
    </cfRule>
  </conditionalFormatting>
  <conditionalFormatting sqref="F173">
    <cfRule type="expression" dxfId="8055" priority="2452">
      <formula>#REF!&lt;&gt;""</formula>
    </cfRule>
    <cfRule type="expression" dxfId="8054" priority="2453">
      <formula>#REF!&lt;&gt;""</formula>
    </cfRule>
    <cfRule type="expression" dxfId="8053" priority="2454">
      <formula>#REF!&lt;&gt;""</formula>
    </cfRule>
    <cfRule type="expression" dxfId="8052" priority="2455">
      <formula>#REF!&lt;&gt;""</formula>
    </cfRule>
    <cfRule type="expression" dxfId="8051" priority="2456">
      <formula>#REF!&lt;&gt;""</formula>
    </cfRule>
    <cfRule type="expression" dxfId="8050" priority="2457">
      <formula>#REF!&lt;&gt;""</formula>
    </cfRule>
    <cfRule type="expression" dxfId="8049" priority="2458">
      <formula>#REF!&lt;&gt;""</formula>
    </cfRule>
    <cfRule type="expression" dxfId="8048" priority="2459">
      <formula>#REF!&lt;&gt;""</formula>
    </cfRule>
    <cfRule type="expression" dxfId="8047" priority="2460">
      <formula>#REF!&lt;&gt;""</formula>
    </cfRule>
    <cfRule type="expression" dxfId="8046" priority="2461">
      <formula>#REF!&lt;&gt;""</formula>
    </cfRule>
    <cfRule type="expression" dxfId="8045" priority="2462">
      <formula>#REF!&lt;&gt;""</formula>
    </cfRule>
    <cfRule type="expression" dxfId="8044" priority="2463">
      <formula>#REF!&lt;&gt;""</formula>
    </cfRule>
  </conditionalFormatting>
  <conditionalFormatting sqref="F174">
    <cfRule type="expression" dxfId="8043" priority="2439">
      <formula>#REF!&lt;&gt;""</formula>
    </cfRule>
    <cfRule type="expression" dxfId="8042" priority="2440">
      <formula>#REF!&lt;&gt;""</formula>
    </cfRule>
    <cfRule type="expression" dxfId="8041" priority="2441">
      <formula>#REF!&lt;&gt;""</formula>
    </cfRule>
    <cfRule type="expression" dxfId="8040" priority="2442">
      <formula>#REF!&lt;&gt;""</formula>
    </cfRule>
    <cfRule type="expression" dxfId="8039" priority="2443">
      <formula>#REF!&lt;&gt;""</formula>
    </cfRule>
    <cfRule type="expression" dxfId="8038" priority="2444">
      <formula>#REF!&lt;&gt;""</formula>
    </cfRule>
    <cfRule type="expression" dxfId="8037" priority="2445">
      <formula>#REF!&lt;&gt;""</formula>
    </cfRule>
    <cfRule type="expression" dxfId="8036" priority="2446">
      <formula>#REF!&lt;&gt;""</formula>
    </cfRule>
    <cfRule type="expression" dxfId="8035" priority="2447">
      <formula>#REF!&lt;&gt;""</formula>
    </cfRule>
    <cfRule type="expression" dxfId="8034" priority="2448">
      <formula>#REF!&lt;&gt;""</formula>
    </cfRule>
    <cfRule type="expression" dxfId="8033" priority="2449">
      <formula>#REF!&lt;&gt;""</formula>
    </cfRule>
    <cfRule type="expression" dxfId="8032" priority="2450">
      <formula>#REF!&lt;&gt;""</formula>
    </cfRule>
  </conditionalFormatting>
  <conditionalFormatting sqref="F175">
    <cfRule type="expression" dxfId="8031" priority="2426">
      <formula>#REF!&lt;&gt;""</formula>
    </cfRule>
    <cfRule type="expression" dxfId="8030" priority="2427">
      <formula>#REF!&lt;&gt;""</formula>
    </cfRule>
    <cfRule type="expression" dxfId="8029" priority="2428">
      <formula>#REF!&lt;&gt;""</formula>
    </cfRule>
    <cfRule type="expression" dxfId="8028" priority="2429">
      <formula>#REF!&lt;&gt;""</formula>
    </cfRule>
    <cfRule type="expression" dxfId="8027" priority="2430">
      <formula>#REF!&lt;&gt;""</formula>
    </cfRule>
    <cfRule type="expression" dxfId="8026" priority="2431">
      <formula>#REF!&lt;&gt;""</formula>
    </cfRule>
    <cfRule type="expression" dxfId="8025" priority="2432">
      <formula>#REF!&lt;&gt;""</formula>
    </cfRule>
    <cfRule type="expression" dxfId="8024" priority="2433">
      <formula>#REF!&lt;&gt;""</formula>
    </cfRule>
    <cfRule type="expression" dxfId="8023" priority="2434">
      <formula>#REF!&lt;&gt;""</formula>
    </cfRule>
    <cfRule type="expression" dxfId="8022" priority="2435">
      <formula>#REF!&lt;&gt;""</formula>
    </cfRule>
    <cfRule type="expression" dxfId="8021" priority="2436">
      <formula>#REF!&lt;&gt;""</formula>
    </cfRule>
    <cfRule type="expression" dxfId="8020" priority="2437">
      <formula>#REF!&lt;&gt;""</formula>
    </cfRule>
  </conditionalFormatting>
  <conditionalFormatting sqref="F176">
    <cfRule type="expression" dxfId="8019" priority="2413">
      <formula>#REF!&lt;&gt;""</formula>
    </cfRule>
    <cfRule type="expression" dxfId="8018" priority="2414">
      <formula>#REF!&lt;&gt;""</formula>
    </cfRule>
    <cfRule type="expression" dxfId="8017" priority="2415">
      <formula>#REF!&lt;&gt;""</formula>
    </cfRule>
    <cfRule type="expression" dxfId="8016" priority="2416">
      <formula>#REF!&lt;&gt;""</formula>
    </cfRule>
    <cfRule type="expression" dxfId="8015" priority="2417">
      <formula>#REF!&lt;&gt;""</formula>
    </cfRule>
    <cfRule type="expression" dxfId="8014" priority="2418">
      <formula>#REF!&lt;&gt;""</formula>
    </cfRule>
    <cfRule type="expression" dxfId="8013" priority="2419">
      <formula>#REF!&lt;&gt;""</formula>
    </cfRule>
    <cfRule type="expression" dxfId="8012" priority="2420">
      <formula>#REF!&lt;&gt;""</formula>
    </cfRule>
    <cfRule type="expression" dxfId="8011" priority="2421">
      <formula>#REF!&lt;&gt;""</formula>
    </cfRule>
    <cfRule type="expression" dxfId="8010" priority="2422">
      <formula>#REF!&lt;&gt;""</formula>
    </cfRule>
    <cfRule type="expression" dxfId="8009" priority="2423">
      <formula>#REF!&lt;&gt;""</formula>
    </cfRule>
    <cfRule type="expression" dxfId="8008" priority="2424">
      <formula>#REF!&lt;&gt;""</formula>
    </cfRule>
  </conditionalFormatting>
  <conditionalFormatting sqref="F177">
    <cfRule type="expression" dxfId="8007" priority="2400">
      <formula>#REF!&lt;&gt;""</formula>
    </cfRule>
    <cfRule type="expression" dxfId="8006" priority="2401">
      <formula>#REF!&lt;&gt;""</formula>
    </cfRule>
    <cfRule type="expression" dxfId="8005" priority="2402">
      <formula>#REF!&lt;&gt;""</formula>
    </cfRule>
    <cfRule type="expression" dxfId="8004" priority="2403">
      <formula>#REF!&lt;&gt;""</formula>
    </cfRule>
    <cfRule type="expression" dxfId="8003" priority="2404">
      <formula>#REF!&lt;&gt;""</formula>
    </cfRule>
    <cfRule type="expression" dxfId="8002" priority="2405">
      <formula>#REF!&lt;&gt;""</formula>
    </cfRule>
    <cfRule type="expression" dxfId="8001" priority="2406">
      <formula>#REF!&lt;&gt;""</formula>
    </cfRule>
    <cfRule type="expression" dxfId="8000" priority="2407">
      <formula>#REF!&lt;&gt;""</formula>
    </cfRule>
    <cfRule type="expression" dxfId="7999" priority="2408">
      <formula>#REF!&lt;&gt;""</formula>
    </cfRule>
    <cfRule type="expression" dxfId="7998" priority="2409">
      <formula>#REF!&lt;&gt;""</formula>
    </cfRule>
    <cfRule type="expression" dxfId="7997" priority="2410">
      <formula>#REF!&lt;&gt;""</formula>
    </cfRule>
    <cfRule type="expression" dxfId="7996" priority="2411">
      <formula>#REF!&lt;&gt;""</formula>
    </cfRule>
  </conditionalFormatting>
  <conditionalFormatting sqref="F178">
    <cfRule type="expression" dxfId="7995" priority="2387">
      <formula>#REF!&lt;&gt;""</formula>
    </cfRule>
    <cfRule type="expression" dxfId="7994" priority="2388">
      <formula>#REF!&lt;&gt;""</formula>
    </cfRule>
    <cfRule type="expression" dxfId="7993" priority="2389">
      <formula>#REF!&lt;&gt;""</formula>
    </cfRule>
    <cfRule type="expression" dxfId="7992" priority="2390">
      <formula>#REF!&lt;&gt;""</formula>
    </cfRule>
    <cfRule type="expression" dxfId="7991" priority="2391">
      <formula>#REF!&lt;&gt;""</formula>
    </cfRule>
    <cfRule type="expression" dxfId="7990" priority="2392">
      <formula>#REF!&lt;&gt;""</formula>
    </cfRule>
    <cfRule type="expression" dxfId="7989" priority="2393">
      <formula>#REF!&lt;&gt;""</formula>
    </cfRule>
    <cfRule type="expression" dxfId="7988" priority="2394">
      <formula>#REF!&lt;&gt;""</formula>
    </cfRule>
    <cfRule type="expression" dxfId="7987" priority="2395">
      <formula>#REF!&lt;&gt;""</formula>
    </cfRule>
    <cfRule type="expression" dxfId="7986" priority="2396">
      <formula>#REF!&lt;&gt;""</formula>
    </cfRule>
    <cfRule type="expression" dxfId="7985" priority="2397">
      <formula>#REF!&lt;&gt;""</formula>
    </cfRule>
    <cfRule type="expression" dxfId="7984" priority="2398">
      <formula>#REF!&lt;&gt;""</formula>
    </cfRule>
  </conditionalFormatting>
  <conditionalFormatting sqref="F179">
    <cfRule type="expression" dxfId="7983" priority="2374">
      <formula>#REF!&lt;&gt;""</formula>
    </cfRule>
    <cfRule type="expression" dxfId="7982" priority="2375">
      <formula>#REF!&lt;&gt;""</formula>
    </cfRule>
    <cfRule type="expression" dxfId="7981" priority="2376">
      <formula>#REF!&lt;&gt;""</formula>
    </cfRule>
    <cfRule type="expression" dxfId="7980" priority="2377">
      <formula>#REF!&lt;&gt;""</formula>
    </cfRule>
    <cfRule type="expression" dxfId="7979" priority="2378">
      <formula>#REF!&lt;&gt;""</formula>
    </cfRule>
    <cfRule type="expression" dxfId="7978" priority="2379">
      <formula>#REF!&lt;&gt;""</formula>
    </cfRule>
    <cfRule type="expression" dxfId="7977" priority="2380">
      <formula>#REF!&lt;&gt;""</formula>
    </cfRule>
    <cfRule type="expression" dxfId="7976" priority="2381">
      <formula>#REF!&lt;&gt;""</formula>
    </cfRule>
    <cfRule type="expression" dxfId="7975" priority="2382">
      <formula>#REF!&lt;&gt;""</formula>
    </cfRule>
    <cfRule type="expression" dxfId="7974" priority="2383">
      <formula>#REF!&lt;&gt;""</formula>
    </cfRule>
    <cfRule type="expression" dxfId="7973" priority="2384">
      <formula>#REF!&lt;&gt;""</formula>
    </cfRule>
    <cfRule type="expression" dxfId="7972" priority="2385">
      <formula>#REF!&lt;&gt;""</formula>
    </cfRule>
  </conditionalFormatting>
  <conditionalFormatting sqref="F180">
    <cfRule type="expression" dxfId="7971" priority="2361">
      <formula>#REF!&lt;&gt;""</formula>
    </cfRule>
    <cfRule type="expression" dxfId="7970" priority="2362">
      <formula>#REF!&lt;&gt;""</formula>
    </cfRule>
    <cfRule type="expression" dxfId="7969" priority="2363">
      <formula>#REF!&lt;&gt;""</formula>
    </cfRule>
    <cfRule type="expression" dxfId="7968" priority="2364">
      <formula>#REF!&lt;&gt;""</formula>
    </cfRule>
    <cfRule type="expression" dxfId="7967" priority="2365">
      <formula>#REF!&lt;&gt;""</formula>
    </cfRule>
    <cfRule type="expression" dxfId="7966" priority="2366">
      <formula>#REF!&lt;&gt;""</formula>
    </cfRule>
    <cfRule type="expression" dxfId="7965" priority="2367">
      <formula>#REF!&lt;&gt;""</formula>
    </cfRule>
    <cfRule type="expression" dxfId="7964" priority="2368">
      <formula>#REF!&lt;&gt;""</formula>
    </cfRule>
    <cfRule type="expression" dxfId="7963" priority="2369">
      <formula>#REF!&lt;&gt;""</formula>
    </cfRule>
    <cfRule type="expression" dxfId="7962" priority="2370">
      <formula>#REF!&lt;&gt;""</formula>
    </cfRule>
    <cfRule type="expression" dxfId="7961" priority="2371">
      <formula>#REF!&lt;&gt;""</formula>
    </cfRule>
    <cfRule type="expression" dxfId="7960" priority="2372">
      <formula>#REF!&lt;&gt;""</formula>
    </cfRule>
  </conditionalFormatting>
  <conditionalFormatting sqref="F181">
    <cfRule type="expression" dxfId="7959" priority="2348">
      <formula>#REF!&lt;&gt;""</formula>
    </cfRule>
    <cfRule type="expression" dxfId="7958" priority="2349">
      <formula>#REF!&lt;&gt;""</formula>
    </cfRule>
    <cfRule type="expression" dxfId="7957" priority="2350">
      <formula>#REF!&lt;&gt;""</formula>
    </cfRule>
    <cfRule type="expression" dxfId="7956" priority="2351">
      <formula>#REF!&lt;&gt;""</formula>
    </cfRule>
    <cfRule type="expression" dxfId="7955" priority="2352">
      <formula>#REF!&lt;&gt;""</formula>
    </cfRule>
    <cfRule type="expression" dxfId="7954" priority="2353">
      <formula>#REF!&lt;&gt;""</formula>
    </cfRule>
    <cfRule type="expression" dxfId="7953" priority="2354">
      <formula>#REF!&lt;&gt;""</formula>
    </cfRule>
    <cfRule type="expression" dxfId="7952" priority="2355">
      <formula>#REF!&lt;&gt;""</formula>
    </cfRule>
    <cfRule type="expression" dxfId="7951" priority="2356">
      <formula>#REF!&lt;&gt;""</formula>
    </cfRule>
    <cfRule type="expression" dxfId="7950" priority="2357">
      <formula>#REF!&lt;&gt;""</formula>
    </cfRule>
    <cfRule type="expression" dxfId="7949" priority="2358">
      <formula>#REF!&lt;&gt;""</formula>
    </cfRule>
    <cfRule type="expression" dxfId="7948" priority="2359">
      <formula>#REF!&lt;&gt;""</formula>
    </cfRule>
  </conditionalFormatting>
  <conditionalFormatting sqref="F182">
    <cfRule type="expression" dxfId="7947" priority="2335">
      <formula>#REF!&lt;&gt;""</formula>
    </cfRule>
    <cfRule type="expression" dxfId="7946" priority="2336">
      <formula>#REF!&lt;&gt;""</formula>
    </cfRule>
    <cfRule type="expression" dxfId="7945" priority="2337">
      <formula>#REF!&lt;&gt;""</formula>
    </cfRule>
    <cfRule type="expression" dxfId="7944" priority="2338">
      <formula>#REF!&lt;&gt;""</formula>
    </cfRule>
    <cfRule type="expression" dxfId="7943" priority="2339">
      <formula>#REF!&lt;&gt;""</formula>
    </cfRule>
    <cfRule type="expression" dxfId="7942" priority="2340">
      <formula>#REF!&lt;&gt;""</formula>
    </cfRule>
    <cfRule type="expression" dxfId="7941" priority="2341">
      <formula>#REF!&lt;&gt;""</formula>
    </cfRule>
    <cfRule type="expression" dxfId="7940" priority="2342">
      <formula>#REF!&lt;&gt;""</formula>
    </cfRule>
    <cfRule type="expression" dxfId="7939" priority="2343">
      <formula>#REF!&lt;&gt;""</formula>
    </cfRule>
    <cfRule type="expression" dxfId="7938" priority="2344">
      <formula>#REF!&lt;&gt;""</formula>
    </cfRule>
    <cfRule type="expression" dxfId="7937" priority="2345">
      <formula>#REF!&lt;&gt;""</formula>
    </cfRule>
    <cfRule type="expression" dxfId="7936" priority="2346">
      <formula>#REF!&lt;&gt;""</formula>
    </cfRule>
  </conditionalFormatting>
  <conditionalFormatting sqref="F183">
    <cfRule type="expression" dxfId="7935" priority="2322">
      <formula>#REF!&lt;&gt;""</formula>
    </cfRule>
    <cfRule type="expression" dxfId="7934" priority="2323">
      <formula>#REF!&lt;&gt;""</formula>
    </cfRule>
    <cfRule type="expression" dxfId="7933" priority="2324">
      <formula>#REF!&lt;&gt;""</formula>
    </cfRule>
    <cfRule type="expression" dxfId="7932" priority="2325">
      <formula>#REF!&lt;&gt;""</formula>
    </cfRule>
    <cfRule type="expression" dxfId="7931" priority="2326">
      <formula>#REF!&lt;&gt;""</formula>
    </cfRule>
    <cfRule type="expression" dxfId="7930" priority="2327">
      <formula>#REF!&lt;&gt;""</formula>
    </cfRule>
    <cfRule type="expression" dxfId="7929" priority="2328">
      <formula>#REF!&lt;&gt;""</formula>
    </cfRule>
    <cfRule type="expression" dxfId="7928" priority="2329">
      <formula>#REF!&lt;&gt;""</formula>
    </cfRule>
    <cfRule type="expression" dxfId="7927" priority="2330">
      <formula>#REF!&lt;&gt;""</formula>
    </cfRule>
    <cfRule type="expression" dxfId="7926" priority="2331">
      <formula>#REF!&lt;&gt;""</formula>
    </cfRule>
    <cfRule type="expression" dxfId="7925" priority="2332">
      <formula>#REF!&lt;&gt;""</formula>
    </cfRule>
    <cfRule type="expression" dxfId="7924" priority="2333">
      <formula>#REF!&lt;&gt;""</formula>
    </cfRule>
  </conditionalFormatting>
  <conditionalFormatting sqref="F184">
    <cfRule type="expression" dxfId="7923" priority="2309">
      <formula>#REF!&lt;&gt;""</formula>
    </cfRule>
    <cfRule type="expression" dxfId="7922" priority="2310">
      <formula>#REF!&lt;&gt;""</formula>
    </cfRule>
    <cfRule type="expression" dxfId="7921" priority="2311">
      <formula>#REF!&lt;&gt;""</formula>
    </cfRule>
    <cfRule type="expression" dxfId="7920" priority="2312">
      <formula>#REF!&lt;&gt;""</formula>
    </cfRule>
    <cfRule type="expression" dxfId="7919" priority="2313">
      <formula>#REF!&lt;&gt;""</formula>
    </cfRule>
    <cfRule type="expression" dxfId="7918" priority="2314">
      <formula>#REF!&lt;&gt;""</formula>
    </cfRule>
    <cfRule type="expression" dxfId="7917" priority="2315">
      <formula>#REF!&lt;&gt;""</formula>
    </cfRule>
    <cfRule type="expression" dxfId="7916" priority="2316">
      <formula>#REF!&lt;&gt;""</formula>
    </cfRule>
    <cfRule type="expression" dxfId="7915" priority="2317">
      <formula>#REF!&lt;&gt;""</formula>
    </cfRule>
    <cfRule type="expression" dxfId="7914" priority="2318">
      <formula>#REF!&lt;&gt;""</formula>
    </cfRule>
    <cfRule type="expression" dxfId="7913" priority="2319">
      <formula>#REF!&lt;&gt;""</formula>
    </cfRule>
    <cfRule type="expression" dxfId="7912" priority="2320">
      <formula>#REF!&lt;&gt;""</formula>
    </cfRule>
  </conditionalFormatting>
  <conditionalFormatting sqref="F185">
    <cfRule type="expression" dxfId="7911" priority="2296">
      <formula>#REF!&lt;&gt;""</formula>
    </cfRule>
    <cfRule type="expression" dxfId="7910" priority="2297">
      <formula>#REF!&lt;&gt;""</formula>
    </cfRule>
    <cfRule type="expression" dxfId="7909" priority="2298">
      <formula>#REF!&lt;&gt;""</formula>
    </cfRule>
    <cfRule type="expression" dxfId="7908" priority="2299">
      <formula>#REF!&lt;&gt;""</formula>
    </cfRule>
    <cfRule type="expression" dxfId="7907" priority="2300">
      <formula>#REF!&lt;&gt;""</formula>
    </cfRule>
    <cfRule type="expression" dxfId="7906" priority="2301">
      <formula>#REF!&lt;&gt;""</formula>
    </cfRule>
    <cfRule type="expression" dxfId="7905" priority="2302">
      <formula>#REF!&lt;&gt;""</formula>
    </cfRule>
    <cfRule type="expression" dxfId="7904" priority="2303">
      <formula>#REF!&lt;&gt;""</formula>
    </cfRule>
    <cfRule type="expression" dxfId="7903" priority="2304">
      <formula>#REF!&lt;&gt;""</formula>
    </cfRule>
    <cfRule type="expression" dxfId="7902" priority="2305">
      <formula>#REF!&lt;&gt;""</formula>
    </cfRule>
    <cfRule type="expression" dxfId="7901" priority="2306">
      <formula>#REF!&lt;&gt;""</formula>
    </cfRule>
    <cfRule type="expression" dxfId="7900" priority="2307">
      <formula>#REF!&lt;&gt;""</formula>
    </cfRule>
  </conditionalFormatting>
  <conditionalFormatting sqref="F186">
    <cfRule type="expression" dxfId="7899" priority="2283">
      <formula>#REF!&lt;&gt;""</formula>
    </cfRule>
    <cfRule type="expression" dxfId="7898" priority="2284">
      <formula>#REF!&lt;&gt;""</formula>
    </cfRule>
    <cfRule type="expression" dxfId="7897" priority="2285">
      <formula>#REF!&lt;&gt;""</formula>
    </cfRule>
    <cfRule type="expression" dxfId="7896" priority="2286">
      <formula>#REF!&lt;&gt;""</formula>
    </cfRule>
    <cfRule type="expression" dxfId="7895" priority="2287">
      <formula>#REF!&lt;&gt;""</formula>
    </cfRule>
    <cfRule type="expression" dxfId="7894" priority="2288">
      <formula>#REF!&lt;&gt;""</formula>
    </cfRule>
    <cfRule type="expression" dxfId="7893" priority="2289">
      <formula>#REF!&lt;&gt;""</formula>
    </cfRule>
    <cfRule type="expression" dxfId="7892" priority="2290">
      <formula>#REF!&lt;&gt;""</formula>
    </cfRule>
    <cfRule type="expression" dxfId="7891" priority="2291">
      <formula>#REF!&lt;&gt;""</formula>
    </cfRule>
    <cfRule type="expression" dxfId="7890" priority="2292">
      <formula>#REF!&lt;&gt;""</formula>
    </cfRule>
    <cfRule type="expression" dxfId="7889" priority="2293">
      <formula>#REF!&lt;&gt;""</formula>
    </cfRule>
    <cfRule type="expression" dxfId="7888" priority="2294">
      <formula>#REF!&lt;&gt;""</formula>
    </cfRule>
  </conditionalFormatting>
  <conditionalFormatting sqref="F187">
    <cfRule type="expression" dxfId="7887" priority="2270">
      <formula>#REF!&lt;&gt;""</formula>
    </cfRule>
    <cfRule type="expression" dxfId="7886" priority="2271">
      <formula>#REF!&lt;&gt;""</formula>
    </cfRule>
    <cfRule type="expression" dxfId="7885" priority="2272">
      <formula>#REF!&lt;&gt;""</formula>
    </cfRule>
    <cfRule type="expression" dxfId="7884" priority="2273">
      <formula>#REF!&lt;&gt;""</formula>
    </cfRule>
    <cfRule type="expression" dxfId="7883" priority="2274">
      <formula>#REF!&lt;&gt;""</formula>
    </cfRule>
    <cfRule type="expression" dxfId="7882" priority="2275">
      <formula>#REF!&lt;&gt;""</formula>
    </cfRule>
    <cfRule type="expression" dxfId="7881" priority="2276">
      <formula>#REF!&lt;&gt;""</formula>
    </cfRule>
    <cfRule type="expression" dxfId="7880" priority="2277">
      <formula>#REF!&lt;&gt;""</formula>
    </cfRule>
    <cfRule type="expression" dxfId="7879" priority="2278">
      <formula>#REF!&lt;&gt;""</formula>
    </cfRule>
    <cfRule type="expression" dxfId="7878" priority="2279">
      <formula>#REF!&lt;&gt;""</formula>
    </cfRule>
    <cfRule type="expression" dxfId="7877" priority="2280">
      <formula>#REF!&lt;&gt;""</formula>
    </cfRule>
    <cfRule type="expression" dxfId="7876" priority="2281">
      <formula>#REF!&lt;&gt;""</formula>
    </cfRule>
  </conditionalFormatting>
  <conditionalFormatting sqref="F188">
    <cfRule type="expression" dxfId="7875" priority="2257">
      <formula>#REF!&lt;&gt;""</formula>
    </cfRule>
    <cfRule type="expression" dxfId="7874" priority="2258">
      <formula>#REF!&lt;&gt;""</formula>
    </cfRule>
    <cfRule type="expression" dxfId="7873" priority="2259">
      <formula>#REF!&lt;&gt;""</formula>
    </cfRule>
    <cfRule type="expression" dxfId="7872" priority="2260">
      <formula>#REF!&lt;&gt;""</formula>
    </cfRule>
    <cfRule type="expression" dxfId="7871" priority="2261">
      <formula>#REF!&lt;&gt;""</formula>
    </cfRule>
    <cfRule type="expression" dxfId="7870" priority="2262">
      <formula>#REF!&lt;&gt;""</formula>
    </cfRule>
    <cfRule type="expression" dxfId="7869" priority="2263">
      <formula>#REF!&lt;&gt;""</formula>
    </cfRule>
    <cfRule type="expression" dxfId="7868" priority="2264">
      <formula>#REF!&lt;&gt;""</formula>
    </cfRule>
    <cfRule type="expression" dxfId="7867" priority="2265">
      <formula>#REF!&lt;&gt;""</formula>
    </cfRule>
    <cfRule type="expression" dxfId="7866" priority="2266">
      <formula>#REF!&lt;&gt;""</formula>
    </cfRule>
    <cfRule type="expression" dxfId="7865" priority="2267">
      <formula>#REF!&lt;&gt;""</formula>
    </cfRule>
    <cfRule type="expression" dxfId="7864" priority="2268">
      <formula>#REF!&lt;&gt;""</formula>
    </cfRule>
  </conditionalFormatting>
  <conditionalFormatting sqref="F189">
    <cfRule type="expression" dxfId="7863" priority="2244">
      <formula>#REF!&lt;&gt;""</formula>
    </cfRule>
    <cfRule type="expression" dxfId="7862" priority="2245">
      <formula>#REF!&lt;&gt;""</formula>
    </cfRule>
    <cfRule type="expression" dxfId="7861" priority="2246">
      <formula>#REF!&lt;&gt;""</formula>
    </cfRule>
    <cfRule type="expression" dxfId="7860" priority="2247">
      <formula>#REF!&lt;&gt;""</formula>
    </cfRule>
    <cfRule type="expression" dxfId="7859" priority="2248">
      <formula>#REF!&lt;&gt;""</formula>
    </cfRule>
    <cfRule type="expression" dxfId="7858" priority="2249">
      <formula>#REF!&lt;&gt;""</formula>
    </cfRule>
    <cfRule type="expression" dxfId="7857" priority="2250">
      <formula>#REF!&lt;&gt;""</formula>
    </cfRule>
    <cfRule type="expression" dxfId="7856" priority="2251">
      <formula>#REF!&lt;&gt;""</formula>
    </cfRule>
    <cfRule type="expression" dxfId="7855" priority="2252">
      <formula>#REF!&lt;&gt;""</formula>
    </cfRule>
    <cfRule type="expression" dxfId="7854" priority="2253">
      <formula>#REF!&lt;&gt;""</formula>
    </cfRule>
    <cfRule type="expression" dxfId="7853" priority="2254">
      <formula>#REF!&lt;&gt;""</formula>
    </cfRule>
    <cfRule type="expression" dxfId="7852" priority="2255">
      <formula>#REF!&lt;&gt;""</formula>
    </cfRule>
  </conditionalFormatting>
  <conditionalFormatting sqref="F190">
    <cfRule type="expression" dxfId="7851" priority="2231">
      <formula>#REF!&lt;&gt;""</formula>
    </cfRule>
    <cfRule type="expression" dxfId="7850" priority="2232">
      <formula>#REF!&lt;&gt;""</formula>
    </cfRule>
    <cfRule type="expression" dxfId="7849" priority="2233">
      <formula>#REF!&lt;&gt;""</formula>
    </cfRule>
    <cfRule type="expression" dxfId="7848" priority="2234">
      <formula>#REF!&lt;&gt;""</formula>
    </cfRule>
    <cfRule type="expression" dxfId="7847" priority="2235">
      <formula>#REF!&lt;&gt;""</formula>
    </cfRule>
    <cfRule type="expression" dxfId="7846" priority="2236">
      <formula>#REF!&lt;&gt;""</formula>
    </cfRule>
    <cfRule type="expression" dxfId="7845" priority="2237">
      <formula>#REF!&lt;&gt;""</formula>
    </cfRule>
    <cfRule type="expression" dxfId="7844" priority="2238">
      <formula>#REF!&lt;&gt;""</formula>
    </cfRule>
    <cfRule type="expression" dxfId="7843" priority="2239">
      <formula>#REF!&lt;&gt;""</formula>
    </cfRule>
    <cfRule type="expression" dxfId="7842" priority="2240">
      <formula>#REF!&lt;&gt;""</formula>
    </cfRule>
    <cfRule type="expression" dxfId="7841" priority="2241">
      <formula>#REF!&lt;&gt;""</formula>
    </cfRule>
    <cfRule type="expression" dxfId="7840" priority="2242">
      <formula>#REF!&lt;&gt;""</formula>
    </cfRule>
  </conditionalFormatting>
  <conditionalFormatting sqref="F191">
    <cfRule type="expression" dxfId="7839" priority="2218">
      <formula>#REF!&lt;&gt;""</formula>
    </cfRule>
    <cfRule type="expression" dxfId="7838" priority="2219">
      <formula>#REF!&lt;&gt;""</formula>
    </cfRule>
    <cfRule type="expression" dxfId="7837" priority="2220">
      <formula>#REF!&lt;&gt;""</formula>
    </cfRule>
    <cfRule type="expression" dxfId="7836" priority="2221">
      <formula>#REF!&lt;&gt;""</formula>
    </cfRule>
    <cfRule type="expression" dxfId="7835" priority="2222">
      <formula>#REF!&lt;&gt;""</formula>
    </cfRule>
    <cfRule type="expression" dxfId="7834" priority="2223">
      <formula>#REF!&lt;&gt;""</formula>
    </cfRule>
    <cfRule type="expression" dxfId="7833" priority="2224">
      <formula>#REF!&lt;&gt;""</formula>
    </cfRule>
    <cfRule type="expression" dxfId="7832" priority="2225">
      <formula>#REF!&lt;&gt;""</formula>
    </cfRule>
    <cfRule type="expression" dxfId="7831" priority="2226">
      <formula>#REF!&lt;&gt;""</formula>
    </cfRule>
    <cfRule type="expression" dxfId="7830" priority="2227">
      <formula>#REF!&lt;&gt;""</formula>
    </cfRule>
    <cfRule type="expression" dxfId="7829" priority="2228">
      <formula>#REF!&lt;&gt;""</formula>
    </cfRule>
    <cfRule type="expression" dxfId="7828" priority="2229">
      <formula>#REF!&lt;&gt;""</formula>
    </cfRule>
  </conditionalFormatting>
  <conditionalFormatting sqref="F192">
    <cfRule type="expression" dxfId="7827" priority="2205">
      <formula>#REF!&lt;&gt;""</formula>
    </cfRule>
    <cfRule type="expression" dxfId="7826" priority="2206">
      <formula>#REF!&lt;&gt;""</formula>
    </cfRule>
    <cfRule type="expression" dxfId="7825" priority="2207">
      <formula>#REF!&lt;&gt;""</formula>
    </cfRule>
    <cfRule type="expression" dxfId="7824" priority="2208">
      <formula>#REF!&lt;&gt;""</formula>
    </cfRule>
    <cfRule type="expression" dxfId="7823" priority="2209">
      <formula>#REF!&lt;&gt;""</formula>
    </cfRule>
    <cfRule type="expression" dxfId="7822" priority="2210">
      <formula>#REF!&lt;&gt;""</formula>
    </cfRule>
    <cfRule type="expression" dxfId="7821" priority="2211">
      <formula>#REF!&lt;&gt;""</formula>
    </cfRule>
    <cfRule type="expression" dxfId="7820" priority="2212">
      <formula>#REF!&lt;&gt;""</formula>
    </cfRule>
    <cfRule type="expression" dxfId="7819" priority="2213">
      <formula>#REF!&lt;&gt;""</formula>
    </cfRule>
    <cfRule type="expression" dxfId="7818" priority="2214">
      <formula>#REF!&lt;&gt;""</formula>
    </cfRule>
    <cfRule type="expression" dxfId="7817" priority="2215">
      <formula>#REF!&lt;&gt;""</formula>
    </cfRule>
    <cfRule type="expression" dxfId="7816" priority="2216">
      <formula>#REF!&lt;&gt;""</formula>
    </cfRule>
  </conditionalFormatting>
  <conditionalFormatting sqref="F193">
    <cfRule type="expression" dxfId="7815" priority="2192">
      <formula>#REF!&lt;&gt;""</formula>
    </cfRule>
    <cfRule type="expression" dxfId="7814" priority="2193">
      <formula>#REF!&lt;&gt;""</formula>
    </cfRule>
    <cfRule type="expression" dxfId="7813" priority="2194">
      <formula>#REF!&lt;&gt;""</formula>
    </cfRule>
    <cfRule type="expression" dxfId="7812" priority="2195">
      <formula>#REF!&lt;&gt;""</formula>
    </cfRule>
    <cfRule type="expression" dxfId="7811" priority="2196">
      <formula>#REF!&lt;&gt;""</formula>
    </cfRule>
    <cfRule type="expression" dxfId="7810" priority="2197">
      <formula>#REF!&lt;&gt;""</formula>
    </cfRule>
    <cfRule type="expression" dxfId="7809" priority="2198">
      <formula>#REF!&lt;&gt;""</formula>
    </cfRule>
    <cfRule type="expression" dxfId="7808" priority="2199">
      <formula>#REF!&lt;&gt;""</formula>
    </cfRule>
    <cfRule type="expression" dxfId="7807" priority="2200">
      <formula>#REF!&lt;&gt;""</formula>
    </cfRule>
    <cfRule type="expression" dxfId="7806" priority="2201">
      <formula>#REF!&lt;&gt;""</formula>
    </cfRule>
    <cfRule type="expression" dxfId="7805" priority="2202">
      <formula>#REF!&lt;&gt;""</formula>
    </cfRule>
    <cfRule type="expression" dxfId="7804" priority="2203">
      <formula>#REF!&lt;&gt;""</formula>
    </cfRule>
  </conditionalFormatting>
  <conditionalFormatting sqref="F194">
    <cfRule type="expression" dxfId="7803" priority="2179">
      <formula>#REF!&lt;&gt;""</formula>
    </cfRule>
    <cfRule type="expression" dxfId="7802" priority="2180">
      <formula>#REF!&lt;&gt;""</formula>
    </cfRule>
    <cfRule type="expression" dxfId="7801" priority="2181">
      <formula>#REF!&lt;&gt;""</formula>
    </cfRule>
    <cfRule type="expression" dxfId="7800" priority="2182">
      <formula>#REF!&lt;&gt;""</formula>
    </cfRule>
    <cfRule type="expression" dxfId="7799" priority="2183">
      <formula>#REF!&lt;&gt;""</formula>
    </cfRule>
    <cfRule type="expression" dxfId="7798" priority="2184">
      <formula>#REF!&lt;&gt;""</formula>
    </cfRule>
    <cfRule type="expression" dxfId="7797" priority="2185">
      <formula>#REF!&lt;&gt;""</formula>
    </cfRule>
    <cfRule type="expression" dxfId="7796" priority="2186">
      <formula>#REF!&lt;&gt;""</formula>
    </cfRule>
    <cfRule type="expression" dxfId="7795" priority="2187">
      <formula>#REF!&lt;&gt;""</formula>
    </cfRule>
    <cfRule type="expression" dxfId="7794" priority="2188">
      <formula>#REF!&lt;&gt;""</formula>
    </cfRule>
    <cfRule type="expression" dxfId="7793" priority="2189">
      <formula>#REF!&lt;&gt;""</formula>
    </cfRule>
    <cfRule type="expression" dxfId="7792" priority="2190">
      <formula>#REF!&lt;&gt;""</formula>
    </cfRule>
  </conditionalFormatting>
  <conditionalFormatting sqref="F195">
    <cfRule type="expression" dxfId="7791" priority="2166">
      <formula>#REF!&lt;&gt;""</formula>
    </cfRule>
    <cfRule type="expression" dxfId="7790" priority="2167">
      <formula>#REF!&lt;&gt;""</formula>
    </cfRule>
    <cfRule type="expression" dxfId="7789" priority="2168">
      <formula>#REF!&lt;&gt;""</formula>
    </cfRule>
    <cfRule type="expression" dxfId="7788" priority="2169">
      <formula>#REF!&lt;&gt;""</formula>
    </cfRule>
    <cfRule type="expression" dxfId="7787" priority="2170">
      <formula>#REF!&lt;&gt;""</formula>
    </cfRule>
    <cfRule type="expression" dxfId="7786" priority="2171">
      <formula>#REF!&lt;&gt;""</formula>
    </cfRule>
    <cfRule type="expression" dxfId="7785" priority="2172">
      <formula>#REF!&lt;&gt;""</formula>
    </cfRule>
    <cfRule type="expression" dxfId="7784" priority="2173">
      <formula>#REF!&lt;&gt;""</formula>
    </cfRule>
    <cfRule type="expression" dxfId="7783" priority="2174">
      <formula>#REF!&lt;&gt;""</formula>
    </cfRule>
    <cfRule type="expression" dxfId="7782" priority="2175">
      <formula>#REF!&lt;&gt;""</formula>
    </cfRule>
    <cfRule type="expression" dxfId="7781" priority="2176">
      <formula>#REF!&lt;&gt;""</formula>
    </cfRule>
    <cfRule type="expression" dxfId="7780" priority="2177">
      <formula>#REF!&lt;&gt;""</formula>
    </cfRule>
  </conditionalFormatting>
  <conditionalFormatting sqref="F196">
    <cfRule type="expression" dxfId="7779" priority="2153">
      <formula>#REF!&lt;&gt;""</formula>
    </cfRule>
    <cfRule type="expression" dxfId="7778" priority="2154">
      <formula>#REF!&lt;&gt;""</formula>
    </cfRule>
    <cfRule type="expression" dxfId="7777" priority="2155">
      <formula>#REF!&lt;&gt;""</formula>
    </cfRule>
    <cfRule type="expression" dxfId="7776" priority="2156">
      <formula>#REF!&lt;&gt;""</formula>
    </cfRule>
    <cfRule type="expression" dxfId="7775" priority="2157">
      <formula>#REF!&lt;&gt;""</formula>
    </cfRule>
    <cfRule type="expression" dxfId="7774" priority="2158">
      <formula>#REF!&lt;&gt;""</formula>
    </cfRule>
    <cfRule type="expression" dxfId="7773" priority="2159">
      <formula>#REF!&lt;&gt;""</formula>
    </cfRule>
    <cfRule type="expression" dxfId="7772" priority="2160">
      <formula>#REF!&lt;&gt;""</formula>
    </cfRule>
    <cfRule type="expression" dxfId="7771" priority="2161">
      <formula>#REF!&lt;&gt;""</formula>
    </cfRule>
    <cfRule type="expression" dxfId="7770" priority="2162">
      <formula>#REF!&lt;&gt;""</formula>
    </cfRule>
    <cfRule type="expression" dxfId="7769" priority="2163">
      <formula>#REF!&lt;&gt;""</formula>
    </cfRule>
    <cfRule type="expression" dxfId="7768" priority="2164">
      <formula>#REF!&lt;&gt;""</formula>
    </cfRule>
  </conditionalFormatting>
  <conditionalFormatting sqref="F197">
    <cfRule type="expression" dxfId="7767" priority="2140">
      <formula>#REF!&lt;&gt;""</formula>
    </cfRule>
    <cfRule type="expression" dxfId="7766" priority="2141">
      <formula>#REF!&lt;&gt;""</formula>
    </cfRule>
    <cfRule type="expression" dxfId="7765" priority="2142">
      <formula>#REF!&lt;&gt;""</formula>
    </cfRule>
    <cfRule type="expression" dxfId="7764" priority="2143">
      <formula>#REF!&lt;&gt;""</formula>
    </cfRule>
    <cfRule type="expression" dxfId="7763" priority="2144">
      <formula>#REF!&lt;&gt;""</formula>
    </cfRule>
    <cfRule type="expression" dxfId="7762" priority="2145">
      <formula>#REF!&lt;&gt;""</formula>
    </cfRule>
    <cfRule type="expression" dxfId="7761" priority="2146">
      <formula>#REF!&lt;&gt;""</formula>
    </cfRule>
    <cfRule type="expression" dxfId="7760" priority="2147">
      <formula>#REF!&lt;&gt;""</formula>
    </cfRule>
    <cfRule type="expression" dxfId="7759" priority="2148">
      <formula>#REF!&lt;&gt;""</formula>
    </cfRule>
    <cfRule type="expression" dxfId="7758" priority="2149">
      <formula>#REF!&lt;&gt;""</formula>
    </cfRule>
    <cfRule type="expression" dxfId="7757" priority="2150">
      <formula>#REF!&lt;&gt;""</formula>
    </cfRule>
    <cfRule type="expression" dxfId="7756" priority="2151">
      <formula>#REF!&lt;&gt;""</formula>
    </cfRule>
  </conditionalFormatting>
  <conditionalFormatting sqref="F198">
    <cfRule type="expression" dxfId="7755" priority="2127">
      <formula>#REF!&lt;&gt;""</formula>
    </cfRule>
    <cfRule type="expression" dxfId="7754" priority="2128">
      <formula>#REF!&lt;&gt;""</formula>
    </cfRule>
    <cfRule type="expression" dxfId="7753" priority="2129">
      <formula>#REF!&lt;&gt;""</formula>
    </cfRule>
    <cfRule type="expression" dxfId="7752" priority="2130">
      <formula>#REF!&lt;&gt;""</formula>
    </cfRule>
    <cfRule type="expression" dxfId="7751" priority="2131">
      <formula>#REF!&lt;&gt;""</formula>
    </cfRule>
    <cfRule type="expression" dxfId="7750" priority="2132">
      <formula>#REF!&lt;&gt;""</formula>
    </cfRule>
    <cfRule type="expression" dxfId="7749" priority="2133">
      <formula>#REF!&lt;&gt;""</formula>
    </cfRule>
    <cfRule type="expression" dxfId="7748" priority="2134">
      <formula>#REF!&lt;&gt;""</formula>
    </cfRule>
    <cfRule type="expression" dxfId="7747" priority="2135">
      <formula>#REF!&lt;&gt;""</formula>
    </cfRule>
    <cfRule type="expression" dxfId="7746" priority="2136">
      <formula>#REF!&lt;&gt;""</formula>
    </cfRule>
    <cfRule type="expression" dxfId="7745" priority="2137">
      <formula>#REF!&lt;&gt;""</formula>
    </cfRule>
    <cfRule type="expression" dxfId="7744" priority="2138">
      <formula>#REF!&lt;&gt;""</formula>
    </cfRule>
  </conditionalFormatting>
  <conditionalFormatting sqref="F199">
    <cfRule type="expression" dxfId="7743" priority="2114">
      <formula>#REF!&lt;&gt;""</formula>
    </cfRule>
    <cfRule type="expression" dxfId="7742" priority="2115">
      <formula>#REF!&lt;&gt;""</formula>
    </cfRule>
    <cfRule type="expression" dxfId="7741" priority="2116">
      <formula>#REF!&lt;&gt;""</formula>
    </cfRule>
    <cfRule type="expression" dxfId="7740" priority="2117">
      <formula>#REF!&lt;&gt;""</formula>
    </cfRule>
    <cfRule type="expression" dxfId="7739" priority="2118">
      <formula>#REF!&lt;&gt;""</formula>
    </cfRule>
    <cfRule type="expression" dxfId="7738" priority="2119">
      <formula>#REF!&lt;&gt;""</formula>
    </cfRule>
    <cfRule type="expression" dxfId="7737" priority="2120">
      <formula>#REF!&lt;&gt;""</formula>
    </cfRule>
    <cfRule type="expression" dxfId="7736" priority="2121">
      <formula>#REF!&lt;&gt;""</formula>
    </cfRule>
    <cfRule type="expression" dxfId="7735" priority="2122">
      <formula>#REF!&lt;&gt;""</formula>
    </cfRule>
    <cfRule type="expression" dxfId="7734" priority="2123">
      <formula>#REF!&lt;&gt;""</formula>
    </cfRule>
    <cfRule type="expression" dxfId="7733" priority="2124">
      <formula>#REF!&lt;&gt;""</formula>
    </cfRule>
    <cfRule type="expression" dxfId="7732" priority="2125">
      <formula>#REF!&lt;&gt;""</formula>
    </cfRule>
  </conditionalFormatting>
  <conditionalFormatting sqref="F200">
    <cfRule type="expression" dxfId="7731" priority="2101">
      <formula>#REF!&lt;&gt;""</formula>
    </cfRule>
    <cfRule type="expression" dxfId="7730" priority="2102">
      <formula>#REF!&lt;&gt;""</formula>
    </cfRule>
    <cfRule type="expression" dxfId="7729" priority="2103">
      <formula>#REF!&lt;&gt;""</formula>
    </cfRule>
    <cfRule type="expression" dxfId="7728" priority="2104">
      <formula>#REF!&lt;&gt;""</formula>
    </cfRule>
    <cfRule type="expression" dxfId="7727" priority="2105">
      <formula>#REF!&lt;&gt;""</formula>
    </cfRule>
    <cfRule type="expression" dxfId="7726" priority="2106">
      <formula>#REF!&lt;&gt;""</formula>
    </cfRule>
    <cfRule type="expression" dxfId="7725" priority="2107">
      <formula>#REF!&lt;&gt;""</formula>
    </cfRule>
    <cfRule type="expression" dxfId="7724" priority="2108">
      <formula>#REF!&lt;&gt;""</formula>
    </cfRule>
    <cfRule type="expression" dxfId="7723" priority="2109">
      <formula>#REF!&lt;&gt;""</formula>
    </cfRule>
    <cfRule type="expression" dxfId="7722" priority="2110">
      <formula>#REF!&lt;&gt;""</formula>
    </cfRule>
    <cfRule type="expression" dxfId="7721" priority="2111">
      <formula>#REF!&lt;&gt;""</formula>
    </cfRule>
    <cfRule type="expression" dxfId="7720" priority="2112">
      <formula>#REF!&lt;&gt;""</formula>
    </cfRule>
  </conditionalFormatting>
  <conditionalFormatting sqref="F201">
    <cfRule type="expression" dxfId="7719" priority="2088">
      <formula>#REF!&lt;&gt;""</formula>
    </cfRule>
    <cfRule type="expression" dxfId="7718" priority="2089">
      <formula>#REF!&lt;&gt;""</formula>
    </cfRule>
    <cfRule type="expression" dxfId="7717" priority="2090">
      <formula>#REF!&lt;&gt;""</formula>
    </cfRule>
    <cfRule type="expression" dxfId="7716" priority="2091">
      <formula>#REF!&lt;&gt;""</formula>
    </cfRule>
    <cfRule type="expression" dxfId="7715" priority="2092">
      <formula>#REF!&lt;&gt;""</formula>
    </cfRule>
    <cfRule type="expression" dxfId="7714" priority="2093">
      <formula>#REF!&lt;&gt;""</formula>
    </cfRule>
    <cfRule type="expression" dxfId="7713" priority="2094">
      <formula>#REF!&lt;&gt;""</formula>
    </cfRule>
    <cfRule type="expression" dxfId="7712" priority="2095">
      <formula>#REF!&lt;&gt;""</formula>
    </cfRule>
    <cfRule type="expression" dxfId="7711" priority="2096">
      <formula>#REF!&lt;&gt;""</formula>
    </cfRule>
    <cfRule type="expression" dxfId="7710" priority="2097">
      <formula>#REF!&lt;&gt;""</formula>
    </cfRule>
    <cfRule type="expression" dxfId="7709" priority="2098">
      <formula>#REF!&lt;&gt;""</formula>
    </cfRule>
    <cfRule type="expression" dxfId="7708" priority="2099">
      <formula>#REF!&lt;&gt;""</formula>
    </cfRule>
  </conditionalFormatting>
  <conditionalFormatting sqref="F202">
    <cfRule type="expression" dxfId="7707" priority="2075">
      <formula>#REF!&lt;&gt;""</formula>
    </cfRule>
    <cfRule type="expression" dxfId="7706" priority="2076">
      <formula>#REF!&lt;&gt;""</formula>
    </cfRule>
    <cfRule type="expression" dxfId="7705" priority="2077">
      <formula>#REF!&lt;&gt;""</formula>
    </cfRule>
    <cfRule type="expression" dxfId="7704" priority="2078">
      <formula>#REF!&lt;&gt;""</formula>
    </cfRule>
    <cfRule type="expression" dxfId="7703" priority="2079">
      <formula>#REF!&lt;&gt;""</formula>
    </cfRule>
    <cfRule type="expression" dxfId="7702" priority="2080">
      <formula>#REF!&lt;&gt;""</formula>
    </cfRule>
    <cfRule type="expression" dxfId="7701" priority="2081">
      <formula>#REF!&lt;&gt;""</formula>
    </cfRule>
    <cfRule type="expression" dxfId="7700" priority="2082">
      <formula>#REF!&lt;&gt;""</formula>
    </cfRule>
    <cfRule type="expression" dxfId="7699" priority="2083">
      <formula>#REF!&lt;&gt;""</formula>
    </cfRule>
    <cfRule type="expression" dxfId="7698" priority="2084">
      <formula>#REF!&lt;&gt;""</formula>
    </cfRule>
    <cfRule type="expression" dxfId="7697" priority="2085">
      <formula>#REF!&lt;&gt;""</formula>
    </cfRule>
    <cfRule type="expression" dxfId="7696" priority="2086">
      <formula>#REF!&lt;&gt;""</formula>
    </cfRule>
  </conditionalFormatting>
  <conditionalFormatting sqref="F203">
    <cfRule type="expression" dxfId="7695" priority="2062">
      <formula>#REF!&lt;&gt;""</formula>
    </cfRule>
    <cfRule type="expression" dxfId="7694" priority="2063">
      <formula>#REF!&lt;&gt;""</formula>
    </cfRule>
    <cfRule type="expression" dxfId="7693" priority="2064">
      <formula>#REF!&lt;&gt;""</formula>
    </cfRule>
    <cfRule type="expression" dxfId="7692" priority="2065">
      <formula>#REF!&lt;&gt;""</formula>
    </cfRule>
    <cfRule type="expression" dxfId="7691" priority="2066">
      <formula>#REF!&lt;&gt;""</formula>
    </cfRule>
    <cfRule type="expression" dxfId="7690" priority="2067">
      <formula>#REF!&lt;&gt;""</formula>
    </cfRule>
    <cfRule type="expression" dxfId="7689" priority="2068">
      <formula>#REF!&lt;&gt;""</formula>
    </cfRule>
    <cfRule type="expression" dxfId="7688" priority="2069">
      <formula>#REF!&lt;&gt;""</formula>
    </cfRule>
    <cfRule type="expression" dxfId="7687" priority="2070">
      <formula>#REF!&lt;&gt;""</formula>
    </cfRule>
    <cfRule type="expression" dxfId="7686" priority="2071">
      <formula>#REF!&lt;&gt;""</formula>
    </cfRule>
    <cfRule type="expression" dxfId="7685" priority="2072">
      <formula>#REF!&lt;&gt;""</formula>
    </cfRule>
    <cfRule type="expression" dxfId="7684" priority="2073">
      <formula>#REF!&lt;&gt;""</formula>
    </cfRule>
  </conditionalFormatting>
  <conditionalFormatting sqref="F204">
    <cfRule type="expression" dxfId="7683" priority="2049">
      <formula>#REF!&lt;&gt;""</formula>
    </cfRule>
    <cfRule type="expression" dxfId="7682" priority="2050">
      <formula>#REF!&lt;&gt;""</formula>
    </cfRule>
    <cfRule type="expression" dxfId="7681" priority="2051">
      <formula>#REF!&lt;&gt;""</formula>
    </cfRule>
    <cfRule type="expression" dxfId="7680" priority="2052">
      <formula>#REF!&lt;&gt;""</formula>
    </cfRule>
    <cfRule type="expression" dxfId="7679" priority="2053">
      <formula>#REF!&lt;&gt;""</formula>
    </cfRule>
    <cfRule type="expression" dxfId="7678" priority="2054">
      <formula>#REF!&lt;&gt;""</formula>
    </cfRule>
    <cfRule type="expression" dxfId="7677" priority="2055">
      <formula>#REF!&lt;&gt;""</formula>
    </cfRule>
    <cfRule type="expression" dxfId="7676" priority="2056">
      <formula>#REF!&lt;&gt;""</formula>
    </cfRule>
    <cfRule type="expression" dxfId="7675" priority="2057">
      <formula>#REF!&lt;&gt;""</formula>
    </cfRule>
    <cfRule type="expression" dxfId="7674" priority="2058">
      <formula>#REF!&lt;&gt;""</formula>
    </cfRule>
    <cfRule type="expression" dxfId="7673" priority="2059">
      <formula>#REF!&lt;&gt;""</formula>
    </cfRule>
    <cfRule type="expression" dxfId="7672" priority="2060">
      <formula>#REF!&lt;&gt;""</formula>
    </cfRule>
  </conditionalFormatting>
  <conditionalFormatting sqref="F205">
    <cfRule type="expression" dxfId="7671" priority="2036">
      <formula>#REF!&lt;&gt;""</formula>
    </cfRule>
    <cfRule type="expression" dxfId="7670" priority="2037">
      <formula>#REF!&lt;&gt;""</formula>
    </cfRule>
    <cfRule type="expression" dxfId="7669" priority="2038">
      <formula>#REF!&lt;&gt;""</formula>
    </cfRule>
    <cfRule type="expression" dxfId="7668" priority="2039">
      <formula>#REF!&lt;&gt;""</formula>
    </cfRule>
    <cfRule type="expression" dxfId="7667" priority="2040">
      <formula>#REF!&lt;&gt;""</formula>
    </cfRule>
    <cfRule type="expression" dxfId="7666" priority="2041">
      <formula>#REF!&lt;&gt;""</formula>
    </cfRule>
    <cfRule type="expression" dxfId="7665" priority="2042">
      <formula>#REF!&lt;&gt;""</formula>
    </cfRule>
    <cfRule type="expression" dxfId="7664" priority="2043">
      <formula>#REF!&lt;&gt;""</formula>
    </cfRule>
    <cfRule type="expression" dxfId="7663" priority="2044">
      <formula>#REF!&lt;&gt;""</formula>
    </cfRule>
    <cfRule type="expression" dxfId="7662" priority="2045">
      <formula>#REF!&lt;&gt;""</formula>
    </cfRule>
    <cfRule type="expression" dxfId="7661" priority="2046">
      <formula>#REF!&lt;&gt;""</formula>
    </cfRule>
    <cfRule type="expression" dxfId="7660" priority="2047">
      <formula>#REF!&lt;&gt;""</formula>
    </cfRule>
  </conditionalFormatting>
  <conditionalFormatting sqref="F206">
    <cfRule type="expression" dxfId="7659" priority="2023">
      <formula>#REF!&lt;&gt;""</formula>
    </cfRule>
    <cfRule type="expression" dxfId="7658" priority="2024">
      <formula>#REF!&lt;&gt;""</formula>
    </cfRule>
    <cfRule type="expression" dxfId="7657" priority="2025">
      <formula>#REF!&lt;&gt;""</formula>
    </cfRule>
    <cfRule type="expression" dxfId="7656" priority="2026">
      <formula>#REF!&lt;&gt;""</formula>
    </cfRule>
    <cfRule type="expression" dxfId="7655" priority="2027">
      <formula>#REF!&lt;&gt;""</formula>
    </cfRule>
    <cfRule type="expression" dxfId="7654" priority="2028">
      <formula>#REF!&lt;&gt;""</formula>
    </cfRule>
    <cfRule type="expression" dxfId="7653" priority="2029">
      <formula>#REF!&lt;&gt;""</formula>
    </cfRule>
    <cfRule type="expression" dxfId="7652" priority="2030">
      <formula>#REF!&lt;&gt;""</formula>
    </cfRule>
    <cfRule type="expression" dxfId="7651" priority="2031">
      <formula>#REF!&lt;&gt;""</formula>
    </cfRule>
    <cfRule type="expression" dxfId="7650" priority="2032">
      <formula>#REF!&lt;&gt;""</formula>
    </cfRule>
    <cfRule type="expression" dxfId="7649" priority="2033">
      <formula>#REF!&lt;&gt;""</formula>
    </cfRule>
    <cfRule type="expression" dxfId="7648" priority="2034">
      <formula>#REF!&lt;&gt;""</formula>
    </cfRule>
  </conditionalFormatting>
  <conditionalFormatting sqref="F207">
    <cfRule type="expression" dxfId="7647" priority="2010">
      <formula>#REF!&lt;&gt;""</formula>
    </cfRule>
    <cfRule type="expression" dxfId="7646" priority="2011">
      <formula>#REF!&lt;&gt;""</formula>
    </cfRule>
    <cfRule type="expression" dxfId="7645" priority="2012">
      <formula>#REF!&lt;&gt;""</formula>
    </cfRule>
    <cfRule type="expression" dxfId="7644" priority="2013">
      <formula>#REF!&lt;&gt;""</formula>
    </cfRule>
    <cfRule type="expression" dxfId="7643" priority="2014">
      <formula>#REF!&lt;&gt;""</formula>
    </cfRule>
    <cfRule type="expression" dxfId="7642" priority="2015">
      <formula>#REF!&lt;&gt;""</formula>
    </cfRule>
    <cfRule type="expression" dxfId="7641" priority="2016">
      <formula>#REF!&lt;&gt;""</formula>
    </cfRule>
    <cfRule type="expression" dxfId="7640" priority="2017">
      <formula>#REF!&lt;&gt;""</formula>
    </cfRule>
    <cfRule type="expression" dxfId="7639" priority="2018">
      <formula>#REF!&lt;&gt;""</formula>
    </cfRule>
    <cfRule type="expression" dxfId="7638" priority="2019">
      <formula>#REF!&lt;&gt;""</formula>
    </cfRule>
    <cfRule type="expression" dxfId="7637" priority="2020">
      <formula>#REF!&lt;&gt;""</formula>
    </cfRule>
    <cfRule type="expression" dxfId="7636" priority="2021">
      <formula>#REF!&lt;&gt;""</formula>
    </cfRule>
  </conditionalFormatting>
  <conditionalFormatting sqref="F208">
    <cfRule type="expression" dxfId="7635" priority="1997">
      <formula>#REF!&lt;&gt;""</formula>
    </cfRule>
    <cfRule type="expression" dxfId="7634" priority="1998">
      <formula>#REF!&lt;&gt;""</formula>
    </cfRule>
    <cfRule type="expression" dxfId="7633" priority="1999">
      <formula>#REF!&lt;&gt;""</formula>
    </cfRule>
    <cfRule type="expression" dxfId="7632" priority="2000">
      <formula>#REF!&lt;&gt;""</formula>
    </cfRule>
    <cfRule type="expression" dxfId="7631" priority="2001">
      <formula>#REF!&lt;&gt;""</formula>
    </cfRule>
    <cfRule type="expression" dxfId="7630" priority="2002">
      <formula>#REF!&lt;&gt;""</formula>
    </cfRule>
    <cfRule type="expression" dxfId="7629" priority="2003">
      <formula>#REF!&lt;&gt;""</formula>
    </cfRule>
    <cfRule type="expression" dxfId="7628" priority="2004">
      <formula>#REF!&lt;&gt;""</formula>
    </cfRule>
    <cfRule type="expression" dxfId="7627" priority="2005">
      <formula>#REF!&lt;&gt;""</formula>
    </cfRule>
    <cfRule type="expression" dxfId="7626" priority="2006">
      <formula>#REF!&lt;&gt;""</formula>
    </cfRule>
    <cfRule type="expression" dxfId="7625" priority="2007">
      <formula>#REF!&lt;&gt;""</formula>
    </cfRule>
    <cfRule type="expression" dxfId="7624" priority="2008">
      <formula>#REF!&lt;&gt;""</formula>
    </cfRule>
  </conditionalFormatting>
  <conditionalFormatting sqref="F209">
    <cfRule type="expression" dxfId="7623" priority="1984">
      <formula>#REF!&lt;&gt;""</formula>
    </cfRule>
    <cfRule type="expression" dxfId="7622" priority="1985">
      <formula>#REF!&lt;&gt;""</formula>
    </cfRule>
    <cfRule type="expression" dxfId="7621" priority="1986">
      <formula>#REF!&lt;&gt;""</formula>
    </cfRule>
    <cfRule type="expression" dxfId="7620" priority="1987">
      <formula>#REF!&lt;&gt;""</formula>
    </cfRule>
    <cfRule type="expression" dxfId="7619" priority="1988">
      <formula>#REF!&lt;&gt;""</formula>
    </cfRule>
    <cfRule type="expression" dxfId="7618" priority="1989">
      <formula>#REF!&lt;&gt;""</formula>
    </cfRule>
    <cfRule type="expression" dxfId="7617" priority="1990">
      <formula>#REF!&lt;&gt;""</formula>
    </cfRule>
    <cfRule type="expression" dxfId="7616" priority="1991">
      <formula>#REF!&lt;&gt;""</formula>
    </cfRule>
    <cfRule type="expression" dxfId="7615" priority="1992">
      <formula>#REF!&lt;&gt;""</formula>
    </cfRule>
    <cfRule type="expression" dxfId="7614" priority="1993">
      <formula>#REF!&lt;&gt;""</formula>
    </cfRule>
    <cfRule type="expression" dxfId="7613" priority="1994">
      <formula>#REF!&lt;&gt;""</formula>
    </cfRule>
    <cfRule type="expression" dxfId="7612" priority="1995">
      <formula>#REF!&lt;&gt;""</formula>
    </cfRule>
  </conditionalFormatting>
  <conditionalFormatting sqref="F210">
    <cfRule type="expression" dxfId="7611" priority="1971">
      <formula>#REF!&lt;&gt;""</formula>
    </cfRule>
    <cfRule type="expression" dxfId="7610" priority="1972">
      <formula>#REF!&lt;&gt;""</formula>
    </cfRule>
    <cfRule type="expression" dxfId="7609" priority="1973">
      <formula>#REF!&lt;&gt;""</formula>
    </cfRule>
    <cfRule type="expression" dxfId="7608" priority="1974">
      <formula>#REF!&lt;&gt;""</formula>
    </cfRule>
    <cfRule type="expression" dxfId="7607" priority="1975">
      <formula>#REF!&lt;&gt;""</formula>
    </cfRule>
    <cfRule type="expression" dxfId="7606" priority="1976">
      <formula>#REF!&lt;&gt;""</formula>
    </cfRule>
    <cfRule type="expression" dxfId="7605" priority="1977">
      <formula>#REF!&lt;&gt;""</formula>
    </cfRule>
    <cfRule type="expression" dxfId="7604" priority="1978">
      <formula>#REF!&lt;&gt;""</formula>
    </cfRule>
    <cfRule type="expression" dxfId="7603" priority="1979">
      <formula>#REF!&lt;&gt;""</formula>
    </cfRule>
    <cfRule type="expression" dxfId="7602" priority="1980">
      <formula>#REF!&lt;&gt;""</formula>
    </cfRule>
    <cfRule type="expression" dxfId="7601" priority="1981">
      <formula>#REF!&lt;&gt;""</formula>
    </cfRule>
    <cfRule type="expression" dxfId="7600" priority="1982">
      <formula>#REF!&lt;&gt;""</formula>
    </cfRule>
  </conditionalFormatting>
  <conditionalFormatting sqref="F211">
    <cfRule type="expression" dxfId="7599" priority="1958">
      <formula>#REF!&lt;&gt;""</formula>
    </cfRule>
    <cfRule type="expression" dxfId="7598" priority="1959">
      <formula>#REF!&lt;&gt;""</formula>
    </cfRule>
    <cfRule type="expression" dxfId="7597" priority="1960">
      <formula>#REF!&lt;&gt;""</formula>
    </cfRule>
    <cfRule type="expression" dxfId="7596" priority="1961">
      <formula>#REF!&lt;&gt;""</formula>
    </cfRule>
    <cfRule type="expression" dxfId="7595" priority="1962">
      <formula>#REF!&lt;&gt;""</formula>
    </cfRule>
    <cfRule type="expression" dxfId="7594" priority="1963">
      <formula>#REF!&lt;&gt;""</formula>
    </cfRule>
    <cfRule type="expression" dxfId="7593" priority="1964">
      <formula>#REF!&lt;&gt;""</formula>
    </cfRule>
    <cfRule type="expression" dxfId="7592" priority="1965">
      <formula>#REF!&lt;&gt;""</formula>
    </cfRule>
    <cfRule type="expression" dxfId="7591" priority="1966">
      <formula>#REF!&lt;&gt;""</formula>
    </cfRule>
    <cfRule type="expression" dxfId="7590" priority="1967">
      <formula>#REF!&lt;&gt;""</formula>
    </cfRule>
    <cfRule type="expression" dxfId="7589" priority="1968">
      <formula>#REF!&lt;&gt;""</formula>
    </cfRule>
    <cfRule type="expression" dxfId="7588" priority="1969">
      <formula>#REF!&lt;&gt;""</formula>
    </cfRule>
  </conditionalFormatting>
  <conditionalFormatting sqref="F212">
    <cfRule type="expression" dxfId="7587" priority="1945">
      <formula>#REF!&lt;&gt;""</formula>
    </cfRule>
    <cfRule type="expression" dxfId="7586" priority="1946">
      <formula>#REF!&lt;&gt;""</formula>
    </cfRule>
    <cfRule type="expression" dxfId="7585" priority="1947">
      <formula>#REF!&lt;&gt;""</formula>
    </cfRule>
    <cfRule type="expression" dxfId="7584" priority="1948">
      <formula>#REF!&lt;&gt;""</formula>
    </cfRule>
    <cfRule type="expression" dxfId="7583" priority="1949">
      <formula>#REF!&lt;&gt;""</formula>
    </cfRule>
    <cfRule type="expression" dxfId="7582" priority="1950">
      <formula>#REF!&lt;&gt;""</formula>
    </cfRule>
    <cfRule type="expression" dxfId="7581" priority="1951">
      <formula>#REF!&lt;&gt;""</formula>
    </cfRule>
    <cfRule type="expression" dxfId="7580" priority="1952">
      <formula>#REF!&lt;&gt;""</formula>
    </cfRule>
    <cfRule type="expression" dxfId="7579" priority="1953">
      <formula>#REF!&lt;&gt;""</formula>
    </cfRule>
    <cfRule type="expression" dxfId="7578" priority="1954">
      <formula>#REF!&lt;&gt;""</formula>
    </cfRule>
    <cfRule type="expression" dxfId="7577" priority="1955">
      <formula>#REF!&lt;&gt;""</formula>
    </cfRule>
    <cfRule type="expression" dxfId="7576" priority="1956">
      <formula>#REF!&lt;&gt;""</formula>
    </cfRule>
  </conditionalFormatting>
  <conditionalFormatting sqref="F213">
    <cfRule type="expression" dxfId="7575" priority="1932">
      <formula>#REF!&lt;&gt;""</formula>
    </cfRule>
    <cfRule type="expression" dxfId="7574" priority="1933">
      <formula>#REF!&lt;&gt;""</formula>
    </cfRule>
    <cfRule type="expression" dxfId="7573" priority="1934">
      <formula>#REF!&lt;&gt;""</formula>
    </cfRule>
    <cfRule type="expression" dxfId="7572" priority="1935">
      <formula>#REF!&lt;&gt;""</formula>
    </cfRule>
    <cfRule type="expression" dxfId="7571" priority="1936">
      <formula>#REF!&lt;&gt;""</formula>
    </cfRule>
    <cfRule type="expression" dxfId="7570" priority="1937">
      <formula>#REF!&lt;&gt;""</formula>
    </cfRule>
    <cfRule type="expression" dxfId="7569" priority="1938">
      <formula>#REF!&lt;&gt;""</formula>
    </cfRule>
    <cfRule type="expression" dxfId="7568" priority="1939">
      <formula>#REF!&lt;&gt;""</formula>
    </cfRule>
    <cfRule type="expression" dxfId="7567" priority="1940">
      <formula>#REF!&lt;&gt;""</formula>
    </cfRule>
    <cfRule type="expression" dxfId="7566" priority="1941">
      <formula>#REF!&lt;&gt;""</formula>
    </cfRule>
    <cfRule type="expression" dxfId="7565" priority="1942">
      <formula>#REF!&lt;&gt;""</formula>
    </cfRule>
    <cfRule type="expression" dxfId="7564" priority="1943">
      <formula>#REF!&lt;&gt;""</formula>
    </cfRule>
  </conditionalFormatting>
  <conditionalFormatting sqref="F214">
    <cfRule type="expression" dxfId="7563" priority="1919">
      <formula>#REF!&lt;&gt;""</formula>
    </cfRule>
    <cfRule type="expression" dxfId="7562" priority="1920">
      <formula>#REF!&lt;&gt;""</formula>
    </cfRule>
    <cfRule type="expression" dxfId="7561" priority="1921">
      <formula>#REF!&lt;&gt;""</formula>
    </cfRule>
    <cfRule type="expression" dxfId="7560" priority="1922">
      <formula>#REF!&lt;&gt;""</formula>
    </cfRule>
    <cfRule type="expression" dxfId="7559" priority="1923">
      <formula>#REF!&lt;&gt;""</formula>
    </cfRule>
    <cfRule type="expression" dxfId="7558" priority="1924">
      <formula>#REF!&lt;&gt;""</formula>
    </cfRule>
    <cfRule type="expression" dxfId="7557" priority="1925">
      <formula>#REF!&lt;&gt;""</formula>
    </cfRule>
    <cfRule type="expression" dxfId="7556" priority="1926">
      <formula>#REF!&lt;&gt;""</formula>
    </cfRule>
    <cfRule type="expression" dxfId="7555" priority="1927">
      <formula>#REF!&lt;&gt;""</formula>
    </cfRule>
    <cfRule type="expression" dxfId="7554" priority="1928">
      <formula>#REF!&lt;&gt;""</formula>
    </cfRule>
    <cfRule type="expression" dxfId="7553" priority="1929">
      <formula>#REF!&lt;&gt;""</formula>
    </cfRule>
    <cfRule type="expression" dxfId="7552" priority="1930">
      <formula>#REF!&lt;&gt;""</formula>
    </cfRule>
  </conditionalFormatting>
  <conditionalFormatting sqref="F215">
    <cfRule type="expression" dxfId="7551" priority="1906">
      <formula>#REF!&lt;&gt;""</formula>
    </cfRule>
    <cfRule type="expression" dxfId="7550" priority="1907">
      <formula>#REF!&lt;&gt;""</formula>
    </cfRule>
    <cfRule type="expression" dxfId="7549" priority="1908">
      <formula>#REF!&lt;&gt;""</formula>
    </cfRule>
    <cfRule type="expression" dxfId="7548" priority="1909">
      <formula>#REF!&lt;&gt;""</formula>
    </cfRule>
    <cfRule type="expression" dxfId="7547" priority="1910">
      <formula>#REF!&lt;&gt;""</formula>
    </cfRule>
    <cfRule type="expression" dxfId="7546" priority="1911">
      <formula>#REF!&lt;&gt;""</formula>
    </cfRule>
    <cfRule type="expression" dxfId="7545" priority="1912">
      <formula>#REF!&lt;&gt;""</formula>
    </cfRule>
    <cfRule type="expression" dxfId="7544" priority="1913">
      <formula>#REF!&lt;&gt;""</formula>
    </cfRule>
    <cfRule type="expression" dxfId="7543" priority="1914">
      <formula>#REF!&lt;&gt;""</formula>
    </cfRule>
    <cfRule type="expression" dxfId="7542" priority="1915">
      <formula>#REF!&lt;&gt;""</formula>
    </cfRule>
    <cfRule type="expression" dxfId="7541" priority="1916">
      <formula>#REF!&lt;&gt;""</formula>
    </cfRule>
    <cfRule type="expression" dxfId="7540" priority="1917">
      <formula>#REF!&lt;&gt;""</formula>
    </cfRule>
  </conditionalFormatting>
  <conditionalFormatting sqref="F229">
    <cfRule type="expression" dxfId="7539" priority="1893">
      <formula>#REF!&lt;&gt;""</formula>
    </cfRule>
    <cfRule type="expression" dxfId="7538" priority="1894">
      <formula>#REF!&lt;&gt;""</formula>
    </cfRule>
    <cfRule type="expression" dxfId="7537" priority="1895">
      <formula>#REF!&lt;&gt;""</formula>
    </cfRule>
    <cfRule type="expression" dxfId="7536" priority="1896">
      <formula>#REF!&lt;&gt;""</formula>
    </cfRule>
    <cfRule type="expression" dxfId="7535" priority="1897">
      <formula>#REF!&lt;&gt;""</formula>
    </cfRule>
    <cfRule type="expression" dxfId="7534" priority="1898">
      <formula>#REF!&lt;&gt;""</formula>
    </cfRule>
    <cfRule type="expression" dxfId="7533" priority="1899">
      <formula>#REF!&lt;&gt;""</formula>
    </cfRule>
    <cfRule type="expression" dxfId="7532" priority="1900">
      <formula>#REF!&lt;&gt;""</formula>
    </cfRule>
    <cfRule type="expression" dxfId="7531" priority="1901">
      <formula>#REF!&lt;&gt;""</formula>
    </cfRule>
    <cfRule type="expression" dxfId="7530" priority="1902">
      <formula>#REF!&lt;&gt;""</formula>
    </cfRule>
    <cfRule type="expression" dxfId="7529" priority="1903">
      <formula>#REF!&lt;&gt;""</formula>
    </cfRule>
    <cfRule type="expression" dxfId="7528" priority="1904">
      <formula>#REF!&lt;&gt;""</formula>
    </cfRule>
  </conditionalFormatting>
  <conditionalFormatting sqref="F230">
    <cfRule type="expression" dxfId="7527" priority="1880">
      <formula>#REF!&lt;&gt;""</formula>
    </cfRule>
    <cfRule type="expression" dxfId="7526" priority="1881">
      <formula>#REF!&lt;&gt;""</formula>
    </cfRule>
    <cfRule type="expression" dxfId="7525" priority="1882">
      <formula>#REF!&lt;&gt;""</formula>
    </cfRule>
    <cfRule type="expression" dxfId="7524" priority="1883">
      <formula>#REF!&lt;&gt;""</formula>
    </cfRule>
    <cfRule type="expression" dxfId="7523" priority="1884">
      <formula>#REF!&lt;&gt;""</formula>
    </cfRule>
    <cfRule type="expression" dxfId="7522" priority="1885">
      <formula>#REF!&lt;&gt;""</formula>
    </cfRule>
    <cfRule type="expression" dxfId="7521" priority="1886">
      <formula>#REF!&lt;&gt;""</formula>
    </cfRule>
    <cfRule type="expression" dxfId="7520" priority="1887">
      <formula>#REF!&lt;&gt;""</formula>
    </cfRule>
    <cfRule type="expression" dxfId="7519" priority="1888">
      <formula>#REF!&lt;&gt;""</formula>
    </cfRule>
    <cfRule type="expression" dxfId="7518" priority="1889">
      <formula>#REF!&lt;&gt;""</formula>
    </cfRule>
    <cfRule type="expression" dxfId="7517" priority="1890">
      <formula>#REF!&lt;&gt;""</formula>
    </cfRule>
    <cfRule type="expression" dxfId="7516" priority="1891">
      <formula>#REF!&lt;&gt;""</formula>
    </cfRule>
  </conditionalFormatting>
  <conditionalFormatting sqref="F231">
    <cfRule type="expression" dxfId="7515" priority="1867">
      <formula>#REF!&lt;&gt;""</formula>
    </cfRule>
    <cfRule type="expression" dxfId="7514" priority="1868">
      <formula>#REF!&lt;&gt;""</formula>
    </cfRule>
    <cfRule type="expression" dxfId="7513" priority="1869">
      <formula>#REF!&lt;&gt;""</formula>
    </cfRule>
    <cfRule type="expression" dxfId="7512" priority="1870">
      <formula>#REF!&lt;&gt;""</formula>
    </cfRule>
    <cfRule type="expression" dxfId="7511" priority="1871">
      <formula>#REF!&lt;&gt;""</formula>
    </cfRule>
    <cfRule type="expression" dxfId="7510" priority="1872">
      <formula>#REF!&lt;&gt;""</formula>
    </cfRule>
    <cfRule type="expression" dxfId="7509" priority="1873">
      <formula>#REF!&lt;&gt;""</formula>
    </cfRule>
    <cfRule type="expression" dxfId="7508" priority="1874">
      <formula>#REF!&lt;&gt;""</formula>
    </cfRule>
    <cfRule type="expression" dxfId="7507" priority="1875">
      <formula>#REF!&lt;&gt;""</formula>
    </cfRule>
    <cfRule type="expression" dxfId="7506" priority="1876">
      <formula>#REF!&lt;&gt;""</formula>
    </cfRule>
    <cfRule type="expression" dxfId="7505" priority="1877">
      <formula>#REF!&lt;&gt;""</formula>
    </cfRule>
    <cfRule type="expression" dxfId="7504" priority="1878">
      <formula>#REF!&lt;&gt;""</formula>
    </cfRule>
  </conditionalFormatting>
  <conditionalFormatting sqref="F232">
    <cfRule type="expression" dxfId="7503" priority="1854">
      <formula>#REF!&lt;&gt;""</formula>
    </cfRule>
    <cfRule type="expression" dxfId="7502" priority="1855">
      <formula>#REF!&lt;&gt;""</formula>
    </cfRule>
    <cfRule type="expression" dxfId="7501" priority="1856">
      <formula>#REF!&lt;&gt;""</formula>
    </cfRule>
    <cfRule type="expression" dxfId="7500" priority="1857">
      <formula>#REF!&lt;&gt;""</formula>
    </cfRule>
    <cfRule type="expression" dxfId="7499" priority="1858">
      <formula>#REF!&lt;&gt;""</formula>
    </cfRule>
    <cfRule type="expression" dxfId="7498" priority="1859">
      <formula>#REF!&lt;&gt;""</formula>
    </cfRule>
    <cfRule type="expression" dxfId="7497" priority="1860">
      <formula>#REF!&lt;&gt;""</formula>
    </cfRule>
    <cfRule type="expression" dxfId="7496" priority="1861">
      <formula>#REF!&lt;&gt;""</formula>
    </cfRule>
    <cfRule type="expression" dxfId="7495" priority="1862">
      <formula>#REF!&lt;&gt;""</formula>
    </cfRule>
    <cfRule type="expression" dxfId="7494" priority="1863">
      <formula>#REF!&lt;&gt;""</formula>
    </cfRule>
    <cfRule type="expression" dxfId="7493" priority="1864">
      <formula>#REF!&lt;&gt;""</formula>
    </cfRule>
    <cfRule type="expression" dxfId="7492" priority="1865">
      <formula>#REF!&lt;&gt;""</formula>
    </cfRule>
  </conditionalFormatting>
  <conditionalFormatting sqref="F233">
    <cfRule type="expression" dxfId="7491" priority="1841">
      <formula>#REF!&lt;&gt;""</formula>
    </cfRule>
    <cfRule type="expression" dxfId="7490" priority="1842">
      <formula>#REF!&lt;&gt;""</formula>
    </cfRule>
    <cfRule type="expression" dxfId="7489" priority="1843">
      <formula>#REF!&lt;&gt;""</formula>
    </cfRule>
    <cfRule type="expression" dxfId="7488" priority="1844">
      <formula>#REF!&lt;&gt;""</formula>
    </cfRule>
    <cfRule type="expression" dxfId="7487" priority="1845">
      <formula>#REF!&lt;&gt;""</formula>
    </cfRule>
    <cfRule type="expression" dxfId="7486" priority="1846">
      <formula>#REF!&lt;&gt;""</formula>
    </cfRule>
    <cfRule type="expression" dxfId="7485" priority="1847">
      <formula>#REF!&lt;&gt;""</formula>
    </cfRule>
    <cfRule type="expression" dxfId="7484" priority="1848">
      <formula>#REF!&lt;&gt;""</formula>
    </cfRule>
    <cfRule type="expression" dxfId="7483" priority="1849">
      <formula>#REF!&lt;&gt;""</formula>
    </cfRule>
    <cfRule type="expression" dxfId="7482" priority="1850">
      <formula>#REF!&lt;&gt;""</formula>
    </cfRule>
    <cfRule type="expression" dxfId="7481" priority="1851">
      <formula>#REF!&lt;&gt;""</formula>
    </cfRule>
    <cfRule type="expression" dxfId="7480" priority="1852">
      <formula>#REF!&lt;&gt;""</formula>
    </cfRule>
  </conditionalFormatting>
  <conditionalFormatting sqref="F234">
    <cfRule type="expression" dxfId="7479" priority="1828">
      <formula>#REF!&lt;&gt;""</formula>
    </cfRule>
    <cfRule type="expression" dxfId="7478" priority="1829">
      <formula>#REF!&lt;&gt;""</formula>
    </cfRule>
    <cfRule type="expression" dxfId="7477" priority="1830">
      <formula>#REF!&lt;&gt;""</formula>
    </cfRule>
    <cfRule type="expression" dxfId="7476" priority="1831">
      <formula>#REF!&lt;&gt;""</formula>
    </cfRule>
    <cfRule type="expression" dxfId="7475" priority="1832">
      <formula>#REF!&lt;&gt;""</formula>
    </cfRule>
    <cfRule type="expression" dxfId="7474" priority="1833">
      <formula>#REF!&lt;&gt;""</formula>
    </cfRule>
    <cfRule type="expression" dxfId="7473" priority="1834">
      <formula>#REF!&lt;&gt;""</formula>
    </cfRule>
    <cfRule type="expression" dxfId="7472" priority="1835">
      <formula>#REF!&lt;&gt;""</formula>
    </cfRule>
    <cfRule type="expression" dxfId="7471" priority="1836">
      <formula>#REF!&lt;&gt;""</formula>
    </cfRule>
    <cfRule type="expression" dxfId="7470" priority="1837">
      <formula>#REF!&lt;&gt;""</formula>
    </cfRule>
    <cfRule type="expression" dxfId="7469" priority="1838">
      <formula>#REF!&lt;&gt;""</formula>
    </cfRule>
    <cfRule type="expression" dxfId="7468" priority="1839">
      <formula>#REF!&lt;&gt;""</formula>
    </cfRule>
  </conditionalFormatting>
  <conditionalFormatting sqref="F235">
    <cfRule type="expression" dxfId="7467" priority="1815">
      <formula>#REF!&lt;&gt;""</formula>
    </cfRule>
    <cfRule type="expression" dxfId="7466" priority="1816">
      <formula>#REF!&lt;&gt;""</formula>
    </cfRule>
    <cfRule type="expression" dxfId="7465" priority="1817">
      <formula>#REF!&lt;&gt;""</formula>
    </cfRule>
    <cfRule type="expression" dxfId="7464" priority="1818">
      <formula>#REF!&lt;&gt;""</formula>
    </cfRule>
    <cfRule type="expression" dxfId="7463" priority="1819">
      <formula>#REF!&lt;&gt;""</formula>
    </cfRule>
    <cfRule type="expression" dxfId="7462" priority="1820">
      <formula>#REF!&lt;&gt;""</formula>
    </cfRule>
    <cfRule type="expression" dxfId="7461" priority="1821">
      <formula>#REF!&lt;&gt;""</formula>
    </cfRule>
    <cfRule type="expression" dxfId="7460" priority="1822">
      <formula>#REF!&lt;&gt;""</formula>
    </cfRule>
    <cfRule type="expression" dxfId="7459" priority="1823">
      <formula>#REF!&lt;&gt;""</formula>
    </cfRule>
    <cfRule type="expression" dxfId="7458" priority="1824">
      <formula>#REF!&lt;&gt;""</formula>
    </cfRule>
    <cfRule type="expression" dxfId="7457" priority="1825">
      <formula>#REF!&lt;&gt;""</formula>
    </cfRule>
    <cfRule type="expression" dxfId="7456" priority="1826">
      <formula>#REF!&lt;&gt;""</formula>
    </cfRule>
  </conditionalFormatting>
  <conditionalFormatting sqref="F236">
    <cfRule type="expression" dxfId="7455" priority="1802">
      <formula>#REF!&lt;&gt;""</formula>
    </cfRule>
    <cfRule type="expression" dxfId="7454" priority="1803">
      <formula>#REF!&lt;&gt;""</formula>
    </cfRule>
    <cfRule type="expression" dxfId="7453" priority="1804">
      <formula>#REF!&lt;&gt;""</formula>
    </cfRule>
    <cfRule type="expression" dxfId="7452" priority="1805">
      <formula>#REF!&lt;&gt;""</formula>
    </cfRule>
    <cfRule type="expression" dxfId="7451" priority="1806">
      <formula>#REF!&lt;&gt;""</formula>
    </cfRule>
    <cfRule type="expression" dxfId="7450" priority="1807">
      <formula>#REF!&lt;&gt;""</formula>
    </cfRule>
    <cfRule type="expression" dxfId="7449" priority="1808">
      <formula>#REF!&lt;&gt;""</formula>
    </cfRule>
    <cfRule type="expression" dxfId="7448" priority="1809">
      <formula>#REF!&lt;&gt;""</formula>
    </cfRule>
    <cfRule type="expression" dxfId="7447" priority="1810">
      <formula>#REF!&lt;&gt;""</formula>
    </cfRule>
    <cfRule type="expression" dxfId="7446" priority="1811">
      <formula>#REF!&lt;&gt;""</formula>
    </cfRule>
    <cfRule type="expression" dxfId="7445" priority="1812">
      <formula>#REF!&lt;&gt;""</formula>
    </cfRule>
    <cfRule type="expression" dxfId="7444" priority="1813">
      <formula>#REF!&lt;&gt;""</formula>
    </cfRule>
  </conditionalFormatting>
  <conditionalFormatting sqref="F237">
    <cfRule type="expression" dxfId="7443" priority="1789">
      <formula>#REF!&lt;&gt;""</formula>
    </cfRule>
    <cfRule type="expression" dxfId="7442" priority="1790">
      <formula>#REF!&lt;&gt;""</formula>
    </cfRule>
    <cfRule type="expression" dxfId="7441" priority="1791">
      <formula>#REF!&lt;&gt;""</formula>
    </cfRule>
    <cfRule type="expression" dxfId="7440" priority="1792">
      <formula>#REF!&lt;&gt;""</formula>
    </cfRule>
    <cfRule type="expression" dxfId="7439" priority="1793">
      <formula>#REF!&lt;&gt;""</formula>
    </cfRule>
    <cfRule type="expression" dxfId="7438" priority="1794">
      <formula>#REF!&lt;&gt;""</formula>
    </cfRule>
    <cfRule type="expression" dxfId="7437" priority="1795">
      <formula>#REF!&lt;&gt;""</formula>
    </cfRule>
    <cfRule type="expression" dxfId="7436" priority="1796">
      <formula>#REF!&lt;&gt;""</formula>
    </cfRule>
    <cfRule type="expression" dxfId="7435" priority="1797">
      <formula>#REF!&lt;&gt;""</formula>
    </cfRule>
    <cfRule type="expression" dxfId="7434" priority="1798">
      <formula>#REF!&lt;&gt;""</formula>
    </cfRule>
    <cfRule type="expression" dxfId="7433" priority="1799">
      <formula>#REF!&lt;&gt;""</formula>
    </cfRule>
    <cfRule type="expression" dxfId="7432" priority="1800">
      <formula>#REF!&lt;&gt;""</formula>
    </cfRule>
  </conditionalFormatting>
  <conditionalFormatting sqref="F238">
    <cfRule type="expression" dxfId="7431" priority="1776">
      <formula>#REF!&lt;&gt;""</formula>
    </cfRule>
    <cfRule type="expression" dxfId="7430" priority="1777">
      <formula>#REF!&lt;&gt;""</formula>
    </cfRule>
    <cfRule type="expression" dxfId="7429" priority="1778">
      <formula>#REF!&lt;&gt;""</formula>
    </cfRule>
    <cfRule type="expression" dxfId="7428" priority="1779">
      <formula>#REF!&lt;&gt;""</formula>
    </cfRule>
    <cfRule type="expression" dxfId="7427" priority="1780">
      <formula>#REF!&lt;&gt;""</formula>
    </cfRule>
    <cfRule type="expression" dxfId="7426" priority="1781">
      <formula>#REF!&lt;&gt;""</formula>
    </cfRule>
    <cfRule type="expression" dxfId="7425" priority="1782">
      <formula>#REF!&lt;&gt;""</formula>
    </cfRule>
    <cfRule type="expression" dxfId="7424" priority="1783">
      <formula>#REF!&lt;&gt;""</formula>
    </cfRule>
    <cfRule type="expression" dxfId="7423" priority="1784">
      <formula>#REF!&lt;&gt;""</formula>
    </cfRule>
    <cfRule type="expression" dxfId="7422" priority="1785">
      <formula>#REF!&lt;&gt;""</formula>
    </cfRule>
    <cfRule type="expression" dxfId="7421" priority="1786">
      <formula>#REF!&lt;&gt;""</formula>
    </cfRule>
    <cfRule type="expression" dxfId="7420" priority="1787">
      <formula>#REF!&lt;&gt;""</formula>
    </cfRule>
  </conditionalFormatting>
  <conditionalFormatting sqref="F239">
    <cfRule type="expression" dxfId="7419" priority="1763">
      <formula>#REF!&lt;&gt;""</formula>
    </cfRule>
    <cfRule type="expression" dxfId="7418" priority="1764">
      <formula>#REF!&lt;&gt;""</formula>
    </cfRule>
    <cfRule type="expression" dxfId="7417" priority="1765">
      <formula>#REF!&lt;&gt;""</formula>
    </cfRule>
    <cfRule type="expression" dxfId="7416" priority="1766">
      <formula>#REF!&lt;&gt;""</formula>
    </cfRule>
    <cfRule type="expression" dxfId="7415" priority="1767">
      <formula>#REF!&lt;&gt;""</formula>
    </cfRule>
    <cfRule type="expression" dxfId="7414" priority="1768">
      <formula>#REF!&lt;&gt;""</formula>
    </cfRule>
    <cfRule type="expression" dxfId="7413" priority="1769">
      <formula>#REF!&lt;&gt;""</formula>
    </cfRule>
    <cfRule type="expression" dxfId="7412" priority="1770">
      <formula>#REF!&lt;&gt;""</formula>
    </cfRule>
    <cfRule type="expression" dxfId="7411" priority="1771">
      <formula>#REF!&lt;&gt;""</formula>
    </cfRule>
    <cfRule type="expression" dxfId="7410" priority="1772">
      <formula>#REF!&lt;&gt;""</formula>
    </cfRule>
    <cfRule type="expression" dxfId="7409" priority="1773">
      <formula>#REF!&lt;&gt;""</formula>
    </cfRule>
    <cfRule type="expression" dxfId="7408" priority="1774">
      <formula>#REF!&lt;&gt;""</formula>
    </cfRule>
  </conditionalFormatting>
  <conditionalFormatting sqref="F240">
    <cfRule type="expression" dxfId="7407" priority="1750">
      <formula>#REF!&lt;&gt;""</formula>
    </cfRule>
    <cfRule type="expression" dxfId="7406" priority="1751">
      <formula>#REF!&lt;&gt;""</formula>
    </cfRule>
    <cfRule type="expression" dxfId="7405" priority="1752">
      <formula>#REF!&lt;&gt;""</formula>
    </cfRule>
    <cfRule type="expression" dxfId="7404" priority="1753">
      <formula>#REF!&lt;&gt;""</formula>
    </cfRule>
    <cfRule type="expression" dxfId="7403" priority="1754">
      <formula>#REF!&lt;&gt;""</formula>
    </cfRule>
    <cfRule type="expression" dxfId="7402" priority="1755">
      <formula>#REF!&lt;&gt;""</formula>
    </cfRule>
    <cfRule type="expression" dxfId="7401" priority="1756">
      <formula>#REF!&lt;&gt;""</formula>
    </cfRule>
    <cfRule type="expression" dxfId="7400" priority="1757">
      <formula>#REF!&lt;&gt;""</formula>
    </cfRule>
    <cfRule type="expression" dxfId="7399" priority="1758">
      <formula>#REF!&lt;&gt;""</formula>
    </cfRule>
    <cfRule type="expression" dxfId="7398" priority="1759">
      <formula>#REF!&lt;&gt;""</formula>
    </cfRule>
    <cfRule type="expression" dxfId="7397" priority="1760">
      <formula>#REF!&lt;&gt;""</formula>
    </cfRule>
    <cfRule type="expression" dxfId="7396" priority="1761">
      <formula>#REF!&lt;&gt;""</formula>
    </cfRule>
  </conditionalFormatting>
  <conditionalFormatting sqref="F241">
    <cfRule type="expression" dxfId="7395" priority="1737">
      <formula>#REF!&lt;&gt;""</formula>
    </cfRule>
    <cfRule type="expression" dxfId="7394" priority="1738">
      <formula>#REF!&lt;&gt;""</formula>
    </cfRule>
    <cfRule type="expression" dxfId="7393" priority="1739">
      <formula>#REF!&lt;&gt;""</formula>
    </cfRule>
    <cfRule type="expression" dxfId="7392" priority="1740">
      <formula>#REF!&lt;&gt;""</formula>
    </cfRule>
    <cfRule type="expression" dxfId="7391" priority="1741">
      <formula>#REF!&lt;&gt;""</formula>
    </cfRule>
    <cfRule type="expression" dxfId="7390" priority="1742">
      <formula>#REF!&lt;&gt;""</formula>
    </cfRule>
    <cfRule type="expression" dxfId="7389" priority="1743">
      <formula>#REF!&lt;&gt;""</formula>
    </cfRule>
    <cfRule type="expression" dxfId="7388" priority="1744">
      <formula>#REF!&lt;&gt;""</formula>
    </cfRule>
    <cfRule type="expression" dxfId="7387" priority="1745">
      <formula>#REF!&lt;&gt;""</formula>
    </cfRule>
    <cfRule type="expression" dxfId="7386" priority="1746">
      <formula>#REF!&lt;&gt;""</formula>
    </cfRule>
    <cfRule type="expression" dxfId="7385" priority="1747">
      <formula>#REF!&lt;&gt;""</formula>
    </cfRule>
    <cfRule type="expression" dxfId="7384" priority="1748">
      <formula>#REF!&lt;&gt;""</formula>
    </cfRule>
  </conditionalFormatting>
  <conditionalFormatting sqref="F242">
    <cfRule type="expression" dxfId="7383" priority="1724">
      <formula>#REF!&lt;&gt;""</formula>
    </cfRule>
    <cfRule type="expression" dxfId="7382" priority="1725">
      <formula>#REF!&lt;&gt;""</formula>
    </cfRule>
    <cfRule type="expression" dxfId="7381" priority="1726">
      <formula>#REF!&lt;&gt;""</formula>
    </cfRule>
    <cfRule type="expression" dxfId="7380" priority="1727">
      <formula>#REF!&lt;&gt;""</formula>
    </cfRule>
    <cfRule type="expression" dxfId="7379" priority="1728">
      <formula>#REF!&lt;&gt;""</formula>
    </cfRule>
    <cfRule type="expression" dxfId="7378" priority="1729">
      <formula>#REF!&lt;&gt;""</formula>
    </cfRule>
    <cfRule type="expression" dxfId="7377" priority="1730">
      <formula>#REF!&lt;&gt;""</formula>
    </cfRule>
    <cfRule type="expression" dxfId="7376" priority="1731">
      <formula>#REF!&lt;&gt;""</formula>
    </cfRule>
    <cfRule type="expression" dxfId="7375" priority="1732">
      <formula>#REF!&lt;&gt;""</formula>
    </cfRule>
    <cfRule type="expression" dxfId="7374" priority="1733">
      <formula>#REF!&lt;&gt;""</formula>
    </cfRule>
    <cfRule type="expression" dxfId="7373" priority="1734">
      <formula>#REF!&lt;&gt;""</formula>
    </cfRule>
    <cfRule type="expression" dxfId="7372" priority="1735">
      <formula>#REF!&lt;&gt;""</formula>
    </cfRule>
  </conditionalFormatting>
  <conditionalFormatting sqref="F243">
    <cfRule type="expression" dxfId="7371" priority="1711">
      <formula>#REF!&lt;&gt;""</formula>
    </cfRule>
    <cfRule type="expression" dxfId="7370" priority="1712">
      <formula>#REF!&lt;&gt;""</formula>
    </cfRule>
    <cfRule type="expression" dxfId="7369" priority="1713">
      <formula>#REF!&lt;&gt;""</formula>
    </cfRule>
    <cfRule type="expression" dxfId="7368" priority="1714">
      <formula>#REF!&lt;&gt;""</formula>
    </cfRule>
    <cfRule type="expression" dxfId="7367" priority="1715">
      <formula>#REF!&lt;&gt;""</formula>
    </cfRule>
    <cfRule type="expression" dxfId="7366" priority="1716">
      <formula>#REF!&lt;&gt;""</formula>
    </cfRule>
    <cfRule type="expression" dxfId="7365" priority="1717">
      <formula>#REF!&lt;&gt;""</formula>
    </cfRule>
    <cfRule type="expression" dxfId="7364" priority="1718">
      <formula>#REF!&lt;&gt;""</formula>
    </cfRule>
    <cfRule type="expression" dxfId="7363" priority="1719">
      <formula>#REF!&lt;&gt;""</formula>
    </cfRule>
    <cfRule type="expression" dxfId="7362" priority="1720">
      <formula>#REF!&lt;&gt;""</formula>
    </cfRule>
    <cfRule type="expression" dxfId="7361" priority="1721">
      <formula>#REF!&lt;&gt;""</formula>
    </cfRule>
    <cfRule type="expression" dxfId="7360" priority="1722">
      <formula>#REF!&lt;&gt;""</formula>
    </cfRule>
  </conditionalFormatting>
  <conditionalFormatting sqref="F244">
    <cfRule type="expression" dxfId="7359" priority="1698">
      <formula>#REF!&lt;&gt;""</formula>
    </cfRule>
    <cfRule type="expression" dxfId="7358" priority="1699">
      <formula>#REF!&lt;&gt;""</formula>
    </cfRule>
    <cfRule type="expression" dxfId="7357" priority="1700">
      <formula>#REF!&lt;&gt;""</formula>
    </cfRule>
    <cfRule type="expression" dxfId="7356" priority="1701">
      <formula>#REF!&lt;&gt;""</formula>
    </cfRule>
    <cfRule type="expression" dxfId="7355" priority="1702">
      <formula>#REF!&lt;&gt;""</formula>
    </cfRule>
    <cfRule type="expression" dxfId="7354" priority="1703">
      <formula>#REF!&lt;&gt;""</formula>
    </cfRule>
    <cfRule type="expression" dxfId="7353" priority="1704">
      <formula>#REF!&lt;&gt;""</formula>
    </cfRule>
    <cfRule type="expression" dxfId="7352" priority="1705">
      <formula>#REF!&lt;&gt;""</formula>
    </cfRule>
    <cfRule type="expression" dxfId="7351" priority="1706">
      <formula>#REF!&lt;&gt;""</formula>
    </cfRule>
    <cfRule type="expression" dxfId="7350" priority="1707">
      <formula>#REF!&lt;&gt;""</formula>
    </cfRule>
    <cfRule type="expression" dxfId="7349" priority="1708">
      <formula>#REF!&lt;&gt;""</formula>
    </cfRule>
    <cfRule type="expression" dxfId="7348" priority="1709">
      <formula>#REF!&lt;&gt;""</formula>
    </cfRule>
  </conditionalFormatting>
  <conditionalFormatting sqref="F245">
    <cfRule type="expression" dxfId="7347" priority="1685">
      <formula>#REF!&lt;&gt;""</formula>
    </cfRule>
    <cfRule type="expression" dxfId="7346" priority="1686">
      <formula>#REF!&lt;&gt;""</formula>
    </cfRule>
    <cfRule type="expression" dxfId="7345" priority="1687">
      <formula>#REF!&lt;&gt;""</formula>
    </cfRule>
    <cfRule type="expression" dxfId="7344" priority="1688">
      <formula>#REF!&lt;&gt;""</formula>
    </cfRule>
    <cfRule type="expression" dxfId="7343" priority="1689">
      <formula>#REF!&lt;&gt;""</formula>
    </cfRule>
    <cfRule type="expression" dxfId="7342" priority="1690">
      <formula>#REF!&lt;&gt;""</formula>
    </cfRule>
    <cfRule type="expression" dxfId="7341" priority="1691">
      <formula>#REF!&lt;&gt;""</formula>
    </cfRule>
    <cfRule type="expression" dxfId="7340" priority="1692">
      <formula>#REF!&lt;&gt;""</formula>
    </cfRule>
    <cfRule type="expression" dxfId="7339" priority="1693">
      <formula>#REF!&lt;&gt;""</formula>
    </cfRule>
    <cfRule type="expression" dxfId="7338" priority="1694">
      <formula>#REF!&lt;&gt;""</formula>
    </cfRule>
    <cfRule type="expression" dxfId="7337" priority="1695">
      <formula>#REF!&lt;&gt;""</formula>
    </cfRule>
    <cfRule type="expression" dxfId="7336" priority="1696">
      <formula>#REF!&lt;&gt;""</formula>
    </cfRule>
  </conditionalFormatting>
  <conditionalFormatting sqref="F246">
    <cfRule type="expression" dxfId="7335" priority="1672">
      <formula>#REF!&lt;&gt;""</formula>
    </cfRule>
    <cfRule type="expression" dxfId="7334" priority="1673">
      <formula>#REF!&lt;&gt;""</formula>
    </cfRule>
    <cfRule type="expression" dxfId="7333" priority="1674">
      <formula>#REF!&lt;&gt;""</formula>
    </cfRule>
    <cfRule type="expression" dxfId="7332" priority="1675">
      <formula>#REF!&lt;&gt;""</formula>
    </cfRule>
    <cfRule type="expression" dxfId="7331" priority="1676">
      <formula>#REF!&lt;&gt;""</formula>
    </cfRule>
    <cfRule type="expression" dxfId="7330" priority="1677">
      <formula>#REF!&lt;&gt;""</formula>
    </cfRule>
    <cfRule type="expression" dxfId="7329" priority="1678">
      <formula>#REF!&lt;&gt;""</formula>
    </cfRule>
    <cfRule type="expression" dxfId="7328" priority="1679">
      <formula>#REF!&lt;&gt;""</formula>
    </cfRule>
    <cfRule type="expression" dxfId="7327" priority="1680">
      <formula>#REF!&lt;&gt;""</formula>
    </cfRule>
    <cfRule type="expression" dxfId="7326" priority="1681">
      <formula>#REF!&lt;&gt;""</formula>
    </cfRule>
    <cfRule type="expression" dxfId="7325" priority="1682">
      <formula>#REF!&lt;&gt;""</formula>
    </cfRule>
    <cfRule type="expression" dxfId="7324" priority="1683">
      <formula>#REF!&lt;&gt;""</formula>
    </cfRule>
  </conditionalFormatting>
  <conditionalFormatting sqref="F247">
    <cfRule type="expression" dxfId="7323" priority="1659">
      <formula>#REF!&lt;&gt;""</formula>
    </cfRule>
    <cfRule type="expression" dxfId="7322" priority="1660">
      <formula>#REF!&lt;&gt;""</formula>
    </cfRule>
    <cfRule type="expression" dxfId="7321" priority="1661">
      <formula>#REF!&lt;&gt;""</formula>
    </cfRule>
    <cfRule type="expression" dxfId="7320" priority="1662">
      <formula>#REF!&lt;&gt;""</formula>
    </cfRule>
    <cfRule type="expression" dxfId="7319" priority="1663">
      <formula>#REF!&lt;&gt;""</formula>
    </cfRule>
    <cfRule type="expression" dxfId="7318" priority="1664">
      <formula>#REF!&lt;&gt;""</formula>
    </cfRule>
    <cfRule type="expression" dxfId="7317" priority="1665">
      <formula>#REF!&lt;&gt;""</formula>
    </cfRule>
    <cfRule type="expression" dxfId="7316" priority="1666">
      <formula>#REF!&lt;&gt;""</formula>
    </cfRule>
    <cfRule type="expression" dxfId="7315" priority="1667">
      <formula>#REF!&lt;&gt;""</formula>
    </cfRule>
    <cfRule type="expression" dxfId="7314" priority="1668">
      <formula>#REF!&lt;&gt;""</formula>
    </cfRule>
    <cfRule type="expression" dxfId="7313" priority="1669">
      <formula>#REF!&lt;&gt;""</formula>
    </cfRule>
    <cfRule type="expression" dxfId="7312" priority="1670">
      <formula>#REF!&lt;&gt;""</formula>
    </cfRule>
  </conditionalFormatting>
  <conditionalFormatting sqref="F248">
    <cfRule type="expression" dxfId="7311" priority="1646">
      <formula>#REF!&lt;&gt;""</formula>
    </cfRule>
    <cfRule type="expression" dxfId="7310" priority="1647">
      <formula>#REF!&lt;&gt;""</formula>
    </cfRule>
    <cfRule type="expression" dxfId="7309" priority="1648">
      <formula>#REF!&lt;&gt;""</formula>
    </cfRule>
    <cfRule type="expression" dxfId="7308" priority="1649">
      <formula>#REF!&lt;&gt;""</formula>
    </cfRule>
    <cfRule type="expression" dxfId="7307" priority="1650">
      <formula>#REF!&lt;&gt;""</formula>
    </cfRule>
    <cfRule type="expression" dxfId="7306" priority="1651">
      <formula>#REF!&lt;&gt;""</formula>
    </cfRule>
    <cfRule type="expression" dxfId="7305" priority="1652">
      <formula>#REF!&lt;&gt;""</formula>
    </cfRule>
    <cfRule type="expression" dxfId="7304" priority="1653">
      <formula>#REF!&lt;&gt;""</formula>
    </cfRule>
    <cfRule type="expression" dxfId="7303" priority="1654">
      <formula>#REF!&lt;&gt;""</formula>
    </cfRule>
    <cfRule type="expression" dxfId="7302" priority="1655">
      <formula>#REF!&lt;&gt;""</formula>
    </cfRule>
    <cfRule type="expression" dxfId="7301" priority="1656">
      <formula>#REF!&lt;&gt;""</formula>
    </cfRule>
    <cfRule type="expression" dxfId="7300" priority="1657">
      <formula>#REF!&lt;&gt;""</formula>
    </cfRule>
  </conditionalFormatting>
  <conditionalFormatting sqref="F249">
    <cfRule type="expression" dxfId="7299" priority="1633">
      <formula>#REF!&lt;&gt;""</formula>
    </cfRule>
    <cfRule type="expression" dxfId="7298" priority="1634">
      <formula>#REF!&lt;&gt;""</formula>
    </cfRule>
    <cfRule type="expression" dxfId="7297" priority="1635">
      <formula>#REF!&lt;&gt;""</formula>
    </cfRule>
    <cfRule type="expression" dxfId="7296" priority="1636">
      <formula>#REF!&lt;&gt;""</formula>
    </cfRule>
    <cfRule type="expression" dxfId="7295" priority="1637">
      <formula>#REF!&lt;&gt;""</formula>
    </cfRule>
    <cfRule type="expression" dxfId="7294" priority="1638">
      <formula>#REF!&lt;&gt;""</formula>
    </cfRule>
    <cfRule type="expression" dxfId="7293" priority="1639">
      <formula>#REF!&lt;&gt;""</formula>
    </cfRule>
    <cfRule type="expression" dxfId="7292" priority="1640">
      <formula>#REF!&lt;&gt;""</formula>
    </cfRule>
    <cfRule type="expression" dxfId="7291" priority="1641">
      <formula>#REF!&lt;&gt;""</formula>
    </cfRule>
    <cfRule type="expression" dxfId="7290" priority="1642">
      <formula>#REF!&lt;&gt;""</formula>
    </cfRule>
    <cfRule type="expression" dxfId="7289" priority="1643">
      <formula>#REF!&lt;&gt;""</formula>
    </cfRule>
    <cfRule type="expression" dxfId="7288" priority="1644">
      <formula>#REF!&lt;&gt;""</formula>
    </cfRule>
  </conditionalFormatting>
  <conditionalFormatting sqref="F250">
    <cfRule type="expression" dxfId="7287" priority="1620">
      <formula>#REF!&lt;&gt;""</formula>
    </cfRule>
    <cfRule type="expression" dxfId="7286" priority="1621">
      <formula>#REF!&lt;&gt;""</formula>
    </cfRule>
    <cfRule type="expression" dxfId="7285" priority="1622">
      <formula>#REF!&lt;&gt;""</formula>
    </cfRule>
    <cfRule type="expression" dxfId="7284" priority="1623">
      <formula>#REF!&lt;&gt;""</formula>
    </cfRule>
    <cfRule type="expression" dxfId="7283" priority="1624">
      <formula>#REF!&lt;&gt;""</formula>
    </cfRule>
    <cfRule type="expression" dxfId="7282" priority="1625">
      <formula>#REF!&lt;&gt;""</formula>
    </cfRule>
    <cfRule type="expression" dxfId="7281" priority="1626">
      <formula>#REF!&lt;&gt;""</formula>
    </cfRule>
    <cfRule type="expression" dxfId="7280" priority="1627">
      <formula>#REF!&lt;&gt;""</formula>
    </cfRule>
    <cfRule type="expression" dxfId="7279" priority="1628">
      <formula>#REF!&lt;&gt;""</formula>
    </cfRule>
    <cfRule type="expression" dxfId="7278" priority="1629">
      <formula>#REF!&lt;&gt;""</formula>
    </cfRule>
    <cfRule type="expression" dxfId="7277" priority="1630">
      <formula>#REF!&lt;&gt;""</formula>
    </cfRule>
    <cfRule type="expression" dxfId="7276" priority="1631">
      <formula>#REF!&lt;&gt;""</formula>
    </cfRule>
  </conditionalFormatting>
  <conditionalFormatting sqref="F251">
    <cfRule type="expression" dxfId="7275" priority="1607">
      <formula>#REF!&lt;&gt;""</formula>
    </cfRule>
    <cfRule type="expression" dxfId="7274" priority="1608">
      <formula>#REF!&lt;&gt;""</formula>
    </cfRule>
    <cfRule type="expression" dxfId="7273" priority="1609">
      <formula>#REF!&lt;&gt;""</formula>
    </cfRule>
    <cfRule type="expression" dxfId="7272" priority="1610">
      <formula>#REF!&lt;&gt;""</formula>
    </cfRule>
    <cfRule type="expression" dxfId="7271" priority="1611">
      <formula>#REF!&lt;&gt;""</formula>
    </cfRule>
    <cfRule type="expression" dxfId="7270" priority="1612">
      <formula>#REF!&lt;&gt;""</formula>
    </cfRule>
    <cfRule type="expression" dxfId="7269" priority="1613">
      <formula>#REF!&lt;&gt;""</formula>
    </cfRule>
    <cfRule type="expression" dxfId="7268" priority="1614">
      <formula>#REF!&lt;&gt;""</formula>
    </cfRule>
    <cfRule type="expression" dxfId="7267" priority="1615">
      <formula>#REF!&lt;&gt;""</formula>
    </cfRule>
    <cfRule type="expression" dxfId="7266" priority="1616">
      <formula>#REF!&lt;&gt;""</formula>
    </cfRule>
    <cfRule type="expression" dxfId="7265" priority="1617">
      <formula>#REF!&lt;&gt;""</formula>
    </cfRule>
    <cfRule type="expression" dxfId="7264" priority="1618">
      <formula>#REF!&lt;&gt;""</formula>
    </cfRule>
  </conditionalFormatting>
  <conditionalFormatting sqref="F252">
    <cfRule type="expression" dxfId="7263" priority="1594">
      <formula>#REF!&lt;&gt;""</formula>
    </cfRule>
    <cfRule type="expression" dxfId="7262" priority="1595">
      <formula>#REF!&lt;&gt;""</formula>
    </cfRule>
    <cfRule type="expression" dxfId="7261" priority="1596">
      <formula>#REF!&lt;&gt;""</formula>
    </cfRule>
    <cfRule type="expression" dxfId="7260" priority="1597">
      <formula>#REF!&lt;&gt;""</formula>
    </cfRule>
    <cfRule type="expression" dxfId="7259" priority="1598">
      <formula>#REF!&lt;&gt;""</formula>
    </cfRule>
    <cfRule type="expression" dxfId="7258" priority="1599">
      <formula>#REF!&lt;&gt;""</formula>
    </cfRule>
    <cfRule type="expression" dxfId="7257" priority="1600">
      <formula>#REF!&lt;&gt;""</formula>
    </cfRule>
    <cfRule type="expression" dxfId="7256" priority="1601">
      <formula>#REF!&lt;&gt;""</formula>
    </cfRule>
    <cfRule type="expression" dxfId="7255" priority="1602">
      <formula>#REF!&lt;&gt;""</formula>
    </cfRule>
    <cfRule type="expression" dxfId="7254" priority="1603">
      <formula>#REF!&lt;&gt;""</formula>
    </cfRule>
    <cfRule type="expression" dxfId="7253" priority="1604">
      <formula>#REF!&lt;&gt;""</formula>
    </cfRule>
    <cfRule type="expression" dxfId="7252" priority="1605">
      <formula>#REF!&lt;&gt;""</formula>
    </cfRule>
  </conditionalFormatting>
  <conditionalFormatting sqref="F253">
    <cfRule type="expression" dxfId="7251" priority="1581">
      <formula>#REF!&lt;&gt;""</formula>
    </cfRule>
    <cfRule type="expression" dxfId="7250" priority="1582">
      <formula>#REF!&lt;&gt;""</formula>
    </cfRule>
    <cfRule type="expression" dxfId="7249" priority="1583">
      <formula>#REF!&lt;&gt;""</formula>
    </cfRule>
    <cfRule type="expression" dxfId="7248" priority="1584">
      <formula>#REF!&lt;&gt;""</formula>
    </cfRule>
    <cfRule type="expression" dxfId="7247" priority="1585">
      <formula>#REF!&lt;&gt;""</formula>
    </cfRule>
    <cfRule type="expression" dxfId="7246" priority="1586">
      <formula>#REF!&lt;&gt;""</formula>
    </cfRule>
    <cfRule type="expression" dxfId="7245" priority="1587">
      <formula>#REF!&lt;&gt;""</formula>
    </cfRule>
    <cfRule type="expression" dxfId="7244" priority="1588">
      <formula>#REF!&lt;&gt;""</formula>
    </cfRule>
    <cfRule type="expression" dxfId="7243" priority="1589">
      <formula>#REF!&lt;&gt;""</formula>
    </cfRule>
    <cfRule type="expression" dxfId="7242" priority="1590">
      <formula>#REF!&lt;&gt;""</formula>
    </cfRule>
    <cfRule type="expression" dxfId="7241" priority="1591">
      <formula>#REF!&lt;&gt;""</formula>
    </cfRule>
    <cfRule type="expression" dxfId="7240" priority="1592">
      <formula>#REF!&lt;&gt;""</formula>
    </cfRule>
  </conditionalFormatting>
  <conditionalFormatting sqref="F254">
    <cfRule type="expression" dxfId="7239" priority="1568">
      <formula>#REF!&lt;&gt;""</formula>
    </cfRule>
    <cfRule type="expression" dxfId="7238" priority="1569">
      <formula>#REF!&lt;&gt;""</formula>
    </cfRule>
    <cfRule type="expression" dxfId="7237" priority="1570">
      <formula>#REF!&lt;&gt;""</formula>
    </cfRule>
    <cfRule type="expression" dxfId="7236" priority="1571">
      <formula>#REF!&lt;&gt;""</formula>
    </cfRule>
    <cfRule type="expression" dxfId="7235" priority="1572">
      <formula>#REF!&lt;&gt;""</formula>
    </cfRule>
    <cfRule type="expression" dxfId="7234" priority="1573">
      <formula>#REF!&lt;&gt;""</formula>
    </cfRule>
    <cfRule type="expression" dxfId="7233" priority="1574">
      <formula>#REF!&lt;&gt;""</formula>
    </cfRule>
    <cfRule type="expression" dxfId="7232" priority="1575">
      <formula>#REF!&lt;&gt;""</formula>
    </cfRule>
    <cfRule type="expression" dxfId="7231" priority="1576">
      <formula>#REF!&lt;&gt;""</formula>
    </cfRule>
    <cfRule type="expression" dxfId="7230" priority="1577">
      <formula>#REF!&lt;&gt;""</formula>
    </cfRule>
    <cfRule type="expression" dxfId="7229" priority="1578">
      <formula>#REF!&lt;&gt;""</formula>
    </cfRule>
    <cfRule type="expression" dxfId="7228" priority="1579">
      <formula>#REF!&lt;&gt;""</formula>
    </cfRule>
  </conditionalFormatting>
  <conditionalFormatting sqref="F255">
    <cfRule type="expression" dxfId="7227" priority="1555">
      <formula>#REF!&lt;&gt;""</formula>
    </cfRule>
    <cfRule type="expression" dxfId="7226" priority="1556">
      <formula>#REF!&lt;&gt;""</formula>
    </cfRule>
    <cfRule type="expression" dxfId="7225" priority="1557">
      <formula>#REF!&lt;&gt;""</formula>
    </cfRule>
    <cfRule type="expression" dxfId="7224" priority="1558">
      <formula>#REF!&lt;&gt;""</formula>
    </cfRule>
    <cfRule type="expression" dxfId="7223" priority="1559">
      <formula>#REF!&lt;&gt;""</formula>
    </cfRule>
    <cfRule type="expression" dxfId="7222" priority="1560">
      <formula>#REF!&lt;&gt;""</formula>
    </cfRule>
    <cfRule type="expression" dxfId="7221" priority="1561">
      <formula>#REF!&lt;&gt;""</formula>
    </cfRule>
    <cfRule type="expression" dxfId="7220" priority="1562">
      <formula>#REF!&lt;&gt;""</formula>
    </cfRule>
    <cfRule type="expression" dxfId="7219" priority="1563">
      <formula>#REF!&lt;&gt;""</formula>
    </cfRule>
    <cfRule type="expression" dxfId="7218" priority="1564">
      <formula>#REF!&lt;&gt;""</formula>
    </cfRule>
    <cfRule type="expression" dxfId="7217" priority="1565">
      <formula>#REF!&lt;&gt;""</formula>
    </cfRule>
    <cfRule type="expression" dxfId="7216" priority="1566">
      <formula>#REF!&lt;&gt;""</formula>
    </cfRule>
  </conditionalFormatting>
  <conditionalFormatting sqref="F256">
    <cfRule type="expression" dxfId="7215" priority="1542">
      <formula>#REF!&lt;&gt;""</formula>
    </cfRule>
    <cfRule type="expression" dxfId="7214" priority="1543">
      <formula>#REF!&lt;&gt;""</formula>
    </cfRule>
    <cfRule type="expression" dxfId="7213" priority="1544">
      <formula>#REF!&lt;&gt;""</formula>
    </cfRule>
    <cfRule type="expression" dxfId="7212" priority="1545">
      <formula>#REF!&lt;&gt;""</formula>
    </cfRule>
    <cfRule type="expression" dxfId="7211" priority="1546">
      <formula>#REF!&lt;&gt;""</formula>
    </cfRule>
    <cfRule type="expression" dxfId="7210" priority="1547">
      <formula>#REF!&lt;&gt;""</formula>
    </cfRule>
    <cfRule type="expression" dxfId="7209" priority="1548">
      <formula>#REF!&lt;&gt;""</formula>
    </cfRule>
    <cfRule type="expression" dxfId="7208" priority="1549">
      <formula>#REF!&lt;&gt;""</formula>
    </cfRule>
    <cfRule type="expression" dxfId="7207" priority="1550">
      <formula>#REF!&lt;&gt;""</formula>
    </cfRule>
    <cfRule type="expression" dxfId="7206" priority="1551">
      <formula>#REF!&lt;&gt;""</formula>
    </cfRule>
    <cfRule type="expression" dxfId="7205" priority="1552">
      <formula>#REF!&lt;&gt;""</formula>
    </cfRule>
    <cfRule type="expression" dxfId="7204" priority="1553">
      <formula>#REF!&lt;&gt;""</formula>
    </cfRule>
  </conditionalFormatting>
  <conditionalFormatting sqref="F257">
    <cfRule type="expression" dxfId="7203" priority="1529">
      <formula>#REF!&lt;&gt;""</formula>
    </cfRule>
    <cfRule type="expression" dxfId="7202" priority="1530">
      <formula>#REF!&lt;&gt;""</formula>
    </cfRule>
    <cfRule type="expression" dxfId="7201" priority="1531">
      <formula>#REF!&lt;&gt;""</formula>
    </cfRule>
    <cfRule type="expression" dxfId="7200" priority="1532">
      <formula>#REF!&lt;&gt;""</formula>
    </cfRule>
    <cfRule type="expression" dxfId="7199" priority="1533">
      <formula>#REF!&lt;&gt;""</formula>
    </cfRule>
    <cfRule type="expression" dxfId="7198" priority="1534">
      <formula>#REF!&lt;&gt;""</formula>
    </cfRule>
    <cfRule type="expression" dxfId="7197" priority="1535">
      <formula>#REF!&lt;&gt;""</formula>
    </cfRule>
    <cfRule type="expression" dxfId="7196" priority="1536">
      <formula>#REF!&lt;&gt;""</formula>
    </cfRule>
    <cfRule type="expression" dxfId="7195" priority="1537">
      <formula>#REF!&lt;&gt;""</formula>
    </cfRule>
    <cfRule type="expression" dxfId="7194" priority="1538">
      <formula>#REF!&lt;&gt;""</formula>
    </cfRule>
    <cfRule type="expression" dxfId="7193" priority="1539">
      <formula>#REF!&lt;&gt;""</formula>
    </cfRule>
    <cfRule type="expression" dxfId="7192" priority="1540">
      <formula>#REF!&lt;&gt;""</formula>
    </cfRule>
  </conditionalFormatting>
  <conditionalFormatting sqref="F258">
    <cfRule type="expression" dxfId="7191" priority="1516">
      <formula>#REF!&lt;&gt;""</formula>
    </cfRule>
    <cfRule type="expression" dxfId="7190" priority="1517">
      <formula>#REF!&lt;&gt;""</formula>
    </cfRule>
    <cfRule type="expression" dxfId="7189" priority="1518">
      <formula>#REF!&lt;&gt;""</formula>
    </cfRule>
    <cfRule type="expression" dxfId="7188" priority="1519">
      <formula>#REF!&lt;&gt;""</formula>
    </cfRule>
    <cfRule type="expression" dxfId="7187" priority="1520">
      <formula>#REF!&lt;&gt;""</formula>
    </cfRule>
    <cfRule type="expression" dxfId="7186" priority="1521">
      <formula>#REF!&lt;&gt;""</formula>
    </cfRule>
    <cfRule type="expression" dxfId="7185" priority="1522">
      <formula>#REF!&lt;&gt;""</formula>
    </cfRule>
    <cfRule type="expression" dxfId="7184" priority="1523">
      <formula>#REF!&lt;&gt;""</formula>
    </cfRule>
    <cfRule type="expression" dxfId="7183" priority="1524">
      <formula>#REF!&lt;&gt;""</formula>
    </cfRule>
    <cfRule type="expression" dxfId="7182" priority="1525">
      <formula>#REF!&lt;&gt;""</formula>
    </cfRule>
    <cfRule type="expression" dxfId="7181" priority="1526">
      <formula>#REF!&lt;&gt;""</formula>
    </cfRule>
    <cfRule type="expression" dxfId="7180" priority="1527">
      <formula>#REF!&lt;&gt;""</formula>
    </cfRule>
  </conditionalFormatting>
  <conditionalFormatting sqref="F259">
    <cfRule type="expression" dxfId="7179" priority="1503">
      <formula>#REF!&lt;&gt;""</formula>
    </cfRule>
    <cfRule type="expression" dxfId="7178" priority="1504">
      <formula>#REF!&lt;&gt;""</formula>
    </cfRule>
    <cfRule type="expression" dxfId="7177" priority="1505">
      <formula>#REF!&lt;&gt;""</formula>
    </cfRule>
    <cfRule type="expression" dxfId="7176" priority="1506">
      <formula>#REF!&lt;&gt;""</formula>
    </cfRule>
    <cfRule type="expression" dxfId="7175" priority="1507">
      <formula>#REF!&lt;&gt;""</formula>
    </cfRule>
    <cfRule type="expression" dxfId="7174" priority="1508">
      <formula>#REF!&lt;&gt;""</formula>
    </cfRule>
    <cfRule type="expression" dxfId="7173" priority="1509">
      <formula>#REF!&lt;&gt;""</formula>
    </cfRule>
    <cfRule type="expression" dxfId="7172" priority="1510">
      <formula>#REF!&lt;&gt;""</formula>
    </cfRule>
    <cfRule type="expression" dxfId="7171" priority="1511">
      <formula>#REF!&lt;&gt;""</formula>
    </cfRule>
    <cfRule type="expression" dxfId="7170" priority="1512">
      <formula>#REF!&lt;&gt;""</formula>
    </cfRule>
    <cfRule type="expression" dxfId="7169" priority="1513">
      <formula>#REF!&lt;&gt;""</formula>
    </cfRule>
    <cfRule type="expression" dxfId="7168" priority="1514">
      <formula>#REF!&lt;&gt;""</formula>
    </cfRule>
  </conditionalFormatting>
  <conditionalFormatting sqref="F260">
    <cfRule type="expression" dxfId="7167" priority="1490">
      <formula>#REF!&lt;&gt;""</formula>
    </cfRule>
    <cfRule type="expression" dxfId="7166" priority="1491">
      <formula>#REF!&lt;&gt;""</formula>
    </cfRule>
    <cfRule type="expression" dxfId="7165" priority="1492">
      <formula>#REF!&lt;&gt;""</formula>
    </cfRule>
    <cfRule type="expression" dxfId="7164" priority="1493">
      <formula>#REF!&lt;&gt;""</formula>
    </cfRule>
    <cfRule type="expression" dxfId="7163" priority="1494">
      <formula>#REF!&lt;&gt;""</formula>
    </cfRule>
    <cfRule type="expression" dxfId="7162" priority="1495">
      <formula>#REF!&lt;&gt;""</formula>
    </cfRule>
    <cfRule type="expression" dxfId="7161" priority="1496">
      <formula>#REF!&lt;&gt;""</formula>
    </cfRule>
    <cfRule type="expression" dxfId="7160" priority="1497">
      <formula>#REF!&lt;&gt;""</formula>
    </cfRule>
    <cfRule type="expression" dxfId="7159" priority="1498">
      <formula>#REF!&lt;&gt;""</formula>
    </cfRule>
    <cfRule type="expression" dxfId="7158" priority="1499">
      <formula>#REF!&lt;&gt;""</formula>
    </cfRule>
    <cfRule type="expression" dxfId="7157" priority="1500">
      <formula>#REF!&lt;&gt;""</formula>
    </cfRule>
    <cfRule type="expression" dxfId="7156" priority="1501">
      <formula>#REF!&lt;&gt;""</formula>
    </cfRule>
  </conditionalFormatting>
  <conditionalFormatting sqref="F261">
    <cfRule type="expression" dxfId="7155" priority="1477">
      <formula>#REF!&lt;&gt;""</formula>
    </cfRule>
    <cfRule type="expression" dxfId="7154" priority="1478">
      <formula>#REF!&lt;&gt;""</formula>
    </cfRule>
    <cfRule type="expression" dxfId="7153" priority="1479">
      <formula>#REF!&lt;&gt;""</formula>
    </cfRule>
    <cfRule type="expression" dxfId="7152" priority="1480">
      <formula>#REF!&lt;&gt;""</formula>
    </cfRule>
    <cfRule type="expression" dxfId="7151" priority="1481">
      <formula>#REF!&lt;&gt;""</formula>
    </cfRule>
    <cfRule type="expression" dxfId="7150" priority="1482">
      <formula>#REF!&lt;&gt;""</formula>
    </cfRule>
    <cfRule type="expression" dxfId="7149" priority="1483">
      <formula>#REF!&lt;&gt;""</formula>
    </cfRule>
    <cfRule type="expression" dxfId="7148" priority="1484">
      <formula>#REF!&lt;&gt;""</formula>
    </cfRule>
    <cfRule type="expression" dxfId="7147" priority="1485">
      <formula>#REF!&lt;&gt;""</formula>
    </cfRule>
    <cfRule type="expression" dxfId="7146" priority="1486">
      <formula>#REF!&lt;&gt;""</formula>
    </cfRule>
    <cfRule type="expression" dxfId="7145" priority="1487">
      <formula>#REF!&lt;&gt;""</formula>
    </cfRule>
    <cfRule type="expression" dxfId="7144" priority="1488">
      <formula>#REF!&lt;&gt;""</formula>
    </cfRule>
  </conditionalFormatting>
  <conditionalFormatting sqref="F262">
    <cfRule type="expression" dxfId="7143" priority="1464">
      <formula>#REF!&lt;&gt;""</formula>
    </cfRule>
    <cfRule type="expression" dxfId="7142" priority="1465">
      <formula>#REF!&lt;&gt;""</formula>
    </cfRule>
    <cfRule type="expression" dxfId="7141" priority="1466">
      <formula>#REF!&lt;&gt;""</formula>
    </cfRule>
    <cfRule type="expression" dxfId="7140" priority="1467">
      <formula>#REF!&lt;&gt;""</formula>
    </cfRule>
    <cfRule type="expression" dxfId="7139" priority="1468">
      <formula>#REF!&lt;&gt;""</formula>
    </cfRule>
    <cfRule type="expression" dxfId="7138" priority="1469">
      <formula>#REF!&lt;&gt;""</formula>
    </cfRule>
    <cfRule type="expression" dxfId="7137" priority="1470">
      <formula>#REF!&lt;&gt;""</formula>
    </cfRule>
    <cfRule type="expression" dxfId="7136" priority="1471">
      <formula>#REF!&lt;&gt;""</formula>
    </cfRule>
    <cfRule type="expression" dxfId="7135" priority="1472">
      <formula>#REF!&lt;&gt;""</formula>
    </cfRule>
    <cfRule type="expression" dxfId="7134" priority="1473">
      <formula>#REF!&lt;&gt;""</formula>
    </cfRule>
    <cfRule type="expression" dxfId="7133" priority="1474">
      <formula>#REF!&lt;&gt;""</formula>
    </cfRule>
    <cfRule type="expression" dxfId="7132" priority="1475">
      <formula>#REF!&lt;&gt;""</formula>
    </cfRule>
  </conditionalFormatting>
  <conditionalFormatting sqref="F263">
    <cfRule type="expression" dxfId="7131" priority="1451">
      <formula>#REF!&lt;&gt;""</formula>
    </cfRule>
    <cfRule type="expression" dxfId="7130" priority="1452">
      <formula>#REF!&lt;&gt;""</formula>
    </cfRule>
    <cfRule type="expression" dxfId="7129" priority="1453">
      <formula>#REF!&lt;&gt;""</formula>
    </cfRule>
    <cfRule type="expression" dxfId="7128" priority="1454">
      <formula>#REF!&lt;&gt;""</formula>
    </cfRule>
    <cfRule type="expression" dxfId="7127" priority="1455">
      <formula>#REF!&lt;&gt;""</formula>
    </cfRule>
    <cfRule type="expression" dxfId="7126" priority="1456">
      <formula>#REF!&lt;&gt;""</formula>
    </cfRule>
    <cfRule type="expression" dxfId="7125" priority="1457">
      <formula>#REF!&lt;&gt;""</formula>
    </cfRule>
    <cfRule type="expression" dxfId="7124" priority="1458">
      <formula>#REF!&lt;&gt;""</formula>
    </cfRule>
    <cfRule type="expression" dxfId="7123" priority="1459">
      <formula>#REF!&lt;&gt;""</formula>
    </cfRule>
    <cfRule type="expression" dxfId="7122" priority="1460">
      <formula>#REF!&lt;&gt;""</formula>
    </cfRule>
    <cfRule type="expression" dxfId="7121" priority="1461">
      <formula>#REF!&lt;&gt;""</formula>
    </cfRule>
    <cfRule type="expression" dxfId="7120" priority="1462">
      <formula>#REF!&lt;&gt;""</formula>
    </cfRule>
  </conditionalFormatting>
  <conditionalFormatting sqref="F264">
    <cfRule type="expression" dxfId="7119" priority="1438">
      <formula>#REF!&lt;&gt;""</formula>
    </cfRule>
    <cfRule type="expression" dxfId="7118" priority="1439">
      <formula>#REF!&lt;&gt;""</formula>
    </cfRule>
    <cfRule type="expression" dxfId="7117" priority="1440">
      <formula>#REF!&lt;&gt;""</formula>
    </cfRule>
    <cfRule type="expression" dxfId="7116" priority="1441">
      <formula>#REF!&lt;&gt;""</formula>
    </cfRule>
    <cfRule type="expression" dxfId="7115" priority="1442">
      <formula>#REF!&lt;&gt;""</formula>
    </cfRule>
    <cfRule type="expression" dxfId="7114" priority="1443">
      <formula>#REF!&lt;&gt;""</formula>
    </cfRule>
    <cfRule type="expression" dxfId="7113" priority="1444">
      <formula>#REF!&lt;&gt;""</formula>
    </cfRule>
    <cfRule type="expression" dxfId="7112" priority="1445">
      <formula>#REF!&lt;&gt;""</formula>
    </cfRule>
    <cfRule type="expression" dxfId="7111" priority="1446">
      <formula>#REF!&lt;&gt;""</formula>
    </cfRule>
    <cfRule type="expression" dxfId="7110" priority="1447">
      <formula>#REF!&lt;&gt;""</formula>
    </cfRule>
    <cfRule type="expression" dxfId="7109" priority="1448">
      <formula>#REF!&lt;&gt;""</formula>
    </cfRule>
    <cfRule type="expression" dxfId="7108" priority="1449">
      <formula>#REF!&lt;&gt;""</formula>
    </cfRule>
  </conditionalFormatting>
  <conditionalFormatting sqref="F265">
    <cfRule type="expression" dxfId="7107" priority="1425">
      <formula>#REF!&lt;&gt;""</formula>
    </cfRule>
    <cfRule type="expression" dxfId="7106" priority="1426">
      <formula>#REF!&lt;&gt;""</formula>
    </cfRule>
    <cfRule type="expression" dxfId="7105" priority="1427">
      <formula>#REF!&lt;&gt;""</formula>
    </cfRule>
    <cfRule type="expression" dxfId="7104" priority="1428">
      <formula>#REF!&lt;&gt;""</formula>
    </cfRule>
    <cfRule type="expression" dxfId="7103" priority="1429">
      <formula>#REF!&lt;&gt;""</formula>
    </cfRule>
    <cfRule type="expression" dxfId="7102" priority="1430">
      <formula>#REF!&lt;&gt;""</formula>
    </cfRule>
    <cfRule type="expression" dxfId="7101" priority="1431">
      <formula>#REF!&lt;&gt;""</formula>
    </cfRule>
    <cfRule type="expression" dxfId="7100" priority="1432">
      <formula>#REF!&lt;&gt;""</formula>
    </cfRule>
    <cfRule type="expression" dxfId="7099" priority="1433">
      <formula>#REF!&lt;&gt;""</formula>
    </cfRule>
    <cfRule type="expression" dxfId="7098" priority="1434">
      <formula>#REF!&lt;&gt;""</formula>
    </cfRule>
    <cfRule type="expression" dxfId="7097" priority="1435">
      <formula>#REF!&lt;&gt;""</formula>
    </cfRule>
    <cfRule type="expression" dxfId="7096" priority="1436">
      <formula>#REF!&lt;&gt;""</formula>
    </cfRule>
  </conditionalFormatting>
  <conditionalFormatting sqref="F266">
    <cfRule type="expression" dxfId="7095" priority="1412">
      <formula>#REF!&lt;&gt;""</formula>
    </cfRule>
    <cfRule type="expression" dxfId="7094" priority="1413">
      <formula>#REF!&lt;&gt;""</formula>
    </cfRule>
    <cfRule type="expression" dxfId="7093" priority="1414">
      <formula>#REF!&lt;&gt;""</formula>
    </cfRule>
    <cfRule type="expression" dxfId="7092" priority="1415">
      <formula>#REF!&lt;&gt;""</formula>
    </cfRule>
    <cfRule type="expression" dxfId="7091" priority="1416">
      <formula>#REF!&lt;&gt;""</formula>
    </cfRule>
    <cfRule type="expression" dxfId="7090" priority="1417">
      <formula>#REF!&lt;&gt;""</formula>
    </cfRule>
    <cfRule type="expression" dxfId="7089" priority="1418">
      <formula>#REF!&lt;&gt;""</formula>
    </cfRule>
    <cfRule type="expression" dxfId="7088" priority="1419">
      <formula>#REF!&lt;&gt;""</formula>
    </cfRule>
    <cfRule type="expression" dxfId="7087" priority="1420">
      <formula>#REF!&lt;&gt;""</formula>
    </cfRule>
    <cfRule type="expression" dxfId="7086" priority="1421">
      <formula>#REF!&lt;&gt;""</formula>
    </cfRule>
    <cfRule type="expression" dxfId="7085" priority="1422">
      <formula>#REF!&lt;&gt;""</formula>
    </cfRule>
    <cfRule type="expression" dxfId="7084" priority="1423">
      <formula>#REF!&lt;&gt;""</formula>
    </cfRule>
  </conditionalFormatting>
  <conditionalFormatting sqref="F267">
    <cfRule type="expression" dxfId="7083" priority="1399">
      <formula>#REF!&lt;&gt;""</formula>
    </cfRule>
    <cfRule type="expression" dxfId="7082" priority="1400">
      <formula>#REF!&lt;&gt;""</formula>
    </cfRule>
    <cfRule type="expression" dxfId="7081" priority="1401">
      <formula>#REF!&lt;&gt;""</formula>
    </cfRule>
    <cfRule type="expression" dxfId="7080" priority="1402">
      <formula>#REF!&lt;&gt;""</formula>
    </cfRule>
    <cfRule type="expression" dxfId="7079" priority="1403">
      <formula>#REF!&lt;&gt;""</formula>
    </cfRule>
    <cfRule type="expression" dxfId="7078" priority="1404">
      <formula>#REF!&lt;&gt;""</formula>
    </cfRule>
    <cfRule type="expression" dxfId="7077" priority="1405">
      <formula>#REF!&lt;&gt;""</formula>
    </cfRule>
    <cfRule type="expression" dxfId="7076" priority="1406">
      <formula>#REF!&lt;&gt;""</formula>
    </cfRule>
    <cfRule type="expression" dxfId="7075" priority="1407">
      <formula>#REF!&lt;&gt;""</formula>
    </cfRule>
    <cfRule type="expression" dxfId="7074" priority="1408">
      <formula>#REF!&lt;&gt;""</formula>
    </cfRule>
    <cfRule type="expression" dxfId="7073" priority="1409">
      <formula>#REF!&lt;&gt;""</formula>
    </cfRule>
    <cfRule type="expression" dxfId="7072" priority="1410">
      <formula>#REF!&lt;&gt;""</formula>
    </cfRule>
  </conditionalFormatting>
  <conditionalFormatting sqref="F268">
    <cfRule type="expression" dxfId="7071" priority="1386">
      <formula>#REF!&lt;&gt;""</formula>
    </cfRule>
    <cfRule type="expression" dxfId="7070" priority="1387">
      <formula>#REF!&lt;&gt;""</formula>
    </cfRule>
    <cfRule type="expression" dxfId="7069" priority="1388">
      <formula>#REF!&lt;&gt;""</formula>
    </cfRule>
    <cfRule type="expression" dxfId="7068" priority="1389">
      <formula>#REF!&lt;&gt;""</formula>
    </cfRule>
    <cfRule type="expression" dxfId="7067" priority="1390">
      <formula>#REF!&lt;&gt;""</formula>
    </cfRule>
    <cfRule type="expression" dxfId="7066" priority="1391">
      <formula>#REF!&lt;&gt;""</formula>
    </cfRule>
    <cfRule type="expression" dxfId="7065" priority="1392">
      <formula>#REF!&lt;&gt;""</formula>
    </cfRule>
    <cfRule type="expression" dxfId="7064" priority="1393">
      <formula>#REF!&lt;&gt;""</formula>
    </cfRule>
    <cfRule type="expression" dxfId="7063" priority="1394">
      <formula>#REF!&lt;&gt;""</formula>
    </cfRule>
    <cfRule type="expression" dxfId="7062" priority="1395">
      <formula>#REF!&lt;&gt;""</formula>
    </cfRule>
    <cfRule type="expression" dxfId="7061" priority="1396">
      <formula>#REF!&lt;&gt;""</formula>
    </cfRule>
    <cfRule type="expression" dxfId="7060" priority="1397">
      <formula>#REF!&lt;&gt;""</formula>
    </cfRule>
  </conditionalFormatting>
  <conditionalFormatting sqref="F269">
    <cfRule type="expression" dxfId="7059" priority="1373">
      <formula>#REF!&lt;&gt;""</formula>
    </cfRule>
    <cfRule type="expression" dxfId="7058" priority="1374">
      <formula>#REF!&lt;&gt;""</formula>
    </cfRule>
    <cfRule type="expression" dxfId="7057" priority="1375">
      <formula>#REF!&lt;&gt;""</formula>
    </cfRule>
    <cfRule type="expression" dxfId="7056" priority="1376">
      <formula>#REF!&lt;&gt;""</formula>
    </cfRule>
    <cfRule type="expression" dxfId="7055" priority="1377">
      <formula>#REF!&lt;&gt;""</formula>
    </cfRule>
    <cfRule type="expression" dxfId="7054" priority="1378">
      <formula>#REF!&lt;&gt;""</formula>
    </cfRule>
    <cfRule type="expression" dxfId="7053" priority="1379">
      <formula>#REF!&lt;&gt;""</formula>
    </cfRule>
    <cfRule type="expression" dxfId="7052" priority="1380">
      <formula>#REF!&lt;&gt;""</formula>
    </cfRule>
    <cfRule type="expression" dxfId="7051" priority="1381">
      <formula>#REF!&lt;&gt;""</formula>
    </cfRule>
    <cfRule type="expression" dxfId="7050" priority="1382">
      <formula>#REF!&lt;&gt;""</formula>
    </cfRule>
    <cfRule type="expression" dxfId="7049" priority="1383">
      <formula>#REF!&lt;&gt;""</formula>
    </cfRule>
    <cfRule type="expression" dxfId="7048" priority="1384">
      <formula>#REF!&lt;&gt;""</formula>
    </cfRule>
  </conditionalFormatting>
  <conditionalFormatting sqref="F270">
    <cfRule type="expression" dxfId="7047" priority="1360">
      <formula>#REF!&lt;&gt;""</formula>
    </cfRule>
    <cfRule type="expression" dxfId="7046" priority="1361">
      <formula>#REF!&lt;&gt;""</formula>
    </cfRule>
    <cfRule type="expression" dxfId="7045" priority="1362">
      <formula>#REF!&lt;&gt;""</formula>
    </cfRule>
    <cfRule type="expression" dxfId="7044" priority="1363">
      <formula>#REF!&lt;&gt;""</formula>
    </cfRule>
    <cfRule type="expression" dxfId="7043" priority="1364">
      <formula>#REF!&lt;&gt;""</formula>
    </cfRule>
    <cfRule type="expression" dxfId="7042" priority="1365">
      <formula>#REF!&lt;&gt;""</formula>
    </cfRule>
    <cfRule type="expression" dxfId="7041" priority="1366">
      <formula>#REF!&lt;&gt;""</formula>
    </cfRule>
    <cfRule type="expression" dxfId="7040" priority="1367">
      <formula>#REF!&lt;&gt;""</formula>
    </cfRule>
    <cfRule type="expression" dxfId="7039" priority="1368">
      <formula>#REF!&lt;&gt;""</formula>
    </cfRule>
    <cfRule type="expression" dxfId="7038" priority="1369">
      <formula>#REF!&lt;&gt;""</formula>
    </cfRule>
    <cfRule type="expression" dxfId="7037" priority="1370">
      <formula>#REF!&lt;&gt;""</formula>
    </cfRule>
    <cfRule type="expression" dxfId="7036" priority="1371">
      <formula>#REF!&lt;&gt;""</formula>
    </cfRule>
  </conditionalFormatting>
  <conditionalFormatting sqref="F271">
    <cfRule type="expression" dxfId="7035" priority="1347">
      <formula>#REF!&lt;&gt;""</formula>
    </cfRule>
    <cfRule type="expression" dxfId="7034" priority="1348">
      <formula>#REF!&lt;&gt;""</formula>
    </cfRule>
    <cfRule type="expression" dxfId="7033" priority="1349">
      <formula>#REF!&lt;&gt;""</formula>
    </cfRule>
    <cfRule type="expression" dxfId="7032" priority="1350">
      <formula>#REF!&lt;&gt;""</formula>
    </cfRule>
    <cfRule type="expression" dxfId="7031" priority="1351">
      <formula>#REF!&lt;&gt;""</formula>
    </cfRule>
    <cfRule type="expression" dxfId="7030" priority="1352">
      <formula>#REF!&lt;&gt;""</formula>
    </cfRule>
    <cfRule type="expression" dxfId="7029" priority="1353">
      <formula>#REF!&lt;&gt;""</formula>
    </cfRule>
    <cfRule type="expression" dxfId="7028" priority="1354">
      <formula>#REF!&lt;&gt;""</formula>
    </cfRule>
    <cfRule type="expression" dxfId="7027" priority="1355">
      <formula>#REF!&lt;&gt;""</formula>
    </cfRule>
    <cfRule type="expression" dxfId="7026" priority="1356">
      <formula>#REF!&lt;&gt;""</formula>
    </cfRule>
    <cfRule type="expression" dxfId="7025" priority="1357">
      <formula>#REF!&lt;&gt;""</formula>
    </cfRule>
    <cfRule type="expression" dxfId="7024" priority="1358">
      <formula>#REF!&lt;&gt;""</formula>
    </cfRule>
  </conditionalFormatting>
  <conditionalFormatting sqref="F272">
    <cfRule type="expression" dxfId="7023" priority="1334">
      <formula>#REF!&lt;&gt;""</formula>
    </cfRule>
    <cfRule type="expression" dxfId="7022" priority="1335">
      <formula>#REF!&lt;&gt;""</formula>
    </cfRule>
    <cfRule type="expression" dxfId="7021" priority="1336">
      <formula>#REF!&lt;&gt;""</formula>
    </cfRule>
    <cfRule type="expression" dxfId="7020" priority="1337">
      <formula>#REF!&lt;&gt;""</formula>
    </cfRule>
    <cfRule type="expression" dxfId="7019" priority="1338">
      <formula>#REF!&lt;&gt;""</formula>
    </cfRule>
    <cfRule type="expression" dxfId="7018" priority="1339">
      <formula>#REF!&lt;&gt;""</formula>
    </cfRule>
    <cfRule type="expression" dxfId="7017" priority="1340">
      <formula>#REF!&lt;&gt;""</formula>
    </cfRule>
    <cfRule type="expression" dxfId="7016" priority="1341">
      <formula>#REF!&lt;&gt;""</formula>
    </cfRule>
    <cfRule type="expression" dxfId="7015" priority="1342">
      <formula>#REF!&lt;&gt;""</formula>
    </cfRule>
    <cfRule type="expression" dxfId="7014" priority="1343">
      <formula>#REF!&lt;&gt;""</formula>
    </cfRule>
    <cfRule type="expression" dxfId="7013" priority="1344">
      <formula>#REF!&lt;&gt;""</formula>
    </cfRule>
    <cfRule type="expression" dxfId="7012" priority="1345">
      <formula>#REF!&lt;&gt;""</formula>
    </cfRule>
  </conditionalFormatting>
  <conditionalFormatting sqref="F273">
    <cfRule type="expression" dxfId="7011" priority="1321">
      <formula>#REF!&lt;&gt;""</formula>
    </cfRule>
    <cfRule type="expression" dxfId="7010" priority="1322">
      <formula>#REF!&lt;&gt;""</formula>
    </cfRule>
    <cfRule type="expression" dxfId="7009" priority="1323">
      <formula>#REF!&lt;&gt;""</formula>
    </cfRule>
    <cfRule type="expression" dxfId="7008" priority="1324">
      <formula>#REF!&lt;&gt;""</formula>
    </cfRule>
    <cfRule type="expression" dxfId="7007" priority="1325">
      <formula>#REF!&lt;&gt;""</formula>
    </cfRule>
    <cfRule type="expression" dxfId="7006" priority="1326">
      <formula>#REF!&lt;&gt;""</formula>
    </cfRule>
    <cfRule type="expression" dxfId="7005" priority="1327">
      <formula>#REF!&lt;&gt;""</formula>
    </cfRule>
    <cfRule type="expression" dxfId="7004" priority="1328">
      <formula>#REF!&lt;&gt;""</formula>
    </cfRule>
    <cfRule type="expression" dxfId="7003" priority="1329">
      <formula>#REF!&lt;&gt;""</formula>
    </cfRule>
    <cfRule type="expression" dxfId="7002" priority="1330">
      <formula>#REF!&lt;&gt;""</formula>
    </cfRule>
    <cfRule type="expression" dxfId="7001" priority="1331">
      <formula>#REF!&lt;&gt;""</formula>
    </cfRule>
    <cfRule type="expression" dxfId="7000" priority="1332">
      <formula>#REF!&lt;&gt;""</formula>
    </cfRule>
  </conditionalFormatting>
  <conditionalFormatting sqref="F274">
    <cfRule type="expression" dxfId="6999" priority="1308">
      <formula>#REF!&lt;&gt;""</formula>
    </cfRule>
    <cfRule type="expression" dxfId="6998" priority="1309">
      <formula>#REF!&lt;&gt;""</formula>
    </cfRule>
    <cfRule type="expression" dxfId="6997" priority="1310">
      <formula>#REF!&lt;&gt;""</formula>
    </cfRule>
    <cfRule type="expression" dxfId="6996" priority="1311">
      <formula>#REF!&lt;&gt;""</formula>
    </cfRule>
    <cfRule type="expression" dxfId="6995" priority="1312">
      <formula>#REF!&lt;&gt;""</formula>
    </cfRule>
    <cfRule type="expression" dxfId="6994" priority="1313">
      <formula>#REF!&lt;&gt;""</formula>
    </cfRule>
    <cfRule type="expression" dxfId="6993" priority="1314">
      <formula>#REF!&lt;&gt;""</formula>
    </cfRule>
    <cfRule type="expression" dxfId="6992" priority="1315">
      <formula>#REF!&lt;&gt;""</formula>
    </cfRule>
    <cfRule type="expression" dxfId="6991" priority="1316">
      <formula>#REF!&lt;&gt;""</formula>
    </cfRule>
    <cfRule type="expression" dxfId="6990" priority="1317">
      <formula>#REF!&lt;&gt;""</formula>
    </cfRule>
    <cfRule type="expression" dxfId="6989" priority="1318">
      <formula>#REF!&lt;&gt;""</formula>
    </cfRule>
    <cfRule type="expression" dxfId="6988" priority="1319">
      <formula>#REF!&lt;&gt;""</formula>
    </cfRule>
  </conditionalFormatting>
  <conditionalFormatting sqref="F275">
    <cfRule type="expression" dxfId="6987" priority="1295">
      <formula>#REF!&lt;&gt;""</formula>
    </cfRule>
    <cfRule type="expression" dxfId="6986" priority="1296">
      <formula>#REF!&lt;&gt;""</formula>
    </cfRule>
    <cfRule type="expression" dxfId="6985" priority="1297">
      <formula>#REF!&lt;&gt;""</formula>
    </cfRule>
    <cfRule type="expression" dxfId="6984" priority="1298">
      <formula>#REF!&lt;&gt;""</formula>
    </cfRule>
    <cfRule type="expression" dxfId="6983" priority="1299">
      <formula>#REF!&lt;&gt;""</formula>
    </cfRule>
    <cfRule type="expression" dxfId="6982" priority="1300">
      <formula>#REF!&lt;&gt;""</formula>
    </cfRule>
    <cfRule type="expression" dxfId="6981" priority="1301">
      <formula>#REF!&lt;&gt;""</formula>
    </cfRule>
    <cfRule type="expression" dxfId="6980" priority="1302">
      <formula>#REF!&lt;&gt;""</formula>
    </cfRule>
    <cfRule type="expression" dxfId="6979" priority="1303">
      <formula>#REF!&lt;&gt;""</formula>
    </cfRule>
    <cfRule type="expression" dxfId="6978" priority="1304">
      <formula>#REF!&lt;&gt;""</formula>
    </cfRule>
    <cfRule type="expression" dxfId="6977" priority="1305">
      <formula>#REF!&lt;&gt;""</formula>
    </cfRule>
    <cfRule type="expression" dxfId="6976" priority="1306">
      <formula>#REF!&lt;&gt;""</formula>
    </cfRule>
  </conditionalFormatting>
  <conditionalFormatting sqref="F276">
    <cfRule type="expression" dxfId="6975" priority="1282">
      <formula>#REF!&lt;&gt;""</formula>
    </cfRule>
    <cfRule type="expression" dxfId="6974" priority="1283">
      <formula>#REF!&lt;&gt;""</formula>
    </cfRule>
    <cfRule type="expression" dxfId="6973" priority="1284">
      <formula>#REF!&lt;&gt;""</formula>
    </cfRule>
    <cfRule type="expression" dxfId="6972" priority="1285">
      <formula>#REF!&lt;&gt;""</formula>
    </cfRule>
    <cfRule type="expression" dxfId="6971" priority="1286">
      <formula>#REF!&lt;&gt;""</formula>
    </cfRule>
    <cfRule type="expression" dxfId="6970" priority="1287">
      <formula>#REF!&lt;&gt;""</formula>
    </cfRule>
    <cfRule type="expression" dxfId="6969" priority="1288">
      <formula>#REF!&lt;&gt;""</formula>
    </cfRule>
    <cfRule type="expression" dxfId="6968" priority="1289">
      <formula>#REF!&lt;&gt;""</formula>
    </cfRule>
    <cfRule type="expression" dxfId="6967" priority="1290">
      <formula>#REF!&lt;&gt;""</formula>
    </cfRule>
    <cfRule type="expression" dxfId="6966" priority="1291">
      <formula>#REF!&lt;&gt;""</formula>
    </cfRule>
    <cfRule type="expression" dxfId="6965" priority="1292">
      <formula>#REF!&lt;&gt;""</formula>
    </cfRule>
    <cfRule type="expression" dxfId="6964" priority="1293">
      <formula>#REF!&lt;&gt;""</formula>
    </cfRule>
  </conditionalFormatting>
  <conditionalFormatting sqref="F277">
    <cfRule type="expression" dxfId="6963" priority="1269">
      <formula>#REF!&lt;&gt;""</formula>
    </cfRule>
    <cfRule type="expression" dxfId="6962" priority="1270">
      <formula>#REF!&lt;&gt;""</formula>
    </cfRule>
    <cfRule type="expression" dxfId="6961" priority="1271">
      <formula>#REF!&lt;&gt;""</formula>
    </cfRule>
    <cfRule type="expression" dxfId="6960" priority="1272">
      <formula>#REF!&lt;&gt;""</formula>
    </cfRule>
    <cfRule type="expression" dxfId="6959" priority="1273">
      <formula>#REF!&lt;&gt;""</formula>
    </cfRule>
    <cfRule type="expression" dxfId="6958" priority="1274">
      <formula>#REF!&lt;&gt;""</formula>
    </cfRule>
    <cfRule type="expression" dxfId="6957" priority="1275">
      <formula>#REF!&lt;&gt;""</formula>
    </cfRule>
    <cfRule type="expression" dxfId="6956" priority="1276">
      <formula>#REF!&lt;&gt;""</formula>
    </cfRule>
    <cfRule type="expression" dxfId="6955" priority="1277">
      <formula>#REF!&lt;&gt;""</formula>
    </cfRule>
    <cfRule type="expression" dxfId="6954" priority="1278">
      <formula>#REF!&lt;&gt;""</formula>
    </cfRule>
    <cfRule type="expression" dxfId="6953" priority="1279">
      <formula>#REF!&lt;&gt;""</formula>
    </cfRule>
    <cfRule type="expression" dxfId="6952" priority="1280">
      <formula>#REF!&lt;&gt;""</formula>
    </cfRule>
  </conditionalFormatting>
  <conditionalFormatting sqref="F278">
    <cfRule type="expression" dxfId="6951" priority="1256">
      <formula>#REF!&lt;&gt;""</formula>
    </cfRule>
    <cfRule type="expression" dxfId="6950" priority="1257">
      <formula>#REF!&lt;&gt;""</formula>
    </cfRule>
    <cfRule type="expression" dxfId="6949" priority="1258">
      <formula>#REF!&lt;&gt;""</formula>
    </cfRule>
    <cfRule type="expression" dxfId="6948" priority="1259">
      <formula>#REF!&lt;&gt;""</formula>
    </cfRule>
    <cfRule type="expression" dxfId="6947" priority="1260">
      <formula>#REF!&lt;&gt;""</formula>
    </cfRule>
    <cfRule type="expression" dxfId="6946" priority="1261">
      <formula>#REF!&lt;&gt;""</formula>
    </cfRule>
    <cfRule type="expression" dxfId="6945" priority="1262">
      <formula>#REF!&lt;&gt;""</formula>
    </cfRule>
    <cfRule type="expression" dxfId="6944" priority="1263">
      <formula>#REF!&lt;&gt;""</formula>
    </cfRule>
    <cfRule type="expression" dxfId="6943" priority="1264">
      <formula>#REF!&lt;&gt;""</formula>
    </cfRule>
    <cfRule type="expression" dxfId="6942" priority="1265">
      <formula>#REF!&lt;&gt;""</formula>
    </cfRule>
    <cfRule type="expression" dxfId="6941" priority="1266">
      <formula>#REF!&lt;&gt;""</formula>
    </cfRule>
    <cfRule type="expression" dxfId="6940" priority="1267">
      <formula>#REF!&lt;&gt;""</formula>
    </cfRule>
  </conditionalFormatting>
  <conditionalFormatting sqref="F300">
    <cfRule type="expression" dxfId="6939" priority="498">
      <formula>#REF!&lt;&gt;""</formula>
    </cfRule>
    <cfRule type="expression" dxfId="6938" priority="499">
      <formula>#REF!&lt;&gt;""</formula>
    </cfRule>
    <cfRule type="expression" dxfId="6937" priority="500">
      <formula>#REF!&lt;&gt;""</formula>
    </cfRule>
    <cfRule type="expression" dxfId="6936" priority="501">
      <formula>#REF!&lt;&gt;""</formula>
    </cfRule>
    <cfRule type="expression" dxfId="6935" priority="502">
      <formula>#REF!&lt;&gt;""</formula>
    </cfRule>
    <cfRule type="expression" dxfId="6934" priority="503">
      <formula>#REF!&lt;&gt;""</formula>
    </cfRule>
    <cfRule type="expression" dxfId="6933" priority="504">
      <formula>#REF!&lt;&gt;""</formula>
    </cfRule>
    <cfRule type="expression" dxfId="6932" priority="505">
      <formula>#REF!&lt;&gt;""</formula>
    </cfRule>
    <cfRule type="expression" dxfId="6931" priority="506">
      <formula>#REF!&lt;&gt;""</formula>
    </cfRule>
    <cfRule type="expression" dxfId="6930" priority="507">
      <formula>#REF!&lt;&gt;""</formula>
    </cfRule>
    <cfRule type="expression" dxfId="6929" priority="508">
      <formula>#REF!&lt;&gt;""</formula>
    </cfRule>
    <cfRule type="expression" dxfId="6928" priority="509">
      <formula>#REF!&lt;&gt;""</formula>
    </cfRule>
  </conditionalFormatting>
  <conditionalFormatting sqref="F313">
    <cfRule type="expression" dxfId="6927" priority="342">
      <formula>#REF!&lt;&gt;""</formula>
    </cfRule>
    <cfRule type="expression" dxfId="6926" priority="343">
      <formula>#REF!&lt;&gt;""</formula>
    </cfRule>
    <cfRule type="expression" dxfId="6925" priority="344">
      <formula>#REF!&lt;&gt;""</formula>
    </cfRule>
    <cfRule type="expression" dxfId="6924" priority="345">
      <formula>#REF!&lt;&gt;""</formula>
    </cfRule>
    <cfRule type="expression" dxfId="6923" priority="346">
      <formula>#REF!&lt;&gt;""</formula>
    </cfRule>
    <cfRule type="expression" dxfId="6922" priority="347">
      <formula>#REF!&lt;&gt;""</formula>
    </cfRule>
    <cfRule type="expression" dxfId="6921" priority="348">
      <formula>#REF!&lt;&gt;""</formula>
    </cfRule>
    <cfRule type="expression" dxfId="6920" priority="349">
      <formula>#REF!&lt;&gt;""</formula>
    </cfRule>
    <cfRule type="expression" dxfId="6919" priority="350">
      <formula>#REF!&lt;&gt;""</formula>
    </cfRule>
    <cfRule type="expression" dxfId="6918" priority="351">
      <formula>#REF!&lt;&gt;""</formula>
    </cfRule>
    <cfRule type="expression" dxfId="6917" priority="352">
      <formula>#REF!&lt;&gt;""</formula>
    </cfRule>
    <cfRule type="expression" dxfId="6916" priority="353">
      <formula>#REF!&lt;&gt;""</formula>
    </cfRule>
  </conditionalFormatting>
  <conditionalFormatting sqref="F326">
    <cfRule type="expression" dxfId="6915" priority="186">
      <formula>#REF!&lt;&gt;""</formula>
    </cfRule>
    <cfRule type="expression" dxfId="6914" priority="187">
      <formula>#REF!&lt;&gt;""</formula>
    </cfRule>
    <cfRule type="expression" dxfId="6913" priority="188">
      <formula>#REF!&lt;&gt;""</formula>
    </cfRule>
    <cfRule type="expression" dxfId="6912" priority="189">
      <formula>#REF!&lt;&gt;""</formula>
    </cfRule>
    <cfRule type="expression" dxfId="6911" priority="190">
      <formula>#REF!&lt;&gt;""</formula>
    </cfRule>
    <cfRule type="expression" dxfId="6910" priority="191">
      <formula>#REF!&lt;&gt;""</formula>
    </cfRule>
    <cfRule type="expression" dxfId="6909" priority="192">
      <formula>#REF!&lt;&gt;""</formula>
    </cfRule>
    <cfRule type="expression" dxfId="6908" priority="193">
      <formula>#REF!&lt;&gt;""</formula>
    </cfRule>
    <cfRule type="expression" dxfId="6907" priority="194">
      <formula>#REF!&lt;&gt;""</formula>
    </cfRule>
    <cfRule type="expression" dxfId="6906" priority="195">
      <formula>#REF!&lt;&gt;""</formula>
    </cfRule>
    <cfRule type="expression" dxfId="6905" priority="196">
      <formula>#REF!&lt;&gt;""</formula>
    </cfRule>
    <cfRule type="expression" dxfId="6904" priority="197">
      <formula>#REF!&lt;&gt;""</formula>
    </cfRule>
  </conditionalFormatting>
  <conditionalFormatting sqref="F339">
    <cfRule type="expression" dxfId="6903" priority="30">
      <formula>#REF!&lt;&gt;""</formula>
    </cfRule>
    <cfRule type="expression" dxfId="6902" priority="31">
      <formula>#REF!&lt;&gt;""</formula>
    </cfRule>
    <cfRule type="expression" dxfId="6901" priority="32">
      <formula>#REF!&lt;&gt;""</formula>
    </cfRule>
    <cfRule type="expression" dxfId="6900" priority="33">
      <formula>#REF!&lt;&gt;""</formula>
    </cfRule>
    <cfRule type="expression" dxfId="6899" priority="34">
      <formula>#REF!&lt;&gt;""</formula>
    </cfRule>
    <cfRule type="expression" dxfId="6898" priority="35">
      <formula>#REF!&lt;&gt;""</formula>
    </cfRule>
    <cfRule type="expression" dxfId="6897" priority="36">
      <formula>#REF!&lt;&gt;""</formula>
    </cfRule>
    <cfRule type="expression" dxfId="6896" priority="37">
      <formula>#REF!&lt;&gt;""</formula>
    </cfRule>
    <cfRule type="expression" dxfId="6895" priority="38">
      <formula>#REF!&lt;&gt;""</formula>
    </cfRule>
    <cfRule type="expression" dxfId="6894" priority="39">
      <formula>#REF!&lt;&gt;""</formula>
    </cfRule>
    <cfRule type="expression" dxfId="6893" priority="40">
      <formula>#REF!&lt;&gt;""</formula>
    </cfRule>
    <cfRule type="expression" dxfId="6892" priority="41">
      <formula>#REF!&lt;&gt;""</formula>
    </cfRule>
  </conditionalFormatting>
  <conditionalFormatting sqref="F342:G342 F216:G216">
    <cfRule type="expression" dxfId="6891" priority="5388" stopIfTrue="1">
      <formula>AND($F216&lt;&gt;0,SUM(#REF!)&lt;&gt;0)</formula>
    </cfRule>
  </conditionalFormatting>
  <conditionalFormatting sqref="F341">
    <cfRule type="expression" dxfId="6890" priority="6">
      <formula>#REF!&lt;&gt;""</formula>
    </cfRule>
    <cfRule type="expression" dxfId="6889" priority="7">
      <formula>#REF!&lt;&gt;""</formula>
    </cfRule>
    <cfRule type="expression" dxfId="6888" priority="8">
      <formula>#REF!&lt;&gt;""</formula>
    </cfRule>
    <cfRule type="expression" dxfId="6887" priority="9">
      <formula>#REF!&lt;&gt;""</formula>
    </cfRule>
    <cfRule type="expression" dxfId="6886" priority="10">
      <formula>#REF!&lt;&gt;""</formula>
    </cfRule>
    <cfRule type="expression" dxfId="6885" priority="11">
      <formula>#REF!&lt;&gt;""</formula>
    </cfRule>
    <cfRule type="expression" dxfId="6884" priority="12">
      <formula>#REF!&lt;&gt;""</formula>
    </cfRule>
    <cfRule type="expression" dxfId="6883" priority="13">
      <formula>#REF!&lt;&gt;""</formula>
    </cfRule>
    <cfRule type="expression" dxfId="6882" priority="14">
      <formula>#REF!&lt;&gt;""</formula>
    </cfRule>
    <cfRule type="expression" dxfId="6881" priority="15">
      <formula>#REF!&lt;&gt;""</formula>
    </cfRule>
    <cfRule type="expression" dxfId="6880" priority="16">
      <formula>#REF!&lt;&gt;""</formula>
    </cfRule>
    <cfRule type="expression" dxfId="6879" priority="17">
      <formula>#REF!&lt;&gt;""</formula>
    </cfRule>
  </conditionalFormatting>
  <conditionalFormatting sqref="F292">
    <cfRule type="expression" dxfId="6878" priority="594">
      <formula>#REF!&lt;&gt;""</formula>
    </cfRule>
    <cfRule type="expression" dxfId="6877" priority="595">
      <formula>#REF!&lt;&gt;""</formula>
    </cfRule>
    <cfRule type="expression" dxfId="6876" priority="596">
      <formula>#REF!&lt;&gt;""</formula>
    </cfRule>
    <cfRule type="expression" dxfId="6875" priority="597">
      <formula>#REF!&lt;&gt;""</formula>
    </cfRule>
    <cfRule type="expression" dxfId="6874" priority="598">
      <formula>#REF!&lt;&gt;""</formula>
    </cfRule>
    <cfRule type="expression" dxfId="6873" priority="599">
      <formula>#REF!&lt;&gt;""</formula>
    </cfRule>
    <cfRule type="expression" dxfId="6872" priority="600">
      <formula>#REF!&lt;&gt;""</formula>
    </cfRule>
    <cfRule type="expression" dxfId="6871" priority="601">
      <formula>#REF!&lt;&gt;""</formula>
    </cfRule>
    <cfRule type="expression" dxfId="6870" priority="602">
      <formula>#REF!&lt;&gt;""</formula>
    </cfRule>
    <cfRule type="expression" dxfId="6869" priority="603">
      <formula>#REF!&lt;&gt;""</formula>
    </cfRule>
    <cfRule type="expression" dxfId="6868" priority="604">
      <formula>#REF!&lt;&gt;""</formula>
    </cfRule>
    <cfRule type="expression" dxfId="6867" priority="605">
      <formula>#REF!&lt;&gt;""</formula>
    </cfRule>
  </conditionalFormatting>
  <conditionalFormatting sqref="F293">
    <cfRule type="expression" dxfId="6866" priority="582">
      <formula>#REF!&lt;&gt;""</formula>
    </cfRule>
    <cfRule type="expression" dxfId="6865" priority="583">
      <formula>#REF!&lt;&gt;""</formula>
    </cfRule>
    <cfRule type="expression" dxfId="6864" priority="584">
      <formula>#REF!&lt;&gt;""</formula>
    </cfRule>
    <cfRule type="expression" dxfId="6863" priority="585">
      <formula>#REF!&lt;&gt;""</formula>
    </cfRule>
    <cfRule type="expression" dxfId="6862" priority="586">
      <formula>#REF!&lt;&gt;""</formula>
    </cfRule>
    <cfRule type="expression" dxfId="6861" priority="587">
      <formula>#REF!&lt;&gt;""</formula>
    </cfRule>
    <cfRule type="expression" dxfId="6860" priority="588">
      <formula>#REF!&lt;&gt;""</formula>
    </cfRule>
    <cfRule type="expression" dxfId="6859" priority="589">
      <formula>#REF!&lt;&gt;""</formula>
    </cfRule>
    <cfRule type="expression" dxfId="6858" priority="590">
      <formula>#REF!&lt;&gt;""</formula>
    </cfRule>
    <cfRule type="expression" dxfId="6857" priority="591">
      <formula>#REF!&lt;&gt;""</formula>
    </cfRule>
    <cfRule type="expression" dxfId="6856" priority="592">
      <formula>#REF!&lt;&gt;""</formula>
    </cfRule>
    <cfRule type="expression" dxfId="6855" priority="593">
      <formula>#REF!&lt;&gt;""</formula>
    </cfRule>
  </conditionalFormatting>
  <conditionalFormatting sqref="F294">
    <cfRule type="expression" dxfId="6854" priority="570">
      <formula>#REF!&lt;&gt;""</formula>
    </cfRule>
    <cfRule type="expression" dxfId="6853" priority="571">
      <formula>#REF!&lt;&gt;""</formula>
    </cfRule>
    <cfRule type="expression" dxfId="6852" priority="572">
      <formula>#REF!&lt;&gt;""</formula>
    </cfRule>
    <cfRule type="expression" dxfId="6851" priority="573">
      <formula>#REF!&lt;&gt;""</formula>
    </cfRule>
    <cfRule type="expression" dxfId="6850" priority="574">
      <formula>#REF!&lt;&gt;""</formula>
    </cfRule>
    <cfRule type="expression" dxfId="6849" priority="575">
      <formula>#REF!&lt;&gt;""</formula>
    </cfRule>
    <cfRule type="expression" dxfId="6848" priority="576">
      <formula>#REF!&lt;&gt;""</formula>
    </cfRule>
    <cfRule type="expression" dxfId="6847" priority="577">
      <formula>#REF!&lt;&gt;""</formula>
    </cfRule>
    <cfRule type="expression" dxfId="6846" priority="578">
      <formula>#REF!&lt;&gt;""</formula>
    </cfRule>
    <cfRule type="expression" dxfId="6845" priority="579">
      <formula>#REF!&lt;&gt;""</formula>
    </cfRule>
    <cfRule type="expression" dxfId="6844" priority="580">
      <formula>#REF!&lt;&gt;""</formula>
    </cfRule>
    <cfRule type="expression" dxfId="6843" priority="581">
      <formula>#REF!&lt;&gt;""</formula>
    </cfRule>
  </conditionalFormatting>
  <conditionalFormatting sqref="F295">
    <cfRule type="expression" dxfId="6842" priority="558">
      <formula>#REF!&lt;&gt;""</formula>
    </cfRule>
    <cfRule type="expression" dxfId="6841" priority="559">
      <formula>#REF!&lt;&gt;""</formula>
    </cfRule>
    <cfRule type="expression" dxfId="6840" priority="560">
      <formula>#REF!&lt;&gt;""</formula>
    </cfRule>
    <cfRule type="expression" dxfId="6839" priority="561">
      <formula>#REF!&lt;&gt;""</formula>
    </cfRule>
    <cfRule type="expression" dxfId="6838" priority="562">
      <formula>#REF!&lt;&gt;""</formula>
    </cfRule>
    <cfRule type="expression" dxfId="6837" priority="563">
      <formula>#REF!&lt;&gt;""</formula>
    </cfRule>
    <cfRule type="expression" dxfId="6836" priority="564">
      <formula>#REF!&lt;&gt;""</formula>
    </cfRule>
    <cfRule type="expression" dxfId="6835" priority="565">
      <formula>#REF!&lt;&gt;""</formula>
    </cfRule>
    <cfRule type="expression" dxfId="6834" priority="566">
      <formula>#REF!&lt;&gt;""</formula>
    </cfRule>
    <cfRule type="expression" dxfId="6833" priority="567">
      <formula>#REF!&lt;&gt;""</formula>
    </cfRule>
    <cfRule type="expression" dxfId="6832" priority="568">
      <formula>#REF!&lt;&gt;""</formula>
    </cfRule>
    <cfRule type="expression" dxfId="6831" priority="569">
      <formula>#REF!&lt;&gt;""</formula>
    </cfRule>
  </conditionalFormatting>
  <conditionalFormatting sqref="F296">
    <cfRule type="expression" dxfId="6830" priority="546">
      <formula>#REF!&lt;&gt;""</formula>
    </cfRule>
    <cfRule type="expression" dxfId="6829" priority="547">
      <formula>#REF!&lt;&gt;""</formula>
    </cfRule>
    <cfRule type="expression" dxfId="6828" priority="548">
      <formula>#REF!&lt;&gt;""</formula>
    </cfRule>
    <cfRule type="expression" dxfId="6827" priority="549">
      <formula>#REF!&lt;&gt;""</formula>
    </cfRule>
    <cfRule type="expression" dxfId="6826" priority="550">
      <formula>#REF!&lt;&gt;""</formula>
    </cfRule>
    <cfRule type="expression" dxfId="6825" priority="551">
      <formula>#REF!&lt;&gt;""</formula>
    </cfRule>
    <cfRule type="expression" dxfId="6824" priority="552">
      <formula>#REF!&lt;&gt;""</formula>
    </cfRule>
    <cfRule type="expression" dxfId="6823" priority="553">
      <formula>#REF!&lt;&gt;""</formula>
    </cfRule>
    <cfRule type="expression" dxfId="6822" priority="554">
      <formula>#REF!&lt;&gt;""</formula>
    </cfRule>
    <cfRule type="expression" dxfId="6821" priority="555">
      <formula>#REF!&lt;&gt;""</formula>
    </cfRule>
    <cfRule type="expression" dxfId="6820" priority="556">
      <formula>#REF!&lt;&gt;""</formula>
    </cfRule>
    <cfRule type="expression" dxfId="6819" priority="557">
      <formula>#REF!&lt;&gt;""</formula>
    </cfRule>
  </conditionalFormatting>
  <conditionalFormatting sqref="F297">
    <cfRule type="expression" dxfId="6818" priority="534">
      <formula>#REF!&lt;&gt;""</formula>
    </cfRule>
    <cfRule type="expression" dxfId="6817" priority="535">
      <formula>#REF!&lt;&gt;""</formula>
    </cfRule>
    <cfRule type="expression" dxfId="6816" priority="536">
      <formula>#REF!&lt;&gt;""</formula>
    </cfRule>
    <cfRule type="expression" dxfId="6815" priority="537">
      <formula>#REF!&lt;&gt;""</formula>
    </cfRule>
    <cfRule type="expression" dxfId="6814" priority="538">
      <formula>#REF!&lt;&gt;""</formula>
    </cfRule>
    <cfRule type="expression" dxfId="6813" priority="539">
      <formula>#REF!&lt;&gt;""</formula>
    </cfRule>
    <cfRule type="expression" dxfId="6812" priority="540">
      <formula>#REF!&lt;&gt;""</formula>
    </cfRule>
    <cfRule type="expression" dxfId="6811" priority="541">
      <formula>#REF!&lt;&gt;""</formula>
    </cfRule>
    <cfRule type="expression" dxfId="6810" priority="542">
      <formula>#REF!&lt;&gt;""</formula>
    </cfRule>
    <cfRule type="expression" dxfId="6809" priority="543">
      <formula>#REF!&lt;&gt;""</formula>
    </cfRule>
    <cfRule type="expression" dxfId="6808" priority="544">
      <formula>#REF!&lt;&gt;""</formula>
    </cfRule>
    <cfRule type="expression" dxfId="6807" priority="545">
      <formula>#REF!&lt;&gt;""</formula>
    </cfRule>
  </conditionalFormatting>
  <conditionalFormatting sqref="F298">
    <cfRule type="expression" dxfId="6806" priority="522">
      <formula>#REF!&lt;&gt;""</formula>
    </cfRule>
    <cfRule type="expression" dxfId="6805" priority="523">
      <formula>#REF!&lt;&gt;""</formula>
    </cfRule>
    <cfRule type="expression" dxfId="6804" priority="524">
      <formula>#REF!&lt;&gt;""</formula>
    </cfRule>
    <cfRule type="expression" dxfId="6803" priority="525">
      <formula>#REF!&lt;&gt;""</formula>
    </cfRule>
    <cfRule type="expression" dxfId="6802" priority="526">
      <formula>#REF!&lt;&gt;""</formula>
    </cfRule>
    <cfRule type="expression" dxfId="6801" priority="527">
      <formula>#REF!&lt;&gt;""</formula>
    </cfRule>
    <cfRule type="expression" dxfId="6800" priority="528">
      <formula>#REF!&lt;&gt;""</formula>
    </cfRule>
    <cfRule type="expression" dxfId="6799" priority="529">
      <formula>#REF!&lt;&gt;""</formula>
    </cfRule>
    <cfRule type="expression" dxfId="6798" priority="530">
      <formula>#REF!&lt;&gt;""</formula>
    </cfRule>
    <cfRule type="expression" dxfId="6797" priority="531">
      <formula>#REF!&lt;&gt;""</formula>
    </cfRule>
    <cfRule type="expression" dxfId="6796" priority="532">
      <formula>#REF!&lt;&gt;""</formula>
    </cfRule>
    <cfRule type="expression" dxfId="6795" priority="533">
      <formula>#REF!&lt;&gt;""</formula>
    </cfRule>
  </conditionalFormatting>
  <conditionalFormatting sqref="F299">
    <cfRule type="expression" dxfId="6794" priority="510">
      <formula>#REF!&lt;&gt;""</formula>
    </cfRule>
    <cfRule type="expression" dxfId="6793" priority="511">
      <formula>#REF!&lt;&gt;""</formula>
    </cfRule>
    <cfRule type="expression" dxfId="6792" priority="512">
      <formula>#REF!&lt;&gt;""</formula>
    </cfRule>
    <cfRule type="expression" dxfId="6791" priority="513">
      <formula>#REF!&lt;&gt;""</formula>
    </cfRule>
    <cfRule type="expression" dxfId="6790" priority="514">
      <formula>#REF!&lt;&gt;""</formula>
    </cfRule>
    <cfRule type="expression" dxfId="6789" priority="515">
      <formula>#REF!&lt;&gt;""</formula>
    </cfRule>
    <cfRule type="expression" dxfId="6788" priority="516">
      <formula>#REF!&lt;&gt;""</formula>
    </cfRule>
    <cfRule type="expression" dxfId="6787" priority="517">
      <formula>#REF!&lt;&gt;""</formula>
    </cfRule>
    <cfRule type="expression" dxfId="6786" priority="518">
      <formula>#REF!&lt;&gt;""</formula>
    </cfRule>
    <cfRule type="expression" dxfId="6785" priority="519">
      <formula>#REF!&lt;&gt;""</formula>
    </cfRule>
    <cfRule type="expression" dxfId="6784" priority="520">
      <formula>#REF!&lt;&gt;""</formula>
    </cfRule>
    <cfRule type="expression" dxfId="6783" priority="521">
      <formula>#REF!&lt;&gt;""</formula>
    </cfRule>
  </conditionalFormatting>
  <conditionalFormatting sqref="F301">
    <cfRule type="expression" dxfId="6782" priority="486">
      <formula>#REF!&lt;&gt;""</formula>
    </cfRule>
    <cfRule type="expression" dxfId="6781" priority="487">
      <formula>#REF!&lt;&gt;""</formula>
    </cfRule>
    <cfRule type="expression" dxfId="6780" priority="488">
      <formula>#REF!&lt;&gt;""</formula>
    </cfRule>
    <cfRule type="expression" dxfId="6779" priority="489">
      <formula>#REF!&lt;&gt;""</formula>
    </cfRule>
    <cfRule type="expression" dxfId="6778" priority="490">
      <formula>#REF!&lt;&gt;""</formula>
    </cfRule>
    <cfRule type="expression" dxfId="6777" priority="491">
      <formula>#REF!&lt;&gt;""</formula>
    </cfRule>
    <cfRule type="expression" dxfId="6776" priority="492">
      <formula>#REF!&lt;&gt;""</formula>
    </cfRule>
    <cfRule type="expression" dxfId="6775" priority="493">
      <formula>#REF!&lt;&gt;""</formula>
    </cfRule>
    <cfRule type="expression" dxfId="6774" priority="494">
      <formula>#REF!&lt;&gt;""</formula>
    </cfRule>
    <cfRule type="expression" dxfId="6773" priority="495">
      <formula>#REF!&lt;&gt;""</formula>
    </cfRule>
    <cfRule type="expression" dxfId="6772" priority="496">
      <formula>#REF!&lt;&gt;""</formula>
    </cfRule>
    <cfRule type="expression" dxfId="6771" priority="497">
      <formula>#REF!&lt;&gt;""</formula>
    </cfRule>
  </conditionalFormatting>
  <conditionalFormatting sqref="F302">
    <cfRule type="expression" dxfId="6770" priority="474">
      <formula>#REF!&lt;&gt;""</formula>
    </cfRule>
    <cfRule type="expression" dxfId="6769" priority="475">
      <formula>#REF!&lt;&gt;""</formula>
    </cfRule>
    <cfRule type="expression" dxfId="6768" priority="476">
      <formula>#REF!&lt;&gt;""</formula>
    </cfRule>
    <cfRule type="expression" dxfId="6767" priority="477">
      <formula>#REF!&lt;&gt;""</formula>
    </cfRule>
    <cfRule type="expression" dxfId="6766" priority="478">
      <formula>#REF!&lt;&gt;""</formula>
    </cfRule>
    <cfRule type="expression" dxfId="6765" priority="479">
      <formula>#REF!&lt;&gt;""</formula>
    </cfRule>
    <cfRule type="expression" dxfId="6764" priority="480">
      <formula>#REF!&lt;&gt;""</formula>
    </cfRule>
    <cfRule type="expression" dxfId="6763" priority="481">
      <formula>#REF!&lt;&gt;""</formula>
    </cfRule>
    <cfRule type="expression" dxfId="6762" priority="482">
      <formula>#REF!&lt;&gt;""</formula>
    </cfRule>
    <cfRule type="expression" dxfId="6761" priority="483">
      <formula>#REF!&lt;&gt;""</formula>
    </cfRule>
    <cfRule type="expression" dxfId="6760" priority="484">
      <formula>#REF!&lt;&gt;""</formula>
    </cfRule>
    <cfRule type="expression" dxfId="6759" priority="485">
      <formula>#REF!&lt;&gt;""</formula>
    </cfRule>
  </conditionalFormatting>
  <conditionalFormatting sqref="F303">
    <cfRule type="expression" dxfId="6758" priority="462">
      <formula>#REF!&lt;&gt;""</formula>
    </cfRule>
    <cfRule type="expression" dxfId="6757" priority="463">
      <formula>#REF!&lt;&gt;""</formula>
    </cfRule>
    <cfRule type="expression" dxfId="6756" priority="464">
      <formula>#REF!&lt;&gt;""</formula>
    </cfRule>
    <cfRule type="expression" dxfId="6755" priority="465">
      <formula>#REF!&lt;&gt;""</formula>
    </cfRule>
    <cfRule type="expression" dxfId="6754" priority="466">
      <formula>#REF!&lt;&gt;""</formula>
    </cfRule>
    <cfRule type="expression" dxfId="6753" priority="467">
      <formula>#REF!&lt;&gt;""</formula>
    </cfRule>
    <cfRule type="expression" dxfId="6752" priority="468">
      <formula>#REF!&lt;&gt;""</formula>
    </cfRule>
    <cfRule type="expression" dxfId="6751" priority="469">
      <formula>#REF!&lt;&gt;""</formula>
    </cfRule>
    <cfRule type="expression" dxfId="6750" priority="470">
      <formula>#REF!&lt;&gt;""</formula>
    </cfRule>
    <cfRule type="expression" dxfId="6749" priority="471">
      <formula>#REF!&lt;&gt;""</formula>
    </cfRule>
    <cfRule type="expression" dxfId="6748" priority="472">
      <formula>#REF!&lt;&gt;""</formula>
    </cfRule>
    <cfRule type="expression" dxfId="6747" priority="473">
      <formula>#REF!&lt;&gt;""</formula>
    </cfRule>
  </conditionalFormatting>
  <conditionalFormatting sqref="F304">
    <cfRule type="expression" dxfId="6746" priority="450">
      <formula>#REF!&lt;&gt;""</formula>
    </cfRule>
    <cfRule type="expression" dxfId="6745" priority="451">
      <formula>#REF!&lt;&gt;""</formula>
    </cfRule>
    <cfRule type="expression" dxfId="6744" priority="452">
      <formula>#REF!&lt;&gt;""</formula>
    </cfRule>
    <cfRule type="expression" dxfId="6743" priority="453">
      <formula>#REF!&lt;&gt;""</formula>
    </cfRule>
    <cfRule type="expression" dxfId="6742" priority="454">
      <formula>#REF!&lt;&gt;""</formula>
    </cfRule>
    <cfRule type="expression" dxfId="6741" priority="455">
      <formula>#REF!&lt;&gt;""</formula>
    </cfRule>
    <cfRule type="expression" dxfId="6740" priority="456">
      <formula>#REF!&lt;&gt;""</formula>
    </cfRule>
    <cfRule type="expression" dxfId="6739" priority="457">
      <formula>#REF!&lt;&gt;""</formula>
    </cfRule>
    <cfRule type="expression" dxfId="6738" priority="458">
      <formula>#REF!&lt;&gt;""</formula>
    </cfRule>
    <cfRule type="expression" dxfId="6737" priority="459">
      <formula>#REF!&lt;&gt;""</formula>
    </cfRule>
    <cfRule type="expression" dxfId="6736" priority="460">
      <formula>#REF!&lt;&gt;""</formula>
    </cfRule>
    <cfRule type="expression" dxfId="6735" priority="461">
      <formula>#REF!&lt;&gt;""</formula>
    </cfRule>
  </conditionalFormatting>
  <conditionalFormatting sqref="F305">
    <cfRule type="expression" dxfId="6734" priority="438">
      <formula>#REF!&lt;&gt;""</formula>
    </cfRule>
    <cfRule type="expression" dxfId="6733" priority="439">
      <formula>#REF!&lt;&gt;""</formula>
    </cfRule>
    <cfRule type="expression" dxfId="6732" priority="440">
      <formula>#REF!&lt;&gt;""</formula>
    </cfRule>
    <cfRule type="expression" dxfId="6731" priority="441">
      <formula>#REF!&lt;&gt;""</formula>
    </cfRule>
    <cfRule type="expression" dxfId="6730" priority="442">
      <formula>#REF!&lt;&gt;""</formula>
    </cfRule>
    <cfRule type="expression" dxfId="6729" priority="443">
      <formula>#REF!&lt;&gt;""</formula>
    </cfRule>
    <cfRule type="expression" dxfId="6728" priority="444">
      <formula>#REF!&lt;&gt;""</formula>
    </cfRule>
    <cfRule type="expression" dxfId="6727" priority="445">
      <formula>#REF!&lt;&gt;""</formula>
    </cfRule>
    <cfRule type="expression" dxfId="6726" priority="446">
      <formula>#REF!&lt;&gt;""</formula>
    </cfRule>
    <cfRule type="expression" dxfId="6725" priority="447">
      <formula>#REF!&lt;&gt;""</formula>
    </cfRule>
    <cfRule type="expression" dxfId="6724" priority="448">
      <formula>#REF!&lt;&gt;""</formula>
    </cfRule>
    <cfRule type="expression" dxfId="6723" priority="449">
      <formula>#REF!&lt;&gt;""</formula>
    </cfRule>
  </conditionalFormatting>
  <conditionalFormatting sqref="F306">
    <cfRule type="expression" dxfId="6722" priority="426">
      <formula>#REF!&lt;&gt;""</formula>
    </cfRule>
    <cfRule type="expression" dxfId="6721" priority="427">
      <formula>#REF!&lt;&gt;""</formula>
    </cfRule>
    <cfRule type="expression" dxfId="6720" priority="428">
      <formula>#REF!&lt;&gt;""</formula>
    </cfRule>
    <cfRule type="expression" dxfId="6719" priority="429">
      <formula>#REF!&lt;&gt;""</formula>
    </cfRule>
    <cfRule type="expression" dxfId="6718" priority="430">
      <formula>#REF!&lt;&gt;""</formula>
    </cfRule>
    <cfRule type="expression" dxfId="6717" priority="431">
      <formula>#REF!&lt;&gt;""</formula>
    </cfRule>
    <cfRule type="expression" dxfId="6716" priority="432">
      <formula>#REF!&lt;&gt;""</formula>
    </cfRule>
    <cfRule type="expression" dxfId="6715" priority="433">
      <formula>#REF!&lt;&gt;""</formula>
    </cfRule>
    <cfRule type="expression" dxfId="6714" priority="434">
      <formula>#REF!&lt;&gt;""</formula>
    </cfRule>
    <cfRule type="expression" dxfId="6713" priority="435">
      <formula>#REF!&lt;&gt;""</formula>
    </cfRule>
    <cfRule type="expression" dxfId="6712" priority="436">
      <formula>#REF!&lt;&gt;""</formula>
    </cfRule>
    <cfRule type="expression" dxfId="6711" priority="437">
      <formula>#REF!&lt;&gt;""</formula>
    </cfRule>
  </conditionalFormatting>
  <conditionalFormatting sqref="F307">
    <cfRule type="expression" dxfId="6710" priority="414">
      <formula>#REF!&lt;&gt;""</formula>
    </cfRule>
    <cfRule type="expression" dxfId="6709" priority="415">
      <formula>#REF!&lt;&gt;""</formula>
    </cfRule>
    <cfRule type="expression" dxfId="6708" priority="416">
      <formula>#REF!&lt;&gt;""</formula>
    </cfRule>
    <cfRule type="expression" dxfId="6707" priority="417">
      <formula>#REF!&lt;&gt;""</formula>
    </cfRule>
    <cfRule type="expression" dxfId="6706" priority="418">
      <formula>#REF!&lt;&gt;""</formula>
    </cfRule>
    <cfRule type="expression" dxfId="6705" priority="419">
      <formula>#REF!&lt;&gt;""</formula>
    </cfRule>
    <cfRule type="expression" dxfId="6704" priority="420">
      <formula>#REF!&lt;&gt;""</formula>
    </cfRule>
    <cfRule type="expression" dxfId="6703" priority="421">
      <formula>#REF!&lt;&gt;""</formula>
    </cfRule>
    <cfRule type="expression" dxfId="6702" priority="422">
      <formula>#REF!&lt;&gt;""</formula>
    </cfRule>
    <cfRule type="expression" dxfId="6701" priority="423">
      <formula>#REF!&lt;&gt;""</formula>
    </cfRule>
    <cfRule type="expression" dxfId="6700" priority="424">
      <formula>#REF!&lt;&gt;""</formula>
    </cfRule>
    <cfRule type="expression" dxfId="6699" priority="425">
      <formula>#REF!&lt;&gt;""</formula>
    </cfRule>
  </conditionalFormatting>
  <conditionalFormatting sqref="F308">
    <cfRule type="expression" dxfId="6698" priority="402">
      <formula>#REF!&lt;&gt;""</formula>
    </cfRule>
    <cfRule type="expression" dxfId="6697" priority="403">
      <formula>#REF!&lt;&gt;""</formula>
    </cfRule>
    <cfRule type="expression" dxfId="6696" priority="404">
      <formula>#REF!&lt;&gt;""</formula>
    </cfRule>
    <cfRule type="expression" dxfId="6695" priority="405">
      <formula>#REF!&lt;&gt;""</formula>
    </cfRule>
    <cfRule type="expression" dxfId="6694" priority="406">
      <formula>#REF!&lt;&gt;""</formula>
    </cfRule>
    <cfRule type="expression" dxfId="6693" priority="407">
      <formula>#REF!&lt;&gt;""</formula>
    </cfRule>
    <cfRule type="expression" dxfId="6692" priority="408">
      <formula>#REF!&lt;&gt;""</formula>
    </cfRule>
    <cfRule type="expression" dxfId="6691" priority="409">
      <formula>#REF!&lt;&gt;""</formula>
    </cfRule>
    <cfRule type="expression" dxfId="6690" priority="410">
      <formula>#REF!&lt;&gt;""</formula>
    </cfRule>
    <cfRule type="expression" dxfId="6689" priority="411">
      <formula>#REF!&lt;&gt;""</formula>
    </cfRule>
    <cfRule type="expression" dxfId="6688" priority="412">
      <formula>#REF!&lt;&gt;""</formula>
    </cfRule>
    <cfRule type="expression" dxfId="6687" priority="413">
      <formula>#REF!&lt;&gt;""</formula>
    </cfRule>
  </conditionalFormatting>
  <conditionalFormatting sqref="F309">
    <cfRule type="expression" dxfId="6686" priority="390">
      <formula>#REF!&lt;&gt;""</formula>
    </cfRule>
    <cfRule type="expression" dxfId="6685" priority="391">
      <formula>#REF!&lt;&gt;""</formula>
    </cfRule>
    <cfRule type="expression" dxfId="6684" priority="392">
      <formula>#REF!&lt;&gt;""</formula>
    </cfRule>
    <cfRule type="expression" dxfId="6683" priority="393">
      <formula>#REF!&lt;&gt;""</formula>
    </cfRule>
    <cfRule type="expression" dxfId="6682" priority="394">
      <formula>#REF!&lt;&gt;""</formula>
    </cfRule>
    <cfRule type="expression" dxfId="6681" priority="395">
      <formula>#REF!&lt;&gt;""</formula>
    </cfRule>
    <cfRule type="expression" dxfId="6680" priority="396">
      <formula>#REF!&lt;&gt;""</formula>
    </cfRule>
    <cfRule type="expression" dxfId="6679" priority="397">
      <formula>#REF!&lt;&gt;""</formula>
    </cfRule>
    <cfRule type="expression" dxfId="6678" priority="398">
      <formula>#REF!&lt;&gt;""</formula>
    </cfRule>
    <cfRule type="expression" dxfId="6677" priority="399">
      <formula>#REF!&lt;&gt;""</formula>
    </cfRule>
    <cfRule type="expression" dxfId="6676" priority="400">
      <formula>#REF!&lt;&gt;""</formula>
    </cfRule>
    <cfRule type="expression" dxfId="6675" priority="401">
      <formula>#REF!&lt;&gt;""</formula>
    </cfRule>
  </conditionalFormatting>
  <conditionalFormatting sqref="F310">
    <cfRule type="expression" dxfId="6674" priority="378">
      <formula>#REF!&lt;&gt;""</formula>
    </cfRule>
    <cfRule type="expression" dxfId="6673" priority="379">
      <formula>#REF!&lt;&gt;""</formula>
    </cfRule>
    <cfRule type="expression" dxfId="6672" priority="380">
      <formula>#REF!&lt;&gt;""</formula>
    </cfRule>
    <cfRule type="expression" dxfId="6671" priority="381">
      <formula>#REF!&lt;&gt;""</formula>
    </cfRule>
    <cfRule type="expression" dxfId="6670" priority="382">
      <formula>#REF!&lt;&gt;""</formula>
    </cfRule>
    <cfRule type="expression" dxfId="6669" priority="383">
      <formula>#REF!&lt;&gt;""</formula>
    </cfRule>
    <cfRule type="expression" dxfId="6668" priority="384">
      <formula>#REF!&lt;&gt;""</formula>
    </cfRule>
    <cfRule type="expression" dxfId="6667" priority="385">
      <formula>#REF!&lt;&gt;""</formula>
    </cfRule>
    <cfRule type="expression" dxfId="6666" priority="386">
      <formula>#REF!&lt;&gt;""</formula>
    </cfRule>
    <cfRule type="expression" dxfId="6665" priority="387">
      <formula>#REF!&lt;&gt;""</formula>
    </cfRule>
    <cfRule type="expression" dxfId="6664" priority="388">
      <formula>#REF!&lt;&gt;""</formula>
    </cfRule>
    <cfRule type="expression" dxfId="6663" priority="389">
      <formula>#REF!&lt;&gt;""</formula>
    </cfRule>
  </conditionalFormatting>
  <conditionalFormatting sqref="F311">
    <cfRule type="expression" dxfId="6662" priority="366">
      <formula>#REF!&lt;&gt;""</formula>
    </cfRule>
    <cfRule type="expression" dxfId="6661" priority="367">
      <formula>#REF!&lt;&gt;""</formula>
    </cfRule>
    <cfRule type="expression" dxfId="6660" priority="368">
      <formula>#REF!&lt;&gt;""</formula>
    </cfRule>
    <cfRule type="expression" dxfId="6659" priority="369">
      <formula>#REF!&lt;&gt;""</formula>
    </cfRule>
    <cfRule type="expression" dxfId="6658" priority="370">
      <formula>#REF!&lt;&gt;""</formula>
    </cfRule>
    <cfRule type="expression" dxfId="6657" priority="371">
      <formula>#REF!&lt;&gt;""</formula>
    </cfRule>
    <cfRule type="expression" dxfId="6656" priority="372">
      <formula>#REF!&lt;&gt;""</formula>
    </cfRule>
    <cfRule type="expression" dxfId="6655" priority="373">
      <formula>#REF!&lt;&gt;""</formula>
    </cfRule>
    <cfRule type="expression" dxfId="6654" priority="374">
      <formula>#REF!&lt;&gt;""</formula>
    </cfRule>
    <cfRule type="expression" dxfId="6653" priority="375">
      <formula>#REF!&lt;&gt;""</formula>
    </cfRule>
    <cfRule type="expression" dxfId="6652" priority="376">
      <formula>#REF!&lt;&gt;""</formula>
    </cfRule>
    <cfRule type="expression" dxfId="6651" priority="377">
      <formula>#REF!&lt;&gt;""</formula>
    </cfRule>
  </conditionalFormatting>
  <conditionalFormatting sqref="F312">
    <cfRule type="expression" dxfId="6650" priority="354">
      <formula>#REF!&lt;&gt;""</formula>
    </cfRule>
    <cfRule type="expression" dxfId="6649" priority="355">
      <formula>#REF!&lt;&gt;""</formula>
    </cfRule>
    <cfRule type="expression" dxfId="6648" priority="356">
      <formula>#REF!&lt;&gt;""</formula>
    </cfRule>
    <cfRule type="expression" dxfId="6647" priority="357">
      <formula>#REF!&lt;&gt;""</formula>
    </cfRule>
    <cfRule type="expression" dxfId="6646" priority="358">
      <formula>#REF!&lt;&gt;""</formula>
    </cfRule>
    <cfRule type="expression" dxfId="6645" priority="359">
      <formula>#REF!&lt;&gt;""</formula>
    </cfRule>
    <cfRule type="expression" dxfId="6644" priority="360">
      <formula>#REF!&lt;&gt;""</formula>
    </cfRule>
    <cfRule type="expression" dxfId="6643" priority="361">
      <formula>#REF!&lt;&gt;""</formula>
    </cfRule>
    <cfRule type="expression" dxfId="6642" priority="362">
      <formula>#REF!&lt;&gt;""</formula>
    </cfRule>
    <cfRule type="expression" dxfId="6641" priority="363">
      <formula>#REF!&lt;&gt;""</formula>
    </cfRule>
    <cfRule type="expression" dxfId="6640" priority="364">
      <formula>#REF!&lt;&gt;""</formula>
    </cfRule>
    <cfRule type="expression" dxfId="6639" priority="365">
      <formula>#REF!&lt;&gt;""</formula>
    </cfRule>
  </conditionalFormatting>
  <conditionalFormatting sqref="F314">
    <cfRule type="expression" dxfId="6638" priority="330">
      <formula>#REF!&lt;&gt;""</formula>
    </cfRule>
    <cfRule type="expression" dxfId="6637" priority="331">
      <formula>#REF!&lt;&gt;""</formula>
    </cfRule>
    <cfRule type="expression" dxfId="6636" priority="332">
      <formula>#REF!&lt;&gt;""</formula>
    </cfRule>
    <cfRule type="expression" dxfId="6635" priority="333">
      <formula>#REF!&lt;&gt;""</formula>
    </cfRule>
    <cfRule type="expression" dxfId="6634" priority="334">
      <formula>#REF!&lt;&gt;""</formula>
    </cfRule>
    <cfRule type="expression" dxfId="6633" priority="335">
      <formula>#REF!&lt;&gt;""</formula>
    </cfRule>
    <cfRule type="expression" dxfId="6632" priority="336">
      <formula>#REF!&lt;&gt;""</formula>
    </cfRule>
    <cfRule type="expression" dxfId="6631" priority="337">
      <formula>#REF!&lt;&gt;""</formula>
    </cfRule>
    <cfRule type="expression" dxfId="6630" priority="338">
      <formula>#REF!&lt;&gt;""</formula>
    </cfRule>
    <cfRule type="expression" dxfId="6629" priority="339">
      <formula>#REF!&lt;&gt;""</formula>
    </cfRule>
    <cfRule type="expression" dxfId="6628" priority="340">
      <formula>#REF!&lt;&gt;""</formula>
    </cfRule>
    <cfRule type="expression" dxfId="6627" priority="341">
      <formula>#REF!&lt;&gt;""</formula>
    </cfRule>
  </conditionalFormatting>
  <conditionalFormatting sqref="F315">
    <cfRule type="expression" dxfId="6626" priority="318">
      <formula>#REF!&lt;&gt;""</formula>
    </cfRule>
    <cfRule type="expression" dxfId="6625" priority="319">
      <formula>#REF!&lt;&gt;""</formula>
    </cfRule>
    <cfRule type="expression" dxfId="6624" priority="320">
      <formula>#REF!&lt;&gt;""</formula>
    </cfRule>
    <cfRule type="expression" dxfId="6623" priority="321">
      <formula>#REF!&lt;&gt;""</formula>
    </cfRule>
    <cfRule type="expression" dxfId="6622" priority="322">
      <formula>#REF!&lt;&gt;""</formula>
    </cfRule>
    <cfRule type="expression" dxfId="6621" priority="323">
      <formula>#REF!&lt;&gt;""</formula>
    </cfRule>
    <cfRule type="expression" dxfId="6620" priority="324">
      <formula>#REF!&lt;&gt;""</formula>
    </cfRule>
    <cfRule type="expression" dxfId="6619" priority="325">
      <formula>#REF!&lt;&gt;""</formula>
    </cfRule>
    <cfRule type="expression" dxfId="6618" priority="326">
      <formula>#REF!&lt;&gt;""</formula>
    </cfRule>
    <cfRule type="expression" dxfId="6617" priority="327">
      <formula>#REF!&lt;&gt;""</formula>
    </cfRule>
    <cfRule type="expression" dxfId="6616" priority="328">
      <formula>#REF!&lt;&gt;""</formula>
    </cfRule>
    <cfRule type="expression" dxfId="6615" priority="329">
      <formula>#REF!&lt;&gt;""</formula>
    </cfRule>
  </conditionalFormatting>
  <conditionalFormatting sqref="F316">
    <cfRule type="expression" dxfId="6614" priority="306">
      <formula>#REF!&lt;&gt;""</formula>
    </cfRule>
    <cfRule type="expression" dxfId="6613" priority="307">
      <formula>#REF!&lt;&gt;""</formula>
    </cfRule>
    <cfRule type="expression" dxfId="6612" priority="308">
      <formula>#REF!&lt;&gt;""</formula>
    </cfRule>
    <cfRule type="expression" dxfId="6611" priority="309">
      <formula>#REF!&lt;&gt;""</formula>
    </cfRule>
    <cfRule type="expression" dxfId="6610" priority="310">
      <formula>#REF!&lt;&gt;""</formula>
    </cfRule>
    <cfRule type="expression" dxfId="6609" priority="311">
      <formula>#REF!&lt;&gt;""</formula>
    </cfRule>
    <cfRule type="expression" dxfId="6608" priority="312">
      <formula>#REF!&lt;&gt;""</formula>
    </cfRule>
    <cfRule type="expression" dxfId="6607" priority="313">
      <formula>#REF!&lt;&gt;""</formula>
    </cfRule>
    <cfRule type="expression" dxfId="6606" priority="314">
      <formula>#REF!&lt;&gt;""</formula>
    </cfRule>
    <cfRule type="expression" dxfId="6605" priority="315">
      <formula>#REF!&lt;&gt;""</formula>
    </cfRule>
    <cfRule type="expression" dxfId="6604" priority="316">
      <formula>#REF!&lt;&gt;""</formula>
    </cfRule>
    <cfRule type="expression" dxfId="6603" priority="317">
      <formula>#REF!&lt;&gt;""</formula>
    </cfRule>
  </conditionalFormatting>
  <conditionalFormatting sqref="F317">
    <cfRule type="expression" dxfId="6602" priority="294">
      <formula>#REF!&lt;&gt;""</formula>
    </cfRule>
    <cfRule type="expression" dxfId="6601" priority="295">
      <formula>#REF!&lt;&gt;""</formula>
    </cfRule>
    <cfRule type="expression" dxfId="6600" priority="296">
      <formula>#REF!&lt;&gt;""</formula>
    </cfRule>
    <cfRule type="expression" dxfId="6599" priority="297">
      <formula>#REF!&lt;&gt;""</formula>
    </cfRule>
    <cfRule type="expression" dxfId="6598" priority="298">
      <formula>#REF!&lt;&gt;""</formula>
    </cfRule>
    <cfRule type="expression" dxfId="6597" priority="299">
      <formula>#REF!&lt;&gt;""</formula>
    </cfRule>
    <cfRule type="expression" dxfId="6596" priority="300">
      <formula>#REF!&lt;&gt;""</formula>
    </cfRule>
    <cfRule type="expression" dxfId="6595" priority="301">
      <formula>#REF!&lt;&gt;""</formula>
    </cfRule>
    <cfRule type="expression" dxfId="6594" priority="302">
      <formula>#REF!&lt;&gt;""</formula>
    </cfRule>
    <cfRule type="expression" dxfId="6593" priority="303">
      <formula>#REF!&lt;&gt;""</formula>
    </cfRule>
    <cfRule type="expression" dxfId="6592" priority="304">
      <formula>#REF!&lt;&gt;""</formula>
    </cfRule>
    <cfRule type="expression" dxfId="6591" priority="305">
      <formula>#REF!&lt;&gt;""</formula>
    </cfRule>
  </conditionalFormatting>
  <conditionalFormatting sqref="F318">
    <cfRule type="expression" dxfId="6590" priority="282">
      <formula>#REF!&lt;&gt;""</formula>
    </cfRule>
    <cfRule type="expression" dxfId="6589" priority="283">
      <formula>#REF!&lt;&gt;""</formula>
    </cfRule>
    <cfRule type="expression" dxfId="6588" priority="284">
      <formula>#REF!&lt;&gt;""</formula>
    </cfRule>
    <cfRule type="expression" dxfId="6587" priority="285">
      <formula>#REF!&lt;&gt;""</formula>
    </cfRule>
    <cfRule type="expression" dxfId="6586" priority="286">
      <formula>#REF!&lt;&gt;""</formula>
    </cfRule>
    <cfRule type="expression" dxfId="6585" priority="287">
      <formula>#REF!&lt;&gt;""</formula>
    </cfRule>
    <cfRule type="expression" dxfId="6584" priority="288">
      <formula>#REF!&lt;&gt;""</formula>
    </cfRule>
    <cfRule type="expression" dxfId="6583" priority="289">
      <formula>#REF!&lt;&gt;""</formula>
    </cfRule>
    <cfRule type="expression" dxfId="6582" priority="290">
      <formula>#REF!&lt;&gt;""</formula>
    </cfRule>
    <cfRule type="expression" dxfId="6581" priority="291">
      <formula>#REF!&lt;&gt;""</formula>
    </cfRule>
    <cfRule type="expression" dxfId="6580" priority="292">
      <formula>#REF!&lt;&gt;""</formula>
    </cfRule>
    <cfRule type="expression" dxfId="6579" priority="293">
      <formula>#REF!&lt;&gt;""</formula>
    </cfRule>
  </conditionalFormatting>
  <conditionalFormatting sqref="F319">
    <cfRule type="expression" dxfId="6578" priority="270">
      <formula>#REF!&lt;&gt;""</formula>
    </cfRule>
    <cfRule type="expression" dxfId="6577" priority="271">
      <formula>#REF!&lt;&gt;""</formula>
    </cfRule>
    <cfRule type="expression" dxfId="6576" priority="272">
      <formula>#REF!&lt;&gt;""</formula>
    </cfRule>
    <cfRule type="expression" dxfId="6575" priority="273">
      <formula>#REF!&lt;&gt;""</formula>
    </cfRule>
    <cfRule type="expression" dxfId="6574" priority="274">
      <formula>#REF!&lt;&gt;""</formula>
    </cfRule>
    <cfRule type="expression" dxfId="6573" priority="275">
      <formula>#REF!&lt;&gt;""</formula>
    </cfRule>
    <cfRule type="expression" dxfId="6572" priority="276">
      <formula>#REF!&lt;&gt;""</formula>
    </cfRule>
    <cfRule type="expression" dxfId="6571" priority="277">
      <formula>#REF!&lt;&gt;""</formula>
    </cfRule>
    <cfRule type="expression" dxfId="6570" priority="278">
      <formula>#REF!&lt;&gt;""</formula>
    </cfRule>
    <cfRule type="expression" dxfId="6569" priority="279">
      <formula>#REF!&lt;&gt;""</formula>
    </cfRule>
    <cfRule type="expression" dxfId="6568" priority="280">
      <formula>#REF!&lt;&gt;""</formula>
    </cfRule>
    <cfRule type="expression" dxfId="6567" priority="281">
      <formula>#REF!&lt;&gt;""</formula>
    </cfRule>
  </conditionalFormatting>
  <conditionalFormatting sqref="F320">
    <cfRule type="expression" dxfId="6566" priority="258">
      <formula>#REF!&lt;&gt;""</formula>
    </cfRule>
    <cfRule type="expression" dxfId="6565" priority="259">
      <formula>#REF!&lt;&gt;""</formula>
    </cfRule>
    <cfRule type="expression" dxfId="6564" priority="260">
      <formula>#REF!&lt;&gt;""</formula>
    </cfRule>
    <cfRule type="expression" dxfId="6563" priority="261">
      <formula>#REF!&lt;&gt;""</formula>
    </cfRule>
    <cfRule type="expression" dxfId="6562" priority="262">
      <formula>#REF!&lt;&gt;""</formula>
    </cfRule>
    <cfRule type="expression" dxfId="6561" priority="263">
      <formula>#REF!&lt;&gt;""</formula>
    </cfRule>
    <cfRule type="expression" dxfId="6560" priority="264">
      <formula>#REF!&lt;&gt;""</formula>
    </cfRule>
    <cfRule type="expression" dxfId="6559" priority="265">
      <formula>#REF!&lt;&gt;""</formula>
    </cfRule>
    <cfRule type="expression" dxfId="6558" priority="266">
      <formula>#REF!&lt;&gt;""</formula>
    </cfRule>
    <cfRule type="expression" dxfId="6557" priority="267">
      <formula>#REF!&lt;&gt;""</formula>
    </cfRule>
    <cfRule type="expression" dxfId="6556" priority="268">
      <formula>#REF!&lt;&gt;""</formula>
    </cfRule>
    <cfRule type="expression" dxfId="6555" priority="269">
      <formula>#REF!&lt;&gt;""</formula>
    </cfRule>
  </conditionalFormatting>
  <conditionalFormatting sqref="F321">
    <cfRule type="expression" dxfId="6554" priority="246">
      <formula>#REF!&lt;&gt;""</formula>
    </cfRule>
    <cfRule type="expression" dxfId="6553" priority="247">
      <formula>#REF!&lt;&gt;""</formula>
    </cfRule>
    <cfRule type="expression" dxfId="6552" priority="248">
      <formula>#REF!&lt;&gt;""</formula>
    </cfRule>
    <cfRule type="expression" dxfId="6551" priority="249">
      <formula>#REF!&lt;&gt;""</formula>
    </cfRule>
    <cfRule type="expression" dxfId="6550" priority="250">
      <formula>#REF!&lt;&gt;""</formula>
    </cfRule>
    <cfRule type="expression" dxfId="6549" priority="251">
      <formula>#REF!&lt;&gt;""</formula>
    </cfRule>
    <cfRule type="expression" dxfId="6548" priority="252">
      <formula>#REF!&lt;&gt;""</formula>
    </cfRule>
    <cfRule type="expression" dxfId="6547" priority="253">
      <formula>#REF!&lt;&gt;""</formula>
    </cfRule>
    <cfRule type="expression" dxfId="6546" priority="254">
      <formula>#REF!&lt;&gt;""</formula>
    </cfRule>
    <cfRule type="expression" dxfId="6545" priority="255">
      <formula>#REF!&lt;&gt;""</formula>
    </cfRule>
    <cfRule type="expression" dxfId="6544" priority="256">
      <formula>#REF!&lt;&gt;""</formula>
    </cfRule>
    <cfRule type="expression" dxfId="6543" priority="257">
      <formula>#REF!&lt;&gt;""</formula>
    </cfRule>
  </conditionalFormatting>
  <conditionalFormatting sqref="F322">
    <cfRule type="expression" dxfId="6542" priority="234">
      <formula>#REF!&lt;&gt;""</formula>
    </cfRule>
    <cfRule type="expression" dxfId="6541" priority="235">
      <formula>#REF!&lt;&gt;""</formula>
    </cfRule>
    <cfRule type="expression" dxfId="6540" priority="236">
      <formula>#REF!&lt;&gt;""</formula>
    </cfRule>
    <cfRule type="expression" dxfId="6539" priority="237">
      <formula>#REF!&lt;&gt;""</formula>
    </cfRule>
    <cfRule type="expression" dxfId="6538" priority="238">
      <formula>#REF!&lt;&gt;""</formula>
    </cfRule>
    <cfRule type="expression" dxfId="6537" priority="239">
      <formula>#REF!&lt;&gt;""</formula>
    </cfRule>
    <cfRule type="expression" dxfId="6536" priority="240">
      <formula>#REF!&lt;&gt;""</formula>
    </cfRule>
    <cfRule type="expression" dxfId="6535" priority="241">
      <formula>#REF!&lt;&gt;""</formula>
    </cfRule>
    <cfRule type="expression" dxfId="6534" priority="242">
      <formula>#REF!&lt;&gt;""</formula>
    </cfRule>
    <cfRule type="expression" dxfId="6533" priority="243">
      <formula>#REF!&lt;&gt;""</formula>
    </cfRule>
    <cfRule type="expression" dxfId="6532" priority="244">
      <formula>#REF!&lt;&gt;""</formula>
    </cfRule>
    <cfRule type="expression" dxfId="6531" priority="245">
      <formula>#REF!&lt;&gt;""</formula>
    </cfRule>
  </conditionalFormatting>
  <conditionalFormatting sqref="F323">
    <cfRule type="expression" dxfId="6530" priority="222">
      <formula>#REF!&lt;&gt;""</formula>
    </cfRule>
    <cfRule type="expression" dxfId="6529" priority="223">
      <formula>#REF!&lt;&gt;""</formula>
    </cfRule>
    <cfRule type="expression" dxfId="6528" priority="224">
      <formula>#REF!&lt;&gt;""</formula>
    </cfRule>
    <cfRule type="expression" dxfId="6527" priority="225">
      <formula>#REF!&lt;&gt;""</formula>
    </cfRule>
    <cfRule type="expression" dxfId="6526" priority="226">
      <formula>#REF!&lt;&gt;""</formula>
    </cfRule>
    <cfRule type="expression" dxfId="6525" priority="227">
      <formula>#REF!&lt;&gt;""</formula>
    </cfRule>
    <cfRule type="expression" dxfId="6524" priority="228">
      <formula>#REF!&lt;&gt;""</formula>
    </cfRule>
    <cfRule type="expression" dxfId="6523" priority="229">
      <formula>#REF!&lt;&gt;""</formula>
    </cfRule>
    <cfRule type="expression" dxfId="6522" priority="230">
      <formula>#REF!&lt;&gt;""</formula>
    </cfRule>
    <cfRule type="expression" dxfId="6521" priority="231">
      <formula>#REF!&lt;&gt;""</formula>
    </cfRule>
    <cfRule type="expression" dxfId="6520" priority="232">
      <formula>#REF!&lt;&gt;""</formula>
    </cfRule>
    <cfRule type="expression" dxfId="6519" priority="233">
      <formula>#REF!&lt;&gt;""</formula>
    </cfRule>
  </conditionalFormatting>
  <conditionalFormatting sqref="F324">
    <cfRule type="expression" dxfId="6518" priority="210">
      <formula>#REF!&lt;&gt;""</formula>
    </cfRule>
    <cfRule type="expression" dxfId="6517" priority="211">
      <formula>#REF!&lt;&gt;""</formula>
    </cfRule>
    <cfRule type="expression" dxfId="6516" priority="212">
      <formula>#REF!&lt;&gt;""</formula>
    </cfRule>
    <cfRule type="expression" dxfId="6515" priority="213">
      <formula>#REF!&lt;&gt;""</formula>
    </cfRule>
    <cfRule type="expression" dxfId="6514" priority="214">
      <formula>#REF!&lt;&gt;""</formula>
    </cfRule>
    <cfRule type="expression" dxfId="6513" priority="215">
      <formula>#REF!&lt;&gt;""</formula>
    </cfRule>
    <cfRule type="expression" dxfId="6512" priority="216">
      <formula>#REF!&lt;&gt;""</formula>
    </cfRule>
    <cfRule type="expression" dxfId="6511" priority="217">
      <formula>#REF!&lt;&gt;""</formula>
    </cfRule>
    <cfRule type="expression" dxfId="6510" priority="218">
      <formula>#REF!&lt;&gt;""</formula>
    </cfRule>
    <cfRule type="expression" dxfId="6509" priority="219">
      <formula>#REF!&lt;&gt;""</formula>
    </cfRule>
    <cfRule type="expression" dxfId="6508" priority="220">
      <formula>#REF!&lt;&gt;""</formula>
    </cfRule>
    <cfRule type="expression" dxfId="6507" priority="221">
      <formula>#REF!&lt;&gt;""</formula>
    </cfRule>
  </conditionalFormatting>
  <conditionalFormatting sqref="F325">
    <cfRule type="expression" dxfId="6506" priority="198">
      <formula>#REF!&lt;&gt;""</formula>
    </cfRule>
    <cfRule type="expression" dxfId="6505" priority="199">
      <formula>#REF!&lt;&gt;""</formula>
    </cfRule>
    <cfRule type="expression" dxfId="6504" priority="200">
      <formula>#REF!&lt;&gt;""</formula>
    </cfRule>
    <cfRule type="expression" dxfId="6503" priority="201">
      <formula>#REF!&lt;&gt;""</formula>
    </cfRule>
    <cfRule type="expression" dxfId="6502" priority="202">
      <formula>#REF!&lt;&gt;""</formula>
    </cfRule>
    <cfRule type="expression" dxfId="6501" priority="203">
      <formula>#REF!&lt;&gt;""</formula>
    </cfRule>
    <cfRule type="expression" dxfId="6500" priority="204">
      <formula>#REF!&lt;&gt;""</formula>
    </cfRule>
    <cfRule type="expression" dxfId="6499" priority="205">
      <formula>#REF!&lt;&gt;""</formula>
    </cfRule>
    <cfRule type="expression" dxfId="6498" priority="206">
      <formula>#REF!&lt;&gt;""</formula>
    </cfRule>
    <cfRule type="expression" dxfId="6497" priority="207">
      <formula>#REF!&lt;&gt;""</formula>
    </cfRule>
    <cfRule type="expression" dxfId="6496" priority="208">
      <formula>#REF!&lt;&gt;""</formula>
    </cfRule>
    <cfRule type="expression" dxfId="6495" priority="209">
      <formula>#REF!&lt;&gt;""</formula>
    </cfRule>
  </conditionalFormatting>
  <conditionalFormatting sqref="F327">
    <cfRule type="expression" dxfId="6494" priority="174">
      <formula>#REF!&lt;&gt;""</formula>
    </cfRule>
    <cfRule type="expression" dxfId="6493" priority="175">
      <formula>#REF!&lt;&gt;""</formula>
    </cfRule>
    <cfRule type="expression" dxfId="6492" priority="176">
      <formula>#REF!&lt;&gt;""</formula>
    </cfRule>
    <cfRule type="expression" dxfId="6491" priority="177">
      <formula>#REF!&lt;&gt;""</formula>
    </cfRule>
    <cfRule type="expression" dxfId="6490" priority="178">
      <formula>#REF!&lt;&gt;""</formula>
    </cfRule>
    <cfRule type="expression" dxfId="6489" priority="179">
      <formula>#REF!&lt;&gt;""</formula>
    </cfRule>
    <cfRule type="expression" dxfId="6488" priority="180">
      <formula>#REF!&lt;&gt;""</formula>
    </cfRule>
    <cfRule type="expression" dxfId="6487" priority="181">
      <formula>#REF!&lt;&gt;""</formula>
    </cfRule>
    <cfRule type="expression" dxfId="6486" priority="182">
      <formula>#REF!&lt;&gt;""</formula>
    </cfRule>
    <cfRule type="expression" dxfId="6485" priority="183">
      <formula>#REF!&lt;&gt;""</formula>
    </cfRule>
    <cfRule type="expression" dxfId="6484" priority="184">
      <formula>#REF!&lt;&gt;""</formula>
    </cfRule>
    <cfRule type="expression" dxfId="6483" priority="185">
      <formula>#REF!&lt;&gt;""</formula>
    </cfRule>
  </conditionalFormatting>
  <conditionalFormatting sqref="F328">
    <cfRule type="expression" dxfId="6482" priority="162">
      <formula>#REF!&lt;&gt;""</formula>
    </cfRule>
    <cfRule type="expression" dxfId="6481" priority="163">
      <formula>#REF!&lt;&gt;""</formula>
    </cfRule>
    <cfRule type="expression" dxfId="6480" priority="164">
      <formula>#REF!&lt;&gt;""</formula>
    </cfRule>
    <cfRule type="expression" dxfId="6479" priority="165">
      <formula>#REF!&lt;&gt;""</formula>
    </cfRule>
    <cfRule type="expression" dxfId="6478" priority="166">
      <formula>#REF!&lt;&gt;""</formula>
    </cfRule>
    <cfRule type="expression" dxfId="6477" priority="167">
      <formula>#REF!&lt;&gt;""</formula>
    </cfRule>
    <cfRule type="expression" dxfId="6476" priority="168">
      <formula>#REF!&lt;&gt;""</formula>
    </cfRule>
    <cfRule type="expression" dxfId="6475" priority="169">
      <formula>#REF!&lt;&gt;""</formula>
    </cfRule>
    <cfRule type="expression" dxfId="6474" priority="170">
      <formula>#REF!&lt;&gt;""</formula>
    </cfRule>
    <cfRule type="expression" dxfId="6473" priority="171">
      <formula>#REF!&lt;&gt;""</formula>
    </cfRule>
    <cfRule type="expression" dxfId="6472" priority="172">
      <formula>#REF!&lt;&gt;""</formula>
    </cfRule>
    <cfRule type="expression" dxfId="6471" priority="173">
      <formula>#REF!&lt;&gt;""</formula>
    </cfRule>
  </conditionalFormatting>
  <conditionalFormatting sqref="F329">
    <cfRule type="expression" dxfId="6470" priority="150">
      <formula>#REF!&lt;&gt;""</formula>
    </cfRule>
    <cfRule type="expression" dxfId="6469" priority="151">
      <formula>#REF!&lt;&gt;""</formula>
    </cfRule>
    <cfRule type="expression" dxfId="6468" priority="152">
      <formula>#REF!&lt;&gt;""</formula>
    </cfRule>
    <cfRule type="expression" dxfId="6467" priority="153">
      <formula>#REF!&lt;&gt;""</formula>
    </cfRule>
    <cfRule type="expression" dxfId="6466" priority="154">
      <formula>#REF!&lt;&gt;""</formula>
    </cfRule>
    <cfRule type="expression" dxfId="6465" priority="155">
      <formula>#REF!&lt;&gt;""</formula>
    </cfRule>
    <cfRule type="expression" dxfId="6464" priority="156">
      <formula>#REF!&lt;&gt;""</formula>
    </cfRule>
    <cfRule type="expression" dxfId="6463" priority="157">
      <formula>#REF!&lt;&gt;""</formula>
    </cfRule>
    <cfRule type="expression" dxfId="6462" priority="158">
      <formula>#REF!&lt;&gt;""</formula>
    </cfRule>
    <cfRule type="expression" dxfId="6461" priority="159">
      <formula>#REF!&lt;&gt;""</formula>
    </cfRule>
    <cfRule type="expression" dxfId="6460" priority="160">
      <formula>#REF!&lt;&gt;""</formula>
    </cfRule>
    <cfRule type="expression" dxfId="6459" priority="161">
      <formula>#REF!&lt;&gt;""</formula>
    </cfRule>
  </conditionalFormatting>
  <conditionalFormatting sqref="F330">
    <cfRule type="expression" dxfId="6458" priority="138">
      <formula>#REF!&lt;&gt;""</formula>
    </cfRule>
    <cfRule type="expression" dxfId="6457" priority="139">
      <formula>#REF!&lt;&gt;""</formula>
    </cfRule>
    <cfRule type="expression" dxfId="6456" priority="140">
      <formula>#REF!&lt;&gt;""</formula>
    </cfRule>
    <cfRule type="expression" dxfId="6455" priority="141">
      <formula>#REF!&lt;&gt;""</formula>
    </cfRule>
    <cfRule type="expression" dxfId="6454" priority="142">
      <formula>#REF!&lt;&gt;""</formula>
    </cfRule>
    <cfRule type="expression" dxfId="6453" priority="143">
      <formula>#REF!&lt;&gt;""</formula>
    </cfRule>
    <cfRule type="expression" dxfId="6452" priority="144">
      <formula>#REF!&lt;&gt;""</formula>
    </cfRule>
    <cfRule type="expression" dxfId="6451" priority="145">
      <formula>#REF!&lt;&gt;""</formula>
    </cfRule>
    <cfRule type="expression" dxfId="6450" priority="146">
      <formula>#REF!&lt;&gt;""</formula>
    </cfRule>
    <cfRule type="expression" dxfId="6449" priority="147">
      <formula>#REF!&lt;&gt;""</formula>
    </cfRule>
    <cfRule type="expression" dxfId="6448" priority="148">
      <formula>#REF!&lt;&gt;""</formula>
    </cfRule>
    <cfRule type="expression" dxfId="6447" priority="149">
      <formula>#REF!&lt;&gt;""</formula>
    </cfRule>
  </conditionalFormatting>
  <conditionalFormatting sqref="F331">
    <cfRule type="expression" dxfId="6446" priority="126">
      <formula>#REF!&lt;&gt;""</formula>
    </cfRule>
    <cfRule type="expression" dxfId="6445" priority="127">
      <formula>#REF!&lt;&gt;""</formula>
    </cfRule>
    <cfRule type="expression" dxfId="6444" priority="128">
      <formula>#REF!&lt;&gt;""</formula>
    </cfRule>
    <cfRule type="expression" dxfId="6443" priority="129">
      <formula>#REF!&lt;&gt;""</formula>
    </cfRule>
    <cfRule type="expression" dxfId="6442" priority="130">
      <formula>#REF!&lt;&gt;""</formula>
    </cfRule>
    <cfRule type="expression" dxfId="6441" priority="131">
      <formula>#REF!&lt;&gt;""</formula>
    </cfRule>
    <cfRule type="expression" dxfId="6440" priority="132">
      <formula>#REF!&lt;&gt;""</formula>
    </cfRule>
    <cfRule type="expression" dxfId="6439" priority="133">
      <formula>#REF!&lt;&gt;""</formula>
    </cfRule>
    <cfRule type="expression" dxfId="6438" priority="134">
      <formula>#REF!&lt;&gt;""</formula>
    </cfRule>
    <cfRule type="expression" dxfId="6437" priority="135">
      <formula>#REF!&lt;&gt;""</formula>
    </cfRule>
    <cfRule type="expression" dxfId="6436" priority="136">
      <formula>#REF!&lt;&gt;""</formula>
    </cfRule>
    <cfRule type="expression" dxfId="6435" priority="137">
      <formula>#REF!&lt;&gt;""</formula>
    </cfRule>
  </conditionalFormatting>
  <conditionalFormatting sqref="F332">
    <cfRule type="expression" dxfId="6434" priority="114">
      <formula>#REF!&lt;&gt;""</formula>
    </cfRule>
    <cfRule type="expression" dxfId="6433" priority="115">
      <formula>#REF!&lt;&gt;""</formula>
    </cfRule>
    <cfRule type="expression" dxfId="6432" priority="116">
      <formula>#REF!&lt;&gt;""</formula>
    </cfRule>
    <cfRule type="expression" dxfId="6431" priority="117">
      <formula>#REF!&lt;&gt;""</formula>
    </cfRule>
    <cfRule type="expression" dxfId="6430" priority="118">
      <formula>#REF!&lt;&gt;""</formula>
    </cfRule>
    <cfRule type="expression" dxfId="6429" priority="119">
      <formula>#REF!&lt;&gt;""</formula>
    </cfRule>
    <cfRule type="expression" dxfId="6428" priority="120">
      <formula>#REF!&lt;&gt;""</formula>
    </cfRule>
    <cfRule type="expression" dxfId="6427" priority="121">
      <formula>#REF!&lt;&gt;""</formula>
    </cfRule>
    <cfRule type="expression" dxfId="6426" priority="122">
      <formula>#REF!&lt;&gt;""</formula>
    </cfRule>
    <cfRule type="expression" dxfId="6425" priority="123">
      <formula>#REF!&lt;&gt;""</formula>
    </cfRule>
    <cfRule type="expression" dxfId="6424" priority="124">
      <formula>#REF!&lt;&gt;""</formula>
    </cfRule>
    <cfRule type="expression" dxfId="6423" priority="125">
      <formula>#REF!&lt;&gt;""</formula>
    </cfRule>
  </conditionalFormatting>
  <conditionalFormatting sqref="F333">
    <cfRule type="expression" dxfId="6422" priority="102">
      <formula>#REF!&lt;&gt;""</formula>
    </cfRule>
    <cfRule type="expression" dxfId="6421" priority="103">
      <formula>#REF!&lt;&gt;""</formula>
    </cfRule>
    <cfRule type="expression" dxfId="6420" priority="104">
      <formula>#REF!&lt;&gt;""</formula>
    </cfRule>
    <cfRule type="expression" dxfId="6419" priority="105">
      <formula>#REF!&lt;&gt;""</formula>
    </cfRule>
    <cfRule type="expression" dxfId="6418" priority="106">
      <formula>#REF!&lt;&gt;""</formula>
    </cfRule>
    <cfRule type="expression" dxfId="6417" priority="107">
      <formula>#REF!&lt;&gt;""</formula>
    </cfRule>
    <cfRule type="expression" dxfId="6416" priority="108">
      <formula>#REF!&lt;&gt;""</formula>
    </cfRule>
    <cfRule type="expression" dxfId="6415" priority="109">
      <formula>#REF!&lt;&gt;""</formula>
    </cfRule>
    <cfRule type="expression" dxfId="6414" priority="110">
      <formula>#REF!&lt;&gt;""</formula>
    </cfRule>
    <cfRule type="expression" dxfId="6413" priority="111">
      <formula>#REF!&lt;&gt;""</formula>
    </cfRule>
    <cfRule type="expression" dxfId="6412" priority="112">
      <formula>#REF!&lt;&gt;""</formula>
    </cfRule>
    <cfRule type="expression" dxfId="6411" priority="113">
      <formula>#REF!&lt;&gt;""</formula>
    </cfRule>
  </conditionalFormatting>
  <conditionalFormatting sqref="F334">
    <cfRule type="expression" dxfId="6410" priority="90">
      <formula>#REF!&lt;&gt;""</formula>
    </cfRule>
    <cfRule type="expression" dxfId="6409" priority="91">
      <formula>#REF!&lt;&gt;""</formula>
    </cfRule>
    <cfRule type="expression" dxfId="6408" priority="92">
      <formula>#REF!&lt;&gt;""</formula>
    </cfRule>
    <cfRule type="expression" dxfId="6407" priority="93">
      <formula>#REF!&lt;&gt;""</formula>
    </cfRule>
    <cfRule type="expression" dxfId="6406" priority="94">
      <formula>#REF!&lt;&gt;""</formula>
    </cfRule>
    <cfRule type="expression" dxfId="6405" priority="95">
      <formula>#REF!&lt;&gt;""</formula>
    </cfRule>
    <cfRule type="expression" dxfId="6404" priority="96">
      <formula>#REF!&lt;&gt;""</formula>
    </cfRule>
    <cfRule type="expression" dxfId="6403" priority="97">
      <formula>#REF!&lt;&gt;""</formula>
    </cfRule>
    <cfRule type="expression" dxfId="6402" priority="98">
      <formula>#REF!&lt;&gt;""</formula>
    </cfRule>
    <cfRule type="expression" dxfId="6401" priority="99">
      <formula>#REF!&lt;&gt;""</formula>
    </cfRule>
    <cfRule type="expression" dxfId="6400" priority="100">
      <formula>#REF!&lt;&gt;""</formula>
    </cfRule>
    <cfRule type="expression" dxfId="6399" priority="101">
      <formula>#REF!&lt;&gt;""</formula>
    </cfRule>
  </conditionalFormatting>
  <conditionalFormatting sqref="F335">
    <cfRule type="expression" dxfId="6398" priority="78">
      <formula>#REF!&lt;&gt;""</formula>
    </cfRule>
    <cfRule type="expression" dxfId="6397" priority="79">
      <formula>#REF!&lt;&gt;""</formula>
    </cfRule>
    <cfRule type="expression" dxfId="6396" priority="80">
      <formula>#REF!&lt;&gt;""</formula>
    </cfRule>
    <cfRule type="expression" dxfId="6395" priority="81">
      <formula>#REF!&lt;&gt;""</formula>
    </cfRule>
    <cfRule type="expression" dxfId="6394" priority="82">
      <formula>#REF!&lt;&gt;""</formula>
    </cfRule>
    <cfRule type="expression" dxfId="6393" priority="83">
      <formula>#REF!&lt;&gt;""</formula>
    </cfRule>
    <cfRule type="expression" dxfId="6392" priority="84">
      <formula>#REF!&lt;&gt;""</formula>
    </cfRule>
    <cfRule type="expression" dxfId="6391" priority="85">
      <formula>#REF!&lt;&gt;""</formula>
    </cfRule>
    <cfRule type="expression" dxfId="6390" priority="86">
      <formula>#REF!&lt;&gt;""</formula>
    </cfRule>
    <cfRule type="expression" dxfId="6389" priority="87">
      <formula>#REF!&lt;&gt;""</formula>
    </cfRule>
    <cfRule type="expression" dxfId="6388" priority="88">
      <formula>#REF!&lt;&gt;""</formula>
    </cfRule>
    <cfRule type="expression" dxfId="6387" priority="89">
      <formula>#REF!&lt;&gt;""</formula>
    </cfRule>
  </conditionalFormatting>
  <conditionalFormatting sqref="F336">
    <cfRule type="expression" dxfId="6386" priority="66">
      <formula>#REF!&lt;&gt;""</formula>
    </cfRule>
    <cfRule type="expression" dxfId="6385" priority="67">
      <formula>#REF!&lt;&gt;""</formula>
    </cfRule>
    <cfRule type="expression" dxfId="6384" priority="68">
      <formula>#REF!&lt;&gt;""</formula>
    </cfRule>
    <cfRule type="expression" dxfId="6383" priority="69">
      <formula>#REF!&lt;&gt;""</formula>
    </cfRule>
    <cfRule type="expression" dxfId="6382" priority="70">
      <formula>#REF!&lt;&gt;""</formula>
    </cfRule>
    <cfRule type="expression" dxfId="6381" priority="71">
      <formula>#REF!&lt;&gt;""</formula>
    </cfRule>
    <cfRule type="expression" dxfId="6380" priority="72">
      <formula>#REF!&lt;&gt;""</formula>
    </cfRule>
    <cfRule type="expression" dxfId="6379" priority="73">
      <formula>#REF!&lt;&gt;""</formula>
    </cfRule>
    <cfRule type="expression" dxfId="6378" priority="74">
      <formula>#REF!&lt;&gt;""</formula>
    </cfRule>
    <cfRule type="expression" dxfId="6377" priority="75">
      <formula>#REF!&lt;&gt;""</formula>
    </cfRule>
    <cfRule type="expression" dxfId="6376" priority="76">
      <formula>#REF!&lt;&gt;""</formula>
    </cfRule>
    <cfRule type="expression" dxfId="6375" priority="77">
      <formula>#REF!&lt;&gt;""</formula>
    </cfRule>
  </conditionalFormatting>
  <conditionalFormatting sqref="F337">
    <cfRule type="expression" dxfId="6374" priority="54">
      <formula>#REF!&lt;&gt;""</formula>
    </cfRule>
    <cfRule type="expression" dxfId="6373" priority="55">
      <formula>#REF!&lt;&gt;""</formula>
    </cfRule>
    <cfRule type="expression" dxfId="6372" priority="56">
      <formula>#REF!&lt;&gt;""</formula>
    </cfRule>
    <cfRule type="expression" dxfId="6371" priority="57">
      <formula>#REF!&lt;&gt;""</formula>
    </cfRule>
    <cfRule type="expression" dxfId="6370" priority="58">
      <formula>#REF!&lt;&gt;""</formula>
    </cfRule>
    <cfRule type="expression" dxfId="6369" priority="59">
      <formula>#REF!&lt;&gt;""</formula>
    </cfRule>
    <cfRule type="expression" dxfId="6368" priority="60">
      <formula>#REF!&lt;&gt;""</formula>
    </cfRule>
    <cfRule type="expression" dxfId="6367" priority="61">
      <formula>#REF!&lt;&gt;""</formula>
    </cfRule>
    <cfRule type="expression" dxfId="6366" priority="62">
      <formula>#REF!&lt;&gt;""</formula>
    </cfRule>
    <cfRule type="expression" dxfId="6365" priority="63">
      <formula>#REF!&lt;&gt;""</formula>
    </cfRule>
    <cfRule type="expression" dxfId="6364" priority="64">
      <formula>#REF!&lt;&gt;""</formula>
    </cfRule>
    <cfRule type="expression" dxfId="6363" priority="65">
      <formula>#REF!&lt;&gt;""</formula>
    </cfRule>
  </conditionalFormatting>
  <conditionalFormatting sqref="F338">
    <cfRule type="expression" dxfId="6362" priority="42">
      <formula>#REF!&lt;&gt;""</formula>
    </cfRule>
    <cfRule type="expression" dxfId="6361" priority="43">
      <formula>#REF!&lt;&gt;""</formula>
    </cfRule>
    <cfRule type="expression" dxfId="6360" priority="44">
      <formula>#REF!&lt;&gt;""</formula>
    </cfRule>
    <cfRule type="expression" dxfId="6359" priority="45">
      <formula>#REF!&lt;&gt;""</formula>
    </cfRule>
    <cfRule type="expression" dxfId="6358" priority="46">
      <formula>#REF!&lt;&gt;""</formula>
    </cfRule>
    <cfRule type="expression" dxfId="6357" priority="47">
      <formula>#REF!&lt;&gt;""</formula>
    </cfRule>
    <cfRule type="expression" dxfId="6356" priority="48">
      <formula>#REF!&lt;&gt;""</formula>
    </cfRule>
    <cfRule type="expression" dxfId="6355" priority="49">
      <formula>#REF!&lt;&gt;""</formula>
    </cfRule>
    <cfRule type="expression" dxfId="6354" priority="50">
      <formula>#REF!&lt;&gt;""</formula>
    </cfRule>
    <cfRule type="expression" dxfId="6353" priority="51">
      <formula>#REF!&lt;&gt;""</formula>
    </cfRule>
    <cfRule type="expression" dxfId="6352" priority="52">
      <formula>#REF!&lt;&gt;""</formula>
    </cfRule>
    <cfRule type="expression" dxfId="6351" priority="53">
      <formula>#REF!&lt;&gt;""</formula>
    </cfRule>
  </conditionalFormatting>
  <conditionalFormatting sqref="F340">
    <cfRule type="expression" dxfId="6350" priority="18">
      <formula>#REF!&lt;&gt;""</formula>
    </cfRule>
    <cfRule type="expression" dxfId="6349" priority="19">
      <formula>#REF!&lt;&gt;""</formula>
    </cfRule>
    <cfRule type="expression" dxfId="6348" priority="20">
      <formula>#REF!&lt;&gt;""</formula>
    </cfRule>
    <cfRule type="expression" dxfId="6347" priority="21">
      <formula>#REF!&lt;&gt;""</formula>
    </cfRule>
    <cfRule type="expression" dxfId="6346" priority="22">
      <formula>#REF!&lt;&gt;""</formula>
    </cfRule>
    <cfRule type="expression" dxfId="6345" priority="23">
      <formula>#REF!&lt;&gt;""</formula>
    </cfRule>
    <cfRule type="expression" dxfId="6344" priority="24">
      <formula>#REF!&lt;&gt;""</formula>
    </cfRule>
    <cfRule type="expression" dxfId="6343" priority="25">
      <formula>#REF!&lt;&gt;""</formula>
    </cfRule>
    <cfRule type="expression" dxfId="6342" priority="26">
      <formula>#REF!&lt;&gt;""</formula>
    </cfRule>
    <cfRule type="expression" dxfId="6341" priority="27">
      <formula>#REF!&lt;&gt;""</formula>
    </cfRule>
    <cfRule type="expression" dxfId="6340" priority="28">
      <formula>#REF!&lt;&gt;""</formula>
    </cfRule>
    <cfRule type="expression" dxfId="6339" priority="29">
      <formula>#REF!&lt;&gt;""</formula>
    </cfRule>
  </conditionalFormatting>
  <conditionalFormatting sqref="G292:G341">
    <cfRule type="expression" dxfId="6338" priority="4" stopIfTrue="1">
      <formula>$H292&lt;&gt;"kg/t.km"</formula>
    </cfRule>
  </conditionalFormatting>
  <conditionalFormatting sqref="G229:G278">
    <cfRule type="expression" dxfId="6337" priority="5389" stopIfTrue="1">
      <formula>#REF!&lt;&gt;"kg/t.km"</formula>
    </cfRule>
  </conditionalFormatting>
  <conditionalFormatting sqref="E153">
    <cfRule type="expression" dxfId="6336" priority="5391" stopIfTrue="1">
      <formula>AND($E153&lt;&gt;0,SUM(#REF!)&lt;&gt;0)</formula>
    </cfRule>
  </conditionalFormatting>
  <conditionalFormatting sqref="F102:F152">
    <cfRule type="expression" dxfId="6335" priority="2" stopIfTrue="1">
      <formula>$G102&lt;&gt;"kg/t.km"</formula>
    </cfRule>
  </conditionalFormatting>
  <dataValidations count="1">
    <dataValidation showInputMessage="1" showErrorMessage="1" errorTitle="Qual o ano da frota?" error="Escolha o ano da frota." sqref="G292:K341 G229:K278 H166:H215 G103:G152 E103:E152 F102:F152"/>
  </dataValidations>
  <pageMargins left="0.25" right="0.25" top="0.25" bottom="0.5" header="0.5" footer="0.25"/>
  <pageSetup orientation="portrait" r:id="rId1"/>
  <headerFooter alignWithMargins="0">
    <oddFooter>&amp;L&amp;"Arial,Italic"&amp;9EPA Climate Leaders Simplified GHG Emissions Calculator (Direct 2.0)&amp;R&amp;"Arial,Italic"&amp;9&amp;P of &amp;N</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Listas!$I$3:$I$9</xm:f>
          </x14:formula1>
          <xm:sqref>D44:E93</xm:sqref>
        </x14:dataValidation>
        <x14:dataValidation type="list" showInputMessage="1" showErrorMessage="1">
          <x14:formula1>
            <xm:f>'Fatores de Emissão'!$E$117:$E$173</xm:f>
          </x14:formula1>
          <xm:sqref>D103:D152</xm:sqref>
        </x14:dataValidation>
        <x14:dataValidation type="list" allowBlank="1" showInputMessage="1" showErrorMessage="1">
          <x14:formula1>
            <xm:f>'Fatores de Emissão'!$D$217:$D$219</xm:f>
          </x14:formula1>
          <xm:sqref>D292:E341</xm:sqref>
        </x14:dataValidation>
        <x14:dataValidation type="list" allowBlank="1" showInputMessage="1" showErrorMessage="1">
          <x14:formula1>
            <xm:f>'Fatores de Emissão'!$E$193:$E$201</xm:f>
          </x14:formula1>
          <xm:sqref>D229:E278</xm:sqref>
        </x14:dataValidation>
        <x14:dataValidation type="list" allowBlank="1" showInputMessage="1" showErrorMessage="1">
          <x14:formula1>
            <xm:f>'Fatores de Emissão'!$E$184</xm:f>
          </x14:formula1>
          <xm:sqref>D166:E215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outlinePr summaryBelow="0" summaryRight="0"/>
  </sheetPr>
  <dimension ref="A1:XFC198"/>
  <sheetViews>
    <sheetView showGridLines="0" zoomScale="90" zoomScaleNormal="90" workbookViewId="0">
      <selection activeCell="J14" sqref="J14"/>
    </sheetView>
  </sheetViews>
  <sheetFormatPr defaultColWidth="0" defaultRowHeight="12.75" customHeight="1" zeroHeight="1" outlineLevelRow="1" x14ac:dyDescent="0.2"/>
  <cols>
    <col min="1" max="1" width="5.7109375" style="195" customWidth="1"/>
    <col min="2" max="2" width="6" style="195" customWidth="1"/>
    <col min="3" max="3" width="58" style="195" customWidth="1"/>
    <col min="4" max="4" width="19.7109375" style="195" customWidth="1"/>
    <col min="5" max="6" width="14.5703125" style="195" customWidth="1"/>
    <col min="7" max="7" width="12.5703125" style="195" customWidth="1"/>
    <col min="8" max="15" width="12.7109375" style="195" customWidth="1"/>
    <col min="16" max="33" width="12" style="195" customWidth="1"/>
    <col min="34" max="35" width="12.140625" style="195" customWidth="1"/>
    <col min="36" max="41" width="3.140625" style="195" hidden="1"/>
    <col min="42" max="47" width="3.140625" style="707" hidden="1"/>
    <col min="48" max="54" width="3.140625" style="195" hidden="1"/>
    <col min="55" max="55" width="10.42578125" style="195" hidden="1"/>
    <col min="56" max="85" width="12.42578125" style="195" hidden="1"/>
    <col min="86" max="16383" width="9.140625" style="195" hidden="1"/>
    <col min="16384" max="16384" width="3.140625" style="195" hidden="1"/>
  </cols>
  <sheetData>
    <row r="1" spans="1:48" ht="15.75" customHeight="1" x14ac:dyDescent="0.25">
      <c r="A1" s="631"/>
      <c r="B1" s="631"/>
      <c r="C1" s="631"/>
      <c r="D1" s="631"/>
      <c r="E1" s="631"/>
      <c r="F1" s="631"/>
      <c r="G1" s="631"/>
      <c r="H1" s="631"/>
      <c r="I1" s="631"/>
      <c r="J1" s="631"/>
      <c r="K1" s="631"/>
      <c r="L1" s="631"/>
      <c r="M1" s="631"/>
      <c r="N1" s="631"/>
      <c r="O1" s="631"/>
      <c r="P1" s="631"/>
      <c r="Q1" s="631"/>
      <c r="R1" s="631"/>
      <c r="S1" s="631"/>
      <c r="T1" s="631"/>
      <c r="U1" s="631"/>
      <c r="V1" s="631"/>
      <c r="W1" s="631"/>
      <c r="X1" s="631"/>
      <c r="Y1" s="631"/>
      <c r="Z1" s="631"/>
      <c r="AA1" s="690"/>
      <c r="AB1" s="631"/>
      <c r="AC1" s="631"/>
      <c r="AD1" s="631"/>
      <c r="AE1" s="631"/>
      <c r="AF1" s="631"/>
      <c r="AG1" s="631"/>
      <c r="AH1" s="631"/>
      <c r="AI1" s="631"/>
      <c r="AJ1" s="631"/>
      <c r="AK1" s="631"/>
      <c r="AL1" s="631"/>
      <c r="AM1" s="631"/>
      <c r="AN1" s="631"/>
      <c r="AO1" s="631"/>
      <c r="AP1" s="691"/>
      <c r="AQ1" s="691"/>
      <c r="AR1" s="691"/>
      <c r="AS1" s="691"/>
      <c r="AT1" s="691"/>
      <c r="AU1" s="691"/>
      <c r="AV1" s="631"/>
    </row>
    <row r="2" spans="1:48" ht="15.75" x14ac:dyDescent="0.25">
      <c r="A2" s="631"/>
      <c r="B2" s="631"/>
      <c r="C2" s="631"/>
      <c r="D2" s="631"/>
      <c r="E2" s="631"/>
      <c r="F2" s="631"/>
      <c r="G2" s="631"/>
      <c r="H2" s="631"/>
      <c r="I2" s="631"/>
      <c r="J2" s="631"/>
      <c r="K2" s="631"/>
      <c r="L2" s="631"/>
      <c r="M2" s="631"/>
      <c r="N2" s="631"/>
      <c r="O2" s="631"/>
      <c r="P2" s="631"/>
      <c r="Q2" s="631"/>
      <c r="R2" s="631"/>
      <c r="S2" s="631"/>
      <c r="T2" s="631"/>
      <c r="U2" s="631"/>
      <c r="V2" s="631"/>
      <c r="W2" s="631"/>
      <c r="X2" s="631"/>
      <c r="Y2" s="631"/>
      <c r="Z2" s="631"/>
      <c r="AA2" s="690"/>
      <c r="AB2" s="631"/>
      <c r="AC2" s="631"/>
      <c r="AD2" s="631"/>
      <c r="AE2" s="631"/>
      <c r="AF2" s="631"/>
      <c r="AG2" s="631"/>
      <c r="AH2" s="631"/>
      <c r="AI2" s="631"/>
      <c r="AJ2" s="631"/>
      <c r="AK2" s="631"/>
      <c r="AL2" s="631"/>
      <c r="AM2" s="631"/>
      <c r="AN2" s="631"/>
      <c r="AO2" s="631"/>
      <c r="AP2" s="691"/>
      <c r="AQ2" s="691"/>
      <c r="AR2" s="691"/>
      <c r="AS2" s="691"/>
      <c r="AT2" s="691"/>
      <c r="AU2" s="691"/>
      <c r="AV2" s="631"/>
    </row>
    <row r="3" spans="1:48" ht="15.75" x14ac:dyDescent="0.25">
      <c r="A3" s="631"/>
      <c r="B3" s="631"/>
      <c r="C3" s="631"/>
      <c r="D3" s="631"/>
      <c r="E3" s="631"/>
      <c r="F3" s="631"/>
      <c r="G3" s="631"/>
      <c r="H3" s="631"/>
      <c r="I3" s="631"/>
      <c r="J3" s="631"/>
      <c r="K3" s="631"/>
      <c r="L3" s="631"/>
      <c r="M3" s="631"/>
      <c r="N3" s="631"/>
      <c r="O3" s="631"/>
      <c r="P3" s="631"/>
      <c r="Q3" s="631"/>
      <c r="R3" s="631"/>
      <c r="S3" s="631"/>
      <c r="T3" s="631"/>
      <c r="U3" s="631"/>
      <c r="V3" s="631"/>
      <c r="W3" s="631"/>
      <c r="X3" s="631"/>
      <c r="Y3" s="631"/>
      <c r="Z3" s="631"/>
      <c r="AA3" s="690"/>
      <c r="AB3" s="631"/>
      <c r="AC3" s="631"/>
      <c r="AD3" s="631"/>
      <c r="AE3" s="631"/>
      <c r="AF3" s="631"/>
      <c r="AG3" s="631"/>
      <c r="AH3" s="631"/>
      <c r="AI3" s="631"/>
      <c r="AJ3" s="631"/>
      <c r="AK3" s="631"/>
      <c r="AL3" s="631"/>
      <c r="AM3" s="631"/>
      <c r="AN3" s="631"/>
      <c r="AO3" s="631"/>
      <c r="AP3" s="691"/>
      <c r="AQ3" s="691"/>
      <c r="AR3" s="691"/>
      <c r="AS3" s="691"/>
      <c r="AT3" s="691"/>
      <c r="AU3" s="691"/>
      <c r="AV3" s="631"/>
    </row>
    <row r="4" spans="1:48" ht="15.75" x14ac:dyDescent="0.25">
      <c r="A4" s="631"/>
      <c r="B4" s="631"/>
      <c r="C4" s="631"/>
      <c r="D4" s="631"/>
      <c r="E4" s="631"/>
      <c r="F4" s="631"/>
      <c r="G4" s="631"/>
      <c r="H4" s="631"/>
      <c r="I4" s="631"/>
      <c r="J4" s="631"/>
      <c r="K4" s="631"/>
      <c r="L4" s="631"/>
      <c r="M4" s="631"/>
      <c r="N4" s="631"/>
      <c r="O4" s="631"/>
      <c r="P4" s="631"/>
      <c r="Q4" s="631"/>
      <c r="R4" s="631"/>
      <c r="S4" s="631"/>
      <c r="T4" s="631"/>
      <c r="U4" s="631"/>
      <c r="V4" s="631"/>
      <c r="W4" s="631"/>
      <c r="X4" s="631"/>
      <c r="Y4" s="631"/>
      <c r="Z4" s="631"/>
      <c r="AA4" s="690"/>
      <c r="AB4" s="631"/>
      <c r="AC4" s="631"/>
      <c r="AD4" s="631"/>
      <c r="AE4" s="631"/>
      <c r="AF4" s="631"/>
      <c r="AG4" s="631"/>
      <c r="AH4" s="631"/>
      <c r="AI4" s="631"/>
      <c r="AJ4" s="631"/>
      <c r="AK4" s="631"/>
      <c r="AL4" s="631"/>
      <c r="AM4" s="631"/>
      <c r="AN4" s="631"/>
      <c r="AO4" s="631"/>
      <c r="AP4" s="691"/>
      <c r="AQ4" s="691"/>
      <c r="AR4" s="691"/>
      <c r="AS4" s="691"/>
      <c r="AT4" s="691"/>
      <c r="AU4" s="691"/>
      <c r="AV4" s="631"/>
    </row>
    <row r="5" spans="1:48" ht="15.75" x14ac:dyDescent="0.25">
      <c r="A5" s="631"/>
      <c r="B5" s="631"/>
      <c r="C5" s="631"/>
      <c r="D5" s="631"/>
      <c r="E5" s="631"/>
      <c r="F5" s="631"/>
      <c r="G5" s="631"/>
      <c r="H5" s="631"/>
      <c r="I5" s="631"/>
      <c r="J5" s="631"/>
      <c r="K5" s="631"/>
      <c r="L5" s="631"/>
      <c r="M5" s="631"/>
      <c r="N5" s="631"/>
      <c r="O5" s="631"/>
      <c r="P5" s="631"/>
      <c r="Q5" s="631"/>
      <c r="R5" s="631"/>
      <c r="S5" s="631"/>
      <c r="T5" s="631"/>
      <c r="U5" s="631"/>
      <c r="V5" s="631"/>
      <c r="W5" s="631"/>
      <c r="X5" s="631"/>
      <c r="Y5" s="631"/>
      <c r="Z5" s="631"/>
      <c r="AA5" s="690"/>
      <c r="AB5" s="631"/>
      <c r="AC5" s="631"/>
      <c r="AD5" s="631"/>
      <c r="AE5" s="631"/>
      <c r="AF5" s="631"/>
      <c r="AG5" s="631"/>
      <c r="AH5" s="631"/>
      <c r="AI5" s="631"/>
      <c r="AJ5" s="631"/>
      <c r="AK5" s="631"/>
      <c r="AL5" s="631"/>
      <c r="AM5" s="631"/>
      <c r="AN5" s="631"/>
      <c r="AO5" s="631"/>
      <c r="AP5" s="691"/>
      <c r="AQ5" s="691"/>
      <c r="AR5" s="691"/>
      <c r="AS5" s="691"/>
      <c r="AT5" s="691"/>
      <c r="AU5" s="691"/>
      <c r="AV5" s="631"/>
    </row>
    <row r="6" spans="1:48" ht="15.75" x14ac:dyDescent="0.25">
      <c r="A6" s="631"/>
      <c r="B6" s="631"/>
      <c r="C6" s="631"/>
      <c r="D6" s="631"/>
      <c r="E6" s="631"/>
      <c r="F6" s="631"/>
      <c r="G6" s="631"/>
      <c r="H6" s="631"/>
      <c r="I6" s="631"/>
      <c r="J6" s="631"/>
      <c r="K6" s="631"/>
      <c r="L6" s="631"/>
      <c r="M6" s="631"/>
      <c r="N6" s="631"/>
      <c r="O6" s="631"/>
      <c r="P6" s="631"/>
      <c r="Q6" s="631"/>
      <c r="R6" s="631"/>
      <c r="S6" s="631"/>
      <c r="T6" s="631"/>
      <c r="U6" s="631"/>
      <c r="V6" s="631"/>
      <c r="W6" s="631"/>
      <c r="X6" s="631"/>
      <c r="Y6" s="631"/>
      <c r="Z6" s="631"/>
      <c r="AA6" s="690"/>
      <c r="AB6" s="631"/>
      <c r="AC6" s="631"/>
      <c r="AD6" s="631"/>
      <c r="AE6" s="631"/>
      <c r="AF6" s="631"/>
      <c r="AG6" s="631"/>
      <c r="AH6" s="631"/>
      <c r="AI6" s="631"/>
      <c r="AJ6" s="631"/>
      <c r="AK6" s="631"/>
      <c r="AL6" s="631"/>
      <c r="AM6" s="631"/>
      <c r="AN6" s="631"/>
      <c r="AO6" s="631"/>
      <c r="AP6" s="691"/>
      <c r="AQ6" s="691"/>
      <c r="AR6" s="691"/>
      <c r="AS6" s="691"/>
      <c r="AT6" s="691"/>
      <c r="AU6" s="691"/>
      <c r="AV6" s="631"/>
    </row>
    <row r="7" spans="1:48" ht="15.75" x14ac:dyDescent="0.25">
      <c r="A7" s="631"/>
      <c r="B7" s="631"/>
      <c r="C7" s="631"/>
      <c r="D7" s="631"/>
      <c r="E7" s="631"/>
      <c r="F7" s="631"/>
      <c r="G7" s="631"/>
      <c r="H7" s="631"/>
      <c r="I7" s="631"/>
      <c r="J7" s="631"/>
      <c r="K7" s="631"/>
      <c r="L7" s="631"/>
      <c r="M7" s="631"/>
      <c r="N7" s="631"/>
      <c r="O7" s="631"/>
      <c r="P7" s="631"/>
      <c r="Q7" s="631"/>
      <c r="R7" s="631"/>
      <c r="S7" s="631"/>
      <c r="T7" s="631"/>
      <c r="U7" s="631"/>
      <c r="V7" s="631"/>
      <c r="W7" s="631"/>
      <c r="X7" s="631"/>
      <c r="Y7" s="631"/>
      <c r="Z7" s="631"/>
      <c r="AA7" s="690"/>
      <c r="AB7" s="631"/>
      <c r="AC7" s="631"/>
      <c r="AD7" s="631"/>
      <c r="AE7" s="631"/>
      <c r="AF7" s="631"/>
      <c r="AG7" s="631"/>
      <c r="AH7" s="631"/>
      <c r="AI7" s="631"/>
      <c r="AJ7" s="631"/>
      <c r="AK7" s="631"/>
      <c r="AL7" s="631"/>
      <c r="AM7" s="631"/>
      <c r="AN7" s="631"/>
      <c r="AO7" s="631"/>
      <c r="AP7" s="691"/>
      <c r="AQ7" s="691"/>
      <c r="AR7" s="691"/>
      <c r="AS7" s="691"/>
      <c r="AT7" s="691"/>
      <c r="AU7" s="691"/>
      <c r="AV7" s="631"/>
    </row>
    <row r="8" spans="1:48" ht="15.75" x14ac:dyDescent="0.25">
      <c r="A8" s="631"/>
      <c r="B8" s="631"/>
      <c r="C8" s="631"/>
      <c r="D8" s="631"/>
      <c r="E8" s="631"/>
      <c r="F8" s="631"/>
      <c r="G8" s="631"/>
      <c r="H8" s="631"/>
      <c r="I8" s="631"/>
      <c r="J8" s="631"/>
      <c r="K8" s="631"/>
      <c r="L8" s="631"/>
      <c r="M8" s="631"/>
      <c r="N8" s="631"/>
      <c r="O8" s="631"/>
      <c r="P8" s="631"/>
      <c r="Q8" s="631"/>
      <c r="R8" s="631"/>
      <c r="S8" s="631"/>
      <c r="T8" s="631"/>
      <c r="U8" s="631"/>
      <c r="V8" s="631"/>
      <c r="W8" s="631"/>
      <c r="X8" s="631"/>
      <c r="Y8" s="631"/>
      <c r="Z8" s="631"/>
      <c r="AA8" s="690"/>
      <c r="AB8" s="631"/>
      <c r="AC8" s="631"/>
      <c r="AD8" s="631"/>
      <c r="AE8" s="631"/>
      <c r="AF8" s="631"/>
      <c r="AG8" s="631"/>
      <c r="AH8" s="631"/>
      <c r="AI8" s="631"/>
      <c r="AJ8" s="631"/>
      <c r="AK8" s="631"/>
      <c r="AL8" s="631"/>
      <c r="AM8" s="631"/>
      <c r="AN8" s="631"/>
      <c r="AO8" s="631"/>
      <c r="AP8" s="691"/>
      <c r="AQ8" s="691"/>
      <c r="AR8" s="691"/>
      <c r="AS8" s="691"/>
      <c r="AT8" s="691"/>
      <c r="AU8" s="691"/>
      <c r="AV8" s="631"/>
    </row>
    <row r="9" spans="1:48" ht="15.75" x14ac:dyDescent="0.25">
      <c r="A9" s="631"/>
      <c r="B9" s="631"/>
      <c r="C9" s="631"/>
      <c r="D9" s="631"/>
      <c r="E9" s="631"/>
      <c r="F9" s="631"/>
      <c r="G9" s="631"/>
      <c r="H9" s="631"/>
      <c r="I9" s="631"/>
      <c r="J9" s="631"/>
      <c r="K9" s="631"/>
      <c r="L9" s="631"/>
      <c r="M9" s="631"/>
      <c r="N9" s="631"/>
      <c r="O9" s="631"/>
      <c r="P9" s="631"/>
      <c r="Q9" s="631"/>
      <c r="R9" s="631"/>
      <c r="S9" s="631"/>
      <c r="T9" s="631"/>
      <c r="U9" s="631"/>
      <c r="V9" s="631"/>
      <c r="W9" s="631"/>
      <c r="X9" s="631"/>
      <c r="Y9" s="631"/>
      <c r="Z9" s="631"/>
      <c r="AA9" s="690"/>
      <c r="AB9" s="631"/>
      <c r="AC9" s="631"/>
      <c r="AD9" s="631"/>
      <c r="AE9" s="631"/>
      <c r="AF9" s="631"/>
      <c r="AG9" s="631"/>
      <c r="AH9" s="631"/>
      <c r="AI9" s="631"/>
      <c r="AJ9" s="631"/>
      <c r="AK9" s="631"/>
      <c r="AL9" s="631"/>
      <c r="AM9" s="631"/>
      <c r="AN9" s="631"/>
      <c r="AO9" s="631"/>
      <c r="AP9" s="691"/>
      <c r="AQ9" s="691"/>
      <c r="AR9" s="691"/>
      <c r="AS9" s="691"/>
      <c r="AT9" s="691"/>
      <c r="AU9" s="691"/>
      <c r="AV9" s="631"/>
    </row>
    <row r="10" spans="1:48" ht="18.75" x14ac:dyDescent="0.3">
      <c r="A10" s="631"/>
      <c r="B10" s="862" t="s">
        <v>2213</v>
      </c>
      <c r="C10" s="631"/>
      <c r="D10" s="631"/>
      <c r="E10" s="631"/>
      <c r="F10" s="631"/>
      <c r="G10" s="631"/>
      <c r="H10" s="631"/>
      <c r="I10" s="631"/>
      <c r="J10" s="631"/>
      <c r="K10" s="631"/>
      <c r="L10" s="631"/>
      <c r="M10" s="631"/>
      <c r="N10" s="631"/>
      <c r="O10" s="631"/>
      <c r="P10" s="631"/>
      <c r="Q10" s="631"/>
      <c r="R10" s="631"/>
      <c r="S10" s="631"/>
      <c r="T10" s="631"/>
      <c r="U10" s="631"/>
      <c r="V10" s="631"/>
      <c r="W10" s="631"/>
      <c r="X10" s="631"/>
      <c r="Y10" s="631"/>
      <c r="Z10" s="631"/>
      <c r="AA10" s="690"/>
      <c r="AB10" s="631"/>
      <c r="AC10" s="631"/>
      <c r="AD10" s="631"/>
      <c r="AE10" s="631"/>
      <c r="AF10" s="631"/>
      <c r="AG10" s="631"/>
      <c r="AH10" s="631"/>
      <c r="AI10" s="631"/>
      <c r="AJ10" s="631"/>
      <c r="AK10" s="631"/>
      <c r="AL10" s="631"/>
      <c r="AM10" s="631"/>
      <c r="AN10" s="631"/>
      <c r="AO10" s="631"/>
      <c r="AP10" s="691"/>
      <c r="AQ10" s="691"/>
      <c r="AR10" s="691"/>
      <c r="AS10" s="691"/>
      <c r="AT10" s="691"/>
      <c r="AU10" s="691"/>
      <c r="AV10" s="631"/>
    </row>
    <row r="11" spans="1:48" ht="15.75" x14ac:dyDescent="0.25">
      <c r="A11" s="631"/>
      <c r="B11" s="692"/>
      <c r="C11" s="631"/>
      <c r="D11" s="631"/>
      <c r="E11" s="631"/>
      <c r="F11" s="631"/>
      <c r="G11" s="631"/>
      <c r="H11" s="631"/>
      <c r="I11" s="631"/>
      <c r="J11" s="631"/>
      <c r="K11" s="631"/>
      <c r="L11" s="631"/>
      <c r="M11" s="631"/>
      <c r="N11" s="631"/>
      <c r="O11" s="631"/>
      <c r="P11" s="631"/>
      <c r="Q11" s="631"/>
      <c r="R11" s="631"/>
      <c r="S11" s="631"/>
      <c r="T11" s="631"/>
      <c r="U11" s="631"/>
      <c r="V11" s="631"/>
      <c r="W11" s="631"/>
      <c r="X11" s="631"/>
      <c r="Y11" s="631"/>
      <c r="Z11" s="631"/>
      <c r="AA11" s="690"/>
      <c r="AB11" s="631"/>
      <c r="AC11" s="631"/>
      <c r="AD11" s="631"/>
      <c r="AE11" s="631"/>
      <c r="AF11" s="631"/>
      <c r="AG11" s="631"/>
      <c r="AH11" s="631"/>
      <c r="AI11" s="631"/>
      <c r="AJ11" s="631"/>
      <c r="AK11" s="631"/>
      <c r="AL11" s="631"/>
      <c r="AM11" s="631"/>
      <c r="AN11" s="631"/>
      <c r="AO11" s="631"/>
      <c r="AP11" s="691"/>
      <c r="AQ11" s="691"/>
      <c r="AR11" s="691"/>
      <c r="AS11" s="691"/>
      <c r="AT11" s="691"/>
      <c r="AU11" s="691"/>
      <c r="AV11" s="631"/>
    </row>
    <row r="12" spans="1:48" ht="15.75" x14ac:dyDescent="0.25">
      <c r="A12" s="631"/>
      <c r="B12" s="631"/>
      <c r="C12" s="638" t="s">
        <v>142</v>
      </c>
      <c r="D12" s="1333">
        <f>IF(OR(Ano="Selecione",Ano=0),"Escolha o ano do inventário na aba 'Introdução'",Ano)</f>
        <v>2030</v>
      </c>
      <c r="E12" s="1333"/>
      <c r="F12" s="1333"/>
      <c r="G12" s="693"/>
      <c r="H12" s="693"/>
      <c r="I12" s="693"/>
      <c r="J12" s="693"/>
      <c r="K12" s="631"/>
      <c r="L12" s="631"/>
      <c r="M12" s="631"/>
      <c r="N12" s="631"/>
      <c r="O12" s="631"/>
      <c r="P12" s="631"/>
      <c r="Q12" s="631"/>
      <c r="R12" s="631"/>
      <c r="S12" s="631"/>
      <c r="T12" s="631"/>
      <c r="U12" s="631"/>
      <c r="V12" s="631"/>
      <c r="W12" s="631"/>
      <c r="X12" s="631"/>
      <c r="Y12" s="631"/>
      <c r="Z12" s="631"/>
      <c r="AA12" s="690"/>
      <c r="AB12" s="631"/>
      <c r="AC12" s="631"/>
      <c r="AD12" s="631"/>
      <c r="AE12" s="631"/>
      <c r="AF12" s="631"/>
      <c r="AG12" s="631"/>
      <c r="AH12" s="631"/>
      <c r="AI12" s="631"/>
      <c r="AJ12" s="631"/>
      <c r="AK12" s="631"/>
      <c r="AL12" s="631"/>
      <c r="AM12" s="631"/>
      <c r="AN12" s="631"/>
      <c r="AO12" s="631"/>
      <c r="AP12" s="691"/>
      <c r="AQ12" s="691"/>
      <c r="AR12" s="691"/>
      <c r="AS12" s="691"/>
      <c r="AT12" s="691"/>
      <c r="AU12" s="691"/>
      <c r="AV12" s="631"/>
    </row>
    <row r="13" spans="1:48" ht="15.75" x14ac:dyDescent="0.25">
      <c r="A13" s="631"/>
      <c r="B13" s="631"/>
      <c r="C13" s="694"/>
      <c r="D13" s="694"/>
      <c r="E13" s="693"/>
      <c r="F13" s="693"/>
      <c r="G13" s="693"/>
      <c r="H13" s="693"/>
      <c r="I13" s="693"/>
      <c r="J13" s="693"/>
      <c r="K13" s="631"/>
      <c r="L13" s="631"/>
      <c r="M13" s="631"/>
      <c r="N13" s="631"/>
      <c r="O13" s="631"/>
      <c r="P13" s="631"/>
      <c r="Q13" s="631"/>
      <c r="R13" s="631"/>
      <c r="S13" s="631"/>
      <c r="T13" s="631"/>
      <c r="U13" s="631"/>
      <c r="V13" s="631"/>
      <c r="W13" s="631"/>
      <c r="X13" s="631"/>
      <c r="Y13" s="631"/>
      <c r="Z13" s="631"/>
      <c r="AA13" s="690"/>
      <c r="AB13" s="631"/>
      <c r="AC13" s="631"/>
      <c r="AD13" s="631"/>
      <c r="AE13" s="631"/>
      <c r="AF13" s="631"/>
      <c r="AG13" s="631"/>
      <c r="AH13" s="631"/>
      <c r="AI13" s="631"/>
      <c r="AJ13" s="631"/>
      <c r="AK13" s="631"/>
      <c r="AL13" s="631"/>
      <c r="AM13" s="631"/>
      <c r="AN13" s="631"/>
      <c r="AO13" s="631"/>
      <c r="AP13" s="691"/>
      <c r="AQ13" s="691"/>
      <c r="AR13" s="691"/>
      <c r="AS13" s="691"/>
      <c r="AT13" s="691"/>
      <c r="AU13" s="691"/>
      <c r="AV13" s="631"/>
    </row>
    <row r="14" spans="1:48" ht="15.75" x14ac:dyDescent="0.25">
      <c r="A14" s="631"/>
      <c r="B14" s="728" t="s">
        <v>4</v>
      </c>
      <c r="C14" s="690"/>
      <c r="D14" s="690"/>
      <c r="E14" s="690"/>
      <c r="F14" s="690"/>
      <c r="G14" s="690"/>
      <c r="H14" s="690"/>
      <c r="I14" s="690"/>
      <c r="J14" s="690"/>
      <c r="K14" s="690"/>
      <c r="L14" s="690"/>
      <c r="M14" s="690"/>
      <c r="N14" s="690"/>
      <c r="O14" s="690"/>
      <c r="P14" s="690"/>
      <c r="Q14" s="690"/>
      <c r="R14" s="690"/>
      <c r="S14" s="690"/>
      <c r="T14" s="690"/>
      <c r="U14" s="690"/>
      <c r="V14" s="690"/>
      <c r="W14" s="690"/>
      <c r="X14" s="690"/>
      <c r="Y14" s="690"/>
      <c r="Z14" s="690"/>
      <c r="AA14" s="690"/>
      <c r="AB14" s="690"/>
      <c r="AC14" s="690"/>
      <c r="AD14" s="690"/>
      <c r="AE14" s="690"/>
      <c r="AF14" s="690"/>
      <c r="AG14" s="690"/>
      <c r="AH14" s="690"/>
      <c r="AI14" s="690"/>
      <c r="AJ14" s="690"/>
      <c r="AK14" s="690"/>
      <c r="AL14" s="690"/>
      <c r="AM14" s="696"/>
      <c r="AN14" s="697"/>
      <c r="AO14" s="690"/>
      <c r="AP14" s="698"/>
      <c r="AQ14" s="698"/>
      <c r="AR14" s="698"/>
      <c r="AS14" s="698"/>
      <c r="AT14" s="698"/>
      <c r="AU14" s="698"/>
      <c r="AV14" s="631"/>
    </row>
    <row r="15" spans="1:48" s="237" customFormat="1" ht="15" customHeight="1" x14ac:dyDescent="0.25">
      <c r="A15" s="729"/>
      <c r="B15" s="1325" t="s">
        <v>2108</v>
      </c>
      <c r="C15" s="1325"/>
      <c r="D15" s="1325"/>
      <c r="E15" s="1325"/>
      <c r="F15" s="1325"/>
      <c r="G15" s="1325"/>
      <c r="H15" s="1325"/>
      <c r="I15" s="1151"/>
      <c r="J15" s="1151"/>
      <c r="K15" s="1151"/>
      <c r="V15" s="729"/>
      <c r="W15" s="729"/>
      <c r="X15" s="729"/>
      <c r="Y15" s="729"/>
      <c r="Z15" s="729"/>
      <c r="AA15" s="729"/>
      <c r="AB15" s="729"/>
      <c r="AC15" s="729"/>
      <c r="AD15" s="729"/>
      <c r="AE15" s="729"/>
      <c r="AF15" s="729"/>
      <c r="AG15" s="729"/>
      <c r="AH15" s="729"/>
      <c r="AI15" s="729"/>
      <c r="AJ15" s="729"/>
      <c r="AK15" s="729"/>
      <c r="AL15" s="729"/>
      <c r="AM15" s="731"/>
      <c r="AN15" s="729"/>
      <c r="AO15" s="729"/>
      <c r="AP15" s="732"/>
      <c r="AQ15" s="732"/>
      <c r="AR15" s="732"/>
      <c r="AS15" s="732"/>
      <c r="AT15" s="732"/>
      <c r="AU15" s="732"/>
      <c r="AV15" s="729"/>
    </row>
    <row r="16" spans="1:48" s="237" customFormat="1" ht="15" x14ac:dyDescent="0.25">
      <c r="A16" s="729"/>
      <c r="B16" s="1325"/>
      <c r="C16" s="1325"/>
      <c r="D16" s="1325"/>
      <c r="E16" s="1325"/>
      <c r="F16" s="1325"/>
      <c r="G16" s="1325"/>
      <c r="H16" s="1325"/>
      <c r="I16" s="1151"/>
      <c r="J16" s="1151"/>
      <c r="K16" s="1151"/>
      <c r="V16" s="729"/>
      <c r="W16" s="729"/>
      <c r="X16" s="729"/>
      <c r="Y16" s="729"/>
      <c r="Z16" s="729"/>
      <c r="AA16" s="729"/>
      <c r="AB16" s="729"/>
      <c r="AC16" s="729"/>
      <c r="AD16" s="729"/>
      <c r="AE16" s="729"/>
      <c r="AF16" s="729"/>
      <c r="AG16" s="729"/>
      <c r="AH16" s="729"/>
      <c r="AI16" s="729"/>
      <c r="AJ16" s="729"/>
      <c r="AK16" s="729"/>
      <c r="AL16" s="729"/>
      <c r="AM16" s="731"/>
      <c r="AN16" s="729"/>
      <c r="AO16" s="729"/>
      <c r="AP16" s="732"/>
      <c r="AQ16" s="732"/>
      <c r="AR16" s="732"/>
      <c r="AS16" s="732"/>
      <c r="AT16" s="732"/>
      <c r="AU16" s="732"/>
      <c r="AV16" s="729"/>
    </row>
    <row r="17" spans="1:56" s="237" customFormat="1" ht="15" x14ac:dyDescent="0.25">
      <c r="A17" s="729"/>
      <c r="B17" s="1325"/>
      <c r="C17" s="1325"/>
      <c r="D17" s="1325"/>
      <c r="E17" s="1325"/>
      <c r="F17" s="1325"/>
      <c r="G17" s="1325"/>
      <c r="H17" s="1325"/>
      <c r="V17" s="729"/>
      <c r="W17" s="729"/>
      <c r="X17" s="729"/>
      <c r="Y17" s="729"/>
      <c r="Z17" s="729"/>
      <c r="AA17" s="729"/>
      <c r="AB17" s="729"/>
      <c r="AC17" s="729"/>
      <c r="AD17" s="729"/>
      <c r="AE17" s="729"/>
      <c r="AF17" s="729"/>
      <c r="AG17" s="729"/>
      <c r="AH17" s="729"/>
      <c r="AI17" s="729"/>
      <c r="AJ17" s="729"/>
      <c r="AK17" s="729"/>
      <c r="AL17" s="729"/>
      <c r="AM17" s="731"/>
      <c r="AN17" s="729"/>
      <c r="AO17" s="729"/>
      <c r="AP17" s="732"/>
      <c r="AQ17" s="732"/>
      <c r="AR17" s="732"/>
      <c r="AS17" s="732"/>
      <c r="AT17" s="732"/>
      <c r="AU17" s="732"/>
      <c r="AV17" s="729"/>
    </row>
    <row r="18" spans="1:56" s="237" customFormat="1" ht="15" customHeight="1" x14ac:dyDescent="0.25">
      <c r="A18" s="729"/>
      <c r="B18" s="1325" t="s">
        <v>2011</v>
      </c>
      <c r="C18" s="1325"/>
      <c r="D18" s="1325"/>
      <c r="E18" s="1325"/>
      <c r="F18" s="1325"/>
      <c r="G18" s="1325"/>
      <c r="H18" s="1325"/>
      <c r="I18" s="1151"/>
      <c r="J18" s="1151"/>
      <c r="K18" s="1151"/>
      <c r="V18" s="729"/>
      <c r="W18" s="729"/>
      <c r="X18" s="729"/>
      <c r="Y18" s="729"/>
      <c r="Z18" s="729"/>
      <c r="AA18" s="729"/>
      <c r="AB18" s="729"/>
      <c r="AC18" s="729"/>
      <c r="AD18" s="729"/>
      <c r="AE18" s="729"/>
      <c r="AF18" s="729"/>
      <c r="AG18" s="729"/>
      <c r="AH18" s="729"/>
      <c r="AI18" s="729"/>
      <c r="AJ18" s="729"/>
      <c r="AK18" s="729"/>
      <c r="AL18" s="729"/>
      <c r="AM18" s="731"/>
      <c r="AN18" s="729"/>
      <c r="AO18" s="729"/>
      <c r="AP18" s="732"/>
      <c r="AQ18" s="732"/>
      <c r="AR18" s="732"/>
      <c r="AS18" s="732"/>
      <c r="AT18" s="732"/>
      <c r="AU18" s="732"/>
      <c r="AV18" s="729"/>
    </row>
    <row r="19" spans="1:56" s="237" customFormat="1" ht="33.75" customHeight="1" x14ac:dyDescent="0.25">
      <c r="A19" s="729"/>
      <c r="B19" s="1325"/>
      <c r="C19" s="1325"/>
      <c r="D19" s="1325"/>
      <c r="E19" s="1325"/>
      <c r="F19" s="1325"/>
      <c r="G19" s="1325"/>
      <c r="H19" s="1325"/>
      <c r="I19" s="1151"/>
      <c r="J19" s="1151"/>
      <c r="K19" s="1151"/>
      <c r="V19" s="729"/>
      <c r="W19" s="729"/>
      <c r="X19" s="729"/>
      <c r="Y19" s="729"/>
      <c r="Z19" s="729"/>
      <c r="AA19" s="729"/>
      <c r="AB19" s="729"/>
      <c r="AC19" s="729"/>
      <c r="AD19" s="729"/>
      <c r="AE19" s="729"/>
      <c r="AF19" s="729"/>
      <c r="AG19" s="729"/>
      <c r="AH19" s="729"/>
      <c r="AI19" s="729"/>
      <c r="AJ19" s="729"/>
      <c r="AK19" s="729"/>
      <c r="AL19" s="729"/>
      <c r="AM19" s="731"/>
      <c r="AN19" s="729"/>
      <c r="AO19" s="729"/>
      <c r="AP19" s="732"/>
      <c r="AQ19" s="732"/>
      <c r="AR19" s="732"/>
      <c r="AS19" s="732"/>
      <c r="AT19" s="732"/>
      <c r="AU19" s="732"/>
      <c r="AV19" s="729"/>
    </row>
    <row r="20" spans="1:56" s="237" customFormat="1" ht="15" customHeight="1" x14ac:dyDescent="0.25">
      <c r="A20" s="729"/>
      <c r="B20" s="1331" t="s">
        <v>2015</v>
      </c>
      <c r="C20" s="1331"/>
      <c r="D20" s="1331"/>
      <c r="E20" s="1331"/>
      <c r="F20" s="1331"/>
      <c r="G20" s="1331"/>
      <c r="H20" s="1331"/>
      <c r="I20" s="1151"/>
      <c r="J20" s="1151"/>
      <c r="K20" s="1151"/>
      <c r="V20" s="729"/>
      <c r="W20" s="729"/>
      <c r="X20" s="729"/>
      <c r="Y20" s="729"/>
      <c r="Z20" s="729"/>
      <c r="AA20" s="729"/>
      <c r="AB20" s="729"/>
      <c r="AC20" s="729"/>
      <c r="AD20" s="729"/>
      <c r="AE20" s="729"/>
      <c r="AF20" s="729"/>
      <c r="AG20" s="729"/>
      <c r="AH20" s="729"/>
      <c r="AI20" s="729"/>
      <c r="AJ20" s="729"/>
      <c r="AK20" s="729"/>
      <c r="AL20" s="729"/>
      <c r="AM20" s="731"/>
      <c r="AN20" s="729"/>
      <c r="AO20" s="729"/>
      <c r="AP20" s="732"/>
      <c r="AQ20" s="732"/>
      <c r="AR20" s="732"/>
      <c r="AS20" s="732"/>
      <c r="AT20" s="732"/>
      <c r="AU20" s="732"/>
      <c r="AV20" s="729"/>
    </row>
    <row r="21" spans="1:56" s="237" customFormat="1" ht="15" customHeight="1" x14ac:dyDescent="0.25">
      <c r="A21" s="729"/>
      <c r="B21" s="1331"/>
      <c r="C21" s="1331"/>
      <c r="D21" s="1331"/>
      <c r="E21" s="1331"/>
      <c r="F21" s="1331"/>
      <c r="G21" s="1331"/>
      <c r="H21" s="1331"/>
      <c r="I21" s="1151"/>
      <c r="J21" s="1151"/>
      <c r="K21" s="1151"/>
      <c r="V21" s="729"/>
      <c r="W21" s="729"/>
      <c r="X21" s="729"/>
      <c r="Y21" s="729"/>
      <c r="Z21" s="729"/>
      <c r="AA21" s="729"/>
      <c r="AB21" s="729"/>
      <c r="AC21" s="729"/>
      <c r="AD21" s="729"/>
      <c r="AE21" s="729"/>
      <c r="AF21" s="729"/>
      <c r="AG21" s="729"/>
      <c r="AH21" s="729"/>
      <c r="AI21" s="729"/>
      <c r="AJ21" s="729"/>
      <c r="AK21" s="729"/>
      <c r="AL21" s="729"/>
      <c r="AM21" s="731"/>
      <c r="AN21" s="729"/>
      <c r="AO21" s="729"/>
      <c r="AP21" s="732"/>
      <c r="AQ21" s="732"/>
      <c r="AR21" s="732"/>
      <c r="AS21" s="732"/>
      <c r="AT21" s="732"/>
      <c r="AU21" s="732"/>
      <c r="AV21" s="729"/>
    </row>
    <row r="22" spans="1:56" s="237" customFormat="1" ht="15" customHeight="1" x14ac:dyDescent="0.25">
      <c r="A22" s="729"/>
      <c r="B22" s="1325" t="s">
        <v>2016</v>
      </c>
      <c r="C22" s="1325"/>
      <c r="D22" s="1325"/>
      <c r="E22" s="1325"/>
      <c r="F22" s="1325"/>
      <c r="G22" s="1325"/>
      <c r="H22" s="1325"/>
      <c r="V22" s="729"/>
      <c r="W22" s="729"/>
      <c r="X22" s="729"/>
      <c r="Y22" s="729"/>
      <c r="Z22" s="729"/>
      <c r="AA22" s="729"/>
      <c r="AB22" s="729"/>
      <c r="AC22" s="729"/>
      <c r="AD22" s="729"/>
      <c r="AE22" s="729"/>
      <c r="AF22" s="729"/>
      <c r="AG22" s="729"/>
      <c r="AH22" s="729"/>
      <c r="AI22" s="729"/>
      <c r="AJ22" s="729"/>
      <c r="AK22" s="729"/>
      <c r="AL22" s="729"/>
      <c r="AM22" s="731"/>
      <c r="AN22" s="729"/>
      <c r="AO22" s="729"/>
      <c r="AP22" s="732"/>
      <c r="AQ22" s="732"/>
      <c r="AR22" s="732"/>
      <c r="AS22" s="732"/>
      <c r="AT22" s="732"/>
      <c r="AU22" s="732"/>
      <c r="AV22" s="729"/>
    </row>
    <row r="23" spans="1:56" s="237" customFormat="1" ht="15" x14ac:dyDescent="0.25">
      <c r="A23" s="729"/>
      <c r="B23" s="1325"/>
      <c r="C23" s="1325"/>
      <c r="D23" s="1325"/>
      <c r="E23" s="1325"/>
      <c r="F23" s="1325"/>
      <c r="G23" s="1325"/>
      <c r="H23" s="1325"/>
      <c r="V23" s="729"/>
      <c r="W23" s="729"/>
      <c r="X23" s="729"/>
      <c r="Y23" s="729"/>
      <c r="Z23" s="729"/>
      <c r="AA23" s="729"/>
      <c r="AB23" s="729"/>
      <c r="AC23" s="729"/>
      <c r="AD23" s="729"/>
      <c r="AE23" s="729"/>
      <c r="AF23" s="729"/>
      <c r="AG23" s="729"/>
      <c r="AH23" s="729"/>
      <c r="AI23" s="729"/>
      <c r="AJ23" s="729"/>
      <c r="AK23" s="729"/>
      <c r="AL23" s="729"/>
      <c r="AM23" s="731"/>
      <c r="AN23" s="729"/>
      <c r="AO23" s="729"/>
      <c r="AP23" s="732"/>
      <c r="AQ23" s="732"/>
      <c r="AR23" s="732"/>
      <c r="AS23" s="732"/>
      <c r="AT23" s="732"/>
      <c r="AU23" s="732"/>
      <c r="AV23" s="729"/>
    </row>
    <row r="24" spans="1:56" s="237" customFormat="1" ht="15" x14ac:dyDescent="0.25">
      <c r="A24" s="729"/>
      <c r="B24" s="1325"/>
      <c r="C24" s="1325"/>
      <c r="D24" s="1325"/>
      <c r="E24" s="1325"/>
      <c r="F24" s="1325"/>
      <c r="G24" s="1325"/>
      <c r="H24" s="1325"/>
      <c r="V24" s="729"/>
      <c r="W24" s="729"/>
      <c r="X24" s="729"/>
      <c r="Y24" s="729"/>
      <c r="Z24" s="729"/>
      <c r="AA24" s="729"/>
      <c r="AB24" s="729"/>
      <c r="AC24" s="729"/>
      <c r="AD24" s="729"/>
      <c r="AE24" s="729"/>
      <c r="AF24" s="729"/>
      <c r="AG24" s="729"/>
      <c r="AH24" s="729"/>
      <c r="AI24" s="729"/>
      <c r="AJ24" s="729"/>
      <c r="AK24" s="729"/>
      <c r="AL24" s="729"/>
      <c r="AM24" s="731"/>
      <c r="AN24" s="729"/>
      <c r="AO24" s="729"/>
      <c r="AP24" s="732"/>
      <c r="AQ24" s="732"/>
      <c r="AR24" s="732"/>
      <c r="AS24" s="732"/>
      <c r="AT24" s="732"/>
      <c r="AU24" s="732"/>
      <c r="AV24" s="729"/>
    </row>
    <row r="25" spans="1:56" s="237" customFormat="1" ht="15" x14ac:dyDescent="0.25">
      <c r="A25" s="729"/>
      <c r="B25" s="1325"/>
      <c r="C25" s="1325"/>
      <c r="D25" s="1325"/>
      <c r="E25" s="1325"/>
      <c r="F25" s="1325"/>
      <c r="G25" s="1325"/>
      <c r="H25" s="1325"/>
      <c r="L25" s="729"/>
      <c r="M25" s="729"/>
      <c r="N25" s="729"/>
      <c r="O25" s="729"/>
      <c r="P25" s="729"/>
      <c r="Q25" s="729"/>
      <c r="R25" s="729"/>
      <c r="S25" s="729"/>
      <c r="T25" s="729"/>
      <c r="U25" s="729"/>
      <c r="V25" s="729"/>
      <c r="W25" s="729"/>
      <c r="X25" s="729"/>
      <c r="Y25" s="729"/>
      <c r="Z25" s="729"/>
      <c r="AA25" s="729"/>
      <c r="AB25" s="729"/>
      <c r="AC25" s="729"/>
      <c r="AD25" s="729"/>
      <c r="AE25" s="729"/>
      <c r="AF25" s="729"/>
      <c r="AG25" s="729"/>
      <c r="AH25" s="729"/>
      <c r="AI25" s="729"/>
      <c r="AJ25" s="729"/>
      <c r="AK25" s="729"/>
      <c r="AL25" s="729"/>
      <c r="AM25" s="731"/>
      <c r="AN25" s="729"/>
      <c r="AO25" s="729"/>
      <c r="AP25" s="732"/>
      <c r="AQ25" s="732"/>
      <c r="AR25" s="732"/>
      <c r="AS25" s="732"/>
      <c r="AT25" s="732"/>
      <c r="AU25" s="732"/>
      <c r="AV25" s="729"/>
    </row>
    <row r="26" spans="1:56" s="237" customFormat="1" ht="30" customHeight="1" x14ac:dyDescent="0.25">
      <c r="A26" s="729"/>
      <c r="B26" s="1336" t="s">
        <v>2012</v>
      </c>
      <c r="C26" s="1336"/>
      <c r="D26" s="1336"/>
      <c r="E26" s="1336"/>
      <c r="F26" s="1336"/>
      <c r="G26" s="1336"/>
      <c r="H26" s="1336"/>
      <c r="I26" s="206"/>
      <c r="J26" s="206"/>
      <c r="K26" s="206"/>
      <c r="L26" s="729"/>
      <c r="M26" s="729"/>
      <c r="N26" s="729"/>
      <c r="O26" s="729"/>
      <c r="P26" s="729"/>
      <c r="Q26" s="729"/>
      <c r="R26" s="729"/>
      <c r="S26" s="729"/>
      <c r="T26" s="729"/>
      <c r="U26" s="729"/>
      <c r="V26" s="729"/>
      <c r="W26" s="729"/>
      <c r="X26" s="729"/>
      <c r="Y26" s="729"/>
      <c r="Z26" s="729"/>
      <c r="AA26" s="729"/>
      <c r="AB26" s="729"/>
      <c r="AC26" s="729"/>
      <c r="AD26" s="729"/>
      <c r="AE26" s="729"/>
      <c r="AF26" s="729"/>
      <c r="AG26" s="729"/>
      <c r="AH26" s="729"/>
      <c r="AI26" s="729"/>
      <c r="AJ26" s="729"/>
      <c r="AK26" s="729"/>
      <c r="AL26" s="729"/>
      <c r="AM26" s="731"/>
      <c r="AN26" s="729"/>
      <c r="AO26" s="729"/>
      <c r="AP26" s="732"/>
      <c r="AQ26" s="732"/>
      <c r="AR26" s="732"/>
      <c r="AS26" s="732"/>
      <c r="AT26" s="732"/>
      <c r="AU26" s="732"/>
      <c r="AV26" s="729"/>
    </row>
    <row r="27" spans="1:56" s="237" customFormat="1" ht="15" customHeight="1" x14ac:dyDescent="0.25">
      <c r="A27" s="729"/>
      <c r="B27" s="1334" t="s">
        <v>2109</v>
      </c>
      <c r="C27" s="1334"/>
      <c r="D27" s="1334"/>
      <c r="E27" s="1334"/>
      <c r="F27" s="1334"/>
      <c r="G27" s="1334"/>
      <c r="H27" s="1334"/>
      <c r="I27" s="206"/>
      <c r="J27" s="206"/>
      <c r="K27" s="206"/>
      <c r="L27" s="729"/>
      <c r="M27" s="729"/>
      <c r="N27" s="729"/>
      <c r="O27" s="729"/>
      <c r="P27" s="729"/>
      <c r="Q27" s="729"/>
      <c r="R27" s="729"/>
      <c r="S27" s="729"/>
      <c r="T27" s="729"/>
      <c r="U27" s="729"/>
      <c r="V27" s="729"/>
      <c r="W27" s="729"/>
      <c r="X27" s="729"/>
      <c r="Y27" s="729"/>
      <c r="Z27" s="729"/>
      <c r="AA27" s="729"/>
      <c r="AB27" s="729"/>
      <c r="AC27" s="729"/>
      <c r="AD27" s="729"/>
      <c r="AE27" s="729"/>
      <c r="AF27" s="729"/>
      <c r="AG27" s="729"/>
      <c r="AH27" s="729"/>
      <c r="AI27" s="729"/>
      <c r="AJ27" s="729"/>
      <c r="AK27" s="729"/>
      <c r="AL27" s="729"/>
      <c r="AM27" s="731"/>
      <c r="AN27" s="729"/>
      <c r="AO27" s="729"/>
      <c r="AP27" s="732"/>
      <c r="AQ27" s="732"/>
      <c r="AR27" s="732"/>
      <c r="AS27" s="732"/>
      <c r="AT27" s="732"/>
      <c r="AU27" s="732"/>
      <c r="AV27" s="729"/>
    </row>
    <row r="28" spans="1:56" s="237" customFormat="1" ht="15" customHeight="1" x14ac:dyDescent="0.25">
      <c r="A28" s="729"/>
      <c r="B28" s="1335" t="s">
        <v>2013</v>
      </c>
      <c r="C28" s="1335"/>
      <c r="D28" s="1335"/>
      <c r="E28" s="1335"/>
      <c r="F28" s="1335"/>
      <c r="G28" s="1335"/>
      <c r="H28" s="1335"/>
      <c r="I28" s="206"/>
      <c r="J28" s="206"/>
      <c r="K28" s="206"/>
      <c r="L28" s="729"/>
      <c r="M28" s="729"/>
      <c r="N28" s="729"/>
      <c r="O28" s="729"/>
      <c r="P28" s="729"/>
      <c r="Q28" s="729"/>
      <c r="R28" s="729"/>
      <c r="S28" s="729"/>
      <c r="T28" s="729"/>
      <c r="U28" s="729"/>
      <c r="V28" s="729"/>
      <c r="W28" s="729"/>
      <c r="X28" s="729"/>
      <c r="Y28" s="729"/>
      <c r="Z28" s="729"/>
      <c r="AA28" s="729"/>
      <c r="AB28" s="729"/>
      <c r="AC28" s="729"/>
      <c r="AD28" s="729"/>
      <c r="AE28" s="729"/>
      <c r="AF28" s="729"/>
      <c r="AG28" s="729"/>
      <c r="AH28" s="729"/>
      <c r="AI28" s="729"/>
      <c r="AJ28" s="729"/>
      <c r="AK28" s="729"/>
      <c r="AL28" s="729"/>
      <c r="AM28" s="731"/>
      <c r="AN28" s="729"/>
      <c r="AO28" s="729"/>
      <c r="AP28" s="732"/>
      <c r="AQ28" s="732"/>
      <c r="AR28" s="732"/>
      <c r="AS28" s="732"/>
      <c r="AT28" s="732"/>
      <c r="AU28" s="732"/>
      <c r="AV28" s="729"/>
    </row>
    <row r="29" spans="1:56" s="237" customFormat="1" ht="15" customHeight="1" x14ac:dyDescent="0.25">
      <c r="A29" s="729"/>
      <c r="B29" s="1335"/>
      <c r="C29" s="1335"/>
      <c r="D29" s="1335"/>
      <c r="E29" s="1335"/>
      <c r="F29" s="1335"/>
      <c r="G29" s="1335"/>
      <c r="H29" s="1335"/>
      <c r="I29" s="317"/>
      <c r="J29" s="317"/>
      <c r="K29" s="317"/>
      <c r="L29" s="729"/>
      <c r="M29" s="729"/>
      <c r="N29" s="729"/>
      <c r="O29" s="729"/>
      <c r="P29" s="729"/>
      <c r="Q29" s="729"/>
      <c r="R29" s="729"/>
      <c r="S29" s="729"/>
      <c r="T29" s="729"/>
      <c r="U29" s="729"/>
      <c r="V29" s="729"/>
      <c r="W29" s="729"/>
      <c r="X29" s="729"/>
      <c r="Y29" s="729"/>
      <c r="Z29" s="729"/>
      <c r="AA29" s="729"/>
      <c r="AB29" s="729"/>
      <c r="AC29" s="729"/>
      <c r="AD29" s="729"/>
      <c r="AE29" s="729"/>
      <c r="AF29" s="729"/>
      <c r="AG29" s="729"/>
      <c r="AH29" s="729"/>
      <c r="AI29" s="729"/>
      <c r="AJ29" s="729"/>
      <c r="AK29" s="729"/>
      <c r="AL29" s="729"/>
      <c r="AM29" s="731"/>
      <c r="AN29" s="729"/>
      <c r="AO29" s="729"/>
      <c r="AP29" s="732"/>
      <c r="AQ29" s="732"/>
      <c r="AR29" s="732"/>
      <c r="AS29" s="732"/>
      <c r="AT29" s="732"/>
      <c r="AU29" s="732"/>
      <c r="AV29" s="729"/>
    </row>
    <row r="30" spans="1:56" s="237" customFormat="1" ht="15" x14ac:dyDescent="0.25">
      <c r="A30" s="729"/>
      <c r="J30" s="729"/>
      <c r="K30" s="729"/>
      <c r="L30" s="729"/>
      <c r="M30" s="729"/>
      <c r="N30" s="729"/>
      <c r="O30" s="729"/>
      <c r="P30" s="729"/>
      <c r="Q30" s="729"/>
      <c r="R30" s="729"/>
      <c r="S30" s="729"/>
      <c r="T30" s="729"/>
      <c r="U30" s="729"/>
      <c r="V30" s="729"/>
      <c r="W30" s="729"/>
      <c r="X30" s="729"/>
      <c r="Y30" s="729"/>
      <c r="Z30" s="729"/>
      <c r="AA30" s="729"/>
      <c r="AB30" s="729"/>
      <c r="AC30" s="729"/>
      <c r="AD30" s="729"/>
      <c r="AE30" s="729"/>
      <c r="AF30" s="729"/>
      <c r="AG30" s="729"/>
      <c r="AH30" s="729"/>
      <c r="AI30" s="729"/>
      <c r="AJ30" s="729"/>
      <c r="AK30" s="729"/>
      <c r="AL30" s="729"/>
      <c r="AM30" s="731"/>
      <c r="AN30" s="729"/>
      <c r="AO30" s="729"/>
      <c r="AP30" s="732"/>
      <c r="AQ30" s="732"/>
      <c r="AR30" s="732"/>
      <c r="AS30" s="732"/>
      <c r="AT30" s="732"/>
      <c r="AU30" s="732"/>
      <c r="AV30" s="729"/>
    </row>
    <row r="31" spans="1:56" ht="18" customHeight="1" x14ac:dyDescent="0.3">
      <c r="A31" s="411"/>
      <c r="B31" s="733" t="s">
        <v>1970</v>
      </c>
      <c r="C31" s="412"/>
      <c r="D31" s="413"/>
      <c r="E31" s="413"/>
      <c r="F31" s="413"/>
      <c r="G31" s="327"/>
      <c r="H31" s="327"/>
      <c r="I31" s="327"/>
      <c r="J31" s="327"/>
      <c r="K31" s="327"/>
      <c r="L31" s="327"/>
      <c r="M31" s="327"/>
      <c r="N31" s="327"/>
      <c r="O31" s="327"/>
      <c r="P31" s="327"/>
      <c r="Q31" s="327"/>
      <c r="R31" s="327"/>
      <c r="S31" s="327"/>
      <c r="T31" s="327"/>
      <c r="U31" s="327"/>
      <c r="V31" s="327"/>
      <c r="W31" s="327"/>
      <c r="X31" s="327"/>
      <c r="Y31" s="327"/>
      <c r="Z31" s="327"/>
      <c r="AA31" s="327"/>
      <c r="AB31" s="699"/>
      <c r="AC31" s="699"/>
      <c r="AD31" s="699"/>
      <c r="AE31" s="699"/>
      <c r="AF31" s="699"/>
      <c r="AG31" s="699"/>
      <c r="AH31" s="699"/>
      <c r="AI31" s="699"/>
      <c r="AJ31" s="699"/>
      <c r="AK31" s="699"/>
      <c r="AL31" s="699"/>
      <c r="AM31" s="699"/>
      <c r="AN31" s="699"/>
      <c r="AO31" s="699"/>
      <c r="AP31" s="700"/>
      <c r="AQ31" s="700"/>
      <c r="AR31" s="700"/>
      <c r="AS31" s="700"/>
      <c r="AT31" s="700"/>
      <c r="AU31" s="700"/>
      <c r="AV31" s="701"/>
      <c r="BD31" s="631"/>
    </row>
    <row r="32" spans="1:56" ht="15.75" outlineLevel="1" x14ac:dyDescent="0.25">
      <c r="A32" s="692"/>
      <c r="B32" s="692"/>
      <c r="C32" s="702"/>
      <c r="D32" s="702"/>
      <c r="E32" s="703"/>
      <c r="F32" s="703"/>
      <c r="G32" s="703"/>
      <c r="H32" s="703"/>
      <c r="I32" s="703"/>
      <c r="J32" s="703"/>
      <c r="K32" s="703"/>
      <c r="L32" s="703"/>
      <c r="M32" s="703"/>
      <c r="N32" s="703"/>
      <c r="O32" s="703"/>
      <c r="P32" s="703"/>
      <c r="Q32" s="703"/>
      <c r="R32" s="703"/>
      <c r="S32" s="703"/>
      <c r="T32" s="703"/>
      <c r="U32" s="703"/>
      <c r="V32" s="703"/>
      <c r="W32" s="703"/>
      <c r="X32" s="703"/>
      <c r="Y32" s="703"/>
      <c r="Z32" s="703"/>
      <c r="AA32" s="703"/>
      <c r="AB32" s="703"/>
      <c r="AC32" s="703"/>
      <c r="AD32" s="703"/>
      <c r="AE32" s="703"/>
      <c r="AF32" s="703"/>
      <c r="AG32" s="703"/>
      <c r="AH32" s="703"/>
      <c r="AI32" s="703"/>
      <c r="AJ32" s="703"/>
      <c r="AK32" s="703"/>
      <c r="AL32" s="703"/>
      <c r="AM32" s="703"/>
      <c r="AN32" s="703"/>
      <c r="AO32" s="703"/>
      <c r="AP32" s="704"/>
      <c r="AQ32" s="704"/>
      <c r="AR32" s="704"/>
      <c r="AS32" s="704"/>
      <c r="AT32" s="704"/>
      <c r="AU32" s="704"/>
      <c r="AV32" s="702"/>
      <c r="BD32" s="631"/>
    </row>
    <row r="33" spans="1:61" ht="15.75" outlineLevel="1" x14ac:dyDescent="0.25">
      <c r="A33" s="690"/>
      <c r="B33" s="728" t="s">
        <v>124</v>
      </c>
      <c r="C33" s="690"/>
      <c r="D33" s="690"/>
      <c r="E33" s="703"/>
      <c r="F33" s="703"/>
      <c r="G33" s="690"/>
      <c r="H33" s="690"/>
      <c r="I33" s="690"/>
      <c r="J33" s="690"/>
      <c r="K33" s="690"/>
      <c r="L33" s="690"/>
      <c r="M33" s="690"/>
      <c r="N33" s="690"/>
      <c r="O33" s="690"/>
      <c r="P33" s="690"/>
      <c r="Q33" s="690"/>
      <c r="R33" s="690"/>
      <c r="S33" s="690"/>
      <c r="T33" s="690"/>
      <c r="U33" s="690"/>
      <c r="V33" s="690"/>
      <c r="W33" s="690"/>
      <c r="X33" s="690"/>
      <c r="Y33" s="690"/>
      <c r="Z33" s="690"/>
      <c r="AA33" s="690"/>
      <c r="AB33" s="690"/>
      <c r="AC33" s="690"/>
      <c r="AD33" s="690"/>
      <c r="AE33" s="690"/>
      <c r="AF33" s="690"/>
      <c r="AG33" s="690"/>
      <c r="AH33" s="690"/>
      <c r="AI33" s="690"/>
      <c r="AJ33" s="690"/>
      <c r="AK33" s="690"/>
      <c r="AL33" s="690"/>
      <c r="AM33" s="696"/>
      <c r="AN33" s="690"/>
      <c r="AO33" s="690"/>
      <c r="AP33" s="698"/>
      <c r="AQ33" s="698"/>
      <c r="AR33" s="698"/>
      <c r="AS33" s="698"/>
      <c r="AT33" s="698"/>
      <c r="AU33" s="698"/>
      <c r="AV33" s="690"/>
      <c r="BD33" s="631"/>
    </row>
    <row r="34" spans="1:61" s="237" customFormat="1" ht="15" customHeight="1" outlineLevel="1" x14ac:dyDescent="0.25">
      <c r="A34" s="729"/>
      <c r="B34" s="1325" t="s">
        <v>1971</v>
      </c>
      <c r="C34" s="1325"/>
      <c r="D34" s="1325"/>
      <c r="E34" s="1325"/>
      <c r="F34" s="1325"/>
      <c r="G34" s="1325"/>
      <c r="H34" s="1325"/>
      <c r="I34" s="729"/>
      <c r="J34" s="729"/>
      <c r="K34" s="729"/>
      <c r="L34" s="729"/>
      <c r="M34" s="729"/>
      <c r="N34" s="729"/>
      <c r="O34" s="729"/>
      <c r="P34" s="729"/>
      <c r="Q34" s="729"/>
      <c r="R34" s="729"/>
      <c r="S34" s="729"/>
      <c r="T34" s="729"/>
      <c r="U34" s="729"/>
      <c r="V34" s="729"/>
      <c r="W34" s="729"/>
      <c r="X34" s="729"/>
      <c r="Y34" s="729"/>
      <c r="Z34" s="729"/>
      <c r="AA34" s="729"/>
      <c r="AB34" s="729"/>
      <c r="AC34" s="729"/>
      <c r="AD34" s="729"/>
      <c r="AE34" s="729"/>
      <c r="AF34" s="729"/>
      <c r="AG34" s="729"/>
      <c r="AH34" s="729"/>
      <c r="AI34" s="729"/>
      <c r="AJ34" s="729"/>
      <c r="AK34" s="729"/>
      <c r="AL34" s="729"/>
      <c r="AM34" s="731"/>
      <c r="AN34" s="729"/>
      <c r="AO34" s="729"/>
      <c r="AP34" s="732"/>
      <c r="AQ34" s="732"/>
      <c r="AR34" s="732"/>
      <c r="AS34" s="732"/>
      <c r="AT34" s="732"/>
      <c r="AU34" s="732"/>
      <c r="AV34" s="729"/>
      <c r="BD34" s="729"/>
    </row>
    <row r="35" spans="1:61" s="237" customFormat="1" ht="15" outlineLevel="1" x14ac:dyDescent="0.25">
      <c r="A35" s="729"/>
      <c r="B35" s="1325"/>
      <c r="C35" s="1325"/>
      <c r="D35" s="1325"/>
      <c r="E35" s="1325"/>
      <c r="F35" s="1325"/>
      <c r="G35" s="1325"/>
      <c r="H35" s="1325"/>
      <c r="I35" s="729"/>
      <c r="J35" s="729"/>
      <c r="K35" s="729"/>
      <c r="L35" s="729"/>
      <c r="M35" s="729"/>
      <c r="N35" s="729"/>
      <c r="O35" s="729"/>
      <c r="P35" s="729"/>
      <c r="Q35" s="729"/>
      <c r="R35" s="729"/>
      <c r="S35" s="729"/>
      <c r="T35" s="729"/>
      <c r="U35" s="729"/>
      <c r="V35" s="729"/>
      <c r="W35" s="729"/>
      <c r="X35" s="729"/>
      <c r="Y35" s="729"/>
      <c r="Z35" s="729"/>
      <c r="AA35" s="729"/>
      <c r="AB35" s="729"/>
      <c r="AC35" s="729"/>
      <c r="AD35" s="729"/>
      <c r="AE35" s="729"/>
      <c r="AF35" s="729"/>
      <c r="AG35" s="729"/>
      <c r="AH35" s="729"/>
      <c r="AI35" s="729"/>
      <c r="AJ35" s="729"/>
      <c r="AK35" s="729"/>
      <c r="AL35" s="729"/>
      <c r="AM35" s="731"/>
      <c r="AN35" s="729"/>
      <c r="AO35" s="729"/>
      <c r="AP35" s="732"/>
      <c r="AQ35" s="732"/>
      <c r="AR35" s="732"/>
      <c r="AS35" s="732"/>
      <c r="AT35" s="732"/>
      <c r="AU35" s="732"/>
      <c r="AV35" s="729"/>
      <c r="BD35" s="729"/>
    </row>
    <row r="36" spans="1:61" s="237" customFormat="1" ht="15" outlineLevel="1" x14ac:dyDescent="0.25">
      <c r="A36" s="729"/>
      <c r="B36" s="1325"/>
      <c r="C36" s="1325"/>
      <c r="D36" s="1325"/>
      <c r="E36" s="1325"/>
      <c r="F36" s="1325"/>
      <c r="G36" s="1325"/>
      <c r="H36" s="1325"/>
      <c r="I36" s="729"/>
      <c r="J36" s="729"/>
      <c r="K36" s="729"/>
      <c r="L36" s="729"/>
      <c r="M36" s="729"/>
      <c r="N36" s="729"/>
      <c r="O36" s="729"/>
      <c r="P36" s="729"/>
      <c r="Q36" s="729"/>
      <c r="R36" s="729"/>
      <c r="S36" s="729"/>
      <c r="T36" s="729"/>
      <c r="U36" s="729"/>
      <c r="V36" s="729"/>
      <c r="W36" s="729"/>
      <c r="X36" s="729"/>
      <c r="Y36" s="729"/>
      <c r="Z36" s="729"/>
      <c r="AA36" s="729"/>
      <c r="AB36" s="729"/>
      <c r="AC36" s="729"/>
      <c r="AD36" s="729"/>
      <c r="AE36" s="729"/>
      <c r="AF36" s="729"/>
      <c r="AG36" s="729"/>
      <c r="AH36" s="729"/>
      <c r="AI36" s="729"/>
      <c r="AJ36" s="729"/>
      <c r="AK36" s="729"/>
      <c r="AL36" s="729"/>
      <c r="AM36" s="729"/>
      <c r="AN36" s="729"/>
      <c r="AO36" s="729"/>
      <c r="AP36" s="732"/>
      <c r="AQ36" s="732"/>
      <c r="AR36" s="732"/>
      <c r="AS36" s="732"/>
      <c r="AT36" s="732"/>
      <c r="AU36" s="732"/>
      <c r="AV36" s="729"/>
      <c r="BD36" s="729"/>
    </row>
    <row r="37" spans="1:61" s="237" customFormat="1" ht="15" outlineLevel="1" x14ac:dyDescent="0.25">
      <c r="A37" s="729"/>
      <c r="B37" s="1325"/>
      <c r="C37" s="1325"/>
      <c r="D37" s="1325"/>
      <c r="E37" s="1325"/>
      <c r="F37" s="1325"/>
      <c r="G37" s="1325"/>
      <c r="H37" s="1325"/>
      <c r="I37" s="729"/>
      <c r="J37" s="729"/>
      <c r="K37" s="729"/>
      <c r="L37" s="729"/>
      <c r="M37" s="729"/>
      <c r="N37" s="729"/>
      <c r="O37" s="729"/>
      <c r="P37" s="729"/>
      <c r="Q37" s="729"/>
      <c r="R37" s="729"/>
      <c r="S37" s="729"/>
      <c r="T37" s="729"/>
      <c r="U37" s="729"/>
      <c r="V37" s="729"/>
      <c r="W37" s="729"/>
      <c r="X37" s="729"/>
      <c r="Y37" s="729"/>
      <c r="Z37" s="729"/>
      <c r="AA37" s="729"/>
      <c r="AB37" s="729"/>
      <c r="AC37" s="729"/>
      <c r="AD37" s="729"/>
      <c r="AE37" s="729"/>
      <c r="AF37" s="729"/>
      <c r="AG37" s="729"/>
      <c r="AH37" s="729"/>
      <c r="AI37" s="729"/>
      <c r="AJ37" s="729"/>
      <c r="AK37" s="729"/>
      <c r="AL37" s="729"/>
      <c r="AM37" s="729"/>
      <c r="AN37" s="729"/>
      <c r="AO37" s="729"/>
      <c r="AP37" s="732"/>
      <c r="AQ37" s="732"/>
      <c r="AR37" s="732"/>
      <c r="AS37" s="732"/>
      <c r="AT37" s="732"/>
      <c r="AU37" s="732"/>
      <c r="AV37" s="729"/>
      <c r="BD37" s="729"/>
    </row>
    <row r="38" spans="1:61" s="237" customFormat="1" ht="15" customHeight="1" outlineLevel="1" x14ac:dyDescent="0.25">
      <c r="A38" s="729"/>
      <c r="B38" s="1325" t="s">
        <v>1972</v>
      </c>
      <c r="C38" s="1325"/>
      <c r="D38" s="1325"/>
      <c r="E38" s="1325"/>
      <c r="F38" s="1325"/>
      <c r="G38" s="1325"/>
      <c r="H38" s="1325"/>
      <c r="I38" s="729"/>
      <c r="J38" s="729"/>
      <c r="K38" s="729"/>
      <c r="L38" s="729"/>
      <c r="M38" s="729"/>
      <c r="N38" s="729"/>
      <c r="O38" s="729"/>
      <c r="P38" s="729"/>
      <c r="Q38" s="729"/>
      <c r="R38" s="729"/>
      <c r="S38" s="729"/>
      <c r="T38" s="729"/>
      <c r="U38" s="729"/>
      <c r="V38" s="729"/>
      <c r="W38" s="729"/>
      <c r="X38" s="729"/>
      <c r="Y38" s="729"/>
      <c r="Z38" s="729"/>
      <c r="AA38" s="729"/>
      <c r="AB38" s="729"/>
      <c r="AC38" s="729"/>
      <c r="AD38" s="729"/>
      <c r="AE38" s="729"/>
      <c r="AF38" s="729"/>
      <c r="AG38" s="729"/>
      <c r="AH38" s="729"/>
      <c r="AI38" s="729"/>
      <c r="AJ38" s="729"/>
      <c r="AK38" s="729"/>
      <c r="AL38" s="729"/>
      <c r="AM38" s="729"/>
      <c r="AN38" s="729"/>
      <c r="AO38" s="729"/>
      <c r="AP38" s="732"/>
      <c r="AQ38" s="732"/>
      <c r="AR38" s="732"/>
      <c r="AS38" s="732"/>
      <c r="AT38" s="732"/>
      <c r="AU38" s="732"/>
      <c r="AV38" s="729"/>
      <c r="BD38" s="729"/>
    </row>
    <row r="39" spans="1:61" s="237" customFormat="1" ht="15" outlineLevel="1" x14ac:dyDescent="0.25">
      <c r="A39" s="729"/>
      <c r="B39" s="1325"/>
      <c r="C39" s="1325"/>
      <c r="D39" s="1325"/>
      <c r="E39" s="1325"/>
      <c r="F39" s="1325"/>
      <c r="G39" s="1325"/>
      <c r="H39" s="1325"/>
      <c r="I39" s="729"/>
      <c r="J39" s="729"/>
      <c r="K39" s="729"/>
      <c r="L39" s="729"/>
      <c r="M39" s="729"/>
      <c r="N39" s="729"/>
      <c r="O39" s="729"/>
      <c r="P39" s="729"/>
      <c r="Q39" s="729"/>
      <c r="R39" s="729"/>
      <c r="S39" s="729"/>
      <c r="T39" s="729"/>
      <c r="U39" s="729"/>
      <c r="V39" s="729"/>
      <c r="W39" s="729"/>
      <c r="X39" s="729"/>
      <c r="Y39" s="729"/>
      <c r="Z39" s="729"/>
      <c r="AA39" s="729"/>
      <c r="AB39" s="729"/>
      <c r="AC39" s="729"/>
      <c r="AD39" s="729"/>
      <c r="AE39" s="729"/>
      <c r="AF39" s="729"/>
      <c r="AG39" s="729"/>
      <c r="AH39" s="729"/>
      <c r="AI39" s="729"/>
      <c r="AJ39" s="729"/>
      <c r="AK39" s="729"/>
      <c r="AL39" s="729"/>
      <c r="AM39" s="729"/>
      <c r="AO39" s="729"/>
      <c r="AP39" s="732"/>
      <c r="AQ39" s="732"/>
      <c r="AR39" s="732"/>
      <c r="AS39" s="732"/>
      <c r="AT39" s="732"/>
      <c r="AU39" s="732"/>
      <c r="AV39" s="729"/>
      <c r="BD39" s="729"/>
    </row>
    <row r="40" spans="1:61" s="237" customFormat="1" ht="15" outlineLevel="1" x14ac:dyDescent="0.25">
      <c r="A40" s="729"/>
      <c r="B40" s="1325"/>
      <c r="C40" s="1325"/>
      <c r="D40" s="1325"/>
      <c r="E40" s="1325"/>
      <c r="F40" s="1325"/>
      <c r="G40" s="1325"/>
      <c r="H40" s="1325"/>
      <c r="I40" s="729"/>
      <c r="J40" s="729"/>
      <c r="K40" s="729"/>
      <c r="L40" s="729"/>
      <c r="M40" s="729"/>
      <c r="N40" s="729"/>
      <c r="O40" s="729"/>
      <c r="P40" s="729"/>
      <c r="Q40" s="729"/>
      <c r="R40" s="729"/>
      <c r="S40" s="729"/>
      <c r="T40" s="729"/>
      <c r="U40" s="729"/>
      <c r="V40" s="729"/>
      <c r="W40" s="729"/>
      <c r="X40" s="729"/>
      <c r="Y40" s="729"/>
      <c r="Z40" s="729"/>
      <c r="AA40" s="729"/>
      <c r="AB40" s="729"/>
      <c r="AC40" s="729"/>
      <c r="AD40" s="729"/>
      <c r="AE40" s="729"/>
      <c r="AF40" s="729"/>
      <c r="AG40" s="729"/>
      <c r="AH40" s="729"/>
      <c r="AI40" s="729"/>
      <c r="AJ40" s="729"/>
      <c r="AK40" s="729"/>
      <c r="AL40" s="729"/>
      <c r="AM40" s="729"/>
      <c r="AO40" s="729"/>
      <c r="AP40" s="732"/>
      <c r="AQ40" s="732"/>
      <c r="AR40" s="732"/>
      <c r="AS40" s="732"/>
      <c r="AT40" s="732"/>
      <c r="AU40" s="732"/>
      <c r="AV40" s="729"/>
      <c r="BD40" s="729"/>
    </row>
    <row r="41" spans="1:61" s="237" customFormat="1" ht="15" outlineLevel="1" x14ac:dyDescent="0.25">
      <c r="A41" s="729"/>
      <c r="B41" s="1325" t="s">
        <v>1973</v>
      </c>
      <c r="C41" s="1325"/>
      <c r="D41" s="1325"/>
      <c r="E41" s="1325"/>
      <c r="F41" s="1325"/>
      <c r="G41" s="1325"/>
      <c r="H41" s="1325"/>
      <c r="I41" s="729"/>
      <c r="J41" s="729"/>
      <c r="K41" s="729"/>
      <c r="L41" s="729"/>
      <c r="M41" s="729"/>
      <c r="N41" s="729"/>
      <c r="O41" s="729"/>
      <c r="P41" s="729"/>
      <c r="Q41" s="729"/>
      <c r="R41" s="729"/>
      <c r="S41" s="729"/>
      <c r="T41" s="729"/>
      <c r="U41" s="729"/>
      <c r="V41" s="729"/>
      <c r="W41" s="729"/>
      <c r="X41" s="729"/>
      <c r="Y41" s="729"/>
      <c r="Z41" s="729"/>
      <c r="AA41" s="729"/>
      <c r="AB41" s="729"/>
      <c r="AC41" s="729"/>
      <c r="AD41" s="729"/>
      <c r="AE41" s="729"/>
      <c r="AF41" s="729"/>
      <c r="AG41" s="729"/>
      <c r="AH41" s="729"/>
      <c r="AI41" s="729"/>
      <c r="AJ41" s="729"/>
      <c r="AK41" s="729"/>
      <c r="AL41" s="729"/>
      <c r="AM41" s="729"/>
      <c r="AO41" s="729"/>
      <c r="AP41" s="732"/>
      <c r="AQ41" s="732"/>
      <c r="AR41" s="732"/>
      <c r="AS41" s="732"/>
      <c r="AT41" s="732"/>
      <c r="AU41" s="732"/>
      <c r="AV41" s="729"/>
      <c r="BD41" s="729"/>
    </row>
    <row r="42" spans="1:61" s="237" customFormat="1" ht="15" outlineLevel="1" x14ac:dyDescent="0.25">
      <c r="A42" s="729"/>
      <c r="B42" s="1325"/>
      <c r="C42" s="1325"/>
      <c r="D42" s="1325"/>
      <c r="E42" s="1325"/>
      <c r="F42" s="1325"/>
      <c r="G42" s="1325"/>
      <c r="H42" s="1325"/>
      <c r="I42" s="729"/>
      <c r="J42" s="729"/>
      <c r="K42" s="729"/>
      <c r="L42" s="729"/>
      <c r="M42" s="729"/>
      <c r="N42" s="729"/>
      <c r="O42" s="729"/>
      <c r="P42" s="729"/>
      <c r="Q42" s="729"/>
      <c r="R42" s="729"/>
      <c r="S42" s="729"/>
      <c r="T42" s="729"/>
      <c r="U42" s="729"/>
      <c r="V42" s="729"/>
      <c r="W42" s="729"/>
      <c r="Y42" s="729"/>
      <c r="Z42" s="729"/>
      <c r="AA42" s="729"/>
      <c r="AB42" s="729"/>
      <c r="AC42" s="729"/>
      <c r="AD42" s="729"/>
      <c r="AE42" s="729"/>
      <c r="AF42" s="729"/>
      <c r="AG42" s="729"/>
      <c r="AH42" s="729"/>
      <c r="AI42" s="729"/>
      <c r="AJ42" s="729"/>
      <c r="AK42" s="729"/>
      <c r="AL42" s="729"/>
      <c r="AM42" s="729"/>
      <c r="AN42" s="729"/>
      <c r="AO42" s="729"/>
      <c r="AP42" s="732"/>
      <c r="AQ42" s="732"/>
      <c r="AR42" s="732"/>
      <c r="AS42" s="732"/>
      <c r="AT42" s="732"/>
      <c r="AU42" s="732"/>
      <c r="AV42" s="729"/>
      <c r="BD42" s="729"/>
    </row>
    <row r="43" spans="1:61" s="237" customFormat="1" ht="15" outlineLevel="1" x14ac:dyDescent="0.25">
      <c r="A43" s="729"/>
      <c r="B43" s="727" t="s">
        <v>1347</v>
      </c>
      <c r="C43" s="729"/>
      <c r="D43" s="729"/>
      <c r="E43" s="731"/>
      <c r="F43" s="731"/>
      <c r="G43" s="729"/>
      <c r="H43" s="729"/>
      <c r="I43" s="729"/>
      <c r="J43" s="729"/>
      <c r="K43" s="729"/>
      <c r="L43" s="729"/>
      <c r="M43" s="729"/>
      <c r="N43" s="729"/>
      <c r="O43" s="729"/>
      <c r="P43" s="729"/>
      <c r="Q43" s="729"/>
      <c r="R43" s="729"/>
      <c r="S43" s="729"/>
      <c r="T43" s="729"/>
      <c r="U43" s="729"/>
      <c r="V43" s="729"/>
      <c r="W43" s="729"/>
      <c r="Y43" s="729"/>
      <c r="Z43" s="729"/>
      <c r="AA43" s="729"/>
      <c r="AB43" s="729"/>
      <c r="AC43" s="729"/>
      <c r="AD43" s="729"/>
      <c r="AE43" s="729"/>
      <c r="AF43" s="729"/>
      <c r="AG43" s="729"/>
      <c r="AH43" s="729"/>
      <c r="AI43" s="729"/>
      <c r="AJ43" s="729"/>
      <c r="AK43" s="729"/>
      <c r="AL43" s="729"/>
      <c r="AM43" s="729"/>
      <c r="AN43" s="729"/>
      <c r="AO43" s="729"/>
      <c r="AP43" s="732"/>
      <c r="AQ43" s="732"/>
      <c r="AR43" s="732"/>
      <c r="AS43" s="732"/>
      <c r="AT43" s="732"/>
      <c r="AU43" s="732"/>
      <c r="AV43" s="729"/>
      <c r="BD43" s="729"/>
    </row>
    <row r="44" spans="1:61" s="237" customFormat="1" ht="15" outlineLevel="1" x14ac:dyDescent="0.25">
      <c r="A44" s="729"/>
      <c r="B44" s="727"/>
      <c r="C44" s="729"/>
      <c r="D44" s="729"/>
      <c r="E44" s="731"/>
      <c r="F44" s="731"/>
      <c r="G44" s="729"/>
      <c r="H44" s="729"/>
      <c r="I44" s="729"/>
      <c r="J44" s="729"/>
      <c r="K44" s="729"/>
      <c r="L44" s="729"/>
      <c r="M44" s="729"/>
      <c r="N44" s="729"/>
      <c r="O44" s="729"/>
      <c r="P44" s="729"/>
      <c r="Q44" s="729"/>
      <c r="R44" s="729"/>
      <c r="S44" s="729"/>
      <c r="T44" s="729"/>
      <c r="U44" s="729"/>
      <c r="V44" s="729"/>
      <c r="W44" s="729"/>
      <c r="Y44" s="729"/>
      <c r="Z44" s="729"/>
      <c r="AA44" s="729"/>
      <c r="AB44" s="729"/>
      <c r="AC44" s="729"/>
      <c r="AD44" s="729"/>
      <c r="AE44" s="729"/>
      <c r="AF44" s="729"/>
      <c r="AG44" s="729"/>
      <c r="AH44" s="729"/>
      <c r="AI44" s="729"/>
      <c r="AJ44" s="729"/>
      <c r="AK44" s="729"/>
      <c r="AL44" s="729"/>
      <c r="AM44" s="729"/>
      <c r="AN44" s="729"/>
      <c r="AO44" s="729"/>
      <c r="AP44" s="732"/>
      <c r="AQ44" s="732"/>
      <c r="AR44" s="732"/>
      <c r="AS44" s="732"/>
      <c r="AT44" s="732"/>
      <c r="AU44" s="732"/>
      <c r="AV44" s="729"/>
      <c r="BD44" s="729"/>
    </row>
    <row r="45" spans="1:61" s="237" customFormat="1" ht="15" outlineLevel="1" x14ac:dyDescent="0.25">
      <c r="A45" s="729"/>
      <c r="C45" s="736" t="s">
        <v>2010</v>
      </c>
      <c r="D45" s="1320"/>
      <c r="E45" s="1321"/>
      <c r="F45" s="1322"/>
      <c r="G45" s="735"/>
      <c r="H45" s="729"/>
      <c r="I45" s="729"/>
      <c r="J45" s="729"/>
      <c r="K45" s="729"/>
      <c r="L45" s="729"/>
      <c r="M45" s="729"/>
      <c r="N45" s="729"/>
      <c r="O45" s="729"/>
      <c r="P45" s="729"/>
      <c r="Q45" s="729"/>
      <c r="R45" s="729"/>
      <c r="S45" s="729"/>
      <c r="T45" s="729"/>
      <c r="U45" s="729"/>
      <c r="V45" s="729"/>
      <c r="W45" s="729"/>
      <c r="X45" s="729"/>
      <c r="Y45" s="729"/>
      <c r="Z45" s="729"/>
      <c r="AA45" s="729"/>
      <c r="AB45" s="729"/>
      <c r="AC45" s="729"/>
      <c r="AD45" s="729"/>
      <c r="AE45" s="729"/>
      <c r="AF45" s="729"/>
      <c r="AG45" s="729"/>
      <c r="AH45" s="729"/>
      <c r="AI45" s="729"/>
      <c r="AJ45" s="729"/>
      <c r="AK45" s="729"/>
      <c r="AL45" s="729"/>
      <c r="AM45" s="729"/>
      <c r="AN45" s="729"/>
      <c r="AO45" s="729"/>
      <c r="AP45" s="732"/>
      <c r="AQ45" s="732"/>
      <c r="AR45" s="732"/>
      <c r="AS45" s="732"/>
      <c r="AT45" s="732"/>
      <c r="AU45" s="732"/>
      <c r="AV45" s="729"/>
      <c r="BD45" s="729"/>
      <c r="BE45" s="729"/>
      <c r="BF45" s="729"/>
    </row>
    <row r="46" spans="1:61" s="237" customFormat="1" ht="15" outlineLevel="1" x14ac:dyDescent="0.25">
      <c r="A46" s="729"/>
      <c r="B46" s="729"/>
      <c r="C46" s="729"/>
      <c r="D46" s="729"/>
      <c r="E46" s="729"/>
      <c r="F46" s="729"/>
      <c r="G46" s="729"/>
      <c r="H46" s="729"/>
      <c r="I46" s="729"/>
      <c r="J46" s="729"/>
      <c r="K46" s="729"/>
      <c r="L46" s="729"/>
      <c r="M46" s="729"/>
      <c r="N46" s="729"/>
      <c r="O46" s="729"/>
      <c r="P46" s="729"/>
      <c r="Q46" s="729"/>
      <c r="R46" s="729"/>
      <c r="S46" s="729"/>
      <c r="T46" s="729"/>
      <c r="U46" s="729"/>
      <c r="V46" s="729"/>
      <c r="W46" s="729"/>
      <c r="X46" s="729"/>
      <c r="Y46" s="729"/>
      <c r="Z46" s="729"/>
      <c r="AA46" s="729"/>
      <c r="AB46" s="729"/>
      <c r="AC46" s="729"/>
      <c r="AD46" s="729"/>
      <c r="AE46" s="729"/>
      <c r="AF46" s="729"/>
      <c r="AG46" s="729"/>
      <c r="AH46" s="729"/>
      <c r="AI46" s="729"/>
      <c r="AJ46" s="729"/>
      <c r="AK46" s="729"/>
      <c r="AL46" s="729"/>
      <c r="AM46" s="729"/>
      <c r="AN46" s="729"/>
      <c r="AO46" s="729"/>
      <c r="AP46" s="732"/>
      <c r="AQ46" s="732"/>
      <c r="AR46" s="732"/>
      <c r="AS46" s="732"/>
      <c r="AT46" s="732"/>
      <c r="AU46" s="732"/>
      <c r="AV46" s="729"/>
      <c r="BD46" s="729"/>
      <c r="BE46" s="729"/>
      <c r="BF46" s="729"/>
      <c r="BH46" s="737" t="s">
        <v>22</v>
      </c>
      <c r="BI46" s="738" t="s">
        <v>23</v>
      </c>
    </row>
    <row r="47" spans="1:61" s="237" customFormat="1" ht="15" outlineLevel="1" x14ac:dyDescent="0.25">
      <c r="A47" s="729"/>
      <c r="B47" s="729"/>
      <c r="C47" s="739" t="s">
        <v>1993</v>
      </c>
      <c r="D47" s="729"/>
      <c r="E47" s="729"/>
      <c r="F47" s="729"/>
      <c r="G47" s="729"/>
      <c r="H47" s="729"/>
      <c r="I47" s="729"/>
      <c r="J47" s="729"/>
      <c r="K47" s="729"/>
      <c r="L47" s="729"/>
      <c r="M47" s="729"/>
      <c r="N47" s="729"/>
      <c r="O47" s="729"/>
      <c r="P47" s="729"/>
      <c r="Q47" s="729"/>
      <c r="R47" s="729"/>
      <c r="S47" s="729"/>
      <c r="T47" s="729"/>
      <c r="U47" s="729"/>
      <c r="V47" s="729"/>
      <c r="W47" s="729"/>
      <c r="X47" s="729"/>
      <c r="Y47" s="729"/>
      <c r="Z47" s="729"/>
      <c r="AA47" s="729"/>
      <c r="AB47" s="729"/>
      <c r="AC47" s="729"/>
      <c r="AD47" s="729"/>
      <c r="AE47" s="729"/>
      <c r="AF47" s="729"/>
      <c r="AG47" s="729"/>
      <c r="AH47" s="729"/>
      <c r="AI47" s="729"/>
      <c r="AJ47" s="729"/>
      <c r="AK47" s="729"/>
      <c r="AL47" s="729"/>
      <c r="AM47" s="729"/>
      <c r="AN47" s="729"/>
      <c r="AO47" s="729"/>
      <c r="AP47" s="732"/>
      <c r="AQ47" s="732"/>
      <c r="AR47" s="732"/>
      <c r="AS47" s="732"/>
      <c r="AT47" s="732"/>
      <c r="AU47" s="732"/>
      <c r="AV47" s="729"/>
      <c r="BD47" s="729"/>
      <c r="BE47" s="729"/>
      <c r="BF47" s="729"/>
      <c r="BH47" s="740" t="s">
        <v>338</v>
      </c>
      <c r="BI47" s="237" t="s">
        <v>338</v>
      </c>
    </row>
    <row r="48" spans="1:61" s="237" customFormat="1" ht="15" customHeight="1" outlineLevel="1" x14ac:dyDescent="0.25">
      <c r="A48" s="729"/>
      <c r="B48" s="729"/>
      <c r="C48" s="734" t="s">
        <v>613</v>
      </c>
      <c r="D48" s="741" t="str">
        <f>IF(municípios_br_E1="","",IF(VLOOKUP(municípios_br_E1,municipios_temp_pluv,4,FALSE)&lt;1000,"&lt; 1.000","≥ 1.000"))</f>
        <v/>
      </c>
      <c r="E48" s="742"/>
      <c r="F48" s="742"/>
      <c r="G48" s="742"/>
      <c r="H48" s="743"/>
      <c r="I48" s="743"/>
      <c r="J48" s="743"/>
      <c r="K48" s="743"/>
      <c r="L48" s="743"/>
      <c r="M48" s="729"/>
      <c r="N48" s="729"/>
      <c r="O48" s="729"/>
      <c r="P48" s="729"/>
      <c r="Q48" s="729"/>
      <c r="R48" s="729"/>
      <c r="S48" s="729"/>
      <c r="T48" s="729"/>
      <c r="U48" s="729"/>
      <c r="V48" s="729"/>
      <c r="W48" s="729"/>
      <c r="X48" s="729"/>
      <c r="Y48" s="729"/>
      <c r="Z48" s="729"/>
      <c r="AA48" s="729"/>
      <c r="AB48" s="729"/>
      <c r="AC48" s="729"/>
      <c r="AD48" s="729"/>
      <c r="AE48" s="729"/>
      <c r="AF48" s="729"/>
      <c r="AG48" s="729"/>
      <c r="AH48" s="729"/>
      <c r="AI48" s="729"/>
      <c r="AJ48" s="729"/>
      <c r="AK48" s="729"/>
      <c r="AL48" s="729"/>
      <c r="AM48" s="729"/>
      <c r="AN48" s="729"/>
      <c r="AO48" s="729"/>
      <c r="AP48" s="732"/>
      <c r="AQ48" s="732"/>
      <c r="AR48" s="732"/>
      <c r="AS48" s="732"/>
      <c r="AT48" s="732"/>
      <c r="AU48" s="732"/>
      <c r="AV48" s="729"/>
      <c r="BD48" s="729"/>
      <c r="BE48" s="729"/>
      <c r="BF48" s="729"/>
      <c r="BH48" s="740" t="s">
        <v>24</v>
      </c>
      <c r="BI48" s="744" t="s">
        <v>1427</v>
      </c>
    </row>
    <row r="49" spans="1:85" s="237" customFormat="1" ht="17.25" outlineLevel="1" x14ac:dyDescent="0.25">
      <c r="A49" s="729"/>
      <c r="B49" s="729"/>
      <c r="C49" s="736" t="s">
        <v>1428</v>
      </c>
      <c r="D49" s="741" t="str">
        <f>IF(municípios_br_E1="","",IF(VLOOKUP(municípios_br_E1,municipios_temp_pluv,3,FALSE)&gt;20,"&gt; 20","≤ 20"))</f>
        <v/>
      </c>
      <c r="E49" s="742"/>
      <c r="F49" s="742"/>
      <c r="G49" s="742"/>
      <c r="H49" s="743"/>
      <c r="I49" s="743"/>
      <c r="J49" s="743"/>
      <c r="K49" s="743"/>
      <c r="L49" s="743"/>
      <c r="M49" s="729"/>
      <c r="N49" s="729"/>
      <c r="O49" s="729"/>
      <c r="P49" s="729"/>
      <c r="Q49" s="729"/>
      <c r="R49" s="729"/>
      <c r="S49" s="729"/>
      <c r="T49" s="729"/>
      <c r="U49" s="729"/>
      <c r="V49" s="729"/>
      <c r="W49" s="729"/>
      <c r="X49" s="729"/>
      <c r="Y49" s="729"/>
      <c r="Z49" s="729"/>
      <c r="AA49" s="729"/>
      <c r="AB49" s="729"/>
      <c r="AC49" s="729"/>
      <c r="AD49" s="729"/>
      <c r="AE49" s="729"/>
      <c r="AF49" s="729"/>
      <c r="AG49" s="729"/>
      <c r="AH49" s="729"/>
      <c r="AI49" s="729"/>
      <c r="AJ49" s="729"/>
      <c r="AK49" s="729"/>
      <c r="AL49" s="729"/>
      <c r="AM49" s="729"/>
      <c r="AN49" s="729"/>
      <c r="AO49" s="729"/>
      <c r="AP49" s="732"/>
      <c r="AQ49" s="732"/>
      <c r="AR49" s="732"/>
      <c r="AS49" s="732"/>
      <c r="AT49" s="732"/>
      <c r="AU49" s="732"/>
      <c r="AV49" s="729"/>
      <c r="BD49" s="729"/>
      <c r="BE49" s="729"/>
      <c r="BF49" s="729"/>
      <c r="BH49" s="745" t="s">
        <v>25</v>
      </c>
      <c r="BI49" s="746" t="s">
        <v>57</v>
      </c>
    </row>
    <row r="50" spans="1:85" s="237" customFormat="1" ht="15" outlineLevel="1" x14ac:dyDescent="0.25">
      <c r="A50" s="729"/>
      <c r="B50" s="729"/>
      <c r="C50" s="747"/>
      <c r="D50" s="729" t="s">
        <v>1992</v>
      </c>
      <c r="F50" s="748"/>
      <c r="G50" s="729"/>
      <c r="H50" s="729"/>
      <c r="I50" s="729"/>
      <c r="J50" s="729"/>
      <c r="K50" s="729"/>
      <c r="L50" s="729"/>
      <c r="M50" s="729"/>
      <c r="N50" s="729"/>
      <c r="O50" s="729"/>
      <c r="P50" s="729"/>
      <c r="Q50" s="729"/>
      <c r="R50" s="729"/>
      <c r="S50" s="729"/>
      <c r="T50" s="729"/>
      <c r="U50" s="729"/>
      <c r="V50" s="729"/>
      <c r="W50" s="729"/>
      <c r="X50" s="729"/>
      <c r="Y50" s="729"/>
      <c r="Z50" s="729"/>
      <c r="AA50" s="729"/>
      <c r="AB50" s="729"/>
      <c r="AC50" s="729"/>
      <c r="AD50" s="729"/>
      <c r="AE50" s="729"/>
      <c r="AF50" s="729"/>
      <c r="AG50" s="729"/>
      <c r="AH50" s="729"/>
      <c r="AI50" s="729"/>
      <c r="AJ50" s="729"/>
      <c r="AK50" s="729"/>
      <c r="AL50" s="729"/>
      <c r="AM50" s="729"/>
      <c r="AN50" s="729"/>
      <c r="AO50" s="729"/>
      <c r="AP50" s="732"/>
      <c r="AQ50" s="732"/>
      <c r="AR50" s="732"/>
      <c r="AS50" s="732"/>
      <c r="AT50" s="732"/>
      <c r="AU50" s="732"/>
      <c r="AV50" s="729"/>
      <c r="BD50" s="729"/>
      <c r="BE50" s="729"/>
      <c r="BF50" s="729"/>
      <c r="BH50" s="737" t="s">
        <v>280</v>
      </c>
      <c r="BI50" s="729"/>
    </row>
    <row r="51" spans="1:85" s="237" customFormat="1" ht="15" outlineLevel="1" x14ac:dyDescent="0.25">
      <c r="A51" s="729"/>
      <c r="B51" s="729"/>
      <c r="C51" s="729"/>
      <c r="E51" s="729"/>
      <c r="F51" s="729"/>
      <c r="G51" s="729"/>
      <c r="H51" s="729"/>
      <c r="I51" s="729"/>
      <c r="J51" s="729"/>
      <c r="K51" s="729"/>
      <c r="L51" s="729"/>
      <c r="M51" s="729"/>
      <c r="N51" s="729"/>
      <c r="O51" s="729"/>
      <c r="P51" s="729"/>
      <c r="Q51" s="729"/>
      <c r="R51" s="729"/>
      <c r="S51" s="729"/>
      <c r="T51" s="729"/>
      <c r="U51" s="729"/>
      <c r="V51" s="729"/>
      <c r="W51" s="729"/>
      <c r="X51" s="729"/>
      <c r="Y51" s="729"/>
      <c r="Z51" s="729"/>
      <c r="AA51" s="729"/>
      <c r="AB51" s="729"/>
      <c r="AC51" s="729"/>
      <c r="AD51" s="729"/>
      <c r="AE51" s="729"/>
      <c r="AF51" s="729"/>
      <c r="AG51" s="729"/>
      <c r="AH51" s="729"/>
      <c r="AI51" s="729"/>
      <c r="AJ51" s="729"/>
      <c r="AK51" s="729"/>
      <c r="AL51" s="729"/>
      <c r="AM51" s="729"/>
      <c r="AN51" s="729"/>
      <c r="AO51" s="729"/>
      <c r="AP51" s="732"/>
      <c r="AQ51" s="732"/>
      <c r="AR51" s="732"/>
      <c r="AS51" s="732"/>
      <c r="AT51" s="732"/>
      <c r="AU51" s="732"/>
      <c r="AV51" s="729"/>
      <c r="BD51" s="729"/>
      <c r="BE51" s="729"/>
      <c r="BF51" s="729"/>
      <c r="BH51" s="749" t="s">
        <v>338</v>
      </c>
      <c r="BI51" s="729"/>
    </row>
    <row r="52" spans="1:85" s="237" customFormat="1" ht="15" outlineLevel="1" x14ac:dyDescent="0.25">
      <c r="A52" s="729"/>
      <c r="B52" s="727" t="s">
        <v>1346</v>
      </c>
      <c r="C52" s="729"/>
      <c r="D52" s="729"/>
      <c r="E52" s="731"/>
      <c r="F52" s="731"/>
      <c r="G52" s="729"/>
      <c r="H52" s="729"/>
      <c r="I52" s="729"/>
      <c r="J52" s="729"/>
      <c r="K52" s="729"/>
      <c r="L52" s="729"/>
      <c r="M52" s="729"/>
      <c r="N52" s="729"/>
      <c r="O52" s="729"/>
      <c r="P52" s="729"/>
      <c r="Q52" s="729"/>
      <c r="R52" s="729"/>
      <c r="S52" s="729"/>
      <c r="T52" s="729"/>
      <c r="U52" s="729"/>
      <c r="V52" s="729"/>
      <c r="W52" s="729"/>
      <c r="X52" s="729"/>
      <c r="Y52" s="729"/>
      <c r="Z52" s="729"/>
      <c r="AA52" s="729"/>
      <c r="AB52" s="729"/>
      <c r="AC52" s="729"/>
      <c r="AD52" s="729"/>
      <c r="AE52" s="729"/>
      <c r="AF52" s="729"/>
      <c r="AG52" s="729"/>
      <c r="AH52" s="729"/>
      <c r="AI52" s="729"/>
      <c r="AJ52" s="729"/>
      <c r="AK52" s="729"/>
      <c r="AL52" s="729"/>
      <c r="AM52" s="729"/>
      <c r="AN52" s="729"/>
      <c r="AO52" s="729"/>
      <c r="AP52" s="732"/>
      <c r="AQ52" s="732"/>
      <c r="AR52" s="732"/>
      <c r="AS52" s="732"/>
      <c r="AT52" s="732"/>
      <c r="AU52" s="732"/>
      <c r="AV52" s="729"/>
      <c r="BD52" s="729"/>
      <c r="BE52" s="729"/>
      <c r="BF52" s="729"/>
      <c r="BH52" s="749" t="s">
        <v>1426</v>
      </c>
    </row>
    <row r="53" spans="1:85" s="237" customFormat="1" ht="15" outlineLevel="1" x14ac:dyDescent="0.25">
      <c r="A53" s="729"/>
      <c r="B53" s="729"/>
      <c r="C53" s="731" t="s">
        <v>1994</v>
      </c>
      <c r="D53" s="731"/>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29"/>
      <c r="AD53" s="729"/>
      <c r="AE53" s="729"/>
      <c r="AF53" s="729"/>
      <c r="AG53" s="729"/>
      <c r="AH53" s="729"/>
      <c r="AI53" s="729"/>
      <c r="AJ53" s="729"/>
      <c r="AK53" s="729"/>
      <c r="AL53" s="729"/>
      <c r="AM53" s="729"/>
      <c r="AN53" s="729"/>
      <c r="AO53" s="729"/>
      <c r="AP53" s="732"/>
      <c r="AQ53" s="732"/>
      <c r="AR53" s="732"/>
      <c r="AS53" s="732"/>
      <c r="AT53" s="732"/>
      <c r="AU53" s="732"/>
      <c r="AV53" s="729"/>
      <c r="BD53" s="729"/>
      <c r="BE53" s="729"/>
      <c r="BF53" s="729"/>
      <c r="BH53" s="750" t="s">
        <v>26</v>
      </c>
    </row>
    <row r="54" spans="1:85" s="237" customFormat="1" ht="18" outlineLevel="1" x14ac:dyDescent="0.35">
      <c r="A54" s="729"/>
      <c r="B54" s="729"/>
      <c r="C54" s="731" t="s">
        <v>1429</v>
      </c>
      <c r="D54" s="731"/>
      <c r="E54" s="729"/>
      <c r="F54" s="729"/>
      <c r="G54" s="729"/>
      <c r="H54" s="729"/>
      <c r="I54" s="729"/>
      <c r="J54" s="729"/>
      <c r="K54" s="729"/>
      <c r="L54" s="729"/>
      <c r="M54" s="729"/>
      <c r="N54" s="729"/>
      <c r="O54" s="729"/>
      <c r="P54" s="729"/>
      <c r="Q54" s="729"/>
      <c r="R54" s="729"/>
      <c r="S54" s="729"/>
      <c r="T54" s="729"/>
      <c r="U54" s="729"/>
      <c r="V54" s="729"/>
      <c r="W54" s="729"/>
      <c r="X54" s="729"/>
      <c r="Y54" s="729"/>
      <c r="Z54" s="729"/>
      <c r="AA54" s="729"/>
      <c r="AB54" s="729"/>
      <c r="AC54" s="729"/>
      <c r="AD54" s="729"/>
      <c r="AE54" s="729"/>
      <c r="AF54" s="729"/>
      <c r="AG54" s="729"/>
      <c r="AH54" s="729"/>
      <c r="AI54" s="729"/>
      <c r="AJ54" s="729"/>
      <c r="AK54" s="729"/>
      <c r="AL54" s="729"/>
      <c r="AM54" s="729"/>
      <c r="AN54" s="729"/>
      <c r="AO54" s="729"/>
      <c r="AP54" s="732"/>
      <c r="AQ54" s="732"/>
      <c r="AR54" s="732"/>
      <c r="AS54" s="732"/>
      <c r="AT54" s="732"/>
      <c r="AU54" s="732"/>
      <c r="AV54" s="729"/>
      <c r="BD54" s="729"/>
      <c r="BE54" s="729"/>
      <c r="BF54" s="729"/>
    </row>
    <row r="55" spans="1:85" s="237" customFormat="1" ht="15" outlineLevel="1" x14ac:dyDescent="0.25">
      <c r="A55" s="729"/>
      <c r="B55" s="729"/>
      <c r="C55" s="731" t="s">
        <v>1995</v>
      </c>
      <c r="D55" s="731"/>
      <c r="E55" s="729"/>
      <c r="F55" s="729"/>
      <c r="G55" s="729"/>
      <c r="H55" s="729"/>
      <c r="I55" s="729"/>
      <c r="J55" s="729"/>
      <c r="K55" s="729"/>
      <c r="L55" s="729"/>
      <c r="M55" s="729"/>
      <c r="N55" s="729"/>
      <c r="O55" s="729"/>
      <c r="P55" s="729"/>
      <c r="Q55" s="729"/>
      <c r="R55" s="729"/>
      <c r="S55" s="729"/>
      <c r="T55" s="729"/>
      <c r="U55" s="729"/>
      <c r="V55" s="729"/>
      <c r="W55" s="729"/>
      <c r="X55" s="729"/>
      <c r="Y55" s="729"/>
      <c r="Z55" s="729"/>
      <c r="AA55" s="729"/>
      <c r="AB55" s="729"/>
      <c r="AC55" s="729"/>
      <c r="AD55" s="729"/>
      <c r="AE55" s="729"/>
      <c r="AF55" s="729"/>
      <c r="AG55" s="729"/>
      <c r="AH55" s="729"/>
      <c r="AI55" s="729"/>
      <c r="AJ55" s="729"/>
      <c r="AK55" s="729"/>
      <c r="AL55" s="729"/>
      <c r="AM55" s="729"/>
      <c r="AN55" s="729"/>
      <c r="AO55" s="729"/>
      <c r="AP55" s="732"/>
      <c r="AQ55" s="732"/>
      <c r="AR55" s="732"/>
      <c r="AS55" s="732"/>
      <c r="AT55" s="732"/>
      <c r="AU55" s="732"/>
      <c r="AV55" s="729"/>
      <c r="BD55" s="729"/>
      <c r="BE55" s="729"/>
      <c r="BF55" s="729"/>
    </row>
    <row r="56" spans="1:85" s="237" customFormat="1" ht="15" outlineLevel="1" x14ac:dyDescent="0.25">
      <c r="A56" s="729"/>
      <c r="B56" s="729"/>
      <c r="C56" s="751"/>
      <c r="D56" s="752"/>
      <c r="E56" s="752"/>
      <c r="F56" s="753"/>
      <c r="G56" s="753"/>
      <c r="H56" s="753"/>
      <c r="I56" s="753"/>
      <c r="J56" s="729"/>
      <c r="K56" s="729"/>
      <c r="L56" s="729"/>
      <c r="M56" s="729"/>
      <c r="N56" s="729"/>
      <c r="O56" s="729"/>
      <c r="P56" s="729"/>
      <c r="Q56" s="754"/>
      <c r="R56" s="755"/>
      <c r="S56" s="756"/>
      <c r="T56" s="729"/>
      <c r="U56" s="729"/>
      <c r="V56" s="729"/>
      <c r="W56" s="729"/>
      <c r="X56" s="729"/>
      <c r="Y56" s="729"/>
      <c r="Z56" s="729"/>
      <c r="AA56" s="729"/>
      <c r="AB56" s="729"/>
      <c r="AC56" s="729"/>
      <c r="AD56" s="729"/>
      <c r="AE56" s="729"/>
      <c r="AF56" s="729"/>
      <c r="AG56" s="729"/>
      <c r="AH56" s="729"/>
      <c r="AI56" s="729"/>
      <c r="AJ56" s="729"/>
      <c r="AK56" s="729"/>
      <c r="AL56" s="729"/>
      <c r="AM56" s="729"/>
      <c r="AN56" s="729"/>
      <c r="AO56" s="729"/>
      <c r="AP56" s="732"/>
      <c r="AQ56" s="732"/>
      <c r="AR56" s="732"/>
      <c r="AS56" s="732"/>
      <c r="AT56" s="732"/>
      <c r="AU56" s="732"/>
      <c r="AV56" s="729"/>
      <c r="BD56" s="729"/>
      <c r="BE56" s="729"/>
      <c r="BF56" s="729"/>
    </row>
    <row r="57" spans="1:85" s="237" customFormat="1" ht="15" outlineLevel="1" x14ac:dyDescent="0.25">
      <c r="A57" s="729"/>
      <c r="B57" s="729"/>
      <c r="C57" s="729"/>
      <c r="D57" s="757" t="s">
        <v>54</v>
      </c>
      <c r="E57" s="758">
        <f t="shared" ref="E57:AF57" si="0">F57-1</f>
        <v>2001</v>
      </c>
      <c r="F57" s="758">
        <f t="shared" si="0"/>
        <v>2002</v>
      </c>
      <c r="G57" s="758">
        <f t="shared" si="0"/>
        <v>2003</v>
      </c>
      <c r="H57" s="758">
        <f t="shared" si="0"/>
        <v>2004</v>
      </c>
      <c r="I57" s="758">
        <f t="shared" si="0"/>
        <v>2005</v>
      </c>
      <c r="J57" s="758">
        <f t="shared" si="0"/>
        <v>2006</v>
      </c>
      <c r="K57" s="758">
        <f t="shared" si="0"/>
        <v>2007</v>
      </c>
      <c r="L57" s="758">
        <f t="shared" si="0"/>
        <v>2008</v>
      </c>
      <c r="M57" s="758">
        <f t="shared" si="0"/>
        <v>2009</v>
      </c>
      <c r="N57" s="758">
        <f t="shared" si="0"/>
        <v>2010</v>
      </c>
      <c r="O57" s="758">
        <f t="shared" si="0"/>
        <v>2011</v>
      </c>
      <c r="P57" s="758">
        <f t="shared" si="0"/>
        <v>2012</v>
      </c>
      <c r="Q57" s="758">
        <f t="shared" si="0"/>
        <v>2013</v>
      </c>
      <c r="R57" s="758">
        <f t="shared" si="0"/>
        <v>2014</v>
      </c>
      <c r="S57" s="758">
        <f t="shared" si="0"/>
        <v>2015</v>
      </c>
      <c r="T57" s="758">
        <f t="shared" si="0"/>
        <v>2016</v>
      </c>
      <c r="U57" s="758">
        <f t="shared" si="0"/>
        <v>2017</v>
      </c>
      <c r="V57" s="758">
        <f t="shared" si="0"/>
        <v>2018</v>
      </c>
      <c r="W57" s="758">
        <f t="shared" si="0"/>
        <v>2019</v>
      </c>
      <c r="X57" s="758">
        <f t="shared" si="0"/>
        <v>2020</v>
      </c>
      <c r="Y57" s="758">
        <f t="shared" si="0"/>
        <v>2021</v>
      </c>
      <c r="Z57" s="758">
        <f t="shared" si="0"/>
        <v>2022</v>
      </c>
      <c r="AA57" s="758">
        <f t="shared" si="0"/>
        <v>2023</v>
      </c>
      <c r="AB57" s="758">
        <f t="shared" si="0"/>
        <v>2024</v>
      </c>
      <c r="AC57" s="758">
        <f t="shared" si="0"/>
        <v>2025</v>
      </c>
      <c r="AD57" s="758">
        <f t="shared" si="0"/>
        <v>2026</v>
      </c>
      <c r="AE57" s="758">
        <f t="shared" si="0"/>
        <v>2027</v>
      </c>
      <c r="AF57" s="758">
        <f t="shared" si="0"/>
        <v>2028</v>
      </c>
      <c r="AG57" s="758">
        <f>AH57-1</f>
        <v>2029</v>
      </c>
      <c r="AH57" s="758">
        <f>Ano</f>
        <v>2030</v>
      </c>
      <c r="AI57" s="729"/>
      <c r="AJ57" s="729"/>
      <c r="AK57" s="729"/>
      <c r="AL57" s="729"/>
      <c r="AM57" s="729"/>
      <c r="AN57" s="729"/>
      <c r="AO57" s="729"/>
      <c r="AP57" s="732"/>
      <c r="AQ57" s="732"/>
      <c r="AR57" s="732"/>
      <c r="AS57" s="732"/>
      <c r="AT57" s="732"/>
      <c r="AU57" s="732"/>
      <c r="AV57" s="729"/>
      <c r="AW57" s="729"/>
      <c r="AX57" s="729"/>
      <c r="AY57" s="729"/>
      <c r="AZ57" s="729"/>
      <c r="BH57" s="729"/>
      <c r="BI57" s="729"/>
      <c r="BJ57" s="729"/>
    </row>
    <row r="58" spans="1:85" s="237" customFormat="1" ht="15" outlineLevel="1" x14ac:dyDescent="0.25">
      <c r="A58" s="729"/>
      <c r="B58" s="729"/>
      <c r="C58" s="759" t="s">
        <v>2107</v>
      </c>
      <c r="D58" s="1149" t="s">
        <v>27</v>
      </c>
      <c r="E58" s="761"/>
      <c r="F58" s="761"/>
      <c r="G58" s="761"/>
      <c r="H58" s="761"/>
      <c r="I58" s="761"/>
      <c r="J58" s="761"/>
      <c r="K58" s="761"/>
      <c r="L58" s="761"/>
      <c r="M58" s="761"/>
      <c r="N58" s="761"/>
      <c r="O58" s="761"/>
      <c r="P58" s="761"/>
      <c r="Q58" s="761"/>
      <c r="R58" s="761"/>
      <c r="S58" s="761"/>
      <c r="T58" s="761"/>
      <c r="U58" s="761"/>
      <c r="V58" s="761"/>
      <c r="W58" s="761"/>
      <c r="X58" s="761"/>
      <c r="Y58" s="761"/>
      <c r="Z58" s="761"/>
      <c r="AA58" s="761"/>
      <c r="AB58" s="761"/>
      <c r="AC58" s="761"/>
      <c r="AD58" s="761"/>
      <c r="AE58" s="761"/>
      <c r="AF58" s="761"/>
      <c r="AG58" s="761"/>
      <c r="AH58" s="761"/>
      <c r="AI58" s="729"/>
      <c r="AJ58" s="729"/>
      <c r="AK58" s="729"/>
      <c r="AL58" s="729"/>
      <c r="AM58" s="729"/>
      <c r="AN58" s="729"/>
      <c r="AO58" s="729"/>
      <c r="AP58" s="732"/>
      <c r="AQ58" s="732"/>
      <c r="AR58" s="732"/>
      <c r="AS58" s="732"/>
      <c r="AT58" s="732"/>
      <c r="AU58" s="732"/>
      <c r="AV58" s="729"/>
      <c r="AW58" s="729"/>
      <c r="AX58" s="729"/>
      <c r="AY58" s="729"/>
      <c r="AZ58" s="729"/>
      <c r="BA58" s="729" t="s">
        <v>1</v>
      </c>
      <c r="BC58" s="729"/>
      <c r="BD58" s="729"/>
      <c r="BE58" s="729"/>
      <c r="BF58" s="729"/>
      <c r="BG58" s="729"/>
      <c r="BH58" s="729"/>
      <c r="BI58" s="729"/>
      <c r="BJ58" s="729"/>
      <c r="BK58" s="729"/>
      <c r="BL58" s="729"/>
      <c r="BM58" s="729"/>
      <c r="BN58" s="729"/>
      <c r="BO58" s="729"/>
      <c r="BP58" s="729"/>
      <c r="BQ58" s="729"/>
      <c r="BR58" s="729"/>
      <c r="BS58" s="729"/>
      <c r="BT58" s="729"/>
      <c r="BU58" s="729"/>
      <c r="BV58" s="729"/>
      <c r="BW58" s="729"/>
      <c r="BX58" s="729"/>
      <c r="BY58" s="729"/>
      <c r="BZ58" s="729"/>
      <c r="CA58" s="729"/>
      <c r="CB58" s="729"/>
      <c r="CC58" s="729"/>
      <c r="CD58" s="729"/>
      <c r="CE58" s="729"/>
      <c r="CF58" s="729"/>
      <c r="CG58" s="729"/>
    </row>
    <row r="59" spans="1:85" s="237" customFormat="1" ht="15" outlineLevel="1" x14ac:dyDescent="0.25">
      <c r="A59" s="729"/>
      <c r="B59" s="729"/>
      <c r="C59" s="762"/>
      <c r="D59" s="729"/>
      <c r="E59" s="729"/>
      <c r="F59" s="729"/>
      <c r="G59" s="729"/>
      <c r="H59" s="729"/>
      <c r="I59" s="729"/>
      <c r="J59" s="729"/>
      <c r="K59" s="729"/>
      <c r="L59" s="729"/>
      <c r="M59" s="729"/>
      <c r="N59" s="729"/>
      <c r="O59" s="729"/>
      <c r="P59" s="729"/>
      <c r="Q59" s="754"/>
      <c r="R59" s="755"/>
      <c r="S59" s="756"/>
      <c r="T59" s="729"/>
      <c r="U59" s="729"/>
      <c r="V59" s="729"/>
      <c r="W59" s="729"/>
      <c r="X59" s="729"/>
      <c r="Y59" s="729"/>
      <c r="Z59" s="729"/>
      <c r="AA59" s="729"/>
      <c r="AB59" s="729"/>
      <c r="AC59" s="729"/>
      <c r="AD59" s="729"/>
      <c r="AE59" s="729"/>
      <c r="AF59" s="729"/>
      <c r="AG59" s="729"/>
      <c r="AH59" s="729"/>
      <c r="AI59" s="729"/>
      <c r="AJ59" s="729"/>
      <c r="AK59" s="729"/>
      <c r="AL59" s="729"/>
      <c r="AM59" s="729"/>
      <c r="AN59" s="729"/>
      <c r="AO59" s="729"/>
      <c r="AP59" s="732"/>
      <c r="AQ59" s="732"/>
      <c r="AR59" s="732"/>
      <c r="AS59" s="732"/>
      <c r="AT59" s="732"/>
      <c r="AU59" s="732"/>
      <c r="AV59" s="729"/>
      <c r="AW59" s="729"/>
      <c r="AX59" s="729"/>
      <c r="AY59" s="729"/>
      <c r="AZ59" s="729"/>
      <c r="BA59" s="763" t="s">
        <v>63</v>
      </c>
      <c r="BB59" s="252"/>
      <c r="BC59" s="252"/>
      <c r="BD59" s="252"/>
      <c r="BE59" s="252"/>
      <c r="BF59" s="252"/>
      <c r="BG59" s="252"/>
      <c r="BH59" s="252"/>
      <c r="BI59" s="252"/>
      <c r="BJ59" s="252"/>
      <c r="BK59" s="252"/>
      <c r="BL59" s="252"/>
      <c r="BM59" s="252"/>
      <c r="BN59" s="252"/>
      <c r="BO59" s="252"/>
      <c r="BP59" s="252"/>
      <c r="BQ59" s="252"/>
      <c r="BR59" s="252"/>
      <c r="BS59" s="252"/>
      <c r="BT59" s="252"/>
      <c r="BU59" s="252"/>
      <c r="BV59" s="252"/>
      <c r="BW59" s="252"/>
      <c r="BX59" s="252"/>
      <c r="BY59" s="252"/>
      <c r="BZ59" s="252"/>
      <c r="CA59" s="252"/>
      <c r="CB59" s="252"/>
      <c r="CC59" s="252"/>
      <c r="CD59" s="252"/>
      <c r="CE59" s="252"/>
      <c r="CF59" s="252"/>
      <c r="CG59" s="252"/>
    </row>
    <row r="60" spans="1:85" s="237" customFormat="1" ht="15" outlineLevel="1" x14ac:dyDescent="0.25">
      <c r="A60" s="729"/>
      <c r="B60" s="729"/>
      <c r="C60" s="762"/>
      <c r="D60" s="729"/>
      <c r="E60" s="729"/>
      <c r="F60" s="729"/>
      <c r="G60" s="729"/>
      <c r="H60" s="729"/>
      <c r="I60" s="729"/>
      <c r="J60" s="729"/>
      <c r="K60" s="729"/>
      <c r="L60" s="729"/>
      <c r="M60" s="729"/>
      <c r="N60" s="729"/>
      <c r="O60" s="729"/>
      <c r="P60" s="729"/>
      <c r="Q60" s="754"/>
      <c r="R60" s="755"/>
      <c r="S60" s="756"/>
      <c r="T60" s="729"/>
      <c r="U60" s="729"/>
      <c r="V60" s="729"/>
      <c r="W60" s="729"/>
      <c r="X60" s="729"/>
      <c r="Y60" s="729"/>
      <c r="Z60" s="729"/>
      <c r="AA60" s="729"/>
      <c r="AB60" s="729"/>
      <c r="AC60" s="729"/>
      <c r="AD60" s="729"/>
      <c r="AE60" s="729"/>
      <c r="AF60" s="729"/>
      <c r="AG60" s="729"/>
      <c r="AH60" s="729"/>
      <c r="AI60" s="729"/>
      <c r="AJ60" s="729"/>
      <c r="AK60" s="729"/>
      <c r="AL60" s="729"/>
      <c r="AM60" s="729"/>
      <c r="AN60" s="729"/>
      <c r="AO60" s="729"/>
      <c r="AP60" s="732"/>
      <c r="AQ60" s="732"/>
      <c r="AR60" s="732"/>
      <c r="AS60" s="732"/>
      <c r="AT60" s="732"/>
      <c r="AU60" s="732"/>
      <c r="AV60" s="729"/>
      <c r="AW60" s="729"/>
      <c r="AX60" s="729"/>
      <c r="AY60" s="729"/>
      <c r="AZ60" s="729"/>
      <c r="BA60" s="252"/>
      <c r="BB60" s="764" t="s">
        <v>58</v>
      </c>
      <c r="BC60" s="765">
        <f>IF($D$49="&gt; 20", IF($D$48="&lt; 1.000", 0.065, 0.17), 0.09)</f>
        <v>0.09</v>
      </c>
      <c r="BD60" s="252"/>
      <c r="BE60" s="252"/>
      <c r="BF60" s="252"/>
      <c r="BG60" s="252"/>
      <c r="BH60" s="252"/>
      <c r="BI60" s="252"/>
      <c r="BJ60" s="252"/>
      <c r="BK60" s="252"/>
      <c r="BL60" s="252"/>
      <c r="BM60" s="252"/>
      <c r="BN60" s="252"/>
      <c r="BO60" s="252"/>
      <c r="BP60" s="252"/>
      <c r="BQ60" s="252"/>
      <c r="BR60" s="252"/>
      <c r="BS60" s="252"/>
      <c r="BT60" s="252"/>
      <c r="BU60" s="252"/>
      <c r="BV60" s="252"/>
      <c r="BW60" s="252"/>
      <c r="BX60" s="252"/>
      <c r="BY60" s="252"/>
      <c r="BZ60" s="252"/>
      <c r="CA60" s="252"/>
      <c r="CB60" s="252"/>
      <c r="CC60" s="252"/>
      <c r="CD60" s="252"/>
      <c r="CE60" s="252"/>
      <c r="CF60" s="252"/>
      <c r="CG60" s="252"/>
    </row>
    <row r="61" spans="1:85" s="237" customFormat="1" ht="15" outlineLevel="1" x14ac:dyDescent="0.25">
      <c r="A61" s="729"/>
      <c r="B61" s="729"/>
      <c r="C61" s="751"/>
      <c r="D61" s="729"/>
      <c r="E61" s="729"/>
      <c r="F61" s="729"/>
      <c r="G61" s="729"/>
      <c r="H61" s="729"/>
      <c r="I61" s="729"/>
      <c r="J61" s="729"/>
      <c r="K61" s="729"/>
      <c r="L61" s="729"/>
      <c r="M61" s="729"/>
      <c r="N61" s="729"/>
      <c r="O61" s="729"/>
      <c r="P61" s="729"/>
      <c r="Q61" s="729"/>
      <c r="R61" s="729"/>
      <c r="S61" s="729"/>
      <c r="T61" s="729"/>
      <c r="U61" s="729"/>
      <c r="V61" s="729"/>
      <c r="W61" s="729"/>
      <c r="X61" s="729"/>
      <c r="Y61" s="729"/>
      <c r="Z61" s="729"/>
      <c r="AA61" s="729"/>
      <c r="AB61" s="729"/>
      <c r="AC61" s="729"/>
      <c r="AD61" s="729"/>
      <c r="AE61" s="729"/>
      <c r="AF61" s="729"/>
      <c r="AG61" s="729"/>
      <c r="AH61" s="729"/>
      <c r="AI61" s="729"/>
      <c r="AJ61" s="729"/>
      <c r="AK61" s="729"/>
      <c r="AL61" s="729"/>
      <c r="AM61" s="729"/>
      <c r="AN61" s="729"/>
      <c r="AO61" s="729"/>
      <c r="AP61" s="732"/>
      <c r="AQ61" s="732"/>
      <c r="AR61" s="732"/>
      <c r="AS61" s="732"/>
      <c r="AT61" s="732"/>
      <c r="AU61" s="732"/>
      <c r="AV61" s="729"/>
      <c r="AW61" s="729"/>
      <c r="AX61" s="729"/>
      <c r="AY61" s="729"/>
      <c r="AZ61" s="729"/>
      <c r="BA61" s="252"/>
      <c r="BB61" s="764" t="s">
        <v>59</v>
      </c>
      <c r="BC61" s="765">
        <f>((1-EXP(-$BC$60))/$BC$60)</f>
        <v>0.95632016365302019</v>
      </c>
      <c r="BD61" s="252"/>
      <c r="BE61" s="252"/>
      <c r="BF61" s="252"/>
      <c r="BG61" s="252"/>
      <c r="BH61" s="252"/>
      <c r="BI61" s="252"/>
      <c r="BJ61" s="252"/>
      <c r="BK61" s="252"/>
      <c r="BL61" s="252"/>
      <c r="BM61" s="252"/>
      <c r="BN61" s="252"/>
      <c r="BO61" s="252"/>
      <c r="BP61" s="252"/>
      <c r="BQ61" s="252"/>
      <c r="BR61" s="252"/>
      <c r="BS61" s="252"/>
      <c r="BT61" s="252"/>
      <c r="BU61" s="252"/>
      <c r="BV61" s="252"/>
      <c r="BW61" s="252"/>
      <c r="BX61" s="252"/>
      <c r="BY61" s="252"/>
      <c r="BZ61" s="252"/>
      <c r="CA61" s="252"/>
      <c r="CB61" s="252"/>
      <c r="CC61" s="252"/>
      <c r="CD61" s="252"/>
      <c r="CE61" s="252"/>
      <c r="CF61" s="252"/>
      <c r="CG61" s="252"/>
    </row>
    <row r="62" spans="1:85" s="237" customFormat="1" ht="18" outlineLevel="1" x14ac:dyDescent="0.35">
      <c r="A62" s="729"/>
      <c r="B62" s="727" t="s">
        <v>1345</v>
      </c>
      <c r="C62" s="751"/>
      <c r="D62" s="752"/>
      <c r="E62" s="755"/>
      <c r="F62" s="756"/>
      <c r="G62" s="729"/>
      <c r="H62" s="729"/>
      <c r="I62" s="729"/>
      <c r="J62" s="729"/>
      <c r="K62" s="729"/>
      <c r="L62" s="729"/>
      <c r="M62" s="729"/>
      <c r="N62" s="729"/>
      <c r="O62" s="729"/>
      <c r="P62" s="729"/>
      <c r="Q62" s="729"/>
      <c r="R62" s="729"/>
      <c r="S62" s="729"/>
      <c r="T62" s="729"/>
      <c r="U62" s="729"/>
      <c r="V62" s="729"/>
      <c r="W62" s="729"/>
      <c r="X62" s="729"/>
      <c r="Y62" s="729"/>
      <c r="Z62" s="729"/>
      <c r="AA62" s="729"/>
      <c r="AB62" s="729"/>
      <c r="AC62" s="729"/>
      <c r="AD62" s="729"/>
      <c r="AE62" s="729"/>
      <c r="AF62" s="729"/>
      <c r="AG62" s="729"/>
      <c r="AH62" s="729"/>
      <c r="AI62" s="729"/>
      <c r="AJ62" s="729"/>
      <c r="AK62" s="729"/>
      <c r="AL62" s="729"/>
      <c r="AM62" s="729"/>
      <c r="AN62" s="729"/>
      <c r="AO62" s="729"/>
      <c r="AP62" s="732"/>
      <c r="AQ62" s="732"/>
      <c r="AR62" s="732"/>
      <c r="AS62" s="732"/>
      <c r="AT62" s="732"/>
      <c r="AU62" s="732"/>
      <c r="AV62" s="729"/>
      <c r="AW62" s="729"/>
      <c r="AX62" s="729"/>
      <c r="AY62" s="729"/>
      <c r="AZ62" s="729"/>
      <c r="BA62" s="252"/>
      <c r="BB62" s="766" t="s">
        <v>1430</v>
      </c>
      <c r="BC62" s="765">
        <v>0.5</v>
      </c>
      <c r="BD62" s="767" t="s">
        <v>60</v>
      </c>
      <c r="BE62" s="768"/>
      <c r="BF62" s="252"/>
      <c r="BG62" s="252"/>
      <c r="BH62" s="252"/>
      <c r="BI62" s="252"/>
      <c r="BJ62" s="252"/>
      <c r="BK62" s="252"/>
      <c r="BL62" s="252"/>
      <c r="BM62" s="252"/>
      <c r="BN62" s="252"/>
      <c r="BO62" s="252"/>
      <c r="BP62" s="252"/>
      <c r="BQ62" s="252"/>
      <c r="BR62" s="252"/>
      <c r="BS62" s="252"/>
      <c r="BT62" s="252"/>
      <c r="BU62" s="252"/>
      <c r="BV62" s="252"/>
      <c r="BW62" s="252"/>
      <c r="BX62" s="252"/>
      <c r="BY62" s="252"/>
      <c r="BZ62" s="252"/>
      <c r="CA62" s="252"/>
      <c r="CB62" s="252"/>
      <c r="CC62" s="252"/>
      <c r="CD62" s="252"/>
      <c r="CE62" s="252"/>
      <c r="CF62" s="252"/>
      <c r="CG62" s="252"/>
    </row>
    <row r="63" spans="1:85" s="237" customFormat="1" ht="15" outlineLevel="1" x14ac:dyDescent="0.25">
      <c r="A63" s="729"/>
      <c r="B63" s="729"/>
      <c r="C63" s="731" t="s">
        <v>347</v>
      </c>
      <c r="D63" s="752"/>
      <c r="E63" s="755"/>
      <c r="F63" s="756"/>
      <c r="G63" s="729"/>
      <c r="H63" s="729"/>
      <c r="I63" s="729"/>
      <c r="J63" s="729"/>
      <c r="K63" s="729"/>
      <c r="L63" s="729"/>
      <c r="M63" s="729"/>
      <c r="N63" s="729"/>
      <c r="O63" s="729"/>
      <c r="P63" s="729"/>
      <c r="Q63" s="729"/>
      <c r="R63" s="729"/>
      <c r="S63" s="729"/>
      <c r="T63" s="729"/>
      <c r="U63" s="729"/>
      <c r="V63" s="729"/>
      <c r="W63" s="729"/>
      <c r="X63" s="729"/>
      <c r="Y63" s="729"/>
      <c r="Z63" s="729"/>
      <c r="AA63" s="729"/>
      <c r="AB63" s="729"/>
      <c r="AC63" s="729"/>
      <c r="AD63" s="729"/>
      <c r="AE63" s="729"/>
      <c r="AF63" s="729"/>
      <c r="AG63" s="729"/>
      <c r="AH63" s="729"/>
      <c r="AI63" s="729"/>
      <c r="AJ63" s="729"/>
      <c r="AK63" s="729"/>
      <c r="AL63" s="729"/>
      <c r="AM63" s="729"/>
      <c r="AN63" s="729"/>
      <c r="AO63" s="729"/>
      <c r="AP63" s="732"/>
      <c r="AQ63" s="732"/>
      <c r="AR63" s="732"/>
      <c r="AS63" s="732"/>
      <c r="AT63" s="732"/>
      <c r="AU63" s="732"/>
      <c r="AV63" s="729"/>
      <c r="AW63" s="729"/>
      <c r="AX63" s="729"/>
      <c r="AY63" s="729"/>
      <c r="AZ63" s="729"/>
      <c r="BA63" s="252"/>
      <c r="BB63" s="769" t="s">
        <v>61</v>
      </c>
      <c r="BC63" s="765">
        <f xml:space="preserve"> 16/12</f>
        <v>1.3333333333333333</v>
      </c>
      <c r="BD63" s="768"/>
      <c r="BE63" s="768"/>
      <c r="BF63" s="252"/>
      <c r="BG63" s="252"/>
      <c r="BH63" s="252"/>
      <c r="BI63" s="252"/>
      <c r="BJ63" s="252"/>
      <c r="BK63" s="252"/>
      <c r="BL63" s="252"/>
      <c r="BM63" s="252"/>
      <c r="BN63" s="252"/>
      <c r="BO63" s="252"/>
      <c r="BP63" s="252"/>
      <c r="BQ63" s="252"/>
      <c r="BR63" s="252"/>
      <c r="BS63" s="252"/>
      <c r="BT63" s="252"/>
      <c r="BU63" s="252"/>
      <c r="BV63" s="252"/>
      <c r="BW63" s="252"/>
      <c r="BX63" s="252"/>
      <c r="BY63" s="252"/>
      <c r="BZ63" s="252"/>
      <c r="CA63" s="252"/>
      <c r="CB63" s="252"/>
      <c r="CC63" s="252"/>
      <c r="CD63" s="252"/>
      <c r="CE63" s="252"/>
      <c r="CF63" s="252"/>
      <c r="CG63" s="252"/>
    </row>
    <row r="64" spans="1:85" s="237" customFormat="1" ht="15" outlineLevel="1" x14ac:dyDescent="0.25">
      <c r="A64" s="729"/>
      <c r="B64" s="729"/>
      <c r="C64" s="731" t="s">
        <v>1997</v>
      </c>
      <c r="D64" s="752"/>
      <c r="E64" s="755"/>
      <c r="F64" s="756"/>
      <c r="G64" s="729"/>
      <c r="H64" s="729"/>
      <c r="I64" s="729"/>
      <c r="J64" s="729"/>
      <c r="K64" s="729"/>
      <c r="L64" s="729"/>
      <c r="M64" s="729"/>
      <c r="N64" s="729"/>
      <c r="O64" s="729"/>
      <c r="P64" s="729"/>
      <c r="Q64" s="729"/>
      <c r="R64" s="729"/>
      <c r="S64" s="729"/>
      <c r="T64" s="729"/>
      <c r="U64" s="729"/>
      <c r="V64" s="729"/>
      <c r="W64" s="729"/>
      <c r="X64" s="729"/>
      <c r="Y64" s="729"/>
      <c r="Z64" s="729"/>
      <c r="AA64" s="729"/>
      <c r="AB64" s="729"/>
      <c r="AC64" s="729"/>
      <c r="AD64" s="729"/>
      <c r="AE64" s="729"/>
      <c r="AF64" s="729"/>
      <c r="AG64" s="729"/>
      <c r="AH64" s="729"/>
      <c r="AI64" s="729"/>
      <c r="AJ64" s="729"/>
      <c r="AK64" s="729"/>
      <c r="AL64" s="729"/>
      <c r="AM64" s="729"/>
      <c r="AN64" s="729"/>
      <c r="AO64" s="729"/>
      <c r="AP64" s="732"/>
      <c r="AQ64" s="732"/>
      <c r="AR64" s="732"/>
      <c r="AS64" s="732"/>
      <c r="AT64" s="732"/>
      <c r="AU64" s="732"/>
      <c r="AV64" s="729"/>
      <c r="AW64" s="729"/>
      <c r="AX64" s="729"/>
      <c r="AY64" s="729"/>
      <c r="AZ64" s="729"/>
      <c r="BA64" s="252"/>
      <c r="BB64" s="766" t="s">
        <v>62</v>
      </c>
      <c r="BC64" s="770">
        <f>IF($D$96=0, 0.5,$D$96)</f>
        <v>0.5</v>
      </c>
      <c r="BD64" s="768"/>
      <c r="BE64" s="768"/>
      <c r="BF64" s="252"/>
      <c r="BG64" s="252"/>
      <c r="BH64" s="252"/>
      <c r="BI64" s="252"/>
      <c r="BJ64" s="252"/>
      <c r="BK64" s="252"/>
      <c r="BL64" s="252"/>
      <c r="BM64" s="252"/>
      <c r="BN64" s="252"/>
      <c r="BO64" s="252"/>
      <c r="BP64" s="252"/>
      <c r="BQ64" s="252"/>
      <c r="BR64" s="252"/>
      <c r="BS64" s="252"/>
      <c r="BT64" s="252"/>
      <c r="BU64" s="252"/>
      <c r="BV64" s="252"/>
      <c r="BW64" s="252"/>
      <c r="BX64" s="252"/>
      <c r="BY64" s="252"/>
      <c r="BZ64" s="252"/>
      <c r="CA64" s="252"/>
      <c r="CB64" s="252"/>
      <c r="CC64" s="252"/>
      <c r="CD64" s="252"/>
      <c r="CE64" s="252"/>
      <c r="CF64" s="252"/>
      <c r="CG64" s="252"/>
    </row>
    <row r="65" spans="1:85" s="237" customFormat="1" ht="18" outlineLevel="1" x14ac:dyDescent="0.35">
      <c r="A65" s="729"/>
      <c r="B65" s="729"/>
      <c r="C65" s="731" t="s">
        <v>1431</v>
      </c>
      <c r="D65" s="752"/>
      <c r="E65" s="755"/>
      <c r="F65" s="756"/>
      <c r="G65" s="729"/>
      <c r="H65" s="729"/>
      <c r="I65" s="729"/>
      <c r="J65" s="729"/>
      <c r="K65" s="729"/>
      <c r="L65" s="729"/>
      <c r="M65" s="729"/>
      <c r="N65" s="729"/>
      <c r="O65" s="729"/>
      <c r="P65" s="729"/>
      <c r="Q65" s="729"/>
      <c r="R65" s="729"/>
      <c r="S65" s="729"/>
      <c r="T65" s="729"/>
      <c r="U65" s="729"/>
      <c r="V65" s="729"/>
      <c r="W65" s="729"/>
      <c r="X65" s="729"/>
      <c r="Y65" s="729"/>
      <c r="Z65" s="729"/>
      <c r="AA65" s="729"/>
      <c r="AB65" s="729"/>
      <c r="AC65" s="729"/>
      <c r="AD65" s="729"/>
      <c r="AE65" s="729"/>
      <c r="AF65" s="729"/>
      <c r="AG65" s="729"/>
      <c r="AH65" s="729"/>
      <c r="AI65" s="729"/>
      <c r="AJ65" s="729"/>
      <c r="AK65" s="729"/>
      <c r="AL65" s="729"/>
      <c r="AM65" s="729"/>
      <c r="AN65" s="729"/>
      <c r="AO65" s="729"/>
      <c r="AP65" s="732"/>
      <c r="AQ65" s="732"/>
      <c r="AR65" s="732"/>
      <c r="AS65" s="732"/>
      <c r="AT65" s="732"/>
      <c r="AU65" s="732"/>
      <c r="AV65" s="729"/>
      <c r="AW65" s="729"/>
      <c r="AX65" s="729"/>
      <c r="AY65" s="729"/>
      <c r="AZ65" s="729"/>
      <c r="BA65" s="768"/>
      <c r="BB65" s="771" t="s">
        <v>1432</v>
      </c>
      <c r="BC65" s="252"/>
      <c r="BD65" s="772">
        <f>($BC$61*$BC$60*E$58* E$92*E$77*$BC$62*$BC$64*$BC$63)</f>
        <v>0</v>
      </c>
      <c r="BE65" s="772">
        <f t="shared" ref="BE65:CG65" si="1">($BC$61*$BC$60*F$58* F$92*F$77*$BC$62*$BC$64*$BC$63)</f>
        <v>0</v>
      </c>
      <c r="BF65" s="772">
        <f t="shared" si="1"/>
        <v>0</v>
      </c>
      <c r="BG65" s="772">
        <f t="shared" si="1"/>
        <v>0</v>
      </c>
      <c r="BH65" s="772">
        <f t="shared" si="1"/>
        <v>0</v>
      </c>
      <c r="BI65" s="772">
        <f>($BC$61*$BC$60*J$58* J$92*J$77*$BC$62*$BC$64*$BC$63)</f>
        <v>0</v>
      </c>
      <c r="BJ65" s="772">
        <f t="shared" si="1"/>
        <v>0</v>
      </c>
      <c r="BK65" s="772">
        <f t="shared" si="1"/>
        <v>0</v>
      </c>
      <c r="BL65" s="772">
        <f t="shared" si="1"/>
        <v>0</v>
      </c>
      <c r="BM65" s="772">
        <f t="shared" si="1"/>
        <v>0</v>
      </c>
      <c r="BN65" s="772">
        <f t="shared" si="1"/>
        <v>0</v>
      </c>
      <c r="BO65" s="772">
        <f t="shared" si="1"/>
        <v>0</v>
      </c>
      <c r="BP65" s="772">
        <f t="shared" si="1"/>
        <v>0</v>
      </c>
      <c r="BQ65" s="772">
        <f t="shared" si="1"/>
        <v>0</v>
      </c>
      <c r="BR65" s="772">
        <f t="shared" si="1"/>
        <v>0</v>
      </c>
      <c r="BS65" s="772">
        <f t="shared" si="1"/>
        <v>0</v>
      </c>
      <c r="BT65" s="772">
        <f t="shared" si="1"/>
        <v>0</v>
      </c>
      <c r="BU65" s="772">
        <f t="shared" si="1"/>
        <v>0</v>
      </c>
      <c r="BV65" s="772">
        <f t="shared" si="1"/>
        <v>0</v>
      </c>
      <c r="BW65" s="772">
        <f t="shared" si="1"/>
        <v>0</v>
      </c>
      <c r="BX65" s="772">
        <f t="shared" si="1"/>
        <v>0</v>
      </c>
      <c r="BY65" s="772">
        <f t="shared" si="1"/>
        <v>0</v>
      </c>
      <c r="BZ65" s="772">
        <f t="shared" si="1"/>
        <v>0</v>
      </c>
      <c r="CA65" s="772">
        <f t="shared" si="1"/>
        <v>0</v>
      </c>
      <c r="CB65" s="772">
        <f t="shared" si="1"/>
        <v>0</v>
      </c>
      <c r="CC65" s="772">
        <f t="shared" si="1"/>
        <v>0</v>
      </c>
      <c r="CD65" s="772">
        <f t="shared" si="1"/>
        <v>0</v>
      </c>
      <c r="CE65" s="772">
        <f t="shared" si="1"/>
        <v>0</v>
      </c>
      <c r="CF65" s="772">
        <f t="shared" si="1"/>
        <v>0</v>
      </c>
      <c r="CG65" s="772">
        <f t="shared" si="1"/>
        <v>0</v>
      </c>
    </row>
    <row r="66" spans="1:85" s="237" customFormat="1" ht="18" outlineLevel="1" x14ac:dyDescent="0.35">
      <c r="A66" s="729"/>
      <c r="B66" s="729"/>
      <c r="C66" s="731" t="s">
        <v>1998</v>
      </c>
      <c r="D66" s="752"/>
      <c r="E66" s="755"/>
      <c r="F66" s="756"/>
      <c r="G66" s="729"/>
      <c r="H66" s="729"/>
      <c r="I66" s="729"/>
      <c r="J66" s="729"/>
      <c r="K66" s="729"/>
      <c r="L66" s="729"/>
      <c r="M66" s="729"/>
      <c r="N66" s="729"/>
      <c r="O66" s="729"/>
      <c r="P66" s="729"/>
      <c r="Q66" s="729"/>
      <c r="R66" s="729"/>
      <c r="S66" s="729"/>
      <c r="T66" s="729"/>
      <c r="U66" s="729"/>
      <c r="V66" s="729"/>
      <c r="W66" s="729"/>
      <c r="X66" s="729"/>
      <c r="Y66" s="729"/>
      <c r="Z66" s="729"/>
      <c r="AA66" s="729"/>
      <c r="AB66" s="729"/>
      <c r="AC66" s="729"/>
      <c r="AD66" s="729"/>
      <c r="AE66" s="729"/>
      <c r="AF66" s="729"/>
      <c r="AG66" s="729"/>
      <c r="AH66" s="729"/>
      <c r="AI66" s="729"/>
      <c r="AJ66" s="729"/>
      <c r="AK66" s="729"/>
      <c r="AL66" s="729"/>
      <c r="AM66" s="729"/>
      <c r="AN66" s="729"/>
      <c r="AO66" s="729"/>
      <c r="AP66" s="732"/>
      <c r="AQ66" s="732"/>
      <c r="AR66" s="732"/>
      <c r="AS66" s="732"/>
      <c r="AT66" s="732"/>
      <c r="AU66" s="732"/>
      <c r="AV66" s="729"/>
      <c r="AW66" s="729"/>
      <c r="AX66" s="729"/>
      <c r="AY66" s="729"/>
      <c r="AZ66" s="729"/>
      <c r="BA66" s="252"/>
      <c r="BB66" s="252"/>
      <c r="BC66" s="773" t="s">
        <v>145</v>
      </c>
      <c r="BD66" s="774">
        <f t="shared" ref="BD66:CF66" si="2">BE66-1</f>
        <v>2001</v>
      </c>
      <c r="BE66" s="774">
        <f t="shared" si="2"/>
        <v>2002</v>
      </c>
      <c r="BF66" s="774">
        <f t="shared" si="2"/>
        <v>2003</v>
      </c>
      <c r="BG66" s="774">
        <f t="shared" si="2"/>
        <v>2004</v>
      </c>
      <c r="BH66" s="774">
        <f t="shared" si="2"/>
        <v>2005</v>
      </c>
      <c r="BI66" s="774">
        <f t="shared" si="2"/>
        <v>2006</v>
      </c>
      <c r="BJ66" s="774">
        <f t="shared" si="2"/>
        <v>2007</v>
      </c>
      <c r="BK66" s="774">
        <f t="shared" si="2"/>
        <v>2008</v>
      </c>
      <c r="BL66" s="774">
        <f t="shared" si="2"/>
        <v>2009</v>
      </c>
      <c r="BM66" s="774">
        <f t="shared" si="2"/>
        <v>2010</v>
      </c>
      <c r="BN66" s="774">
        <f t="shared" si="2"/>
        <v>2011</v>
      </c>
      <c r="BO66" s="774">
        <f t="shared" si="2"/>
        <v>2012</v>
      </c>
      <c r="BP66" s="774">
        <f t="shared" si="2"/>
        <v>2013</v>
      </c>
      <c r="BQ66" s="774">
        <f t="shared" si="2"/>
        <v>2014</v>
      </c>
      <c r="BR66" s="774">
        <f t="shared" si="2"/>
        <v>2015</v>
      </c>
      <c r="BS66" s="774">
        <f t="shared" si="2"/>
        <v>2016</v>
      </c>
      <c r="BT66" s="774">
        <f t="shared" si="2"/>
        <v>2017</v>
      </c>
      <c r="BU66" s="774">
        <f t="shared" si="2"/>
        <v>2018</v>
      </c>
      <c r="BV66" s="774">
        <f t="shared" si="2"/>
        <v>2019</v>
      </c>
      <c r="BW66" s="774">
        <f t="shared" si="2"/>
        <v>2020</v>
      </c>
      <c r="BX66" s="774">
        <f t="shared" si="2"/>
        <v>2021</v>
      </c>
      <c r="BY66" s="774">
        <f t="shared" si="2"/>
        <v>2022</v>
      </c>
      <c r="BZ66" s="774">
        <f t="shared" si="2"/>
        <v>2023</v>
      </c>
      <c r="CA66" s="774">
        <f t="shared" si="2"/>
        <v>2024</v>
      </c>
      <c r="CB66" s="774">
        <f t="shared" si="2"/>
        <v>2025</v>
      </c>
      <c r="CC66" s="774">
        <f t="shared" si="2"/>
        <v>2026</v>
      </c>
      <c r="CD66" s="774">
        <f t="shared" si="2"/>
        <v>2027</v>
      </c>
      <c r="CE66" s="774">
        <f t="shared" si="2"/>
        <v>2028</v>
      </c>
      <c r="CF66" s="774">
        <f t="shared" si="2"/>
        <v>2029</v>
      </c>
      <c r="CG66" s="774">
        <f>Ano</f>
        <v>2030</v>
      </c>
    </row>
    <row r="67" spans="1:85" s="237" customFormat="1" ht="15" outlineLevel="1" x14ac:dyDescent="0.25">
      <c r="A67" s="729"/>
      <c r="B67" s="729"/>
      <c r="C67" s="752"/>
      <c r="D67" s="752"/>
      <c r="E67" s="752"/>
      <c r="F67" s="752"/>
      <c r="G67" s="752"/>
      <c r="H67" s="729"/>
      <c r="I67" s="729"/>
      <c r="J67" s="729"/>
      <c r="K67" s="729"/>
      <c r="L67" s="729"/>
      <c r="M67" s="729"/>
      <c r="N67" s="729"/>
      <c r="O67" s="729"/>
      <c r="P67" s="729"/>
      <c r="Q67" s="729"/>
      <c r="R67" s="729"/>
      <c r="S67" s="729"/>
      <c r="T67" s="729"/>
      <c r="U67" s="729"/>
      <c r="V67" s="729"/>
      <c r="W67" s="729"/>
      <c r="X67" s="729"/>
      <c r="Y67" s="729"/>
      <c r="Z67" s="729"/>
      <c r="AA67" s="729"/>
      <c r="AB67" s="729"/>
      <c r="AC67" s="729"/>
      <c r="AD67" s="729"/>
      <c r="AE67" s="729"/>
      <c r="AF67" s="729"/>
      <c r="AG67" s="729"/>
      <c r="AH67" s="729"/>
      <c r="AI67" s="729"/>
      <c r="AJ67" s="729"/>
      <c r="AK67" s="729"/>
      <c r="AL67" s="729"/>
      <c r="AM67" s="729"/>
      <c r="AN67" s="729"/>
      <c r="AO67" s="729"/>
      <c r="AP67" s="732"/>
      <c r="AQ67" s="732"/>
      <c r="AR67" s="732"/>
      <c r="AS67" s="732"/>
      <c r="AT67" s="732"/>
      <c r="AU67" s="732"/>
      <c r="AV67" s="729"/>
      <c r="AW67" s="729"/>
      <c r="AX67" s="729"/>
      <c r="AY67" s="729"/>
      <c r="AZ67" s="729"/>
      <c r="BA67" s="252"/>
      <c r="BB67" s="252"/>
      <c r="BC67" s="775">
        <f>BD66</f>
        <v>2001</v>
      </c>
      <c r="BD67" s="776">
        <f>BD$65*EXP(-$BC$60*($BC67-BD$66))</f>
        <v>0</v>
      </c>
      <c r="BE67" s="777"/>
      <c r="BF67" s="777"/>
      <c r="BG67" s="777"/>
      <c r="BH67" s="777"/>
      <c r="BI67" s="777"/>
      <c r="BJ67" s="777"/>
      <c r="BK67" s="777"/>
      <c r="BL67" s="777"/>
      <c r="BM67" s="777"/>
      <c r="BN67" s="777"/>
      <c r="BO67" s="777"/>
      <c r="BP67" s="777"/>
      <c r="BQ67" s="777"/>
      <c r="BR67" s="777"/>
      <c r="BS67" s="777"/>
      <c r="BT67" s="777"/>
      <c r="BU67" s="777"/>
      <c r="BV67" s="777"/>
      <c r="BW67" s="777"/>
      <c r="BX67" s="777"/>
      <c r="BY67" s="777"/>
      <c r="BZ67" s="777"/>
      <c r="CA67" s="777"/>
      <c r="CB67" s="777"/>
      <c r="CC67" s="777"/>
      <c r="CD67" s="777"/>
      <c r="CE67" s="777"/>
      <c r="CF67" s="777"/>
      <c r="CG67" s="778"/>
    </row>
    <row r="68" spans="1:85" s="237" customFormat="1" ht="18.75" outlineLevel="1" x14ac:dyDescent="0.35">
      <c r="A68" s="729"/>
      <c r="C68" s="779" t="s">
        <v>299</v>
      </c>
      <c r="D68" s="780" t="s">
        <v>54</v>
      </c>
      <c r="E68" s="758">
        <f t="shared" ref="E68:AF68" si="3">F68-1</f>
        <v>2001</v>
      </c>
      <c r="F68" s="758">
        <f t="shared" si="3"/>
        <v>2002</v>
      </c>
      <c r="G68" s="758">
        <f t="shared" si="3"/>
        <v>2003</v>
      </c>
      <c r="H68" s="758">
        <f t="shared" si="3"/>
        <v>2004</v>
      </c>
      <c r="I68" s="758">
        <f t="shared" si="3"/>
        <v>2005</v>
      </c>
      <c r="J68" s="758">
        <f t="shared" si="3"/>
        <v>2006</v>
      </c>
      <c r="K68" s="758">
        <f t="shared" si="3"/>
        <v>2007</v>
      </c>
      <c r="L68" s="758">
        <f t="shared" si="3"/>
        <v>2008</v>
      </c>
      <c r="M68" s="758">
        <f t="shared" si="3"/>
        <v>2009</v>
      </c>
      <c r="N68" s="758">
        <f t="shared" si="3"/>
        <v>2010</v>
      </c>
      <c r="O68" s="758">
        <f t="shared" si="3"/>
        <v>2011</v>
      </c>
      <c r="P68" s="758">
        <f t="shared" si="3"/>
        <v>2012</v>
      </c>
      <c r="Q68" s="758">
        <f t="shared" si="3"/>
        <v>2013</v>
      </c>
      <c r="R68" s="758">
        <f t="shared" si="3"/>
        <v>2014</v>
      </c>
      <c r="S68" s="758">
        <f t="shared" si="3"/>
        <v>2015</v>
      </c>
      <c r="T68" s="758">
        <f t="shared" si="3"/>
        <v>2016</v>
      </c>
      <c r="U68" s="758">
        <f t="shared" si="3"/>
        <v>2017</v>
      </c>
      <c r="V68" s="758">
        <f t="shared" si="3"/>
        <v>2018</v>
      </c>
      <c r="W68" s="758">
        <f t="shared" si="3"/>
        <v>2019</v>
      </c>
      <c r="X68" s="758">
        <f t="shared" si="3"/>
        <v>2020</v>
      </c>
      <c r="Y68" s="758">
        <f t="shared" si="3"/>
        <v>2021</v>
      </c>
      <c r="Z68" s="758">
        <f t="shared" si="3"/>
        <v>2022</v>
      </c>
      <c r="AA68" s="758">
        <f t="shared" si="3"/>
        <v>2023</v>
      </c>
      <c r="AB68" s="758">
        <f t="shared" si="3"/>
        <v>2024</v>
      </c>
      <c r="AC68" s="758">
        <f t="shared" si="3"/>
        <v>2025</v>
      </c>
      <c r="AD68" s="758">
        <f t="shared" si="3"/>
        <v>2026</v>
      </c>
      <c r="AE68" s="758">
        <f t="shared" si="3"/>
        <v>2027</v>
      </c>
      <c r="AF68" s="758">
        <f t="shared" si="3"/>
        <v>2028</v>
      </c>
      <c r="AG68" s="758">
        <f>AH68-1</f>
        <v>2029</v>
      </c>
      <c r="AH68" s="758">
        <f>Ano</f>
        <v>2030</v>
      </c>
      <c r="AP68" s="781"/>
      <c r="AQ68" s="781"/>
      <c r="AR68" s="781"/>
      <c r="AS68" s="781"/>
      <c r="AT68" s="781"/>
      <c r="AU68" s="781"/>
      <c r="BA68" s="252"/>
      <c r="BB68" s="252"/>
      <c r="BC68" s="782">
        <f>BC67+1</f>
        <v>2002</v>
      </c>
      <c r="BD68" s="776">
        <f>BD$65*EXP(-$BC$60*($BC68-BD$66))</f>
        <v>0</v>
      </c>
      <c r="BE68" s="776">
        <f>BE$65*EXP(-$BC$60*($BC68-BE$66))</f>
        <v>0</v>
      </c>
      <c r="BF68" s="777"/>
      <c r="BG68" s="777"/>
      <c r="BH68" s="777"/>
      <c r="BI68" s="783" t="s">
        <v>1433</v>
      </c>
      <c r="BJ68" s="777"/>
      <c r="BK68" s="777"/>
      <c r="BL68" s="777"/>
      <c r="BM68" s="777"/>
      <c r="BN68" s="777"/>
      <c r="BO68" s="777"/>
      <c r="BP68" s="777"/>
      <c r="BQ68" s="777"/>
      <c r="BR68" s="777"/>
      <c r="BS68" s="777"/>
      <c r="BT68" s="777"/>
      <c r="BU68" s="777"/>
      <c r="BV68" s="777"/>
      <c r="BW68" s="777"/>
      <c r="BX68" s="777"/>
      <c r="BY68" s="777"/>
      <c r="BZ68" s="777"/>
      <c r="CA68" s="777"/>
      <c r="CB68" s="777"/>
      <c r="CC68" s="777"/>
      <c r="CD68" s="777"/>
      <c r="CE68" s="777"/>
      <c r="CF68" s="777"/>
      <c r="CG68" s="778"/>
    </row>
    <row r="69" spans="1:85" s="237" customFormat="1" ht="15" customHeight="1" outlineLevel="1" x14ac:dyDescent="0.25">
      <c r="A69" s="729"/>
      <c r="C69" s="784" t="s">
        <v>1999</v>
      </c>
      <c r="D69" s="785" t="s">
        <v>300</v>
      </c>
      <c r="E69" s="786"/>
      <c r="F69" s="786"/>
      <c r="G69" s="786"/>
      <c r="H69" s="786"/>
      <c r="I69" s="786"/>
      <c r="J69" s="786"/>
      <c r="K69" s="786"/>
      <c r="L69" s="786"/>
      <c r="M69" s="786"/>
      <c r="N69" s="786"/>
      <c r="O69" s="786"/>
      <c r="P69" s="786"/>
      <c r="Q69" s="786"/>
      <c r="R69" s="786"/>
      <c r="S69" s="786"/>
      <c r="T69" s="786"/>
      <c r="U69" s="786"/>
      <c r="V69" s="786"/>
      <c r="W69" s="786"/>
      <c r="X69" s="786"/>
      <c r="Y69" s="786"/>
      <c r="Z69" s="786"/>
      <c r="AA69" s="786"/>
      <c r="AB69" s="786"/>
      <c r="AC69" s="786"/>
      <c r="AD69" s="786"/>
      <c r="AE69" s="786"/>
      <c r="AF69" s="786"/>
      <c r="AG69" s="786"/>
      <c r="AH69" s="786"/>
      <c r="AP69" s="781"/>
      <c r="AQ69" s="781"/>
      <c r="AR69" s="781"/>
      <c r="AS69" s="781"/>
      <c r="AT69" s="781"/>
      <c r="AU69" s="781"/>
      <c r="BA69" s="252"/>
      <c r="BB69" s="252"/>
      <c r="BC69" s="782">
        <f t="shared" ref="BC69:BC96" si="4">BC68+1</f>
        <v>2003</v>
      </c>
      <c r="BD69" s="776">
        <f t="shared" ref="BD69:BS90" si="5">BD$65*EXP(-$BC$60*($BC69-BD$66))</f>
        <v>0</v>
      </c>
      <c r="BE69" s="776">
        <f>BE$65*EXP(-$BC$60*($BC69-BE$66))</f>
        <v>0</v>
      </c>
      <c r="BF69" s="776">
        <f>BF$65*EXP(-$BC$60*($BC69-BF$66))</f>
        <v>0</v>
      </c>
      <c r="BG69" s="777"/>
      <c r="BH69" s="777"/>
      <c r="BI69" s="787"/>
      <c r="BJ69" s="777"/>
      <c r="BK69" s="777"/>
      <c r="BL69" s="777"/>
      <c r="BM69" s="777"/>
      <c r="BN69" s="777"/>
      <c r="BO69" s="777"/>
      <c r="BP69" s="777"/>
      <c r="BQ69" s="777"/>
      <c r="BR69" s="777"/>
      <c r="BS69" s="777"/>
      <c r="BT69" s="777"/>
      <c r="BU69" s="777"/>
      <c r="BV69" s="777"/>
      <c r="BW69" s="777"/>
      <c r="BX69" s="777"/>
      <c r="BY69" s="777"/>
      <c r="BZ69" s="777"/>
      <c r="CA69" s="777"/>
      <c r="CB69" s="777"/>
      <c r="CC69" s="777"/>
      <c r="CD69" s="777"/>
      <c r="CE69" s="777"/>
      <c r="CF69" s="777"/>
      <c r="CG69" s="778"/>
    </row>
    <row r="70" spans="1:85" s="237" customFormat="1" ht="15" customHeight="1" outlineLevel="1" x14ac:dyDescent="0.25">
      <c r="C70" s="788" t="s">
        <v>28</v>
      </c>
      <c r="D70" s="789" t="s">
        <v>301</v>
      </c>
      <c r="E70" s="786"/>
      <c r="F70" s="786"/>
      <c r="G70" s="786"/>
      <c r="H70" s="786"/>
      <c r="I70" s="786"/>
      <c r="J70" s="786"/>
      <c r="K70" s="786"/>
      <c r="L70" s="786"/>
      <c r="M70" s="786"/>
      <c r="N70" s="786"/>
      <c r="O70" s="786"/>
      <c r="P70" s="786"/>
      <c r="Q70" s="786"/>
      <c r="R70" s="786"/>
      <c r="S70" s="786"/>
      <c r="T70" s="786"/>
      <c r="U70" s="786"/>
      <c r="V70" s="786"/>
      <c r="W70" s="786"/>
      <c r="X70" s="786"/>
      <c r="Y70" s="786"/>
      <c r="Z70" s="786"/>
      <c r="AA70" s="786"/>
      <c r="AB70" s="786"/>
      <c r="AC70" s="786"/>
      <c r="AD70" s="786"/>
      <c r="AE70" s="786"/>
      <c r="AF70" s="786"/>
      <c r="AG70" s="786"/>
      <c r="AH70" s="786"/>
      <c r="AP70" s="781"/>
      <c r="AQ70" s="781"/>
      <c r="AR70" s="781"/>
      <c r="AS70" s="781"/>
      <c r="AT70" s="781"/>
      <c r="AU70" s="781"/>
      <c r="BA70" s="252"/>
      <c r="BB70" s="252"/>
      <c r="BC70" s="782">
        <f t="shared" si="4"/>
        <v>2004</v>
      </c>
      <c r="BD70" s="776">
        <f>BD$65*EXP(-$BC$60*($BC70-BD$66))</f>
        <v>0</v>
      </c>
      <c r="BE70" s="776">
        <f t="shared" si="5"/>
        <v>0</v>
      </c>
      <c r="BF70" s="776">
        <f t="shared" si="5"/>
        <v>0</v>
      </c>
      <c r="BG70" s="776">
        <f t="shared" si="5"/>
        <v>0</v>
      </c>
      <c r="BH70" s="777"/>
      <c r="BI70" s="777"/>
      <c r="BJ70" s="777"/>
      <c r="BK70" s="777"/>
      <c r="BL70" s="777"/>
      <c r="BM70" s="777"/>
      <c r="BN70" s="777"/>
      <c r="BO70" s="777"/>
      <c r="BP70" s="777"/>
      <c r="BQ70" s="777"/>
      <c r="BR70" s="777"/>
      <c r="BS70" s="777"/>
      <c r="BT70" s="777"/>
      <c r="BU70" s="777"/>
      <c r="BV70" s="777"/>
      <c r="BW70" s="777"/>
      <c r="BX70" s="777"/>
      <c r="BY70" s="777"/>
      <c r="BZ70" s="777"/>
      <c r="CA70" s="777"/>
      <c r="CB70" s="777"/>
      <c r="CC70" s="777"/>
      <c r="CD70" s="777"/>
      <c r="CE70" s="777"/>
      <c r="CF70" s="777"/>
      <c r="CG70" s="778"/>
    </row>
    <row r="71" spans="1:85" s="237" customFormat="1" ht="15" customHeight="1" outlineLevel="1" x14ac:dyDescent="0.25">
      <c r="A71" s="729"/>
      <c r="C71" s="788" t="s">
        <v>29</v>
      </c>
      <c r="D71" s="789" t="s">
        <v>302</v>
      </c>
      <c r="E71" s="786"/>
      <c r="F71" s="786"/>
      <c r="G71" s="786"/>
      <c r="H71" s="786"/>
      <c r="I71" s="786"/>
      <c r="J71" s="786"/>
      <c r="K71" s="786"/>
      <c r="L71" s="786"/>
      <c r="M71" s="786"/>
      <c r="N71" s="786"/>
      <c r="O71" s="786"/>
      <c r="P71" s="786"/>
      <c r="Q71" s="786"/>
      <c r="R71" s="786"/>
      <c r="S71" s="786"/>
      <c r="T71" s="786"/>
      <c r="U71" s="786"/>
      <c r="V71" s="786"/>
      <c r="W71" s="786"/>
      <c r="X71" s="786"/>
      <c r="Y71" s="786"/>
      <c r="Z71" s="786"/>
      <c r="AA71" s="786"/>
      <c r="AB71" s="786"/>
      <c r="AC71" s="786"/>
      <c r="AD71" s="786"/>
      <c r="AE71" s="786"/>
      <c r="AF71" s="786"/>
      <c r="AG71" s="786"/>
      <c r="AH71" s="786"/>
      <c r="AP71" s="781"/>
      <c r="AQ71" s="781"/>
      <c r="AR71" s="781"/>
      <c r="AS71" s="781"/>
      <c r="AT71" s="781"/>
      <c r="AU71" s="781"/>
      <c r="BA71" s="252"/>
      <c r="BB71" s="252"/>
      <c r="BC71" s="782">
        <f t="shared" si="4"/>
        <v>2005</v>
      </c>
      <c r="BD71" s="776">
        <f t="shared" si="5"/>
        <v>0</v>
      </c>
      <c r="BE71" s="776">
        <f t="shared" si="5"/>
        <v>0</v>
      </c>
      <c r="BF71" s="776">
        <f t="shared" si="5"/>
        <v>0</v>
      </c>
      <c r="BG71" s="776">
        <f t="shared" si="5"/>
        <v>0</v>
      </c>
      <c r="BH71" s="776">
        <f t="shared" si="5"/>
        <v>0</v>
      </c>
      <c r="BI71" s="777"/>
      <c r="BJ71" s="777"/>
      <c r="BK71" s="777"/>
      <c r="BL71" s="777"/>
      <c r="BM71" s="777"/>
      <c r="BN71" s="777"/>
      <c r="BO71" s="777"/>
      <c r="BP71" s="777"/>
      <c r="BQ71" s="777"/>
      <c r="BR71" s="777"/>
      <c r="BS71" s="777"/>
      <c r="BT71" s="777"/>
      <c r="BU71" s="777"/>
      <c r="BV71" s="777"/>
      <c r="BW71" s="777"/>
      <c r="BX71" s="777"/>
      <c r="BY71" s="777"/>
      <c r="BZ71" s="777"/>
      <c r="CA71" s="777"/>
      <c r="CB71" s="777"/>
      <c r="CC71" s="777"/>
      <c r="CD71" s="777"/>
      <c r="CE71" s="777"/>
      <c r="CF71" s="777"/>
      <c r="CG71" s="778"/>
    </row>
    <row r="72" spans="1:85" s="237" customFormat="1" ht="15" customHeight="1" outlineLevel="1" x14ac:dyDescent="0.25">
      <c r="A72" s="729"/>
      <c r="C72" s="788" t="s">
        <v>30</v>
      </c>
      <c r="D72" s="789" t="s">
        <v>303</v>
      </c>
      <c r="E72" s="786"/>
      <c r="F72" s="786"/>
      <c r="G72" s="786"/>
      <c r="H72" s="786"/>
      <c r="I72" s="786"/>
      <c r="J72" s="786"/>
      <c r="K72" s="786"/>
      <c r="L72" s="786"/>
      <c r="M72" s="786"/>
      <c r="N72" s="786"/>
      <c r="O72" s="786"/>
      <c r="P72" s="786"/>
      <c r="Q72" s="786"/>
      <c r="R72" s="786"/>
      <c r="S72" s="786"/>
      <c r="T72" s="786"/>
      <c r="U72" s="786"/>
      <c r="V72" s="786"/>
      <c r="W72" s="786"/>
      <c r="X72" s="786"/>
      <c r="Y72" s="786"/>
      <c r="Z72" s="786"/>
      <c r="AA72" s="786"/>
      <c r="AB72" s="786"/>
      <c r="AC72" s="786"/>
      <c r="AD72" s="786"/>
      <c r="AE72" s="786"/>
      <c r="AF72" s="786"/>
      <c r="AG72" s="786"/>
      <c r="AH72" s="786"/>
      <c r="AP72" s="781"/>
      <c r="AQ72" s="781"/>
      <c r="AR72" s="781"/>
      <c r="AS72" s="781"/>
      <c r="AT72" s="781"/>
      <c r="AU72" s="781"/>
      <c r="BA72" s="252"/>
      <c r="BB72" s="252"/>
      <c r="BC72" s="782">
        <f t="shared" si="4"/>
        <v>2006</v>
      </c>
      <c r="BD72" s="776">
        <f t="shared" si="5"/>
        <v>0</v>
      </c>
      <c r="BE72" s="776">
        <f t="shared" si="5"/>
        <v>0</v>
      </c>
      <c r="BF72" s="776">
        <f t="shared" si="5"/>
        <v>0</v>
      </c>
      <c r="BG72" s="776">
        <f t="shared" si="5"/>
        <v>0</v>
      </c>
      <c r="BH72" s="776">
        <f t="shared" si="5"/>
        <v>0</v>
      </c>
      <c r="BI72" s="776">
        <f>BI$65*EXP(-$BC$60*($BC72-BI$66))</f>
        <v>0</v>
      </c>
      <c r="BJ72" s="777"/>
      <c r="BK72" s="777"/>
      <c r="BL72" s="777"/>
      <c r="BM72" s="777"/>
      <c r="BN72" s="777"/>
      <c r="BO72" s="777"/>
      <c r="BP72" s="777"/>
      <c r="BQ72" s="777"/>
      <c r="BR72" s="777"/>
      <c r="BS72" s="777"/>
      <c r="BT72" s="777"/>
      <c r="BU72" s="777"/>
      <c r="BV72" s="777"/>
      <c r="BW72" s="777"/>
      <c r="BX72" s="777"/>
      <c r="BY72" s="777"/>
      <c r="BZ72" s="777"/>
      <c r="CA72" s="777"/>
      <c r="CB72" s="777"/>
      <c r="CC72" s="777"/>
      <c r="CD72" s="777"/>
      <c r="CE72" s="777"/>
      <c r="CF72" s="777"/>
      <c r="CG72" s="778"/>
    </row>
    <row r="73" spans="1:85" s="237" customFormat="1" ht="15" customHeight="1" outlineLevel="1" x14ac:dyDescent="0.25">
      <c r="A73" s="729"/>
      <c r="C73" s="788" t="s">
        <v>2000</v>
      </c>
      <c r="D73" s="789" t="s">
        <v>304</v>
      </c>
      <c r="E73" s="786"/>
      <c r="F73" s="786"/>
      <c r="G73" s="786"/>
      <c r="H73" s="786"/>
      <c r="I73" s="786"/>
      <c r="J73" s="786"/>
      <c r="K73" s="786"/>
      <c r="L73" s="786"/>
      <c r="M73" s="786"/>
      <c r="N73" s="786"/>
      <c r="O73" s="786"/>
      <c r="P73" s="786"/>
      <c r="Q73" s="786"/>
      <c r="R73" s="786"/>
      <c r="S73" s="786"/>
      <c r="T73" s="786"/>
      <c r="U73" s="786"/>
      <c r="V73" s="786"/>
      <c r="W73" s="786"/>
      <c r="X73" s="786"/>
      <c r="Y73" s="786"/>
      <c r="Z73" s="786"/>
      <c r="AA73" s="786"/>
      <c r="AB73" s="786"/>
      <c r="AC73" s="786"/>
      <c r="AD73" s="786"/>
      <c r="AE73" s="786"/>
      <c r="AF73" s="786"/>
      <c r="AG73" s="786"/>
      <c r="AH73" s="786"/>
      <c r="AP73" s="781"/>
      <c r="AQ73" s="781"/>
      <c r="AR73" s="781"/>
      <c r="AS73" s="781"/>
      <c r="AT73" s="781"/>
      <c r="AU73" s="781"/>
      <c r="BA73" s="252"/>
      <c r="BB73" s="252"/>
      <c r="BC73" s="782">
        <f t="shared" si="4"/>
        <v>2007</v>
      </c>
      <c r="BD73" s="776">
        <f t="shared" si="5"/>
        <v>0</v>
      </c>
      <c r="BE73" s="776">
        <f t="shared" si="5"/>
        <v>0</v>
      </c>
      <c r="BF73" s="776">
        <f t="shared" si="5"/>
        <v>0</v>
      </c>
      <c r="BG73" s="776">
        <f t="shared" si="5"/>
        <v>0</v>
      </c>
      <c r="BH73" s="776">
        <f t="shared" si="5"/>
        <v>0</v>
      </c>
      <c r="BI73" s="776">
        <f t="shared" si="5"/>
        <v>0</v>
      </c>
      <c r="BJ73" s="776">
        <f t="shared" si="5"/>
        <v>0</v>
      </c>
      <c r="BK73" s="777"/>
      <c r="BL73" s="777"/>
      <c r="BM73" s="777"/>
      <c r="BN73" s="777"/>
      <c r="BO73" s="777"/>
      <c r="BP73" s="777"/>
      <c r="BQ73" s="777"/>
      <c r="BR73" s="777"/>
      <c r="BS73" s="777"/>
      <c r="BT73" s="777"/>
      <c r="BU73" s="777"/>
      <c r="BV73" s="777"/>
      <c r="BW73" s="777"/>
      <c r="BX73" s="777"/>
      <c r="BY73" s="777"/>
      <c r="BZ73" s="777"/>
      <c r="CA73" s="777"/>
      <c r="CB73" s="777"/>
      <c r="CC73" s="777"/>
      <c r="CD73" s="777"/>
      <c r="CE73" s="777"/>
      <c r="CF73" s="777"/>
      <c r="CG73" s="778"/>
    </row>
    <row r="74" spans="1:85" s="237" customFormat="1" ht="15" customHeight="1" outlineLevel="1" x14ac:dyDescent="0.25">
      <c r="A74" s="729"/>
      <c r="C74" s="788" t="s">
        <v>31</v>
      </c>
      <c r="D74" s="789" t="s">
        <v>305</v>
      </c>
      <c r="E74" s="786"/>
      <c r="F74" s="786"/>
      <c r="G74" s="786"/>
      <c r="H74" s="786"/>
      <c r="I74" s="786"/>
      <c r="J74" s="786"/>
      <c r="K74" s="786"/>
      <c r="L74" s="786"/>
      <c r="M74" s="786"/>
      <c r="N74" s="786"/>
      <c r="O74" s="786"/>
      <c r="P74" s="786"/>
      <c r="Q74" s="786"/>
      <c r="R74" s="786"/>
      <c r="S74" s="786"/>
      <c r="T74" s="786"/>
      <c r="U74" s="786"/>
      <c r="V74" s="786"/>
      <c r="W74" s="786"/>
      <c r="X74" s="786"/>
      <c r="Y74" s="786"/>
      <c r="Z74" s="786"/>
      <c r="AA74" s="786"/>
      <c r="AB74" s="786"/>
      <c r="AC74" s="786"/>
      <c r="AD74" s="786"/>
      <c r="AE74" s="786"/>
      <c r="AF74" s="786"/>
      <c r="AG74" s="786"/>
      <c r="AH74" s="786"/>
      <c r="AP74" s="781"/>
      <c r="AQ74" s="781"/>
      <c r="AR74" s="781"/>
      <c r="AS74" s="781"/>
      <c r="AT74" s="781"/>
      <c r="AU74" s="781"/>
      <c r="BA74" s="252"/>
      <c r="BB74" s="252"/>
      <c r="BC74" s="782">
        <f t="shared" si="4"/>
        <v>2008</v>
      </c>
      <c r="BD74" s="776">
        <f t="shared" si="5"/>
        <v>0</v>
      </c>
      <c r="BE74" s="776">
        <f t="shared" si="5"/>
        <v>0</v>
      </c>
      <c r="BF74" s="776">
        <f t="shared" si="5"/>
        <v>0</v>
      </c>
      <c r="BG74" s="776">
        <f t="shared" si="5"/>
        <v>0</v>
      </c>
      <c r="BH74" s="776">
        <f t="shared" si="5"/>
        <v>0</v>
      </c>
      <c r="BI74" s="776">
        <f t="shared" si="5"/>
        <v>0</v>
      </c>
      <c r="BJ74" s="776">
        <f t="shared" si="5"/>
        <v>0</v>
      </c>
      <c r="BK74" s="776">
        <f t="shared" si="5"/>
        <v>0</v>
      </c>
      <c r="BL74" s="777"/>
      <c r="BM74" s="777"/>
      <c r="BN74" s="777"/>
      <c r="BO74" s="777"/>
      <c r="BP74" s="777"/>
      <c r="BQ74" s="777"/>
      <c r="BR74" s="777"/>
      <c r="BS74" s="777"/>
      <c r="BT74" s="777"/>
      <c r="BU74" s="777"/>
      <c r="BV74" s="777"/>
      <c r="BW74" s="777"/>
      <c r="BX74" s="777"/>
      <c r="BY74" s="777"/>
      <c r="BZ74" s="777"/>
      <c r="CA74" s="777"/>
      <c r="CB74" s="777"/>
      <c r="CC74" s="777"/>
      <c r="CD74" s="777"/>
      <c r="CE74" s="777"/>
      <c r="CF74" s="777"/>
      <c r="CG74" s="778"/>
    </row>
    <row r="75" spans="1:85" s="237" customFormat="1" ht="15" customHeight="1" outlineLevel="1" x14ac:dyDescent="0.25">
      <c r="A75" s="729"/>
      <c r="C75" s="788" t="s">
        <v>32</v>
      </c>
      <c r="D75" s="789" t="s">
        <v>306</v>
      </c>
      <c r="E75" s="786"/>
      <c r="F75" s="786"/>
      <c r="G75" s="786"/>
      <c r="H75" s="786"/>
      <c r="I75" s="786"/>
      <c r="J75" s="786"/>
      <c r="K75" s="786"/>
      <c r="L75" s="786"/>
      <c r="M75" s="786"/>
      <c r="N75" s="786"/>
      <c r="O75" s="786"/>
      <c r="P75" s="786"/>
      <c r="Q75" s="786"/>
      <c r="R75" s="786"/>
      <c r="S75" s="786"/>
      <c r="T75" s="786"/>
      <c r="U75" s="786"/>
      <c r="V75" s="786"/>
      <c r="W75" s="786"/>
      <c r="X75" s="786"/>
      <c r="Y75" s="786"/>
      <c r="Z75" s="786"/>
      <c r="AA75" s="786"/>
      <c r="AB75" s="786"/>
      <c r="AC75" s="786"/>
      <c r="AD75" s="786"/>
      <c r="AE75" s="786"/>
      <c r="AF75" s="786"/>
      <c r="AG75" s="786"/>
      <c r="AH75" s="786"/>
      <c r="AP75" s="781"/>
      <c r="AQ75" s="781"/>
      <c r="AR75" s="781"/>
      <c r="AS75" s="781"/>
      <c r="AT75" s="781"/>
      <c r="AU75" s="781"/>
      <c r="BA75" s="252"/>
      <c r="BB75" s="252"/>
      <c r="BC75" s="782">
        <f t="shared" si="4"/>
        <v>2009</v>
      </c>
      <c r="BD75" s="776">
        <f t="shared" si="5"/>
        <v>0</v>
      </c>
      <c r="BE75" s="776">
        <f t="shared" si="5"/>
        <v>0</v>
      </c>
      <c r="BF75" s="776">
        <f t="shared" si="5"/>
        <v>0</v>
      </c>
      <c r="BG75" s="776">
        <f t="shared" si="5"/>
        <v>0</v>
      </c>
      <c r="BH75" s="776">
        <f t="shared" si="5"/>
        <v>0</v>
      </c>
      <c r="BI75" s="776">
        <f t="shared" si="5"/>
        <v>0</v>
      </c>
      <c r="BJ75" s="776">
        <f t="shared" si="5"/>
        <v>0</v>
      </c>
      <c r="BK75" s="776">
        <f t="shared" si="5"/>
        <v>0</v>
      </c>
      <c r="BL75" s="776">
        <f t="shared" si="5"/>
        <v>0</v>
      </c>
      <c r="BM75" s="777"/>
      <c r="BN75" s="777"/>
      <c r="BO75" s="777"/>
      <c r="BP75" s="777"/>
      <c r="BQ75" s="777"/>
      <c r="BR75" s="777"/>
      <c r="BS75" s="777"/>
      <c r="BT75" s="777"/>
      <c r="BU75" s="777"/>
      <c r="BV75" s="777"/>
      <c r="BW75" s="777"/>
      <c r="BX75" s="777"/>
      <c r="BY75" s="777"/>
      <c r="BZ75" s="777"/>
      <c r="CA75" s="777"/>
      <c r="CB75" s="777"/>
      <c r="CC75" s="777"/>
      <c r="CD75" s="777"/>
      <c r="CE75" s="777"/>
      <c r="CF75" s="777"/>
      <c r="CG75" s="778"/>
    </row>
    <row r="76" spans="1:85" s="237" customFormat="1" ht="15" customHeight="1" outlineLevel="1" x14ac:dyDescent="0.25">
      <c r="A76" s="729"/>
      <c r="C76" s="790" t="s">
        <v>281</v>
      </c>
      <c r="D76" s="791" t="s">
        <v>33</v>
      </c>
      <c r="E76" s="792">
        <f>IF(SUM(E69:E75)&gt;1, "Erro! &gt;100%", 1-(SUM(E69:E75)))</f>
        <v>1</v>
      </c>
      <c r="F76" s="792">
        <f t="shared" ref="F76:AH76" si="6">IF(SUM(F69:F75)&gt;1, "Erro! &gt;100%", 1-(SUM(F69:F75)))</f>
        <v>1</v>
      </c>
      <c r="G76" s="792">
        <f t="shared" si="6"/>
        <v>1</v>
      </c>
      <c r="H76" s="792">
        <f t="shared" si="6"/>
        <v>1</v>
      </c>
      <c r="I76" s="792">
        <f t="shared" si="6"/>
        <v>1</v>
      </c>
      <c r="J76" s="792">
        <f t="shared" si="6"/>
        <v>1</v>
      </c>
      <c r="K76" s="792">
        <f t="shared" si="6"/>
        <v>1</v>
      </c>
      <c r="L76" s="792">
        <f t="shared" si="6"/>
        <v>1</v>
      </c>
      <c r="M76" s="792">
        <f t="shared" si="6"/>
        <v>1</v>
      </c>
      <c r="N76" s="792">
        <f t="shared" si="6"/>
        <v>1</v>
      </c>
      <c r="O76" s="792">
        <f t="shared" si="6"/>
        <v>1</v>
      </c>
      <c r="P76" s="792">
        <f t="shared" si="6"/>
        <v>1</v>
      </c>
      <c r="Q76" s="792">
        <f t="shared" si="6"/>
        <v>1</v>
      </c>
      <c r="R76" s="792">
        <f t="shared" si="6"/>
        <v>1</v>
      </c>
      <c r="S76" s="792">
        <f t="shared" si="6"/>
        <v>1</v>
      </c>
      <c r="T76" s="792">
        <f t="shared" si="6"/>
        <v>1</v>
      </c>
      <c r="U76" s="792">
        <f t="shared" si="6"/>
        <v>1</v>
      </c>
      <c r="V76" s="792">
        <f t="shared" si="6"/>
        <v>1</v>
      </c>
      <c r="W76" s="792">
        <f t="shared" si="6"/>
        <v>1</v>
      </c>
      <c r="X76" s="792">
        <f t="shared" si="6"/>
        <v>1</v>
      </c>
      <c r="Y76" s="792">
        <f t="shared" si="6"/>
        <v>1</v>
      </c>
      <c r="Z76" s="792">
        <f t="shared" si="6"/>
        <v>1</v>
      </c>
      <c r="AA76" s="792">
        <f t="shared" si="6"/>
        <v>1</v>
      </c>
      <c r="AB76" s="792">
        <f t="shared" si="6"/>
        <v>1</v>
      </c>
      <c r="AC76" s="792">
        <f t="shared" si="6"/>
        <v>1</v>
      </c>
      <c r="AD76" s="792">
        <f t="shared" si="6"/>
        <v>1</v>
      </c>
      <c r="AE76" s="792">
        <f t="shared" si="6"/>
        <v>1</v>
      </c>
      <c r="AF76" s="792">
        <f t="shared" si="6"/>
        <v>1</v>
      </c>
      <c r="AG76" s="792">
        <f t="shared" si="6"/>
        <v>1</v>
      </c>
      <c r="AH76" s="792">
        <f t="shared" si="6"/>
        <v>1</v>
      </c>
      <c r="AP76" s="781"/>
      <c r="AQ76" s="781"/>
      <c r="AR76" s="781"/>
      <c r="AS76" s="781"/>
      <c r="AT76" s="781"/>
      <c r="AU76" s="781"/>
      <c r="BA76" s="252"/>
      <c r="BB76" s="252"/>
      <c r="BC76" s="782">
        <f t="shared" si="4"/>
        <v>2010</v>
      </c>
      <c r="BD76" s="776">
        <f t="shared" si="5"/>
        <v>0</v>
      </c>
      <c r="BE76" s="776">
        <f t="shared" si="5"/>
        <v>0</v>
      </c>
      <c r="BF76" s="776">
        <f t="shared" si="5"/>
        <v>0</v>
      </c>
      <c r="BG76" s="776">
        <f t="shared" si="5"/>
        <v>0</v>
      </c>
      <c r="BH76" s="776">
        <f t="shared" si="5"/>
        <v>0</v>
      </c>
      <c r="BI76" s="776">
        <f t="shared" si="5"/>
        <v>0</v>
      </c>
      <c r="BJ76" s="776">
        <f t="shared" si="5"/>
        <v>0</v>
      </c>
      <c r="BK76" s="776">
        <f t="shared" si="5"/>
        <v>0</v>
      </c>
      <c r="BL76" s="776">
        <f t="shared" si="5"/>
        <v>0</v>
      </c>
      <c r="BM76" s="776">
        <f t="shared" si="5"/>
        <v>0</v>
      </c>
      <c r="BN76" s="777"/>
      <c r="BO76" s="777"/>
      <c r="BP76" s="777"/>
      <c r="BQ76" s="777"/>
      <c r="BR76" s="777"/>
      <c r="BS76" s="777"/>
      <c r="BT76" s="777"/>
      <c r="BU76" s="777"/>
      <c r="BV76" s="777"/>
      <c r="BW76" s="777"/>
      <c r="BX76" s="777"/>
      <c r="BY76" s="777"/>
      <c r="BZ76" s="777"/>
      <c r="CA76" s="777"/>
      <c r="CB76" s="777"/>
      <c r="CC76" s="777"/>
      <c r="CD76" s="777"/>
      <c r="CE76" s="777"/>
      <c r="CF76" s="777"/>
      <c r="CG76" s="778"/>
    </row>
    <row r="77" spans="1:85" s="237" customFormat="1" ht="15" customHeight="1" outlineLevel="1" x14ac:dyDescent="0.25">
      <c r="A77" s="729"/>
      <c r="C77" s="793" t="s">
        <v>34</v>
      </c>
      <c r="D77" s="794" t="s">
        <v>35</v>
      </c>
      <c r="E77" s="795">
        <f>((E69*0.4)+(E70*0.24)+(E71*0.15)+(E72*0.43)+(E73*0.2)+(E74*0.24)+(E75*0.39))</f>
        <v>0</v>
      </c>
      <c r="F77" s="795">
        <f t="shared" ref="F77:AH77" si="7">((F69*0.4)+(F70*0.24)+(F71*0.15)+(F72*0.43)+(F73*0.2)+(F74*0.24)+(F75*0.39))</f>
        <v>0</v>
      </c>
      <c r="G77" s="795">
        <f t="shared" si="7"/>
        <v>0</v>
      </c>
      <c r="H77" s="795">
        <f t="shared" si="7"/>
        <v>0</v>
      </c>
      <c r="I77" s="795">
        <f t="shared" si="7"/>
        <v>0</v>
      </c>
      <c r="J77" s="795">
        <f t="shared" si="7"/>
        <v>0</v>
      </c>
      <c r="K77" s="795">
        <f t="shared" si="7"/>
        <v>0</v>
      </c>
      <c r="L77" s="795">
        <f t="shared" si="7"/>
        <v>0</v>
      </c>
      <c r="M77" s="795">
        <f t="shared" si="7"/>
        <v>0</v>
      </c>
      <c r="N77" s="795">
        <f t="shared" si="7"/>
        <v>0</v>
      </c>
      <c r="O77" s="795">
        <f t="shared" si="7"/>
        <v>0</v>
      </c>
      <c r="P77" s="795">
        <f t="shared" si="7"/>
        <v>0</v>
      </c>
      <c r="Q77" s="795">
        <f t="shared" si="7"/>
        <v>0</v>
      </c>
      <c r="R77" s="795">
        <f t="shared" si="7"/>
        <v>0</v>
      </c>
      <c r="S77" s="795">
        <f t="shared" si="7"/>
        <v>0</v>
      </c>
      <c r="T77" s="795">
        <f t="shared" si="7"/>
        <v>0</v>
      </c>
      <c r="U77" s="795">
        <f t="shared" si="7"/>
        <v>0</v>
      </c>
      <c r="V77" s="795">
        <f t="shared" si="7"/>
        <v>0</v>
      </c>
      <c r="W77" s="795">
        <f t="shared" si="7"/>
        <v>0</v>
      </c>
      <c r="X77" s="795">
        <f t="shared" si="7"/>
        <v>0</v>
      </c>
      <c r="Y77" s="795">
        <f t="shared" si="7"/>
        <v>0</v>
      </c>
      <c r="Z77" s="795">
        <f t="shared" si="7"/>
        <v>0</v>
      </c>
      <c r="AA77" s="795">
        <f t="shared" si="7"/>
        <v>0</v>
      </c>
      <c r="AB77" s="795">
        <f t="shared" si="7"/>
        <v>0</v>
      </c>
      <c r="AC77" s="795">
        <f t="shared" si="7"/>
        <v>0</v>
      </c>
      <c r="AD77" s="795">
        <f t="shared" si="7"/>
        <v>0</v>
      </c>
      <c r="AE77" s="795">
        <f t="shared" si="7"/>
        <v>0</v>
      </c>
      <c r="AF77" s="795">
        <f t="shared" si="7"/>
        <v>0</v>
      </c>
      <c r="AG77" s="795">
        <f t="shared" si="7"/>
        <v>0</v>
      </c>
      <c r="AH77" s="795">
        <f t="shared" si="7"/>
        <v>0</v>
      </c>
      <c r="AP77" s="781"/>
      <c r="AQ77" s="781"/>
      <c r="AR77" s="781"/>
      <c r="AS77" s="781"/>
      <c r="AT77" s="781"/>
      <c r="AU77" s="781"/>
      <c r="BA77" s="252"/>
      <c r="BB77" s="252"/>
      <c r="BC77" s="782">
        <f t="shared" si="4"/>
        <v>2011</v>
      </c>
      <c r="BD77" s="776">
        <f t="shared" si="5"/>
        <v>0</v>
      </c>
      <c r="BE77" s="776">
        <f t="shared" si="5"/>
        <v>0</v>
      </c>
      <c r="BF77" s="776">
        <f t="shared" si="5"/>
        <v>0</v>
      </c>
      <c r="BG77" s="776">
        <f t="shared" si="5"/>
        <v>0</v>
      </c>
      <c r="BH77" s="776">
        <f t="shared" si="5"/>
        <v>0</v>
      </c>
      <c r="BI77" s="776">
        <f>BI$65*EXP(-$BC$60*($BC77-BI$66))</f>
        <v>0</v>
      </c>
      <c r="BJ77" s="776">
        <f t="shared" si="5"/>
        <v>0</v>
      </c>
      <c r="BK77" s="776">
        <f t="shared" si="5"/>
        <v>0</v>
      </c>
      <c r="BL77" s="776">
        <f t="shared" si="5"/>
        <v>0</v>
      </c>
      <c r="BM77" s="776">
        <f t="shared" si="5"/>
        <v>0</v>
      </c>
      <c r="BN77" s="776">
        <f t="shared" si="5"/>
        <v>0</v>
      </c>
      <c r="BO77" s="777"/>
      <c r="BP77" s="777"/>
      <c r="BQ77" s="777"/>
      <c r="BR77" s="777"/>
      <c r="BS77" s="777"/>
      <c r="BT77" s="777"/>
      <c r="BU77" s="777"/>
      <c r="BV77" s="777"/>
      <c r="BW77" s="777"/>
      <c r="BX77" s="777"/>
      <c r="BY77" s="777"/>
      <c r="BZ77" s="777"/>
      <c r="CA77" s="777"/>
      <c r="CB77" s="777"/>
      <c r="CC77" s="777"/>
      <c r="CD77" s="777"/>
      <c r="CE77" s="777"/>
      <c r="CF77" s="777"/>
      <c r="CG77" s="778"/>
    </row>
    <row r="78" spans="1:85" s="237" customFormat="1" ht="15" outlineLevel="1" x14ac:dyDescent="0.25">
      <c r="A78" s="729"/>
      <c r="C78" s="729"/>
      <c r="D78" s="753"/>
      <c r="E78" s="753"/>
      <c r="F78" s="753"/>
      <c r="G78" s="753"/>
      <c r="H78" s="753"/>
      <c r="I78" s="753"/>
      <c r="J78" s="753"/>
      <c r="K78" s="753"/>
      <c r="L78" s="753"/>
      <c r="M78" s="753"/>
      <c r="N78" s="753"/>
      <c r="O78" s="753"/>
      <c r="P78" s="753"/>
      <c r="Q78" s="753"/>
      <c r="R78" s="753"/>
      <c r="S78" s="753"/>
      <c r="T78" s="753"/>
      <c r="U78" s="753"/>
      <c r="V78" s="753"/>
      <c r="W78" s="753"/>
      <c r="X78" s="753"/>
      <c r="Y78" s="753"/>
      <c r="Z78" s="753"/>
      <c r="AA78" s="753"/>
      <c r="AB78" s="753"/>
      <c r="AC78" s="753"/>
      <c r="AD78" s="753"/>
      <c r="AE78" s="753"/>
      <c r="AF78" s="753"/>
      <c r="AG78" s="753"/>
      <c r="AH78" s="753"/>
      <c r="AP78" s="781"/>
      <c r="AQ78" s="781"/>
      <c r="AR78" s="781"/>
      <c r="AS78" s="781"/>
      <c r="AT78" s="781"/>
      <c r="AU78" s="781"/>
      <c r="BA78" s="252"/>
      <c r="BB78" s="252"/>
      <c r="BC78" s="782">
        <f t="shared" si="4"/>
        <v>2012</v>
      </c>
      <c r="BD78" s="776">
        <f t="shared" si="5"/>
        <v>0</v>
      </c>
      <c r="BE78" s="776">
        <f t="shared" si="5"/>
        <v>0</v>
      </c>
      <c r="BF78" s="776">
        <f t="shared" si="5"/>
        <v>0</v>
      </c>
      <c r="BG78" s="776">
        <f t="shared" si="5"/>
        <v>0</v>
      </c>
      <c r="BH78" s="776">
        <f t="shared" si="5"/>
        <v>0</v>
      </c>
      <c r="BI78" s="776">
        <f t="shared" si="5"/>
        <v>0</v>
      </c>
      <c r="BJ78" s="776">
        <f t="shared" si="5"/>
        <v>0</v>
      </c>
      <c r="BK78" s="776">
        <f t="shared" si="5"/>
        <v>0</v>
      </c>
      <c r="BL78" s="776">
        <f t="shared" si="5"/>
        <v>0</v>
      </c>
      <c r="BM78" s="776">
        <f t="shared" si="5"/>
        <v>0</v>
      </c>
      <c r="BN78" s="776">
        <f t="shared" si="5"/>
        <v>0</v>
      </c>
      <c r="BO78" s="776">
        <f t="shared" si="5"/>
        <v>0</v>
      </c>
      <c r="BP78" s="777"/>
      <c r="BQ78" s="777"/>
      <c r="BR78" s="777"/>
      <c r="BS78" s="777"/>
      <c r="BT78" s="777"/>
      <c r="BU78" s="777"/>
      <c r="BV78" s="777"/>
      <c r="BW78" s="777"/>
      <c r="BX78" s="777"/>
      <c r="BY78" s="777"/>
      <c r="BZ78" s="777"/>
      <c r="CA78" s="777"/>
      <c r="CB78" s="777"/>
      <c r="CC78" s="777"/>
      <c r="CD78" s="777"/>
      <c r="CE78" s="777"/>
      <c r="CF78" s="777"/>
      <c r="CG78" s="778"/>
    </row>
    <row r="79" spans="1:85" s="237" customFormat="1" ht="15" outlineLevel="1" x14ac:dyDescent="0.25">
      <c r="A79" s="729"/>
      <c r="C79" s="729"/>
      <c r="D79" s="753"/>
      <c r="E79" s="753"/>
      <c r="F79" s="753"/>
      <c r="G79" s="753"/>
      <c r="H79" s="753"/>
      <c r="I79" s="753"/>
      <c r="J79" s="753"/>
      <c r="K79" s="753"/>
      <c r="L79" s="753"/>
      <c r="M79" s="753"/>
      <c r="N79" s="753"/>
      <c r="O79" s="753"/>
      <c r="P79" s="753"/>
      <c r="Q79" s="753"/>
      <c r="R79" s="753"/>
      <c r="S79" s="753"/>
      <c r="T79" s="753"/>
      <c r="U79" s="753"/>
      <c r="V79" s="753"/>
      <c r="W79" s="753"/>
      <c r="X79" s="753"/>
      <c r="Y79" s="753"/>
      <c r="Z79" s="753"/>
      <c r="AA79" s="753"/>
      <c r="AB79" s="753"/>
      <c r="AC79" s="753"/>
      <c r="AD79" s="753"/>
      <c r="AE79" s="753"/>
      <c r="AF79" s="753"/>
      <c r="AG79" s="753"/>
      <c r="AH79" s="753"/>
      <c r="AP79" s="781"/>
      <c r="AQ79" s="781"/>
      <c r="AR79" s="781"/>
      <c r="AS79" s="781"/>
      <c r="AT79" s="781"/>
      <c r="AU79" s="781"/>
      <c r="BA79" s="252"/>
      <c r="BB79" s="252"/>
      <c r="BC79" s="782">
        <f t="shared" si="4"/>
        <v>2013</v>
      </c>
      <c r="BD79" s="776">
        <f t="shared" si="5"/>
        <v>0</v>
      </c>
      <c r="BE79" s="776">
        <f t="shared" si="5"/>
        <v>0</v>
      </c>
      <c r="BF79" s="776">
        <f t="shared" si="5"/>
        <v>0</v>
      </c>
      <c r="BG79" s="776">
        <f t="shared" si="5"/>
        <v>0</v>
      </c>
      <c r="BH79" s="776">
        <f t="shared" si="5"/>
        <v>0</v>
      </c>
      <c r="BI79" s="776">
        <f t="shared" si="5"/>
        <v>0</v>
      </c>
      <c r="BJ79" s="776">
        <f t="shared" si="5"/>
        <v>0</v>
      </c>
      <c r="BK79" s="776">
        <f t="shared" si="5"/>
        <v>0</v>
      </c>
      <c r="BL79" s="776">
        <f t="shared" si="5"/>
        <v>0</v>
      </c>
      <c r="BM79" s="776">
        <f t="shared" si="5"/>
        <v>0</v>
      </c>
      <c r="BN79" s="776">
        <f t="shared" si="5"/>
        <v>0</v>
      </c>
      <c r="BO79" s="776">
        <f t="shared" si="5"/>
        <v>0</v>
      </c>
      <c r="BP79" s="776">
        <f t="shared" si="5"/>
        <v>0</v>
      </c>
      <c r="BQ79" s="777"/>
      <c r="BR79" s="777"/>
      <c r="BS79" s="777"/>
      <c r="BT79" s="777"/>
      <c r="BU79" s="777"/>
      <c r="BV79" s="777"/>
      <c r="BW79" s="777"/>
      <c r="BX79" s="777"/>
      <c r="BY79" s="777"/>
      <c r="BZ79" s="777"/>
      <c r="CA79" s="777"/>
      <c r="CB79" s="777"/>
      <c r="CC79" s="777"/>
      <c r="CD79" s="777"/>
      <c r="CE79" s="777"/>
      <c r="CF79" s="777"/>
      <c r="CG79" s="778"/>
    </row>
    <row r="80" spans="1:85" s="237" customFormat="1" ht="15" outlineLevel="1" x14ac:dyDescent="0.25">
      <c r="B80" s="796" t="s">
        <v>2001</v>
      </c>
      <c r="AI80" s="729"/>
      <c r="AJ80" s="729"/>
      <c r="AK80" s="729"/>
      <c r="AL80" s="729"/>
      <c r="AM80" s="729"/>
      <c r="AN80" s="729"/>
      <c r="AO80" s="729"/>
      <c r="AP80" s="732"/>
      <c r="AQ80" s="732"/>
      <c r="AR80" s="732"/>
      <c r="AS80" s="732"/>
      <c r="AT80" s="732"/>
      <c r="AU80" s="732"/>
      <c r="AV80" s="729"/>
      <c r="AW80" s="729"/>
      <c r="AX80" s="729"/>
      <c r="AY80" s="729"/>
      <c r="AZ80" s="729"/>
      <c r="BA80" s="252"/>
      <c r="BB80" s="252"/>
      <c r="BC80" s="782">
        <f t="shared" si="4"/>
        <v>2014</v>
      </c>
      <c r="BD80" s="776">
        <f t="shared" si="5"/>
        <v>0</v>
      </c>
      <c r="BE80" s="776">
        <f t="shared" si="5"/>
        <v>0</v>
      </c>
      <c r="BF80" s="776">
        <f t="shared" si="5"/>
        <v>0</v>
      </c>
      <c r="BG80" s="776">
        <f t="shared" si="5"/>
        <v>0</v>
      </c>
      <c r="BH80" s="776">
        <f t="shared" si="5"/>
        <v>0</v>
      </c>
      <c r="BI80" s="776">
        <f t="shared" si="5"/>
        <v>0</v>
      </c>
      <c r="BJ80" s="776">
        <f t="shared" si="5"/>
        <v>0</v>
      </c>
      <c r="BK80" s="776">
        <f t="shared" si="5"/>
        <v>0</v>
      </c>
      <c r="BL80" s="776">
        <f t="shared" si="5"/>
        <v>0</v>
      </c>
      <c r="BM80" s="776">
        <f t="shared" si="5"/>
        <v>0</v>
      </c>
      <c r="BN80" s="776">
        <f t="shared" si="5"/>
        <v>0</v>
      </c>
      <c r="BO80" s="776">
        <f t="shared" si="5"/>
        <v>0</v>
      </c>
      <c r="BP80" s="776">
        <f t="shared" si="5"/>
        <v>0</v>
      </c>
      <c r="BQ80" s="776">
        <f t="shared" si="5"/>
        <v>0</v>
      </c>
      <c r="BR80" s="777"/>
      <c r="BS80" s="777"/>
      <c r="BT80" s="777"/>
      <c r="BU80" s="777"/>
      <c r="BV80" s="777"/>
      <c r="BW80" s="777"/>
      <c r="BX80" s="777"/>
      <c r="BY80" s="777"/>
      <c r="BZ80" s="777"/>
      <c r="CA80" s="777"/>
      <c r="CB80" s="777"/>
      <c r="CC80" s="777"/>
      <c r="CD80" s="777"/>
      <c r="CE80" s="777"/>
      <c r="CF80" s="777"/>
      <c r="CG80" s="778"/>
    </row>
    <row r="81" spans="1:85" s="237" customFormat="1" ht="15" outlineLevel="1" x14ac:dyDescent="0.25">
      <c r="C81" s="237" t="s">
        <v>2002</v>
      </c>
      <c r="AI81" s="729"/>
      <c r="AJ81" s="729"/>
      <c r="AK81" s="729"/>
      <c r="AL81" s="729"/>
      <c r="AM81" s="729"/>
      <c r="AN81" s="729"/>
      <c r="AO81" s="729"/>
      <c r="AP81" s="732"/>
      <c r="AQ81" s="732"/>
      <c r="AR81" s="732"/>
      <c r="AS81" s="732"/>
      <c r="AT81" s="732"/>
      <c r="AU81" s="732"/>
      <c r="AV81" s="729"/>
      <c r="AW81" s="729"/>
      <c r="AX81" s="729"/>
      <c r="AY81" s="729"/>
      <c r="AZ81" s="729"/>
      <c r="BA81" s="252"/>
      <c r="BB81" s="252"/>
      <c r="BC81" s="782">
        <f t="shared" si="4"/>
        <v>2015</v>
      </c>
      <c r="BD81" s="776">
        <f t="shared" si="5"/>
        <v>0</v>
      </c>
      <c r="BE81" s="776">
        <f t="shared" si="5"/>
        <v>0</v>
      </c>
      <c r="BF81" s="776">
        <f t="shared" si="5"/>
        <v>0</v>
      </c>
      <c r="BG81" s="776">
        <f t="shared" si="5"/>
        <v>0</v>
      </c>
      <c r="BH81" s="776">
        <f t="shared" si="5"/>
        <v>0</v>
      </c>
      <c r="BI81" s="776">
        <f t="shared" si="5"/>
        <v>0</v>
      </c>
      <c r="BJ81" s="776">
        <f t="shared" si="5"/>
        <v>0</v>
      </c>
      <c r="BK81" s="776">
        <f t="shared" si="5"/>
        <v>0</v>
      </c>
      <c r="BL81" s="776">
        <f t="shared" si="5"/>
        <v>0</v>
      </c>
      <c r="BM81" s="776">
        <f t="shared" si="5"/>
        <v>0</v>
      </c>
      <c r="BN81" s="776">
        <f t="shared" si="5"/>
        <v>0</v>
      </c>
      <c r="BO81" s="776">
        <f t="shared" si="5"/>
        <v>0</v>
      </c>
      <c r="BP81" s="776">
        <f t="shared" si="5"/>
        <v>0</v>
      </c>
      <c r="BQ81" s="776">
        <f t="shared" si="5"/>
        <v>0</v>
      </c>
      <c r="BR81" s="776">
        <f t="shared" si="5"/>
        <v>0</v>
      </c>
      <c r="BS81" s="777"/>
      <c r="BT81" s="777"/>
      <c r="BU81" s="777"/>
      <c r="BV81" s="777"/>
      <c r="BW81" s="777"/>
      <c r="BX81" s="777"/>
      <c r="BY81" s="777"/>
      <c r="BZ81" s="777"/>
      <c r="CA81" s="777"/>
      <c r="CB81" s="777"/>
      <c r="CC81" s="777"/>
      <c r="CD81" s="777"/>
      <c r="CE81" s="777"/>
      <c r="CF81" s="777"/>
      <c r="CG81" s="778"/>
    </row>
    <row r="82" spans="1:85" s="237" customFormat="1" ht="15.75" customHeight="1" outlineLevel="1" x14ac:dyDescent="0.25">
      <c r="AI82" s="729"/>
      <c r="AJ82" s="729"/>
      <c r="AK82" s="729"/>
      <c r="AL82" s="729"/>
      <c r="AM82" s="729"/>
      <c r="AN82" s="729"/>
      <c r="AO82" s="729"/>
      <c r="AP82" s="732"/>
      <c r="AQ82" s="732"/>
      <c r="AR82" s="732"/>
      <c r="AS82" s="732"/>
      <c r="AT82" s="732"/>
      <c r="AU82" s="732"/>
      <c r="AV82" s="729"/>
      <c r="AW82" s="729"/>
      <c r="AX82" s="729"/>
      <c r="AY82" s="729"/>
      <c r="AZ82" s="729"/>
      <c r="BA82" s="252"/>
      <c r="BB82" s="252"/>
      <c r="BC82" s="782">
        <f t="shared" si="4"/>
        <v>2016</v>
      </c>
      <c r="BD82" s="776">
        <f t="shared" si="5"/>
        <v>0</v>
      </c>
      <c r="BE82" s="776">
        <f t="shared" si="5"/>
        <v>0</v>
      </c>
      <c r="BF82" s="776">
        <f t="shared" si="5"/>
        <v>0</v>
      </c>
      <c r="BG82" s="776">
        <f t="shared" si="5"/>
        <v>0</v>
      </c>
      <c r="BH82" s="776">
        <f t="shared" si="5"/>
        <v>0</v>
      </c>
      <c r="BI82" s="776">
        <f t="shared" si="5"/>
        <v>0</v>
      </c>
      <c r="BJ82" s="776">
        <f t="shared" si="5"/>
        <v>0</v>
      </c>
      <c r="BK82" s="776">
        <f t="shared" si="5"/>
        <v>0</v>
      </c>
      <c r="BL82" s="776">
        <f t="shared" si="5"/>
        <v>0</v>
      </c>
      <c r="BM82" s="776">
        <f t="shared" si="5"/>
        <v>0</v>
      </c>
      <c r="BN82" s="776">
        <f t="shared" si="5"/>
        <v>0</v>
      </c>
      <c r="BO82" s="776">
        <f t="shared" si="5"/>
        <v>0</v>
      </c>
      <c r="BP82" s="776">
        <f t="shared" si="5"/>
        <v>0</v>
      </c>
      <c r="BQ82" s="776">
        <f t="shared" si="5"/>
        <v>0</v>
      </c>
      <c r="BR82" s="776">
        <f t="shared" si="5"/>
        <v>0</v>
      </c>
      <c r="BS82" s="776">
        <f t="shared" si="5"/>
        <v>0</v>
      </c>
      <c r="BT82" s="777"/>
      <c r="BU82" s="777"/>
      <c r="BV82" s="777"/>
      <c r="BW82" s="777"/>
      <c r="BX82" s="777"/>
      <c r="BY82" s="777"/>
      <c r="BZ82" s="777"/>
      <c r="CA82" s="777"/>
      <c r="CB82" s="777"/>
      <c r="CC82" s="777"/>
      <c r="CD82" s="777"/>
      <c r="CE82" s="777"/>
      <c r="CF82" s="777"/>
      <c r="CG82" s="778"/>
    </row>
    <row r="83" spans="1:85" s="237" customFormat="1" ht="33" customHeight="1" outlineLevel="1" x14ac:dyDescent="0.25">
      <c r="C83" s="1328" t="s">
        <v>2003</v>
      </c>
      <c r="D83" s="797" t="s">
        <v>36</v>
      </c>
      <c r="E83" s="798" t="s">
        <v>228</v>
      </c>
      <c r="F83" s="798"/>
      <c r="G83" s="799"/>
      <c r="H83" s="1332" t="s">
        <v>270</v>
      </c>
      <c r="I83" s="1332"/>
      <c r="J83" s="1332"/>
      <c r="K83" s="1332"/>
      <c r="L83" s="1332"/>
      <c r="M83" s="1332"/>
      <c r="N83" s="1332"/>
      <c r="O83" s="1332"/>
      <c r="P83" s="1332"/>
      <c r="Q83" s="1332"/>
      <c r="R83" s="1332"/>
      <c r="AI83" s="729"/>
      <c r="AJ83" s="729"/>
      <c r="AK83" s="729"/>
      <c r="AL83" s="729"/>
      <c r="AM83" s="729"/>
      <c r="AN83" s="729"/>
      <c r="AO83" s="729"/>
      <c r="AP83" s="732"/>
      <c r="AQ83" s="732"/>
      <c r="AR83" s="732"/>
      <c r="AS83" s="732"/>
      <c r="AT83" s="732"/>
      <c r="AU83" s="732"/>
      <c r="AV83" s="729"/>
      <c r="AW83" s="729"/>
      <c r="AX83" s="729"/>
      <c r="AY83" s="729"/>
      <c r="AZ83" s="729"/>
      <c r="BA83" s="252"/>
      <c r="BB83" s="252"/>
      <c r="BC83" s="782">
        <f t="shared" si="4"/>
        <v>2017</v>
      </c>
      <c r="BD83" s="776">
        <f t="shared" si="5"/>
        <v>0</v>
      </c>
      <c r="BE83" s="776">
        <f t="shared" si="5"/>
        <v>0</v>
      </c>
      <c r="BF83" s="776">
        <f t="shared" si="5"/>
        <v>0</v>
      </c>
      <c r="BG83" s="776">
        <f t="shared" si="5"/>
        <v>0</v>
      </c>
      <c r="BH83" s="776">
        <f t="shared" si="5"/>
        <v>0</v>
      </c>
      <c r="BI83" s="776">
        <f t="shared" si="5"/>
        <v>0</v>
      </c>
      <c r="BJ83" s="776">
        <f t="shared" si="5"/>
        <v>0</v>
      </c>
      <c r="BK83" s="776">
        <f t="shared" si="5"/>
        <v>0</v>
      </c>
      <c r="BL83" s="776">
        <f t="shared" si="5"/>
        <v>0</v>
      </c>
      <c r="BM83" s="776">
        <f t="shared" si="5"/>
        <v>0</v>
      </c>
      <c r="BN83" s="776">
        <f t="shared" si="5"/>
        <v>0</v>
      </c>
      <c r="BO83" s="776">
        <f t="shared" si="5"/>
        <v>0</v>
      </c>
      <c r="BP83" s="776">
        <f t="shared" si="5"/>
        <v>0</v>
      </c>
      <c r="BQ83" s="776">
        <f t="shared" si="5"/>
        <v>0</v>
      </c>
      <c r="BR83" s="776">
        <f t="shared" si="5"/>
        <v>0</v>
      </c>
      <c r="BS83" s="776">
        <f t="shared" si="5"/>
        <v>0</v>
      </c>
      <c r="BT83" s="776">
        <f t="shared" ref="BT83:CB96" si="8">BT$65*EXP(-$BC$60*($BC83-BT$66))</f>
        <v>0</v>
      </c>
      <c r="BU83" s="777"/>
      <c r="BV83" s="777"/>
      <c r="BW83" s="777"/>
      <c r="BX83" s="777"/>
      <c r="BY83" s="777"/>
      <c r="BZ83" s="777"/>
      <c r="CA83" s="777"/>
      <c r="CB83" s="777"/>
      <c r="CC83" s="777"/>
      <c r="CD83" s="777"/>
      <c r="CE83" s="777"/>
      <c r="CF83" s="777"/>
      <c r="CG83" s="778"/>
    </row>
    <row r="84" spans="1:85" s="237" customFormat="1" ht="33" customHeight="1" outlineLevel="1" x14ac:dyDescent="0.25">
      <c r="C84" s="1329"/>
      <c r="D84" s="797" t="s">
        <v>37</v>
      </c>
      <c r="E84" s="798" t="s">
        <v>227</v>
      </c>
      <c r="F84" s="798"/>
      <c r="G84" s="799"/>
      <c r="H84" s="1332" t="s">
        <v>2035</v>
      </c>
      <c r="I84" s="1332"/>
      <c r="J84" s="1332"/>
      <c r="K84" s="1332"/>
      <c r="L84" s="1332"/>
      <c r="M84" s="1332"/>
      <c r="N84" s="1332"/>
      <c r="O84" s="1332"/>
      <c r="P84" s="1332"/>
      <c r="Q84" s="1332"/>
      <c r="R84" s="1332"/>
      <c r="AI84" s="729"/>
      <c r="AJ84" s="729"/>
      <c r="AK84" s="729"/>
      <c r="AL84" s="729"/>
      <c r="AM84" s="729"/>
      <c r="AN84" s="729"/>
      <c r="AO84" s="729"/>
      <c r="AP84" s="732"/>
      <c r="AQ84" s="732"/>
      <c r="AR84" s="732"/>
      <c r="AS84" s="732"/>
      <c r="AT84" s="732"/>
      <c r="AU84" s="732"/>
      <c r="AV84" s="729"/>
      <c r="AW84" s="729"/>
      <c r="AX84" s="729"/>
      <c r="AY84" s="729"/>
      <c r="AZ84" s="729"/>
      <c r="BA84" s="252"/>
      <c r="BB84" s="252"/>
      <c r="BC84" s="782">
        <f t="shared" si="4"/>
        <v>2018</v>
      </c>
      <c r="BD84" s="776">
        <f t="shared" si="5"/>
        <v>0</v>
      </c>
      <c r="BE84" s="776">
        <f t="shared" si="5"/>
        <v>0</v>
      </c>
      <c r="BF84" s="776">
        <f t="shared" si="5"/>
        <v>0</v>
      </c>
      <c r="BG84" s="776">
        <f t="shared" si="5"/>
        <v>0</v>
      </c>
      <c r="BH84" s="776">
        <f t="shared" si="5"/>
        <v>0</v>
      </c>
      <c r="BI84" s="776">
        <f t="shared" si="5"/>
        <v>0</v>
      </c>
      <c r="BJ84" s="776">
        <f t="shared" si="5"/>
        <v>0</v>
      </c>
      <c r="BK84" s="776">
        <f t="shared" si="5"/>
        <v>0</v>
      </c>
      <c r="BL84" s="776">
        <f t="shared" si="5"/>
        <v>0</v>
      </c>
      <c r="BM84" s="776">
        <f t="shared" si="5"/>
        <v>0</v>
      </c>
      <c r="BN84" s="776">
        <f t="shared" si="5"/>
        <v>0</v>
      </c>
      <c r="BO84" s="776">
        <f t="shared" si="5"/>
        <v>0</v>
      </c>
      <c r="BP84" s="776">
        <f t="shared" si="5"/>
        <v>0</v>
      </c>
      <c r="BQ84" s="776">
        <f t="shared" si="5"/>
        <v>0</v>
      </c>
      <c r="BR84" s="776">
        <f t="shared" si="5"/>
        <v>0</v>
      </c>
      <c r="BS84" s="776">
        <f t="shared" si="5"/>
        <v>0</v>
      </c>
      <c r="BT84" s="776">
        <f t="shared" si="8"/>
        <v>0</v>
      </c>
      <c r="BU84" s="776">
        <f t="shared" si="8"/>
        <v>0</v>
      </c>
      <c r="BV84" s="777"/>
      <c r="BW84" s="777"/>
      <c r="BX84" s="777"/>
      <c r="BY84" s="777"/>
      <c r="BZ84" s="777"/>
      <c r="CA84" s="777"/>
      <c r="CB84" s="777"/>
      <c r="CC84" s="777"/>
      <c r="CD84" s="777"/>
      <c r="CE84" s="777"/>
      <c r="CF84" s="777"/>
      <c r="CG84" s="778"/>
    </row>
    <row r="85" spans="1:85" s="237" customFormat="1" ht="46.5" customHeight="1" outlineLevel="1" x14ac:dyDescent="0.25">
      <c r="C85" s="1329"/>
      <c r="D85" s="797" t="s">
        <v>38</v>
      </c>
      <c r="E85" s="798" t="s">
        <v>269</v>
      </c>
      <c r="F85" s="798"/>
      <c r="G85" s="799"/>
      <c r="H85" s="1332" t="s">
        <v>2036</v>
      </c>
      <c r="I85" s="1332"/>
      <c r="J85" s="1332"/>
      <c r="K85" s="1332"/>
      <c r="L85" s="1332"/>
      <c r="M85" s="1332"/>
      <c r="N85" s="1332"/>
      <c r="O85" s="1332"/>
      <c r="P85" s="1332"/>
      <c r="Q85" s="1332"/>
      <c r="R85" s="1332"/>
      <c r="AI85" s="729"/>
      <c r="AJ85" s="729"/>
      <c r="AK85" s="729"/>
      <c r="AL85" s="729"/>
      <c r="AM85" s="729"/>
      <c r="AN85" s="729"/>
      <c r="AO85" s="729"/>
      <c r="AP85" s="732"/>
      <c r="AQ85" s="732"/>
      <c r="AR85" s="732"/>
      <c r="AS85" s="732"/>
      <c r="AT85" s="732"/>
      <c r="AU85" s="732"/>
      <c r="AV85" s="729"/>
      <c r="AW85" s="729"/>
      <c r="AX85" s="729"/>
      <c r="AY85" s="729"/>
      <c r="AZ85" s="729"/>
      <c r="BA85" s="252"/>
      <c r="BB85" s="252"/>
      <c r="BC85" s="782">
        <f t="shared" si="4"/>
        <v>2019</v>
      </c>
      <c r="BD85" s="776">
        <f t="shared" si="5"/>
        <v>0</v>
      </c>
      <c r="BE85" s="776">
        <f t="shared" si="5"/>
        <v>0</v>
      </c>
      <c r="BF85" s="776">
        <f t="shared" si="5"/>
        <v>0</v>
      </c>
      <c r="BG85" s="776">
        <f t="shared" si="5"/>
        <v>0</v>
      </c>
      <c r="BH85" s="776">
        <f t="shared" si="5"/>
        <v>0</v>
      </c>
      <c r="BI85" s="776">
        <f t="shared" si="5"/>
        <v>0</v>
      </c>
      <c r="BJ85" s="776">
        <f t="shared" si="5"/>
        <v>0</v>
      </c>
      <c r="BK85" s="776">
        <f t="shared" si="5"/>
        <v>0</v>
      </c>
      <c r="BL85" s="776">
        <f t="shared" si="5"/>
        <v>0</v>
      </c>
      <c r="BM85" s="776">
        <f t="shared" si="5"/>
        <v>0</v>
      </c>
      <c r="BN85" s="776">
        <f t="shared" si="5"/>
        <v>0</v>
      </c>
      <c r="BO85" s="776">
        <f t="shared" si="5"/>
        <v>0</v>
      </c>
      <c r="BP85" s="776">
        <f t="shared" si="5"/>
        <v>0</v>
      </c>
      <c r="BQ85" s="776">
        <f t="shared" si="5"/>
        <v>0</v>
      </c>
      <c r="BR85" s="776">
        <f t="shared" si="5"/>
        <v>0</v>
      </c>
      <c r="BS85" s="776">
        <f t="shared" si="5"/>
        <v>0</v>
      </c>
      <c r="BT85" s="776">
        <f t="shared" si="8"/>
        <v>0</v>
      </c>
      <c r="BU85" s="776">
        <f t="shared" si="8"/>
        <v>0</v>
      </c>
      <c r="BV85" s="776">
        <f t="shared" si="8"/>
        <v>0</v>
      </c>
      <c r="BW85" s="777"/>
      <c r="BX85" s="777"/>
      <c r="BY85" s="777"/>
      <c r="BZ85" s="777"/>
      <c r="CA85" s="777"/>
      <c r="CB85" s="777"/>
      <c r="CC85" s="777"/>
      <c r="CD85" s="777"/>
      <c r="CE85" s="777"/>
      <c r="CF85" s="777"/>
      <c r="CG85" s="778"/>
    </row>
    <row r="86" spans="1:85" s="237" customFormat="1" ht="33" customHeight="1" outlineLevel="1" x14ac:dyDescent="0.25">
      <c r="C86" s="1329"/>
      <c r="D86" s="797" t="s">
        <v>39</v>
      </c>
      <c r="E86" s="798" t="s">
        <v>2037</v>
      </c>
      <c r="F86" s="798"/>
      <c r="G86" s="799"/>
      <c r="H86" s="1332" t="s">
        <v>2004</v>
      </c>
      <c r="I86" s="1332"/>
      <c r="J86" s="1332"/>
      <c r="K86" s="1332"/>
      <c r="L86" s="1332"/>
      <c r="M86" s="1332"/>
      <c r="N86" s="1332"/>
      <c r="O86" s="1332"/>
      <c r="P86" s="1332"/>
      <c r="Q86" s="1332"/>
      <c r="R86" s="1332"/>
      <c r="AI86" s="729"/>
      <c r="AJ86" s="729"/>
      <c r="AK86" s="729"/>
      <c r="AL86" s="729"/>
      <c r="AM86" s="729"/>
      <c r="AN86" s="729"/>
      <c r="AO86" s="729"/>
      <c r="AP86" s="732"/>
      <c r="AQ86" s="732"/>
      <c r="AR86" s="732"/>
      <c r="AS86" s="732"/>
      <c r="AT86" s="732"/>
      <c r="AU86" s="732"/>
      <c r="AV86" s="729"/>
      <c r="AW86" s="729"/>
      <c r="AX86" s="729"/>
      <c r="AY86" s="729"/>
      <c r="AZ86" s="729"/>
      <c r="BA86" s="252"/>
      <c r="BB86" s="252"/>
      <c r="BC86" s="782">
        <f t="shared" si="4"/>
        <v>2020</v>
      </c>
      <c r="BD86" s="776">
        <f t="shared" si="5"/>
        <v>0</v>
      </c>
      <c r="BE86" s="776">
        <f t="shared" si="5"/>
        <v>0</v>
      </c>
      <c r="BF86" s="776">
        <f t="shared" si="5"/>
        <v>0</v>
      </c>
      <c r="BG86" s="776">
        <f t="shared" si="5"/>
        <v>0</v>
      </c>
      <c r="BH86" s="776">
        <f t="shared" si="5"/>
        <v>0</v>
      </c>
      <c r="BI86" s="776">
        <f t="shared" si="5"/>
        <v>0</v>
      </c>
      <c r="BJ86" s="776">
        <f t="shared" si="5"/>
        <v>0</v>
      </c>
      <c r="BK86" s="776">
        <f t="shared" si="5"/>
        <v>0</v>
      </c>
      <c r="BL86" s="776">
        <f t="shared" si="5"/>
        <v>0</v>
      </c>
      <c r="BM86" s="776">
        <f t="shared" si="5"/>
        <v>0</v>
      </c>
      <c r="BN86" s="776">
        <f t="shared" si="5"/>
        <v>0</v>
      </c>
      <c r="BO86" s="776">
        <f t="shared" si="5"/>
        <v>0</v>
      </c>
      <c r="BP86" s="776">
        <f t="shared" si="5"/>
        <v>0</v>
      </c>
      <c r="BQ86" s="776">
        <f t="shared" si="5"/>
        <v>0</v>
      </c>
      <c r="BR86" s="776">
        <f t="shared" si="5"/>
        <v>0</v>
      </c>
      <c r="BS86" s="776">
        <f t="shared" si="5"/>
        <v>0</v>
      </c>
      <c r="BT86" s="776">
        <f t="shared" si="8"/>
        <v>0</v>
      </c>
      <c r="BU86" s="776">
        <f t="shared" si="8"/>
        <v>0</v>
      </c>
      <c r="BV86" s="776">
        <f t="shared" si="8"/>
        <v>0</v>
      </c>
      <c r="BW86" s="776">
        <f t="shared" si="8"/>
        <v>0</v>
      </c>
      <c r="BX86" s="777"/>
      <c r="BY86" s="777"/>
      <c r="BZ86" s="777"/>
      <c r="CA86" s="777"/>
      <c r="CB86" s="777"/>
      <c r="CC86" s="777"/>
      <c r="CD86" s="777"/>
      <c r="CE86" s="777"/>
      <c r="CF86" s="777"/>
      <c r="CG86" s="778"/>
    </row>
    <row r="87" spans="1:85" s="237" customFormat="1" ht="33" customHeight="1" outlineLevel="1" x14ac:dyDescent="0.25">
      <c r="C87" s="1330"/>
      <c r="D87" s="797" t="s">
        <v>40</v>
      </c>
      <c r="E87" s="798" t="s">
        <v>2034</v>
      </c>
      <c r="F87" s="798"/>
      <c r="G87" s="799"/>
      <c r="H87" s="1332" t="s">
        <v>2005</v>
      </c>
      <c r="I87" s="1332"/>
      <c r="J87" s="1332"/>
      <c r="K87" s="1332"/>
      <c r="L87" s="1332"/>
      <c r="M87" s="1332"/>
      <c r="N87" s="1332"/>
      <c r="O87" s="1332"/>
      <c r="P87" s="1332"/>
      <c r="Q87" s="1332"/>
      <c r="R87" s="1332"/>
      <c r="AI87" s="729"/>
      <c r="AJ87" s="729"/>
      <c r="AK87" s="729"/>
      <c r="AL87" s="729"/>
      <c r="AM87" s="729"/>
      <c r="AN87" s="729"/>
      <c r="AO87" s="729"/>
      <c r="AP87" s="732"/>
      <c r="AQ87" s="732"/>
      <c r="AR87" s="732"/>
      <c r="AS87" s="732"/>
      <c r="AT87" s="732"/>
      <c r="AU87" s="732"/>
      <c r="AV87" s="729"/>
      <c r="AW87" s="729"/>
      <c r="AX87" s="729"/>
      <c r="AY87" s="729"/>
      <c r="AZ87" s="729"/>
      <c r="BA87" s="252"/>
      <c r="BB87" s="252"/>
      <c r="BC87" s="782">
        <f t="shared" si="4"/>
        <v>2021</v>
      </c>
      <c r="BD87" s="776">
        <f t="shared" si="5"/>
        <v>0</v>
      </c>
      <c r="BE87" s="776">
        <f t="shared" si="5"/>
        <v>0</v>
      </c>
      <c r="BF87" s="776">
        <f t="shared" si="5"/>
        <v>0</v>
      </c>
      <c r="BG87" s="776">
        <f t="shared" si="5"/>
        <v>0</v>
      </c>
      <c r="BH87" s="776">
        <f t="shared" si="5"/>
        <v>0</v>
      </c>
      <c r="BI87" s="776">
        <f t="shared" si="5"/>
        <v>0</v>
      </c>
      <c r="BJ87" s="776">
        <f t="shared" si="5"/>
        <v>0</v>
      </c>
      <c r="BK87" s="776">
        <f t="shared" si="5"/>
        <v>0</v>
      </c>
      <c r="BL87" s="776">
        <f t="shared" si="5"/>
        <v>0</v>
      </c>
      <c r="BM87" s="776">
        <f t="shared" si="5"/>
        <v>0</v>
      </c>
      <c r="BN87" s="776">
        <f t="shared" si="5"/>
        <v>0</v>
      </c>
      <c r="BO87" s="776">
        <f t="shared" si="5"/>
        <v>0</v>
      </c>
      <c r="BP87" s="776">
        <f t="shared" si="5"/>
        <v>0</v>
      </c>
      <c r="BQ87" s="776">
        <f t="shared" si="5"/>
        <v>0</v>
      </c>
      <c r="BR87" s="776">
        <f t="shared" si="5"/>
        <v>0</v>
      </c>
      <c r="BS87" s="776">
        <f t="shared" si="5"/>
        <v>0</v>
      </c>
      <c r="BT87" s="776">
        <f t="shared" si="8"/>
        <v>0</v>
      </c>
      <c r="BU87" s="776">
        <f t="shared" si="8"/>
        <v>0</v>
      </c>
      <c r="BV87" s="776">
        <f t="shared" si="8"/>
        <v>0</v>
      </c>
      <c r="BW87" s="776">
        <f t="shared" si="8"/>
        <v>0</v>
      </c>
      <c r="BX87" s="776">
        <f t="shared" si="8"/>
        <v>0</v>
      </c>
      <c r="BY87" s="777"/>
      <c r="BZ87" s="777"/>
      <c r="CA87" s="777"/>
      <c r="CB87" s="777"/>
      <c r="CC87" s="777"/>
      <c r="CD87" s="777"/>
      <c r="CE87" s="777"/>
      <c r="CF87" s="777"/>
      <c r="CG87" s="778"/>
    </row>
    <row r="88" spans="1:85" s="237" customFormat="1" ht="15" customHeight="1" outlineLevel="1" x14ac:dyDescent="0.25">
      <c r="AI88" s="729"/>
      <c r="AJ88" s="729"/>
      <c r="AK88" s="729"/>
      <c r="AL88" s="729"/>
      <c r="AM88" s="729"/>
      <c r="AN88" s="729"/>
      <c r="AO88" s="729"/>
      <c r="AP88" s="732"/>
      <c r="AQ88" s="732"/>
      <c r="AR88" s="732"/>
      <c r="AS88" s="732"/>
      <c r="AT88" s="732"/>
      <c r="AU88" s="732"/>
      <c r="AV88" s="729"/>
      <c r="AW88" s="729"/>
      <c r="AX88" s="729"/>
      <c r="AY88" s="729"/>
      <c r="AZ88" s="729"/>
      <c r="BA88" s="252"/>
      <c r="BB88" s="252"/>
      <c r="BC88" s="782">
        <f t="shared" si="4"/>
        <v>2022</v>
      </c>
      <c r="BD88" s="776">
        <f t="shared" si="5"/>
        <v>0</v>
      </c>
      <c r="BE88" s="776">
        <f t="shared" si="5"/>
        <v>0</v>
      </c>
      <c r="BF88" s="776">
        <f t="shared" si="5"/>
        <v>0</v>
      </c>
      <c r="BG88" s="776">
        <f t="shared" si="5"/>
        <v>0</v>
      </c>
      <c r="BH88" s="776">
        <f t="shared" si="5"/>
        <v>0</v>
      </c>
      <c r="BI88" s="776">
        <f t="shared" si="5"/>
        <v>0</v>
      </c>
      <c r="BJ88" s="776">
        <f t="shared" si="5"/>
        <v>0</v>
      </c>
      <c r="BK88" s="776">
        <f t="shared" si="5"/>
        <v>0</v>
      </c>
      <c r="BL88" s="776">
        <f t="shared" si="5"/>
        <v>0</v>
      </c>
      <c r="BM88" s="776">
        <f t="shared" si="5"/>
        <v>0</v>
      </c>
      <c r="BN88" s="776">
        <f t="shared" si="5"/>
        <v>0</v>
      </c>
      <c r="BO88" s="776">
        <f t="shared" si="5"/>
        <v>0</v>
      </c>
      <c r="BP88" s="776">
        <f t="shared" si="5"/>
        <v>0</v>
      </c>
      <c r="BQ88" s="776">
        <f t="shared" si="5"/>
        <v>0</v>
      </c>
      <c r="BR88" s="776">
        <f t="shared" si="5"/>
        <v>0</v>
      </c>
      <c r="BS88" s="776">
        <f t="shared" si="5"/>
        <v>0</v>
      </c>
      <c r="BT88" s="776">
        <f t="shared" si="8"/>
        <v>0</v>
      </c>
      <c r="BU88" s="776">
        <f t="shared" si="8"/>
        <v>0</v>
      </c>
      <c r="BV88" s="776">
        <f t="shared" si="8"/>
        <v>0</v>
      </c>
      <c r="BW88" s="776">
        <f t="shared" si="8"/>
        <v>0</v>
      </c>
      <c r="BX88" s="776">
        <f t="shared" si="8"/>
        <v>0</v>
      </c>
      <c r="BY88" s="776">
        <f t="shared" si="8"/>
        <v>0</v>
      </c>
      <c r="BZ88" s="777"/>
      <c r="CA88" s="777"/>
      <c r="CB88" s="777"/>
      <c r="CC88" s="777"/>
      <c r="CD88" s="777"/>
      <c r="CE88" s="777"/>
      <c r="CF88" s="777"/>
      <c r="CG88" s="778"/>
    </row>
    <row r="89" spans="1:85" s="237" customFormat="1" ht="15" customHeight="1" outlineLevel="1" x14ac:dyDescent="0.25">
      <c r="AI89" s="729"/>
      <c r="AJ89" s="729"/>
      <c r="AK89" s="729"/>
      <c r="AL89" s="729"/>
      <c r="AM89" s="729"/>
      <c r="AN89" s="729"/>
      <c r="AO89" s="729"/>
      <c r="AP89" s="732"/>
      <c r="AQ89" s="732"/>
      <c r="AR89" s="732"/>
      <c r="AS89" s="732"/>
      <c r="AT89" s="732"/>
      <c r="AU89" s="732"/>
      <c r="AV89" s="729"/>
      <c r="AW89" s="729"/>
      <c r="AX89" s="729"/>
      <c r="AY89" s="729"/>
      <c r="AZ89" s="729"/>
      <c r="BA89" s="252"/>
      <c r="BB89" s="252"/>
      <c r="BC89" s="782">
        <f t="shared" si="4"/>
        <v>2023</v>
      </c>
      <c r="BD89" s="776">
        <f t="shared" si="5"/>
        <v>0</v>
      </c>
      <c r="BE89" s="776">
        <f t="shared" si="5"/>
        <v>0</v>
      </c>
      <c r="BF89" s="776">
        <f t="shared" si="5"/>
        <v>0</v>
      </c>
      <c r="BG89" s="776">
        <f t="shared" si="5"/>
        <v>0</v>
      </c>
      <c r="BH89" s="776">
        <f t="shared" si="5"/>
        <v>0</v>
      </c>
      <c r="BI89" s="776">
        <f t="shared" si="5"/>
        <v>0</v>
      </c>
      <c r="BJ89" s="776">
        <f t="shared" si="5"/>
        <v>0</v>
      </c>
      <c r="BK89" s="776">
        <f t="shared" si="5"/>
        <v>0</v>
      </c>
      <c r="BL89" s="776">
        <f t="shared" si="5"/>
        <v>0</v>
      </c>
      <c r="BM89" s="776">
        <f t="shared" si="5"/>
        <v>0</v>
      </c>
      <c r="BN89" s="776">
        <f t="shared" si="5"/>
        <v>0</v>
      </c>
      <c r="BO89" s="776">
        <f t="shared" si="5"/>
        <v>0</v>
      </c>
      <c r="BP89" s="776">
        <f t="shared" si="5"/>
        <v>0</v>
      </c>
      <c r="BQ89" s="776">
        <f t="shared" si="5"/>
        <v>0</v>
      </c>
      <c r="BR89" s="776">
        <f t="shared" si="5"/>
        <v>0</v>
      </c>
      <c r="BS89" s="776">
        <f t="shared" si="5"/>
        <v>0</v>
      </c>
      <c r="BT89" s="776">
        <f t="shared" si="8"/>
        <v>0</v>
      </c>
      <c r="BU89" s="776">
        <f t="shared" si="8"/>
        <v>0</v>
      </c>
      <c r="BV89" s="776">
        <f t="shared" si="8"/>
        <v>0</v>
      </c>
      <c r="BW89" s="776">
        <f t="shared" si="8"/>
        <v>0</v>
      </c>
      <c r="BX89" s="776">
        <f t="shared" si="8"/>
        <v>0</v>
      </c>
      <c r="BY89" s="776">
        <f t="shared" si="8"/>
        <v>0</v>
      </c>
      <c r="BZ89" s="776">
        <f t="shared" si="8"/>
        <v>0</v>
      </c>
      <c r="CA89" s="777"/>
      <c r="CB89" s="777"/>
      <c r="CC89" s="777"/>
      <c r="CD89" s="777"/>
      <c r="CE89" s="777"/>
      <c r="CF89" s="777"/>
      <c r="CG89" s="778"/>
    </row>
    <row r="90" spans="1:85" s="237" customFormat="1" ht="15" customHeight="1" outlineLevel="1" x14ac:dyDescent="0.25">
      <c r="A90" s="729"/>
      <c r="B90" s="729"/>
      <c r="C90" s="780" t="s">
        <v>54</v>
      </c>
      <c r="D90" s="800"/>
      <c r="E90" s="758">
        <f t="shared" ref="E90:AF90" si="9">F90-1</f>
        <v>2001</v>
      </c>
      <c r="F90" s="758">
        <f t="shared" si="9"/>
        <v>2002</v>
      </c>
      <c r="G90" s="758">
        <f t="shared" si="9"/>
        <v>2003</v>
      </c>
      <c r="H90" s="758">
        <f t="shared" si="9"/>
        <v>2004</v>
      </c>
      <c r="I90" s="758">
        <f t="shared" si="9"/>
        <v>2005</v>
      </c>
      <c r="J90" s="758">
        <f t="shared" si="9"/>
        <v>2006</v>
      </c>
      <c r="K90" s="758">
        <f t="shared" si="9"/>
        <v>2007</v>
      </c>
      <c r="L90" s="758">
        <f t="shared" si="9"/>
        <v>2008</v>
      </c>
      <c r="M90" s="758">
        <f t="shared" si="9"/>
        <v>2009</v>
      </c>
      <c r="N90" s="758">
        <f t="shared" si="9"/>
        <v>2010</v>
      </c>
      <c r="O90" s="758">
        <f t="shared" si="9"/>
        <v>2011</v>
      </c>
      <c r="P90" s="758">
        <f t="shared" si="9"/>
        <v>2012</v>
      </c>
      <c r="Q90" s="758">
        <f t="shared" si="9"/>
        <v>2013</v>
      </c>
      <c r="R90" s="758">
        <f t="shared" si="9"/>
        <v>2014</v>
      </c>
      <c r="S90" s="758">
        <f t="shared" si="9"/>
        <v>2015</v>
      </c>
      <c r="T90" s="758">
        <f t="shared" si="9"/>
        <v>2016</v>
      </c>
      <c r="U90" s="758">
        <f t="shared" si="9"/>
        <v>2017</v>
      </c>
      <c r="V90" s="758">
        <f t="shared" si="9"/>
        <v>2018</v>
      </c>
      <c r="W90" s="758">
        <f t="shared" si="9"/>
        <v>2019</v>
      </c>
      <c r="X90" s="758">
        <f t="shared" si="9"/>
        <v>2020</v>
      </c>
      <c r="Y90" s="758">
        <f t="shared" si="9"/>
        <v>2021</v>
      </c>
      <c r="Z90" s="758">
        <f t="shared" si="9"/>
        <v>2022</v>
      </c>
      <c r="AA90" s="758">
        <f t="shared" si="9"/>
        <v>2023</v>
      </c>
      <c r="AB90" s="758">
        <f t="shared" si="9"/>
        <v>2024</v>
      </c>
      <c r="AC90" s="758">
        <f t="shared" si="9"/>
        <v>2025</v>
      </c>
      <c r="AD90" s="758">
        <f t="shared" si="9"/>
        <v>2026</v>
      </c>
      <c r="AE90" s="758">
        <f t="shared" si="9"/>
        <v>2027</v>
      </c>
      <c r="AF90" s="758">
        <f t="shared" si="9"/>
        <v>2028</v>
      </c>
      <c r="AG90" s="758">
        <f>AH90-1</f>
        <v>2029</v>
      </c>
      <c r="AH90" s="758">
        <f>Ano</f>
        <v>2030</v>
      </c>
      <c r="AI90" s="729"/>
      <c r="AJ90" s="729"/>
      <c r="AK90" s="729"/>
      <c r="AL90" s="729"/>
      <c r="AM90" s="729"/>
      <c r="AN90" s="729"/>
      <c r="AO90" s="729"/>
      <c r="AP90" s="732"/>
      <c r="AQ90" s="732"/>
      <c r="AR90" s="732"/>
      <c r="AS90" s="732"/>
      <c r="AT90" s="732"/>
      <c r="AU90" s="732"/>
      <c r="AV90" s="729"/>
      <c r="AW90" s="729"/>
      <c r="AX90" s="729"/>
      <c r="AY90" s="729"/>
      <c r="AZ90" s="729"/>
      <c r="BA90" s="252"/>
      <c r="BB90" s="252"/>
      <c r="BC90" s="782">
        <f t="shared" si="4"/>
        <v>2024</v>
      </c>
      <c r="BD90" s="776">
        <f t="shared" si="5"/>
        <v>0</v>
      </c>
      <c r="BE90" s="776">
        <f t="shared" si="5"/>
        <v>0</v>
      </c>
      <c r="BF90" s="776">
        <f t="shared" si="5"/>
        <v>0</v>
      </c>
      <c r="BG90" s="776">
        <f t="shared" si="5"/>
        <v>0</v>
      </c>
      <c r="BH90" s="776">
        <f t="shared" si="5"/>
        <v>0</v>
      </c>
      <c r="BI90" s="776">
        <f t="shared" si="5"/>
        <v>0</v>
      </c>
      <c r="BJ90" s="776">
        <f t="shared" si="5"/>
        <v>0</v>
      </c>
      <c r="BK90" s="776">
        <f t="shared" si="5"/>
        <v>0</v>
      </c>
      <c r="BL90" s="776">
        <f t="shared" si="5"/>
        <v>0</v>
      </c>
      <c r="BM90" s="776">
        <f t="shared" si="5"/>
        <v>0</v>
      </c>
      <c r="BN90" s="776">
        <f t="shared" si="5"/>
        <v>0</v>
      </c>
      <c r="BO90" s="776">
        <f t="shared" si="5"/>
        <v>0</v>
      </c>
      <c r="BP90" s="776">
        <f t="shared" si="5"/>
        <v>0</v>
      </c>
      <c r="BQ90" s="776">
        <f t="shared" si="5"/>
        <v>0</v>
      </c>
      <c r="BR90" s="776">
        <f t="shared" si="5"/>
        <v>0</v>
      </c>
      <c r="BS90" s="776">
        <f t="shared" ref="BS90" si="10">BS$65*EXP(-$BC$60*($BC90-BS$66))</f>
        <v>0</v>
      </c>
      <c r="BT90" s="776">
        <f t="shared" si="8"/>
        <v>0</v>
      </c>
      <c r="BU90" s="776">
        <f t="shared" si="8"/>
        <v>0</v>
      </c>
      <c r="BV90" s="776">
        <f t="shared" si="8"/>
        <v>0</v>
      </c>
      <c r="BW90" s="776">
        <f t="shared" si="8"/>
        <v>0</v>
      </c>
      <c r="BX90" s="776">
        <f t="shared" si="8"/>
        <v>0</v>
      </c>
      <c r="BY90" s="776">
        <f t="shared" si="8"/>
        <v>0</v>
      </c>
      <c r="BZ90" s="776">
        <f t="shared" si="8"/>
        <v>0</v>
      </c>
      <c r="CA90" s="776">
        <f t="shared" si="8"/>
        <v>0</v>
      </c>
      <c r="CB90" s="777"/>
      <c r="CC90" s="777"/>
      <c r="CD90" s="777"/>
      <c r="CE90" s="777"/>
      <c r="CF90" s="777"/>
      <c r="CG90" s="778"/>
    </row>
    <row r="91" spans="1:85" s="237" customFormat="1" ht="15" customHeight="1" outlineLevel="1" x14ac:dyDescent="0.25">
      <c r="A91" s="729"/>
      <c r="B91" s="729"/>
      <c r="C91" s="759" t="s">
        <v>41</v>
      </c>
      <c r="D91" s="801"/>
      <c r="E91" s="1155"/>
      <c r="F91" s="1155"/>
      <c r="G91" s="1155"/>
      <c r="H91" s="1155"/>
      <c r="I91" s="1155"/>
      <c r="J91" s="1155"/>
      <c r="K91" s="1155"/>
      <c r="L91" s="1155"/>
      <c r="M91" s="1155"/>
      <c r="N91" s="1155"/>
      <c r="O91" s="1155"/>
      <c r="P91" s="1155"/>
      <c r="Q91" s="1155"/>
      <c r="R91" s="1155"/>
      <c r="S91" s="1155"/>
      <c r="T91" s="1155"/>
      <c r="U91" s="1155"/>
      <c r="V91" s="1155"/>
      <c r="W91" s="1155"/>
      <c r="X91" s="1155"/>
      <c r="Y91" s="1155"/>
      <c r="Z91" s="1155"/>
      <c r="AA91" s="1155"/>
      <c r="AB91" s="1155"/>
      <c r="AC91" s="1155"/>
      <c r="AD91" s="1155"/>
      <c r="AE91" s="1155"/>
      <c r="AF91" s="1155"/>
      <c r="AG91" s="1155"/>
      <c r="AH91" s="1155"/>
      <c r="AI91" s="729"/>
      <c r="AJ91" s="729"/>
      <c r="AK91" s="729"/>
      <c r="AL91" s="729"/>
      <c r="AM91" s="729"/>
      <c r="AN91" s="729"/>
      <c r="AO91" s="729"/>
      <c r="AP91" s="732"/>
      <c r="AQ91" s="732"/>
      <c r="AR91" s="732"/>
      <c r="AS91" s="732"/>
      <c r="AT91" s="732"/>
      <c r="AU91" s="732"/>
      <c r="AV91" s="729"/>
      <c r="AW91" s="729"/>
      <c r="AX91" s="729"/>
      <c r="AY91" s="729"/>
      <c r="AZ91" s="729"/>
      <c r="BA91" s="252"/>
      <c r="BB91" s="252"/>
      <c r="BC91" s="782">
        <f t="shared" si="4"/>
        <v>2025</v>
      </c>
      <c r="BD91" s="776">
        <f t="shared" ref="BD91:BS96" si="11">BD$65*EXP(-$BC$60*($BC91-BD$66))</f>
        <v>0</v>
      </c>
      <c r="BE91" s="776">
        <f t="shared" si="11"/>
        <v>0</v>
      </c>
      <c r="BF91" s="776">
        <f t="shared" si="11"/>
        <v>0</v>
      </c>
      <c r="BG91" s="776">
        <f t="shared" si="11"/>
        <v>0</v>
      </c>
      <c r="BH91" s="776">
        <f t="shared" si="11"/>
        <v>0</v>
      </c>
      <c r="BI91" s="776">
        <f t="shared" si="11"/>
        <v>0</v>
      </c>
      <c r="BJ91" s="776">
        <f t="shared" si="11"/>
        <v>0</v>
      </c>
      <c r="BK91" s="776">
        <f t="shared" si="11"/>
        <v>0</v>
      </c>
      <c r="BL91" s="776">
        <f t="shared" si="11"/>
        <v>0</v>
      </c>
      <c r="BM91" s="776">
        <f t="shared" si="11"/>
        <v>0</v>
      </c>
      <c r="BN91" s="776">
        <f t="shared" si="11"/>
        <v>0</v>
      </c>
      <c r="BO91" s="776">
        <f t="shared" si="11"/>
        <v>0</v>
      </c>
      <c r="BP91" s="776">
        <f t="shared" si="11"/>
        <v>0</v>
      </c>
      <c r="BQ91" s="776">
        <f t="shared" si="11"/>
        <v>0</v>
      </c>
      <c r="BR91" s="776">
        <f t="shared" si="11"/>
        <v>0</v>
      </c>
      <c r="BS91" s="776">
        <f t="shared" si="11"/>
        <v>0</v>
      </c>
      <c r="BT91" s="776">
        <f t="shared" si="8"/>
        <v>0</v>
      </c>
      <c r="BU91" s="776">
        <f t="shared" si="8"/>
        <v>0</v>
      </c>
      <c r="BV91" s="776">
        <f t="shared" si="8"/>
        <v>0</v>
      </c>
      <c r="BW91" s="776">
        <f t="shared" si="8"/>
        <v>0</v>
      </c>
      <c r="BX91" s="776">
        <f t="shared" si="8"/>
        <v>0</v>
      </c>
      <c r="BY91" s="776">
        <f t="shared" si="8"/>
        <v>0</v>
      </c>
      <c r="BZ91" s="776">
        <f t="shared" si="8"/>
        <v>0</v>
      </c>
      <c r="CA91" s="776">
        <f t="shared" si="8"/>
        <v>0</v>
      </c>
      <c r="CB91" s="776">
        <f t="shared" si="8"/>
        <v>0</v>
      </c>
      <c r="CC91" s="777"/>
      <c r="CD91" s="777"/>
      <c r="CE91" s="777"/>
      <c r="CF91" s="777"/>
      <c r="CG91" s="778"/>
    </row>
    <row r="92" spans="1:85" s="237" customFormat="1" ht="15" customHeight="1" outlineLevel="1" x14ac:dyDescent="0.25">
      <c r="A92" s="729"/>
      <c r="B92" s="729"/>
      <c r="C92" s="759" t="s">
        <v>55</v>
      </c>
      <c r="D92" s="1148"/>
      <c r="E92" s="795">
        <f>IF(E91="a", 0.6, IF(E91="b", 0.4, IF(E91="c", 0.8, IF(E91="d", 1, IF(E91="e", 0.5, IF(E91="", 0, "Parâmetro inválido"))))))</f>
        <v>0</v>
      </c>
      <c r="F92" s="795">
        <f t="shared" ref="F92:AH92" si="12">IF(F91="a", 0.6, IF(F91="b", 0.4, IF(F91="c", 0.8, IF(F91="d", 1, IF(F91="e", 0.5, IF(F91="", 0, "Parâmetro inválido"))))))</f>
        <v>0</v>
      </c>
      <c r="G92" s="795">
        <f t="shared" si="12"/>
        <v>0</v>
      </c>
      <c r="H92" s="795">
        <f t="shared" si="12"/>
        <v>0</v>
      </c>
      <c r="I92" s="795">
        <f t="shared" si="12"/>
        <v>0</v>
      </c>
      <c r="J92" s="795">
        <f t="shared" si="12"/>
        <v>0</v>
      </c>
      <c r="K92" s="795">
        <f t="shared" si="12"/>
        <v>0</v>
      </c>
      <c r="L92" s="795">
        <f t="shared" si="12"/>
        <v>0</v>
      </c>
      <c r="M92" s="795">
        <f t="shared" si="12"/>
        <v>0</v>
      </c>
      <c r="N92" s="795">
        <f t="shared" si="12"/>
        <v>0</v>
      </c>
      <c r="O92" s="795">
        <f t="shared" si="12"/>
        <v>0</v>
      </c>
      <c r="P92" s="795">
        <f t="shared" si="12"/>
        <v>0</v>
      </c>
      <c r="Q92" s="795">
        <f t="shared" si="12"/>
        <v>0</v>
      </c>
      <c r="R92" s="795">
        <f t="shared" si="12"/>
        <v>0</v>
      </c>
      <c r="S92" s="795">
        <f t="shared" si="12"/>
        <v>0</v>
      </c>
      <c r="T92" s="795">
        <f t="shared" si="12"/>
        <v>0</v>
      </c>
      <c r="U92" s="795">
        <f t="shared" si="12"/>
        <v>0</v>
      </c>
      <c r="V92" s="795">
        <f t="shared" si="12"/>
        <v>0</v>
      </c>
      <c r="W92" s="795">
        <f t="shared" si="12"/>
        <v>0</v>
      </c>
      <c r="X92" s="795">
        <f t="shared" si="12"/>
        <v>0</v>
      </c>
      <c r="Y92" s="795">
        <f t="shared" si="12"/>
        <v>0</v>
      </c>
      <c r="Z92" s="795">
        <f t="shared" si="12"/>
        <v>0</v>
      </c>
      <c r="AA92" s="795">
        <f t="shared" si="12"/>
        <v>0</v>
      </c>
      <c r="AB92" s="795">
        <f t="shared" si="12"/>
        <v>0</v>
      </c>
      <c r="AC92" s="795">
        <f t="shared" si="12"/>
        <v>0</v>
      </c>
      <c r="AD92" s="795">
        <f t="shared" si="12"/>
        <v>0</v>
      </c>
      <c r="AE92" s="795">
        <f t="shared" si="12"/>
        <v>0</v>
      </c>
      <c r="AF92" s="795">
        <f t="shared" si="12"/>
        <v>0</v>
      </c>
      <c r="AG92" s="795">
        <f t="shared" si="12"/>
        <v>0</v>
      </c>
      <c r="AH92" s="795">
        <f t="shared" si="12"/>
        <v>0</v>
      </c>
      <c r="AI92" s="734"/>
      <c r="AJ92" s="734"/>
      <c r="AK92" s="734"/>
      <c r="AL92" s="734"/>
      <c r="AM92" s="729"/>
      <c r="AN92" s="729"/>
      <c r="AO92" s="729"/>
      <c r="AP92" s="732"/>
      <c r="AQ92" s="732"/>
      <c r="AR92" s="732"/>
      <c r="AS92" s="732"/>
      <c r="AT92" s="732"/>
      <c r="AU92" s="732"/>
      <c r="AV92" s="729"/>
      <c r="AW92" s="729"/>
      <c r="AX92" s="729"/>
      <c r="AY92" s="729"/>
      <c r="AZ92" s="729"/>
      <c r="BA92" s="252"/>
      <c r="BB92" s="252"/>
      <c r="BC92" s="782">
        <f t="shared" si="4"/>
        <v>2026</v>
      </c>
      <c r="BD92" s="776">
        <f t="shared" si="11"/>
        <v>0</v>
      </c>
      <c r="BE92" s="776">
        <f t="shared" si="11"/>
        <v>0</v>
      </c>
      <c r="BF92" s="776">
        <f t="shared" si="11"/>
        <v>0</v>
      </c>
      <c r="BG92" s="776">
        <f t="shared" si="11"/>
        <v>0</v>
      </c>
      <c r="BH92" s="776">
        <f t="shared" si="11"/>
        <v>0</v>
      </c>
      <c r="BI92" s="776">
        <f t="shared" si="11"/>
        <v>0</v>
      </c>
      <c r="BJ92" s="776">
        <f t="shared" si="11"/>
        <v>0</v>
      </c>
      <c r="BK92" s="776">
        <f t="shared" si="11"/>
        <v>0</v>
      </c>
      <c r="BL92" s="776">
        <f t="shared" si="11"/>
        <v>0</v>
      </c>
      <c r="BM92" s="776">
        <f t="shared" si="11"/>
        <v>0</v>
      </c>
      <c r="BN92" s="776">
        <f t="shared" si="11"/>
        <v>0</v>
      </c>
      <c r="BO92" s="776">
        <f t="shared" si="11"/>
        <v>0</v>
      </c>
      <c r="BP92" s="776">
        <f t="shared" si="11"/>
        <v>0</v>
      </c>
      <c r="BQ92" s="776">
        <f t="shared" si="11"/>
        <v>0</v>
      </c>
      <c r="BR92" s="776">
        <f t="shared" si="11"/>
        <v>0</v>
      </c>
      <c r="BS92" s="776">
        <f t="shared" si="11"/>
        <v>0</v>
      </c>
      <c r="BT92" s="776">
        <f t="shared" si="8"/>
        <v>0</v>
      </c>
      <c r="BU92" s="776">
        <f t="shared" si="8"/>
        <v>0</v>
      </c>
      <c r="BV92" s="776">
        <f t="shared" si="8"/>
        <v>0</v>
      </c>
      <c r="BW92" s="776">
        <f t="shared" si="8"/>
        <v>0</v>
      </c>
      <c r="BX92" s="776">
        <f t="shared" si="8"/>
        <v>0</v>
      </c>
      <c r="BY92" s="776">
        <f t="shared" si="8"/>
        <v>0</v>
      </c>
      <c r="BZ92" s="776">
        <f t="shared" si="8"/>
        <v>0</v>
      </c>
      <c r="CA92" s="776">
        <f t="shared" si="8"/>
        <v>0</v>
      </c>
      <c r="CB92" s="776">
        <f t="shared" si="8"/>
        <v>0</v>
      </c>
      <c r="CC92" s="776">
        <f>CC$65*EXP(-$BC$60*($BC92-CC$66))</f>
        <v>0</v>
      </c>
      <c r="CD92" s="777"/>
      <c r="CE92" s="777"/>
      <c r="CF92" s="777"/>
      <c r="CG92" s="778"/>
    </row>
    <row r="93" spans="1:85" s="237" customFormat="1" ht="15" customHeight="1" outlineLevel="1" x14ac:dyDescent="0.25">
      <c r="A93" s="729"/>
      <c r="B93" s="734"/>
      <c r="C93" s="759" t="s">
        <v>56</v>
      </c>
      <c r="D93" s="1148"/>
      <c r="E93" s="804">
        <f>IF(E92&gt;=0.8, 0.1, 0)</f>
        <v>0</v>
      </c>
      <c r="F93" s="804">
        <f t="shared" ref="F93:AH93" si="13">IF(F92&gt;=0.8, 0.1, 0)</f>
        <v>0</v>
      </c>
      <c r="G93" s="804">
        <f t="shared" si="13"/>
        <v>0</v>
      </c>
      <c r="H93" s="804">
        <f t="shared" si="13"/>
        <v>0</v>
      </c>
      <c r="I93" s="804">
        <f t="shared" si="13"/>
        <v>0</v>
      </c>
      <c r="J93" s="804">
        <f t="shared" si="13"/>
        <v>0</v>
      </c>
      <c r="K93" s="804">
        <f t="shared" si="13"/>
        <v>0</v>
      </c>
      <c r="L93" s="804">
        <f t="shared" si="13"/>
        <v>0</v>
      </c>
      <c r="M93" s="804">
        <f t="shared" si="13"/>
        <v>0</v>
      </c>
      <c r="N93" s="804">
        <f t="shared" si="13"/>
        <v>0</v>
      </c>
      <c r="O93" s="804">
        <f t="shared" si="13"/>
        <v>0</v>
      </c>
      <c r="P93" s="804">
        <f t="shared" si="13"/>
        <v>0</v>
      </c>
      <c r="Q93" s="804">
        <f t="shared" si="13"/>
        <v>0</v>
      </c>
      <c r="R93" s="804">
        <f t="shared" si="13"/>
        <v>0</v>
      </c>
      <c r="S93" s="804">
        <f t="shared" si="13"/>
        <v>0</v>
      </c>
      <c r="T93" s="804">
        <f t="shared" si="13"/>
        <v>0</v>
      </c>
      <c r="U93" s="804">
        <f t="shared" si="13"/>
        <v>0</v>
      </c>
      <c r="V93" s="804">
        <f t="shared" si="13"/>
        <v>0</v>
      </c>
      <c r="W93" s="804">
        <f t="shared" si="13"/>
        <v>0</v>
      </c>
      <c r="X93" s="804">
        <f t="shared" si="13"/>
        <v>0</v>
      </c>
      <c r="Y93" s="804">
        <f t="shared" si="13"/>
        <v>0</v>
      </c>
      <c r="Z93" s="804">
        <f t="shared" si="13"/>
        <v>0</v>
      </c>
      <c r="AA93" s="804">
        <f t="shared" si="13"/>
        <v>0</v>
      </c>
      <c r="AB93" s="804">
        <f t="shared" si="13"/>
        <v>0</v>
      </c>
      <c r="AC93" s="804">
        <f t="shared" si="13"/>
        <v>0</v>
      </c>
      <c r="AD93" s="804">
        <f t="shared" si="13"/>
        <v>0</v>
      </c>
      <c r="AE93" s="804">
        <f t="shared" si="13"/>
        <v>0</v>
      </c>
      <c r="AF93" s="804">
        <f t="shared" si="13"/>
        <v>0</v>
      </c>
      <c r="AG93" s="804">
        <f t="shared" si="13"/>
        <v>0</v>
      </c>
      <c r="AH93" s="804">
        <f t="shared" si="13"/>
        <v>0</v>
      </c>
      <c r="AI93" s="734"/>
      <c r="AJ93" s="734"/>
      <c r="AK93" s="734"/>
      <c r="AL93" s="734"/>
      <c r="AM93" s="729"/>
      <c r="AN93" s="729"/>
      <c r="AO93" s="729"/>
      <c r="AP93" s="732"/>
      <c r="AQ93" s="732"/>
      <c r="AR93" s="732"/>
      <c r="AS93" s="732"/>
      <c r="AT93" s="732"/>
      <c r="AU93" s="732"/>
      <c r="AV93" s="729"/>
      <c r="AW93" s="729"/>
      <c r="AX93" s="729"/>
      <c r="AY93" s="729"/>
      <c r="AZ93" s="729"/>
      <c r="BA93" s="252"/>
      <c r="BB93" s="252"/>
      <c r="BC93" s="782">
        <f t="shared" si="4"/>
        <v>2027</v>
      </c>
      <c r="BD93" s="776">
        <f t="shared" si="11"/>
        <v>0</v>
      </c>
      <c r="BE93" s="776">
        <f t="shared" si="11"/>
        <v>0</v>
      </c>
      <c r="BF93" s="776">
        <f t="shared" si="11"/>
        <v>0</v>
      </c>
      <c r="BG93" s="776">
        <f t="shared" si="11"/>
        <v>0</v>
      </c>
      <c r="BH93" s="776">
        <f t="shared" si="11"/>
        <v>0</v>
      </c>
      <c r="BI93" s="776">
        <f t="shared" si="11"/>
        <v>0</v>
      </c>
      <c r="BJ93" s="776">
        <f t="shared" si="11"/>
        <v>0</v>
      </c>
      <c r="BK93" s="776">
        <f t="shared" si="11"/>
        <v>0</v>
      </c>
      <c r="BL93" s="776">
        <f t="shared" si="11"/>
        <v>0</v>
      </c>
      <c r="BM93" s="776">
        <f t="shared" si="11"/>
        <v>0</v>
      </c>
      <c r="BN93" s="776">
        <f t="shared" si="11"/>
        <v>0</v>
      </c>
      <c r="BO93" s="776">
        <f t="shared" si="11"/>
        <v>0</v>
      </c>
      <c r="BP93" s="776">
        <f t="shared" si="11"/>
        <v>0</v>
      </c>
      <c r="BQ93" s="776">
        <f t="shared" si="11"/>
        <v>0</v>
      </c>
      <c r="BR93" s="776">
        <f t="shared" si="11"/>
        <v>0</v>
      </c>
      <c r="BS93" s="776">
        <f t="shared" si="11"/>
        <v>0</v>
      </c>
      <c r="BT93" s="776">
        <f t="shared" si="8"/>
        <v>0</v>
      </c>
      <c r="BU93" s="776">
        <f t="shared" si="8"/>
        <v>0</v>
      </c>
      <c r="BV93" s="776">
        <f t="shared" si="8"/>
        <v>0</v>
      </c>
      <c r="BW93" s="776">
        <f t="shared" si="8"/>
        <v>0</v>
      </c>
      <c r="BX93" s="776">
        <f t="shared" si="8"/>
        <v>0</v>
      </c>
      <c r="BY93" s="776">
        <f t="shared" si="8"/>
        <v>0</v>
      </c>
      <c r="BZ93" s="776">
        <f t="shared" si="8"/>
        <v>0</v>
      </c>
      <c r="CA93" s="776">
        <f t="shared" si="8"/>
        <v>0</v>
      </c>
      <c r="CB93" s="776">
        <f t="shared" si="8"/>
        <v>0</v>
      </c>
      <c r="CC93" s="776">
        <f>CC$65*EXP(-$BC$60*($BC93-CC$66))</f>
        <v>0</v>
      </c>
      <c r="CD93" s="776">
        <f>CD$65*EXP(-$BC$60*($BC93-CD$66))</f>
        <v>0</v>
      </c>
      <c r="CE93" s="777"/>
      <c r="CF93" s="777"/>
      <c r="CG93" s="778"/>
    </row>
    <row r="94" spans="1:85" s="237" customFormat="1" ht="15" customHeight="1" outlineLevel="1" x14ac:dyDescent="0.25">
      <c r="A94" s="729"/>
      <c r="B94" s="734"/>
      <c r="C94" s="729"/>
      <c r="D94" s="753"/>
      <c r="E94" s="805"/>
      <c r="F94" s="805"/>
      <c r="G94" s="805"/>
      <c r="H94" s="805"/>
      <c r="I94" s="805"/>
      <c r="J94" s="805"/>
      <c r="K94" s="805"/>
      <c r="L94" s="805"/>
      <c r="M94" s="805"/>
      <c r="N94" s="805"/>
      <c r="O94" s="805"/>
      <c r="P94" s="805"/>
      <c r="Q94" s="805"/>
      <c r="R94" s="805"/>
      <c r="S94" s="805"/>
      <c r="T94" s="805"/>
      <c r="U94" s="805"/>
      <c r="V94" s="805"/>
      <c r="W94" s="805"/>
      <c r="X94" s="805"/>
      <c r="Y94" s="805"/>
      <c r="Z94" s="805"/>
      <c r="AA94" s="805"/>
      <c r="AB94" s="805"/>
      <c r="AC94" s="805"/>
      <c r="AD94" s="805"/>
      <c r="AE94" s="805"/>
      <c r="AF94" s="805"/>
      <c r="AG94" s="805"/>
      <c r="AH94" s="805"/>
      <c r="AI94" s="734"/>
      <c r="AJ94" s="734"/>
      <c r="AK94" s="734"/>
      <c r="AL94" s="734"/>
      <c r="AM94" s="729"/>
      <c r="AN94" s="729"/>
      <c r="AO94" s="729"/>
      <c r="AP94" s="732"/>
      <c r="AQ94" s="732"/>
      <c r="AR94" s="732"/>
      <c r="AS94" s="732"/>
      <c r="AT94" s="732"/>
      <c r="AU94" s="732"/>
      <c r="AV94" s="729"/>
      <c r="AW94" s="729"/>
      <c r="AX94" s="729"/>
      <c r="AY94" s="729"/>
      <c r="AZ94" s="729"/>
      <c r="BA94" s="252"/>
      <c r="BB94" s="252"/>
      <c r="BC94" s="782">
        <f t="shared" si="4"/>
        <v>2028</v>
      </c>
      <c r="BD94" s="776">
        <f>BD$65*EXP(-$BC$60*($BC94-BD$66))</f>
        <v>0</v>
      </c>
      <c r="BE94" s="776">
        <f t="shared" si="11"/>
        <v>0</v>
      </c>
      <c r="BF94" s="776">
        <f t="shared" si="11"/>
        <v>0</v>
      </c>
      <c r="BG94" s="776">
        <f t="shared" si="11"/>
        <v>0</v>
      </c>
      <c r="BH94" s="776">
        <f t="shared" si="11"/>
        <v>0</v>
      </c>
      <c r="BI94" s="776">
        <f t="shared" si="11"/>
        <v>0</v>
      </c>
      <c r="BJ94" s="776">
        <f t="shared" si="11"/>
        <v>0</v>
      </c>
      <c r="BK94" s="776">
        <f t="shared" si="11"/>
        <v>0</v>
      </c>
      <c r="BL94" s="776">
        <f t="shared" si="11"/>
        <v>0</v>
      </c>
      <c r="BM94" s="776">
        <f t="shared" si="11"/>
        <v>0</v>
      </c>
      <c r="BN94" s="776">
        <f t="shared" si="11"/>
        <v>0</v>
      </c>
      <c r="BO94" s="776">
        <f t="shared" si="11"/>
        <v>0</v>
      </c>
      <c r="BP94" s="776">
        <f t="shared" si="11"/>
        <v>0</v>
      </c>
      <c r="BQ94" s="776">
        <f t="shared" si="11"/>
        <v>0</v>
      </c>
      <c r="BR94" s="776">
        <f t="shared" si="11"/>
        <v>0</v>
      </c>
      <c r="BS94" s="776">
        <f t="shared" si="11"/>
        <v>0</v>
      </c>
      <c r="BT94" s="776">
        <f t="shared" si="8"/>
        <v>0</v>
      </c>
      <c r="BU94" s="776">
        <f t="shared" si="8"/>
        <v>0</v>
      </c>
      <c r="BV94" s="776">
        <f t="shared" si="8"/>
        <v>0</v>
      </c>
      <c r="BW94" s="776">
        <f t="shared" si="8"/>
        <v>0</v>
      </c>
      <c r="BX94" s="776">
        <f t="shared" si="8"/>
        <v>0</v>
      </c>
      <c r="BY94" s="776">
        <f t="shared" si="8"/>
        <v>0</v>
      </c>
      <c r="BZ94" s="776">
        <f t="shared" si="8"/>
        <v>0</v>
      </c>
      <c r="CA94" s="776">
        <f t="shared" si="8"/>
        <v>0</v>
      </c>
      <c r="CB94" s="776">
        <f t="shared" si="8"/>
        <v>0</v>
      </c>
      <c r="CC94" s="776">
        <f>CC$65*EXP(-$BC$60*($BC94-CC$66))</f>
        <v>0</v>
      </c>
      <c r="CD94" s="776">
        <f>CD$65*EXP(-$BC$60*($BC94-CD$66))</f>
        <v>0</v>
      </c>
      <c r="CE94" s="776">
        <f>CE$65*EXP(-$BC$60*($BC94-CE$66))</f>
        <v>0</v>
      </c>
      <c r="CF94" s="777"/>
      <c r="CG94" s="778"/>
    </row>
    <row r="95" spans="1:85" s="237" customFormat="1" ht="15" customHeight="1" outlineLevel="1" x14ac:dyDescent="0.25">
      <c r="A95" s="729"/>
      <c r="B95" s="734"/>
      <c r="C95" s="806" t="s">
        <v>44</v>
      </c>
      <c r="D95" s="729"/>
      <c r="E95" s="753"/>
      <c r="F95" s="753"/>
      <c r="G95" s="753"/>
      <c r="H95" s="753"/>
      <c r="I95" s="753"/>
      <c r="J95" s="753"/>
      <c r="K95" s="753"/>
      <c r="L95" s="753"/>
      <c r="M95" s="753"/>
      <c r="N95" s="753"/>
      <c r="O95" s="753"/>
      <c r="P95" s="753"/>
      <c r="Q95" s="753"/>
      <c r="R95" s="753"/>
      <c r="S95" s="753"/>
      <c r="T95" s="753"/>
      <c r="U95" s="753"/>
      <c r="V95" s="753"/>
      <c r="W95" s="753"/>
      <c r="X95" s="753"/>
      <c r="Y95" s="753"/>
      <c r="Z95" s="753"/>
      <c r="AA95" s="753"/>
      <c r="AB95" s="753"/>
      <c r="AC95" s="753"/>
      <c r="AD95" s="753"/>
      <c r="AE95" s="753"/>
      <c r="AF95" s="753"/>
      <c r="AG95" s="753"/>
      <c r="AH95" s="753"/>
      <c r="AI95" s="734"/>
      <c r="AJ95" s="734"/>
      <c r="AK95" s="734"/>
      <c r="AL95" s="734"/>
      <c r="AM95" s="729"/>
      <c r="AN95" s="729"/>
      <c r="AO95" s="729"/>
      <c r="AP95" s="732"/>
      <c r="AQ95" s="732"/>
      <c r="AR95" s="732"/>
      <c r="AS95" s="732"/>
      <c r="AT95" s="732"/>
      <c r="AU95" s="732"/>
      <c r="AV95" s="729"/>
      <c r="AW95" s="729"/>
      <c r="AX95" s="729"/>
      <c r="AY95" s="729"/>
      <c r="AZ95" s="729"/>
      <c r="BA95" s="252"/>
      <c r="BB95" s="252"/>
      <c r="BC95" s="782">
        <f t="shared" si="4"/>
        <v>2029</v>
      </c>
      <c r="BD95" s="776">
        <f>BD$65*EXP(-$BC$60*($BC95-BD$66))</f>
        <v>0</v>
      </c>
      <c r="BE95" s="776">
        <f t="shared" si="11"/>
        <v>0</v>
      </c>
      <c r="BF95" s="776">
        <f t="shared" si="11"/>
        <v>0</v>
      </c>
      <c r="BG95" s="776">
        <f t="shared" si="11"/>
        <v>0</v>
      </c>
      <c r="BH95" s="776">
        <f t="shared" si="11"/>
        <v>0</v>
      </c>
      <c r="BI95" s="776">
        <f t="shared" si="11"/>
        <v>0</v>
      </c>
      <c r="BJ95" s="776">
        <f t="shared" si="11"/>
        <v>0</v>
      </c>
      <c r="BK95" s="776">
        <f t="shared" si="11"/>
        <v>0</v>
      </c>
      <c r="BL95" s="776">
        <f t="shared" si="11"/>
        <v>0</v>
      </c>
      <c r="BM95" s="776">
        <f t="shared" si="11"/>
        <v>0</v>
      </c>
      <c r="BN95" s="776">
        <f t="shared" si="11"/>
        <v>0</v>
      </c>
      <c r="BO95" s="776">
        <f t="shared" si="11"/>
        <v>0</v>
      </c>
      <c r="BP95" s="776">
        <f t="shared" si="11"/>
        <v>0</v>
      </c>
      <c r="BQ95" s="776">
        <f t="shared" si="11"/>
        <v>0</v>
      </c>
      <c r="BR95" s="776">
        <f t="shared" si="11"/>
        <v>0</v>
      </c>
      <c r="BS95" s="776">
        <f t="shared" si="11"/>
        <v>0</v>
      </c>
      <c r="BT95" s="776">
        <f t="shared" si="8"/>
        <v>0</v>
      </c>
      <c r="BU95" s="776">
        <f t="shared" si="8"/>
        <v>0</v>
      </c>
      <c r="BV95" s="776">
        <f t="shared" si="8"/>
        <v>0</v>
      </c>
      <c r="BW95" s="776">
        <f t="shared" si="8"/>
        <v>0</v>
      </c>
      <c r="BX95" s="776">
        <f t="shared" si="8"/>
        <v>0</v>
      </c>
      <c r="BY95" s="776">
        <f t="shared" si="8"/>
        <v>0</v>
      </c>
      <c r="BZ95" s="776">
        <f t="shared" si="8"/>
        <v>0</v>
      </c>
      <c r="CA95" s="776">
        <f t="shared" si="8"/>
        <v>0</v>
      </c>
      <c r="CB95" s="776">
        <f t="shared" si="8"/>
        <v>0</v>
      </c>
      <c r="CC95" s="776">
        <f>CC$65*EXP(-$BC$60*($BC95-CC$66))</f>
        <v>0</v>
      </c>
      <c r="CD95" s="776">
        <f>CD$65*EXP(-$BC$60*($BC95-CD$66))</f>
        <v>0</v>
      </c>
      <c r="CE95" s="776">
        <f>CE$65*EXP(-$BC$60*($BC95-CE$66))</f>
        <v>0</v>
      </c>
      <c r="CF95" s="776">
        <f>CF$65*EXP(-$BC$60*($BC95-CF$66))</f>
        <v>0</v>
      </c>
      <c r="CG95" s="778"/>
    </row>
    <row r="96" spans="1:85" s="237" customFormat="1" ht="15" customHeight="1" outlineLevel="1" x14ac:dyDescent="0.25">
      <c r="A96" s="729"/>
      <c r="C96" s="759" t="s">
        <v>1434</v>
      </c>
      <c r="D96" s="807"/>
      <c r="E96" s="729"/>
      <c r="F96" s="729"/>
      <c r="G96" s="729"/>
      <c r="H96" s="729"/>
      <c r="I96" s="729"/>
      <c r="J96" s="729"/>
      <c r="K96" s="729"/>
      <c r="L96" s="729"/>
      <c r="M96" s="729"/>
      <c r="N96" s="729"/>
      <c r="O96" s="729"/>
      <c r="P96" s="729"/>
      <c r="Q96" s="729"/>
      <c r="R96" s="729"/>
      <c r="S96" s="729"/>
      <c r="T96" s="729"/>
      <c r="U96" s="729"/>
      <c r="V96" s="729"/>
      <c r="W96" s="729"/>
      <c r="X96" s="729"/>
      <c r="Y96" s="729"/>
      <c r="Z96" s="729"/>
      <c r="AA96" s="729"/>
      <c r="AB96" s="729"/>
      <c r="AC96" s="729"/>
      <c r="AD96" s="729"/>
      <c r="AE96" s="729"/>
      <c r="AF96" s="729"/>
      <c r="AG96" s="729"/>
      <c r="AH96" s="729"/>
      <c r="AI96" s="729"/>
      <c r="AJ96" s="729"/>
      <c r="AK96" s="729"/>
      <c r="AL96" s="729"/>
      <c r="AM96" s="729"/>
      <c r="AN96" s="729"/>
      <c r="AO96" s="729"/>
      <c r="AP96" s="732"/>
      <c r="AQ96" s="732"/>
      <c r="AR96" s="732"/>
      <c r="AS96" s="732"/>
      <c r="AT96" s="732"/>
      <c r="AU96" s="732"/>
      <c r="AV96" s="729"/>
      <c r="AW96" s="729"/>
      <c r="AX96" s="729"/>
      <c r="AY96" s="729"/>
      <c r="AZ96" s="729"/>
      <c r="BA96" s="252"/>
      <c r="BC96" s="782">
        <f t="shared" si="4"/>
        <v>2030</v>
      </c>
      <c r="BD96" s="776">
        <f>BD$65*EXP(-$BC$60*($BC96-BD$66))</f>
        <v>0</v>
      </c>
      <c r="BE96" s="776">
        <f t="shared" si="11"/>
        <v>0</v>
      </c>
      <c r="BF96" s="776">
        <f t="shared" si="11"/>
        <v>0</v>
      </c>
      <c r="BG96" s="776">
        <f t="shared" si="11"/>
        <v>0</v>
      </c>
      <c r="BH96" s="776">
        <f t="shared" si="11"/>
        <v>0</v>
      </c>
      <c r="BI96" s="776">
        <f t="shared" si="11"/>
        <v>0</v>
      </c>
      <c r="BJ96" s="776">
        <f t="shared" si="11"/>
        <v>0</v>
      </c>
      <c r="BK96" s="776">
        <f t="shared" si="11"/>
        <v>0</v>
      </c>
      <c r="BL96" s="776">
        <f t="shared" si="11"/>
        <v>0</v>
      </c>
      <c r="BM96" s="776">
        <f t="shared" si="11"/>
        <v>0</v>
      </c>
      <c r="BN96" s="776">
        <f t="shared" si="11"/>
        <v>0</v>
      </c>
      <c r="BO96" s="776">
        <f t="shared" si="11"/>
        <v>0</v>
      </c>
      <c r="BP96" s="776">
        <f t="shared" si="11"/>
        <v>0</v>
      </c>
      <c r="BQ96" s="776">
        <f t="shared" si="11"/>
        <v>0</v>
      </c>
      <c r="BR96" s="776">
        <f t="shared" si="11"/>
        <v>0</v>
      </c>
      <c r="BS96" s="776">
        <f t="shared" si="11"/>
        <v>0</v>
      </c>
      <c r="BT96" s="776">
        <f t="shared" si="8"/>
        <v>0</v>
      </c>
      <c r="BU96" s="776">
        <f t="shared" si="8"/>
        <v>0</v>
      </c>
      <c r="BV96" s="776">
        <f t="shared" si="8"/>
        <v>0</v>
      </c>
      <c r="BW96" s="776">
        <f t="shared" si="8"/>
        <v>0</v>
      </c>
      <c r="BX96" s="776">
        <f t="shared" si="8"/>
        <v>0</v>
      </c>
      <c r="BY96" s="776">
        <f t="shared" si="8"/>
        <v>0</v>
      </c>
      <c r="BZ96" s="776">
        <f t="shared" si="8"/>
        <v>0</v>
      </c>
      <c r="CA96" s="776">
        <f t="shared" si="8"/>
        <v>0</v>
      </c>
      <c r="CB96" s="776">
        <f t="shared" si="8"/>
        <v>0</v>
      </c>
      <c r="CC96" s="776">
        <f>CC$65*EXP(-$BC$60*($BC96-CC$66))</f>
        <v>0</v>
      </c>
      <c r="CD96" s="776">
        <f>CD$65*EXP(-$BC$60*($BC96-CD$66))</f>
        <v>0</v>
      </c>
      <c r="CE96" s="776">
        <f>CE$65*EXP(-$BC$60*($BC96-CE$66))</f>
        <v>0</v>
      </c>
      <c r="CF96" s="776">
        <f>CF$65*EXP(-$BC$60*($BC96-CF$66))</f>
        <v>0</v>
      </c>
      <c r="CG96" s="808">
        <f>CG$65*EXP(-$BC$60*($BC96-CG$66))</f>
        <v>0</v>
      </c>
    </row>
    <row r="97" spans="1:85" s="237" customFormat="1" ht="15" customHeight="1" outlineLevel="1" x14ac:dyDescent="0.35">
      <c r="A97" s="729"/>
      <c r="C97" s="729" t="s">
        <v>2006</v>
      </c>
      <c r="D97" s="729"/>
      <c r="E97" s="729"/>
      <c r="F97" s="729"/>
      <c r="G97" s="729"/>
      <c r="H97" s="729"/>
      <c r="I97" s="729"/>
      <c r="J97" s="729"/>
      <c r="K97" s="729"/>
      <c r="L97" s="729"/>
      <c r="M97" s="729"/>
      <c r="N97" s="729"/>
      <c r="O97" s="729"/>
      <c r="P97" s="729"/>
      <c r="Q97" s="729"/>
      <c r="R97" s="729"/>
      <c r="S97" s="729"/>
      <c r="T97" s="729"/>
      <c r="U97" s="729"/>
      <c r="V97" s="729"/>
      <c r="W97" s="729"/>
      <c r="X97" s="729"/>
      <c r="Y97" s="729"/>
      <c r="Z97" s="729"/>
      <c r="AA97" s="729"/>
      <c r="AB97" s="729"/>
      <c r="AC97" s="729"/>
      <c r="AD97" s="729"/>
      <c r="AE97" s="729"/>
      <c r="AF97" s="729"/>
      <c r="AG97" s="729"/>
      <c r="AH97" s="729"/>
      <c r="AI97" s="729"/>
      <c r="AJ97" s="729"/>
      <c r="AK97" s="729"/>
      <c r="AL97" s="729"/>
      <c r="AM97" s="729"/>
      <c r="AN97" s="729"/>
      <c r="AO97" s="729"/>
      <c r="AP97" s="732"/>
      <c r="AQ97" s="732"/>
      <c r="AR97" s="732"/>
      <c r="AS97" s="732"/>
      <c r="AT97" s="732"/>
      <c r="AU97" s="732"/>
      <c r="AV97" s="729"/>
      <c r="AW97" s="729"/>
      <c r="AX97" s="729"/>
      <c r="AY97" s="729"/>
      <c r="AZ97" s="729"/>
      <c r="BA97" s="809" t="s">
        <v>64</v>
      </c>
      <c r="BB97" s="810" t="s">
        <v>1435</v>
      </c>
      <c r="BC97" s="811"/>
      <c r="BD97" s="812">
        <f>SUM($BD$67:$CG$67)</f>
        <v>0</v>
      </c>
      <c r="BE97" s="812">
        <f>SUM($BD$68:$CG$68)</f>
        <v>0</v>
      </c>
      <c r="BF97" s="812">
        <f>SUM($BD$69:$CG$69)</f>
        <v>0</v>
      </c>
      <c r="BG97" s="812">
        <f>SUM($BD$70:$CG$70)</f>
        <v>0</v>
      </c>
      <c r="BH97" s="812">
        <f>SUM($BD71:$CG71)</f>
        <v>0</v>
      </c>
      <c r="BI97" s="812">
        <f>SUM($BD72:$CG72)</f>
        <v>0</v>
      </c>
      <c r="BJ97" s="812">
        <f>SUM($BD73:$CG73)</f>
        <v>0</v>
      </c>
      <c r="BK97" s="812">
        <f>SUM($BD74:$CG74)</f>
        <v>0</v>
      </c>
      <c r="BL97" s="812">
        <f>SUM($BD75:$CG75)</f>
        <v>0</v>
      </c>
      <c r="BM97" s="812">
        <f>SUM($BD76:$CG76)</f>
        <v>0</v>
      </c>
      <c r="BN97" s="812">
        <f>SUM($BD77:$CG77)</f>
        <v>0</v>
      </c>
      <c r="BO97" s="812">
        <f>SUM($BD78:$CG78)</f>
        <v>0</v>
      </c>
      <c r="BP97" s="812">
        <f>SUM($BD79:$CG79)</f>
        <v>0</v>
      </c>
      <c r="BQ97" s="812">
        <f>SUM($BD80:$CG80)</f>
        <v>0</v>
      </c>
      <c r="BR97" s="812">
        <f>SUM($BD81:$CG81)</f>
        <v>0</v>
      </c>
      <c r="BS97" s="812">
        <f>SUM($BD82:$CG82)</f>
        <v>0</v>
      </c>
      <c r="BT97" s="812">
        <f>SUM($BD83:$CG83)</f>
        <v>0</v>
      </c>
      <c r="BU97" s="812">
        <f>SUM($BD84:$CG84)</f>
        <v>0</v>
      </c>
      <c r="BV97" s="812">
        <f>SUM($BD85:$CG85)</f>
        <v>0</v>
      </c>
      <c r="BW97" s="812">
        <f>SUM($BD86:$CG86)</f>
        <v>0</v>
      </c>
      <c r="BX97" s="812">
        <f>SUM($BD87:$CG87)</f>
        <v>0</v>
      </c>
      <c r="BY97" s="812">
        <f>SUM($BD88:$CG88)</f>
        <v>0</v>
      </c>
      <c r="BZ97" s="812">
        <f>SUM($BD89:$CG89)</f>
        <v>0</v>
      </c>
      <c r="CA97" s="812">
        <f>SUM($BD90:$CG90)</f>
        <v>0</v>
      </c>
      <c r="CB97" s="812">
        <f>SUM($BD91:$CG91)</f>
        <v>0</v>
      </c>
      <c r="CC97" s="812">
        <f>SUM($BD92:$CG92)</f>
        <v>0</v>
      </c>
      <c r="CD97" s="812">
        <f>SUM($BD93:$CG93)</f>
        <v>0</v>
      </c>
      <c r="CE97" s="812">
        <f>SUM($BD94:$CG94)</f>
        <v>0</v>
      </c>
      <c r="CF97" s="812">
        <f>SUM($BD95:$CG95)</f>
        <v>0</v>
      </c>
      <c r="CG97" s="812">
        <f>SUM($BD96:$CG96)</f>
        <v>0</v>
      </c>
    </row>
    <row r="98" spans="1:85" s="237" customFormat="1" ht="15" customHeight="1" outlineLevel="1" x14ac:dyDescent="0.25">
      <c r="A98" s="729"/>
      <c r="B98" s="729"/>
      <c r="C98" s="731"/>
      <c r="D98" s="729"/>
      <c r="E98" s="729"/>
      <c r="F98" s="729"/>
      <c r="G98" s="729"/>
      <c r="H98" s="729"/>
      <c r="I98" s="729"/>
      <c r="J98" s="729"/>
      <c r="K98" s="729"/>
      <c r="L98" s="729"/>
      <c r="M98" s="729"/>
      <c r="N98" s="729"/>
      <c r="O98" s="729"/>
      <c r="P98" s="729"/>
      <c r="Q98" s="729"/>
      <c r="R98" s="729"/>
      <c r="S98" s="729"/>
      <c r="T98" s="729"/>
      <c r="U98" s="729"/>
      <c r="V98" s="729"/>
      <c r="W98" s="729"/>
      <c r="X98" s="729"/>
      <c r="Y98" s="729"/>
      <c r="Z98" s="729"/>
      <c r="AA98" s="729"/>
      <c r="AB98" s="729"/>
      <c r="AC98" s="729"/>
      <c r="AD98" s="729"/>
      <c r="AE98" s="729"/>
      <c r="AF98" s="729"/>
      <c r="AG98" s="729"/>
      <c r="AH98" s="729"/>
      <c r="AI98" s="729"/>
      <c r="AJ98" s="729"/>
      <c r="AK98" s="729"/>
      <c r="AL98" s="729"/>
      <c r="AM98" s="729"/>
      <c r="AN98" s="729"/>
      <c r="AO98" s="729"/>
      <c r="AP98" s="732"/>
      <c r="AQ98" s="732"/>
      <c r="AR98" s="732"/>
      <c r="AS98" s="732"/>
      <c r="AT98" s="732"/>
      <c r="AU98" s="732"/>
      <c r="AV98" s="729"/>
      <c r="AW98" s="729"/>
      <c r="AX98" s="729"/>
      <c r="AY98" s="729"/>
      <c r="AZ98" s="729"/>
      <c r="BA98" s="809"/>
      <c r="BB98" s="813"/>
      <c r="BC98" s="768"/>
      <c r="BD98" s="814"/>
      <c r="BE98" s="814"/>
      <c r="BF98" s="814"/>
      <c r="BG98" s="814"/>
      <c r="BH98" s="814"/>
      <c r="BI98" s="814"/>
      <c r="BJ98" s="814"/>
      <c r="BK98" s="814"/>
      <c r="BL98" s="814"/>
      <c r="BM98" s="814"/>
      <c r="BN98" s="814"/>
      <c r="BO98" s="814"/>
      <c r="BP98" s="814"/>
      <c r="BQ98" s="814"/>
      <c r="BR98" s="814"/>
      <c r="BS98" s="814"/>
      <c r="BT98" s="814"/>
      <c r="BU98" s="814"/>
      <c r="BV98" s="814"/>
      <c r="BW98" s="814"/>
      <c r="BX98" s="814"/>
      <c r="BY98" s="814"/>
      <c r="BZ98" s="814"/>
      <c r="CA98" s="814"/>
      <c r="CB98" s="814"/>
      <c r="CC98" s="814"/>
      <c r="CD98" s="814"/>
      <c r="CE98" s="814"/>
      <c r="CF98" s="814"/>
      <c r="CG98" s="814"/>
    </row>
    <row r="99" spans="1:85" s="237" customFormat="1" ht="15" customHeight="1" outlineLevel="1" x14ac:dyDescent="0.25">
      <c r="A99" s="729"/>
      <c r="B99" s="729"/>
      <c r="C99" s="731"/>
      <c r="D99" s="729"/>
      <c r="E99" s="729"/>
      <c r="F99" s="729"/>
      <c r="G99" s="729"/>
      <c r="H99" s="729"/>
      <c r="I99" s="729"/>
      <c r="J99" s="729"/>
      <c r="K99" s="729"/>
      <c r="L99" s="729"/>
      <c r="M99" s="729"/>
      <c r="N99" s="729"/>
      <c r="O99" s="729"/>
      <c r="P99" s="729"/>
      <c r="Q99" s="729"/>
      <c r="R99" s="729"/>
      <c r="S99" s="729"/>
      <c r="T99" s="729"/>
      <c r="U99" s="729"/>
      <c r="V99" s="729"/>
      <c r="W99" s="729"/>
      <c r="X99" s="729"/>
      <c r="Y99" s="729"/>
      <c r="Z99" s="729"/>
      <c r="AA99" s="729"/>
      <c r="AB99" s="729"/>
      <c r="AC99" s="729"/>
      <c r="AD99" s="729"/>
      <c r="AE99" s="729"/>
      <c r="AF99" s="729"/>
      <c r="AG99" s="729"/>
      <c r="AH99" s="729"/>
      <c r="AI99" s="729"/>
      <c r="AJ99" s="729"/>
      <c r="AK99" s="729"/>
      <c r="AL99" s="729"/>
      <c r="AM99" s="729"/>
      <c r="AN99" s="729"/>
      <c r="AO99" s="729"/>
      <c r="AP99" s="732"/>
      <c r="AQ99" s="732"/>
      <c r="AR99" s="732"/>
      <c r="AS99" s="732"/>
      <c r="AT99" s="732"/>
      <c r="AU99" s="732"/>
      <c r="AV99" s="729"/>
      <c r="AW99" s="729"/>
      <c r="AX99" s="729"/>
      <c r="AY99" s="729"/>
      <c r="AZ99" s="729"/>
      <c r="BA99" s="809"/>
      <c r="BB99" s="813"/>
      <c r="BC99" s="768"/>
      <c r="BD99" s="814"/>
      <c r="BE99" s="814"/>
      <c r="BF99" s="814"/>
      <c r="BG99" s="814"/>
      <c r="BH99" s="814"/>
      <c r="BI99" s="814"/>
      <c r="BJ99" s="814"/>
      <c r="BK99" s="814"/>
      <c r="BL99" s="814"/>
      <c r="BM99" s="814"/>
      <c r="BN99" s="814"/>
      <c r="BO99" s="814"/>
      <c r="BP99" s="814"/>
      <c r="BQ99" s="814"/>
      <c r="BR99" s="814"/>
      <c r="BS99" s="814"/>
      <c r="BT99" s="814"/>
      <c r="BU99" s="814"/>
      <c r="BV99" s="814"/>
      <c r="BW99" s="814"/>
      <c r="BX99" s="814"/>
      <c r="BY99" s="814"/>
      <c r="BZ99" s="814"/>
      <c r="CA99" s="814"/>
      <c r="CB99" s="814"/>
      <c r="CC99" s="814"/>
      <c r="CD99" s="814"/>
      <c r="CE99" s="814"/>
      <c r="CF99" s="814"/>
      <c r="CG99" s="814"/>
    </row>
    <row r="100" spans="1:85" s="237" customFormat="1" ht="15" customHeight="1" outlineLevel="1" x14ac:dyDescent="0.35">
      <c r="A100" s="729"/>
      <c r="B100" s="727" t="s">
        <v>1436</v>
      </c>
      <c r="C100" s="729"/>
      <c r="D100" s="729"/>
      <c r="E100" s="729"/>
      <c r="F100" s="729"/>
      <c r="G100" s="729"/>
      <c r="H100" s="729"/>
      <c r="I100" s="729"/>
      <c r="J100" s="729"/>
      <c r="K100" s="729"/>
      <c r="L100" s="729"/>
      <c r="M100" s="729"/>
      <c r="N100" s="729"/>
      <c r="O100" s="729"/>
      <c r="P100" s="729"/>
      <c r="Q100" s="729"/>
      <c r="R100" s="729"/>
      <c r="S100" s="729"/>
      <c r="T100" s="729"/>
      <c r="U100" s="729"/>
      <c r="V100" s="729"/>
      <c r="W100" s="729"/>
      <c r="X100" s="729"/>
      <c r="Y100" s="729"/>
      <c r="Z100" s="729"/>
      <c r="AA100" s="729"/>
      <c r="AB100" s="729"/>
      <c r="AC100" s="729"/>
      <c r="AD100" s="729"/>
      <c r="AE100" s="729"/>
      <c r="AF100" s="729"/>
      <c r="AG100" s="729"/>
      <c r="AH100" s="729"/>
      <c r="AI100" s="729"/>
      <c r="AJ100" s="729"/>
      <c r="AK100" s="729"/>
      <c r="AL100" s="729"/>
      <c r="AM100" s="729"/>
      <c r="AN100" s="729"/>
      <c r="AO100" s="729"/>
      <c r="AP100" s="732"/>
      <c r="AQ100" s="732"/>
      <c r="AR100" s="732"/>
      <c r="AS100" s="732"/>
      <c r="AT100" s="732"/>
      <c r="AU100" s="732"/>
      <c r="AV100" s="729"/>
      <c r="AW100" s="729"/>
      <c r="AX100" s="729"/>
      <c r="AY100" s="729"/>
      <c r="AZ100" s="729"/>
      <c r="BA100" s="809"/>
      <c r="BB100" s="813"/>
      <c r="BC100" s="768"/>
      <c r="BD100" s="814"/>
      <c r="BE100" s="814"/>
      <c r="BF100" s="814"/>
      <c r="BG100" s="814"/>
      <c r="BH100" s="814"/>
      <c r="BI100" s="814"/>
      <c r="BJ100" s="814"/>
      <c r="BK100" s="814"/>
      <c r="BL100" s="814"/>
      <c r="BM100" s="814"/>
      <c r="BN100" s="814"/>
      <c r="BO100" s="814"/>
      <c r="BP100" s="814"/>
      <c r="BQ100" s="814"/>
      <c r="BR100" s="814"/>
      <c r="BS100" s="814"/>
      <c r="BT100" s="814"/>
      <c r="BU100" s="814"/>
      <c r="BV100" s="814"/>
      <c r="BW100" s="814"/>
      <c r="BX100" s="814"/>
      <c r="BY100" s="814"/>
      <c r="BZ100" s="814"/>
      <c r="CA100" s="814"/>
      <c r="CB100" s="814"/>
      <c r="CC100" s="814"/>
      <c r="CD100" s="814"/>
      <c r="CE100" s="814"/>
      <c r="CF100" s="814"/>
      <c r="CG100" s="814"/>
    </row>
    <row r="101" spans="1:85" s="237" customFormat="1" ht="15" customHeight="1" outlineLevel="1" x14ac:dyDescent="0.35">
      <c r="A101" s="729"/>
      <c r="B101" s="729"/>
      <c r="C101" s="731" t="s">
        <v>2007</v>
      </c>
      <c r="D101" s="729"/>
      <c r="E101" s="729"/>
      <c r="F101" s="729"/>
      <c r="G101" s="729"/>
      <c r="H101" s="729"/>
      <c r="I101" s="729"/>
      <c r="J101" s="729"/>
      <c r="K101" s="729"/>
      <c r="L101" s="729"/>
      <c r="M101" s="729"/>
      <c r="N101" s="729"/>
      <c r="O101" s="729"/>
      <c r="P101" s="729"/>
      <c r="Q101" s="729"/>
      <c r="R101" s="729"/>
      <c r="S101" s="729"/>
      <c r="T101" s="729"/>
      <c r="U101" s="729"/>
      <c r="V101" s="729"/>
      <c r="W101" s="729"/>
      <c r="X101" s="729"/>
      <c r="Y101" s="729"/>
      <c r="Z101" s="729"/>
      <c r="AA101" s="729"/>
      <c r="AB101" s="729"/>
      <c r="AC101" s="729"/>
      <c r="AD101" s="729"/>
      <c r="AE101" s="729"/>
      <c r="AF101" s="729"/>
      <c r="AG101" s="729"/>
      <c r="AH101" s="729"/>
      <c r="AI101" s="729"/>
      <c r="AJ101" s="729"/>
      <c r="AK101" s="729"/>
      <c r="AL101" s="729"/>
      <c r="AM101" s="729"/>
      <c r="AN101" s="729"/>
      <c r="AO101" s="729"/>
      <c r="AP101" s="732"/>
      <c r="AQ101" s="732"/>
      <c r="AR101" s="732"/>
      <c r="AS101" s="732"/>
      <c r="AT101" s="732"/>
      <c r="AU101" s="732"/>
      <c r="AV101" s="729"/>
      <c r="AW101" s="729"/>
      <c r="AX101" s="729"/>
      <c r="AY101" s="729"/>
      <c r="AZ101" s="729"/>
      <c r="BA101" s="809"/>
      <c r="BB101" s="813"/>
      <c r="BC101" s="768"/>
      <c r="BD101" s="814"/>
      <c r="BE101" s="814"/>
      <c r="BF101" s="814"/>
      <c r="BG101" s="814"/>
      <c r="BH101" s="814"/>
      <c r="BI101" s="814"/>
      <c r="BJ101" s="814"/>
      <c r="BK101" s="814"/>
      <c r="BL101" s="814"/>
      <c r="BM101" s="814"/>
      <c r="BN101" s="814"/>
      <c r="BO101" s="814"/>
      <c r="BP101" s="814"/>
      <c r="BQ101" s="814"/>
      <c r="BR101" s="814"/>
      <c r="BS101" s="814"/>
      <c r="BT101" s="814"/>
      <c r="BU101" s="814"/>
      <c r="BV101" s="814"/>
      <c r="BW101" s="814"/>
      <c r="BX101" s="814"/>
      <c r="BY101" s="814"/>
      <c r="BZ101" s="814"/>
      <c r="CA101" s="814"/>
      <c r="CB101" s="814"/>
      <c r="CC101" s="814"/>
      <c r="CD101" s="814"/>
      <c r="CE101" s="814"/>
      <c r="CF101" s="814"/>
      <c r="CG101" s="814"/>
    </row>
    <row r="102" spans="1:85" s="237" customFormat="1" ht="15" customHeight="1" outlineLevel="1" x14ac:dyDescent="0.35">
      <c r="A102" s="729"/>
      <c r="B102" s="729"/>
      <c r="C102" s="731" t="s">
        <v>2008</v>
      </c>
      <c r="D102" s="729"/>
      <c r="E102" s="729"/>
      <c r="F102" s="729"/>
      <c r="G102" s="729"/>
      <c r="H102" s="729"/>
      <c r="I102" s="729"/>
      <c r="J102" s="729"/>
      <c r="K102" s="729"/>
      <c r="L102" s="729"/>
      <c r="M102" s="729"/>
      <c r="N102" s="729"/>
      <c r="O102" s="729"/>
      <c r="P102" s="729"/>
      <c r="Q102" s="729"/>
      <c r="R102" s="729"/>
      <c r="S102" s="729"/>
      <c r="T102" s="729"/>
      <c r="U102" s="729"/>
      <c r="V102" s="729"/>
      <c r="W102" s="729"/>
      <c r="X102" s="729"/>
      <c r="Y102" s="729"/>
      <c r="Z102" s="729"/>
      <c r="AA102" s="729"/>
      <c r="AB102" s="729"/>
      <c r="AC102" s="729"/>
      <c r="AD102" s="729"/>
      <c r="AE102" s="729"/>
      <c r="AF102" s="729"/>
      <c r="AG102" s="729"/>
      <c r="AH102" s="729"/>
      <c r="AI102" s="729"/>
      <c r="AJ102" s="729"/>
      <c r="AK102" s="729"/>
      <c r="AL102" s="729"/>
      <c r="AM102" s="729"/>
      <c r="AN102" s="729"/>
      <c r="AO102" s="729"/>
      <c r="AP102" s="732"/>
      <c r="AQ102" s="732"/>
      <c r="AR102" s="732"/>
      <c r="AS102" s="732"/>
      <c r="AT102" s="732"/>
      <c r="AU102" s="732"/>
      <c r="AV102" s="729"/>
      <c r="AW102" s="729"/>
      <c r="AX102" s="729"/>
      <c r="AY102" s="729"/>
      <c r="AZ102" s="729"/>
      <c r="BA102" s="768"/>
      <c r="BB102" s="252"/>
      <c r="BC102" s="768"/>
      <c r="BD102" s="768"/>
      <c r="BE102" s="768"/>
      <c r="BF102" s="768"/>
      <c r="BG102" s="768"/>
      <c r="BH102" s="768"/>
      <c r="BI102" s="768"/>
      <c r="BJ102" s="768"/>
      <c r="BK102" s="768"/>
      <c r="BL102" s="768"/>
      <c r="BM102" s="768"/>
      <c r="BN102" s="768"/>
      <c r="BO102" s="768"/>
      <c r="BP102" s="768"/>
      <c r="BQ102" s="768"/>
      <c r="BR102" s="768"/>
      <c r="BS102" s="768"/>
      <c r="BT102" s="768"/>
      <c r="BU102" s="768"/>
      <c r="BV102" s="768"/>
      <c r="BW102" s="768"/>
      <c r="BX102" s="768"/>
      <c r="BY102" s="768"/>
      <c r="BZ102" s="768"/>
      <c r="CA102" s="768"/>
      <c r="CB102" s="768"/>
      <c r="CC102" s="768"/>
      <c r="CD102" s="768"/>
      <c r="CE102" s="768"/>
      <c r="CF102" s="768"/>
      <c r="CG102" s="768"/>
    </row>
    <row r="103" spans="1:85" s="237" customFormat="1" ht="15" customHeight="1" outlineLevel="1" x14ac:dyDescent="0.25">
      <c r="A103" s="729"/>
      <c r="B103" s="729"/>
      <c r="C103" s="780" t="s">
        <v>54</v>
      </c>
      <c r="D103" s="800"/>
      <c r="E103" s="758">
        <f t="shared" ref="E103:AF103" si="14">F103-1</f>
        <v>2001</v>
      </c>
      <c r="F103" s="758">
        <f t="shared" si="14"/>
        <v>2002</v>
      </c>
      <c r="G103" s="758">
        <f t="shared" si="14"/>
        <v>2003</v>
      </c>
      <c r="H103" s="758">
        <f t="shared" si="14"/>
        <v>2004</v>
      </c>
      <c r="I103" s="758">
        <f t="shared" si="14"/>
        <v>2005</v>
      </c>
      <c r="J103" s="758">
        <f t="shared" si="14"/>
        <v>2006</v>
      </c>
      <c r="K103" s="758">
        <f t="shared" si="14"/>
        <v>2007</v>
      </c>
      <c r="L103" s="758">
        <f t="shared" si="14"/>
        <v>2008</v>
      </c>
      <c r="M103" s="758">
        <f t="shared" si="14"/>
        <v>2009</v>
      </c>
      <c r="N103" s="758">
        <f t="shared" si="14"/>
        <v>2010</v>
      </c>
      <c r="O103" s="758">
        <f t="shared" si="14"/>
        <v>2011</v>
      </c>
      <c r="P103" s="758">
        <f t="shared" si="14"/>
        <v>2012</v>
      </c>
      <c r="Q103" s="758">
        <f t="shared" si="14"/>
        <v>2013</v>
      </c>
      <c r="R103" s="758">
        <f t="shared" si="14"/>
        <v>2014</v>
      </c>
      <c r="S103" s="758">
        <f t="shared" si="14"/>
        <v>2015</v>
      </c>
      <c r="T103" s="758">
        <f t="shared" si="14"/>
        <v>2016</v>
      </c>
      <c r="U103" s="758">
        <f t="shared" si="14"/>
        <v>2017</v>
      </c>
      <c r="V103" s="758">
        <f t="shared" si="14"/>
        <v>2018</v>
      </c>
      <c r="W103" s="758">
        <f t="shared" si="14"/>
        <v>2019</v>
      </c>
      <c r="X103" s="758">
        <f t="shared" si="14"/>
        <v>2020</v>
      </c>
      <c r="Y103" s="758">
        <f t="shared" si="14"/>
        <v>2021</v>
      </c>
      <c r="Z103" s="758">
        <f t="shared" si="14"/>
        <v>2022</v>
      </c>
      <c r="AA103" s="758">
        <f t="shared" si="14"/>
        <v>2023</v>
      </c>
      <c r="AB103" s="758">
        <f t="shared" si="14"/>
        <v>2024</v>
      </c>
      <c r="AC103" s="758">
        <f t="shared" si="14"/>
        <v>2025</v>
      </c>
      <c r="AD103" s="758">
        <f t="shared" si="14"/>
        <v>2026</v>
      </c>
      <c r="AE103" s="758">
        <f t="shared" si="14"/>
        <v>2027</v>
      </c>
      <c r="AF103" s="758">
        <f t="shared" si="14"/>
        <v>2028</v>
      </c>
      <c r="AG103" s="758">
        <f>AH103-1</f>
        <v>2029</v>
      </c>
      <c r="AH103" s="758">
        <f>Ano</f>
        <v>2030</v>
      </c>
      <c r="AI103" s="729"/>
      <c r="AJ103" s="729"/>
      <c r="AK103" s="729"/>
      <c r="AL103" s="729"/>
      <c r="AM103" s="729"/>
      <c r="AN103" s="729"/>
      <c r="AO103" s="729"/>
      <c r="AP103" s="732"/>
      <c r="AQ103" s="732"/>
      <c r="AR103" s="732"/>
      <c r="AS103" s="732"/>
      <c r="AT103" s="732"/>
      <c r="AU103" s="732"/>
      <c r="AV103" s="729"/>
    </row>
    <row r="104" spans="1:85" s="237" customFormat="1" ht="15" customHeight="1" outlineLevel="1" x14ac:dyDescent="0.35">
      <c r="A104" s="729"/>
      <c r="B104" s="729"/>
      <c r="C104" s="759" t="s">
        <v>42</v>
      </c>
      <c r="D104" s="815" t="s">
        <v>1437</v>
      </c>
      <c r="E104" s="807"/>
      <c r="F104" s="807"/>
      <c r="G104" s="807"/>
      <c r="H104" s="807"/>
      <c r="I104" s="807"/>
      <c r="J104" s="807"/>
      <c r="K104" s="807"/>
      <c r="L104" s="807"/>
      <c r="M104" s="807"/>
      <c r="N104" s="807"/>
      <c r="O104" s="807"/>
      <c r="P104" s="807"/>
      <c r="Q104" s="807"/>
      <c r="R104" s="807"/>
      <c r="S104" s="807"/>
      <c r="T104" s="807"/>
      <c r="U104" s="807"/>
      <c r="V104" s="807"/>
      <c r="W104" s="807"/>
      <c r="X104" s="807"/>
      <c r="Y104" s="807"/>
      <c r="Z104" s="807"/>
      <c r="AA104" s="807"/>
      <c r="AB104" s="807"/>
      <c r="AC104" s="807"/>
      <c r="AD104" s="807"/>
      <c r="AE104" s="807"/>
      <c r="AF104" s="807"/>
      <c r="AG104" s="807"/>
      <c r="AH104" s="807"/>
      <c r="AI104" s="729"/>
      <c r="AJ104" s="729"/>
      <c r="AK104" s="729"/>
      <c r="AL104" s="729"/>
      <c r="AM104" s="729"/>
      <c r="AN104" s="729"/>
      <c r="AO104" s="729"/>
      <c r="AP104" s="732"/>
      <c r="AQ104" s="732"/>
      <c r="AR104" s="732"/>
      <c r="AS104" s="732"/>
      <c r="AT104" s="732"/>
      <c r="AU104" s="732"/>
      <c r="AV104" s="729"/>
    </row>
    <row r="105" spans="1:85" s="237" customFormat="1" ht="15" customHeight="1" outlineLevel="1" x14ac:dyDescent="0.25">
      <c r="A105" s="729"/>
      <c r="B105" s="729"/>
      <c r="C105" s="829" t="s">
        <v>1443</v>
      </c>
      <c r="D105" s="729"/>
      <c r="E105" s="729"/>
      <c r="F105" s="729"/>
      <c r="G105" s="729"/>
      <c r="H105" s="729"/>
      <c r="I105" s="729"/>
      <c r="J105" s="729"/>
      <c r="K105" s="729"/>
      <c r="L105" s="729"/>
      <c r="M105" s="729"/>
      <c r="N105" s="729"/>
      <c r="O105" s="729"/>
      <c r="P105" s="754"/>
      <c r="Q105" s="755"/>
      <c r="R105" s="756"/>
      <c r="S105" s="729"/>
      <c r="T105" s="729"/>
      <c r="U105" s="729"/>
      <c r="V105" s="729"/>
      <c r="W105" s="729"/>
      <c r="X105" s="729"/>
      <c r="Y105" s="729"/>
      <c r="Z105" s="729"/>
      <c r="AA105" s="729"/>
      <c r="AB105" s="729"/>
      <c r="AC105" s="729"/>
      <c r="AD105" s="729"/>
      <c r="AE105" s="729"/>
      <c r="AF105" s="729"/>
      <c r="AG105" s="729"/>
      <c r="AH105" s="729"/>
      <c r="AI105" s="729"/>
      <c r="AJ105" s="729"/>
      <c r="AK105" s="729"/>
      <c r="AL105" s="729"/>
      <c r="AM105" s="729"/>
      <c r="AN105" s="729"/>
      <c r="AO105" s="729"/>
      <c r="AP105" s="732"/>
      <c r="AQ105" s="732"/>
      <c r="AR105" s="732"/>
      <c r="AS105" s="732"/>
      <c r="AT105" s="732"/>
      <c r="AU105" s="732"/>
      <c r="AV105" s="729"/>
    </row>
    <row r="106" spans="1:85" s="237" customFormat="1" ht="15" customHeight="1" outlineLevel="1" x14ac:dyDescent="0.25">
      <c r="A106" s="729"/>
      <c r="B106" s="729"/>
      <c r="C106" s="817"/>
      <c r="D106" s="729"/>
      <c r="E106" s="729"/>
      <c r="F106" s="729"/>
      <c r="G106" s="729"/>
      <c r="H106" s="729"/>
      <c r="I106" s="729"/>
      <c r="J106" s="729"/>
      <c r="K106" s="729"/>
      <c r="L106" s="729"/>
      <c r="M106" s="729"/>
      <c r="N106" s="729"/>
      <c r="O106" s="729"/>
      <c r="P106" s="754"/>
      <c r="Q106" s="755"/>
      <c r="R106" s="756"/>
      <c r="S106" s="729"/>
      <c r="T106" s="729"/>
      <c r="U106" s="729"/>
      <c r="V106" s="729"/>
      <c r="W106" s="729"/>
      <c r="X106" s="729"/>
      <c r="Y106" s="729"/>
      <c r="Z106" s="729"/>
      <c r="AA106" s="729"/>
      <c r="AB106" s="729"/>
      <c r="AC106" s="729"/>
      <c r="AD106" s="729"/>
      <c r="AE106" s="729"/>
      <c r="AF106" s="729"/>
      <c r="AG106" s="729"/>
      <c r="AH106" s="729"/>
      <c r="AI106" s="729"/>
      <c r="AJ106" s="729"/>
      <c r="AK106" s="729"/>
      <c r="AL106" s="729"/>
      <c r="AM106" s="729"/>
      <c r="AN106" s="729"/>
      <c r="AO106" s="729"/>
      <c r="AP106" s="732"/>
      <c r="AQ106" s="732"/>
      <c r="AR106" s="732"/>
      <c r="AS106" s="732"/>
      <c r="AT106" s="732"/>
      <c r="AU106" s="732"/>
      <c r="AV106" s="729"/>
    </row>
    <row r="107" spans="1:85" s="237" customFormat="1" ht="15" customHeight="1" outlineLevel="1" x14ac:dyDescent="0.25">
      <c r="A107" s="729"/>
      <c r="B107" s="729"/>
      <c r="C107" s="759" t="s">
        <v>43</v>
      </c>
      <c r="D107" s="818"/>
      <c r="E107" s="729"/>
      <c r="F107" s="729"/>
      <c r="G107" s="729"/>
      <c r="H107" s="729"/>
      <c r="I107" s="729"/>
      <c r="J107" s="729"/>
      <c r="K107" s="729"/>
      <c r="L107" s="729"/>
      <c r="M107" s="729"/>
      <c r="N107" s="729"/>
      <c r="O107" s="729"/>
      <c r="P107" s="754"/>
      <c r="Q107" s="755"/>
      <c r="R107" s="756"/>
      <c r="S107" s="729"/>
      <c r="T107" s="729"/>
      <c r="U107" s="729"/>
      <c r="V107" s="729"/>
      <c r="W107" s="729"/>
      <c r="X107" s="729"/>
      <c r="Y107" s="729"/>
      <c r="Z107" s="729"/>
      <c r="AA107" s="729"/>
      <c r="AB107" s="729"/>
      <c r="AC107" s="729"/>
      <c r="AD107" s="729"/>
      <c r="AE107" s="729"/>
      <c r="AF107" s="729"/>
      <c r="AG107" s="729"/>
      <c r="AH107" s="729"/>
      <c r="AI107" s="729"/>
      <c r="AJ107" s="729"/>
      <c r="AK107" s="729"/>
      <c r="AL107" s="729"/>
      <c r="AM107" s="729"/>
      <c r="AN107" s="729"/>
      <c r="AO107" s="729"/>
      <c r="AP107" s="732"/>
      <c r="AQ107" s="732"/>
      <c r="AR107" s="732"/>
      <c r="AS107" s="732"/>
      <c r="AT107" s="732"/>
      <c r="AU107" s="732"/>
      <c r="AV107" s="729"/>
    </row>
    <row r="108" spans="1:85" s="237" customFormat="1" ht="15" customHeight="1" outlineLevel="1" x14ac:dyDescent="0.25">
      <c r="A108" s="729"/>
      <c r="B108" s="729"/>
      <c r="C108" s="819" t="str">
        <f>IF(D107="geração de energia", " ATENÇÃO: Se a eletricidade é gerada pela organização inventariante, deve-se contabilizar o biogás consumido na aba Combustão Estacionária.","")</f>
        <v/>
      </c>
      <c r="D108" s="729"/>
      <c r="E108" s="729"/>
      <c r="F108" s="729"/>
      <c r="G108" s="729"/>
      <c r="H108" s="729"/>
      <c r="I108" s="729"/>
      <c r="J108" s="729"/>
      <c r="K108" s="729"/>
      <c r="L108" s="729"/>
      <c r="M108" s="729"/>
      <c r="N108" s="729"/>
      <c r="O108" s="729"/>
      <c r="P108" s="754"/>
      <c r="Q108" s="755"/>
      <c r="R108" s="756"/>
      <c r="S108" s="729"/>
      <c r="T108" s="729"/>
      <c r="U108" s="729"/>
      <c r="V108" s="729"/>
      <c r="W108" s="729"/>
      <c r="X108" s="729"/>
      <c r="Y108" s="729"/>
      <c r="Z108" s="729"/>
      <c r="AA108" s="729"/>
      <c r="AB108" s="729"/>
      <c r="AC108" s="729"/>
      <c r="AD108" s="729"/>
      <c r="AE108" s="729"/>
      <c r="AF108" s="729"/>
      <c r="AG108" s="729"/>
      <c r="AH108" s="729"/>
      <c r="AI108" s="729"/>
      <c r="AJ108" s="729"/>
      <c r="AK108" s="729"/>
      <c r="AL108" s="729"/>
      <c r="AM108" s="729"/>
      <c r="AN108" s="729"/>
      <c r="AO108" s="729"/>
      <c r="AP108" s="732"/>
      <c r="AQ108" s="732"/>
      <c r="AR108" s="732"/>
      <c r="AS108" s="732"/>
      <c r="AT108" s="732"/>
      <c r="AU108" s="732"/>
      <c r="AV108" s="729"/>
    </row>
    <row r="109" spans="1:85" s="237" customFormat="1" ht="15" customHeight="1" outlineLevel="1" x14ac:dyDescent="0.25">
      <c r="A109" s="729"/>
      <c r="B109" s="729"/>
      <c r="C109" s="819"/>
      <c r="D109" s="729"/>
      <c r="E109" s="729"/>
      <c r="F109" s="729"/>
      <c r="G109" s="729"/>
      <c r="H109" s="729"/>
      <c r="I109" s="729"/>
      <c r="J109" s="729"/>
      <c r="K109" s="729"/>
      <c r="L109" s="729"/>
      <c r="M109" s="729"/>
      <c r="N109" s="729"/>
      <c r="O109" s="729"/>
      <c r="P109" s="754"/>
      <c r="Q109" s="755"/>
      <c r="R109" s="756"/>
      <c r="S109" s="729"/>
      <c r="T109" s="729"/>
      <c r="U109" s="729"/>
      <c r="V109" s="729"/>
      <c r="W109" s="729"/>
      <c r="X109" s="729"/>
      <c r="Y109" s="729"/>
      <c r="Z109" s="729"/>
      <c r="AA109" s="729"/>
      <c r="AB109" s="729"/>
      <c r="AC109" s="729"/>
      <c r="AD109" s="729"/>
      <c r="AE109" s="729"/>
      <c r="AF109" s="729"/>
      <c r="AG109" s="729"/>
      <c r="AH109" s="729"/>
      <c r="AI109" s="729"/>
      <c r="AJ109" s="729"/>
      <c r="AK109" s="729"/>
      <c r="AL109" s="729"/>
      <c r="AM109" s="729"/>
      <c r="AN109" s="729"/>
      <c r="AO109" s="729"/>
      <c r="AP109" s="732"/>
      <c r="AQ109" s="732"/>
      <c r="AR109" s="732"/>
      <c r="AS109" s="732"/>
      <c r="AT109" s="732"/>
      <c r="AU109" s="732"/>
      <c r="AV109" s="729"/>
    </row>
    <row r="110" spans="1:85" s="237" customFormat="1" ht="15" customHeight="1" outlineLevel="1" x14ac:dyDescent="0.25">
      <c r="A110" s="729"/>
      <c r="B110" s="727" t="s">
        <v>2009</v>
      </c>
      <c r="C110" s="729"/>
      <c r="D110" s="729"/>
      <c r="E110" s="729"/>
      <c r="F110" s="729"/>
      <c r="G110" s="729"/>
      <c r="H110" s="729"/>
      <c r="I110" s="729"/>
      <c r="J110" s="729"/>
      <c r="K110" s="729"/>
      <c r="L110" s="729"/>
      <c r="M110" s="729"/>
      <c r="N110" s="729"/>
      <c r="O110" s="729"/>
      <c r="P110" s="729"/>
      <c r="Q110" s="754"/>
      <c r="R110" s="755"/>
      <c r="S110" s="756"/>
      <c r="T110" s="729"/>
      <c r="U110" s="729"/>
      <c r="V110" s="729"/>
      <c r="W110" s="729"/>
      <c r="X110" s="729"/>
      <c r="Y110" s="729"/>
      <c r="Z110" s="729"/>
      <c r="AA110" s="729"/>
      <c r="AB110" s="729"/>
      <c r="AC110" s="729"/>
      <c r="AD110" s="729"/>
      <c r="AE110" s="729"/>
      <c r="AF110" s="729"/>
      <c r="AG110" s="729"/>
      <c r="AH110" s="729"/>
      <c r="AI110" s="729"/>
      <c r="AJ110" s="729"/>
      <c r="AK110" s="729"/>
      <c r="AL110" s="729"/>
      <c r="AM110" s="729"/>
      <c r="AN110" s="729"/>
      <c r="AO110" s="729"/>
      <c r="AP110" s="732"/>
      <c r="AQ110" s="732"/>
      <c r="AR110" s="732"/>
      <c r="AS110" s="732"/>
      <c r="AT110" s="732"/>
      <c r="AU110" s="732"/>
      <c r="AV110" s="729"/>
    </row>
    <row r="111" spans="1:85" s="237" customFormat="1" ht="15" customHeight="1" outlineLevel="1" x14ac:dyDescent="0.25">
      <c r="A111" s="729"/>
      <c r="B111" s="729"/>
      <c r="C111" s="759"/>
      <c r="D111" s="820" t="s">
        <v>54</v>
      </c>
      <c r="E111" s="821">
        <f t="shared" ref="E111:AF111" si="15">F111-1</f>
        <v>2001</v>
      </c>
      <c r="F111" s="758">
        <f t="shared" si="15"/>
        <v>2002</v>
      </c>
      <c r="G111" s="758">
        <f t="shared" si="15"/>
        <v>2003</v>
      </c>
      <c r="H111" s="758">
        <f t="shared" si="15"/>
        <v>2004</v>
      </c>
      <c r="I111" s="758">
        <f t="shared" si="15"/>
        <v>2005</v>
      </c>
      <c r="J111" s="758">
        <f t="shared" si="15"/>
        <v>2006</v>
      </c>
      <c r="K111" s="758">
        <f t="shared" si="15"/>
        <v>2007</v>
      </c>
      <c r="L111" s="758">
        <f t="shared" si="15"/>
        <v>2008</v>
      </c>
      <c r="M111" s="758">
        <f t="shared" si="15"/>
        <v>2009</v>
      </c>
      <c r="N111" s="758">
        <f t="shared" si="15"/>
        <v>2010</v>
      </c>
      <c r="O111" s="758">
        <f t="shared" si="15"/>
        <v>2011</v>
      </c>
      <c r="P111" s="758">
        <f t="shared" si="15"/>
        <v>2012</v>
      </c>
      <c r="Q111" s="758">
        <f t="shared" si="15"/>
        <v>2013</v>
      </c>
      <c r="R111" s="758">
        <f t="shared" si="15"/>
        <v>2014</v>
      </c>
      <c r="S111" s="758">
        <f t="shared" si="15"/>
        <v>2015</v>
      </c>
      <c r="T111" s="758">
        <f t="shared" si="15"/>
        <v>2016</v>
      </c>
      <c r="U111" s="758">
        <f t="shared" si="15"/>
        <v>2017</v>
      </c>
      <c r="V111" s="758">
        <f t="shared" si="15"/>
        <v>2018</v>
      </c>
      <c r="W111" s="758">
        <f t="shared" si="15"/>
        <v>2019</v>
      </c>
      <c r="X111" s="758">
        <f t="shared" si="15"/>
        <v>2020</v>
      </c>
      <c r="Y111" s="758">
        <f t="shared" si="15"/>
        <v>2021</v>
      </c>
      <c r="Z111" s="758">
        <f t="shared" si="15"/>
        <v>2022</v>
      </c>
      <c r="AA111" s="758">
        <f t="shared" si="15"/>
        <v>2023</v>
      </c>
      <c r="AB111" s="758">
        <f t="shared" si="15"/>
        <v>2024</v>
      </c>
      <c r="AC111" s="758">
        <f t="shared" si="15"/>
        <v>2025</v>
      </c>
      <c r="AD111" s="758">
        <f t="shared" si="15"/>
        <v>2026</v>
      </c>
      <c r="AE111" s="758">
        <f t="shared" si="15"/>
        <v>2027</v>
      </c>
      <c r="AF111" s="758">
        <f t="shared" si="15"/>
        <v>2028</v>
      </c>
      <c r="AG111" s="758">
        <f>AH111-1</f>
        <v>2029</v>
      </c>
      <c r="AH111" s="758">
        <f>Ano</f>
        <v>2030</v>
      </c>
      <c r="AI111" s="734"/>
      <c r="AJ111" s="729"/>
      <c r="AK111" s="729"/>
      <c r="AL111" s="729"/>
      <c r="AM111" s="729"/>
      <c r="AN111" s="729"/>
      <c r="AO111" s="729"/>
      <c r="AP111" s="732"/>
      <c r="AQ111" s="732"/>
      <c r="AR111" s="732"/>
      <c r="AS111" s="732"/>
      <c r="AT111" s="732"/>
      <c r="AU111" s="732"/>
      <c r="AV111" s="729"/>
    </row>
    <row r="112" spans="1:85" s="237" customFormat="1" ht="15" customHeight="1" outlineLevel="1" x14ac:dyDescent="0.35">
      <c r="A112" s="729"/>
      <c r="B112" s="729"/>
      <c r="C112" s="822" t="s">
        <v>1438</v>
      </c>
      <c r="D112" s="823" t="s">
        <v>1439</v>
      </c>
      <c r="E112" s="824">
        <f t="shared" ref="E112:AG112" si="16">IF(ISERROR((BD$97-E$104)*(1-E$93)),0,(BD$97-E$104)*(1-E$93))</f>
        <v>0</v>
      </c>
      <c r="F112" s="824">
        <f t="shared" si="16"/>
        <v>0</v>
      </c>
      <c r="G112" s="824">
        <f t="shared" si="16"/>
        <v>0</v>
      </c>
      <c r="H112" s="824">
        <f t="shared" si="16"/>
        <v>0</v>
      </c>
      <c r="I112" s="824">
        <f t="shared" si="16"/>
        <v>0</v>
      </c>
      <c r="J112" s="824">
        <f t="shared" si="16"/>
        <v>0</v>
      </c>
      <c r="K112" s="824">
        <f t="shared" si="16"/>
        <v>0</v>
      </c>
      <c r="L112" s="824">
        <f t="shared" si="16"/>
        <v>0</v>
      </c>
      <c r="M112" s="824">
        <f t="shared" si="16"/>
        <v>0</v>
      </c>
      <c r="N112" s="824">
        <f t="shared" si="16"/>
        <v>0</v>
      </c>
      <c r="O112" s="824">
        <f t="shared" si="16"/>
        <v>0</v>
      </c>
      <c r="P112" s="824">
        <f t="shared" si="16"/>
        <v>0</v>
      </c>
      <c r="Q112" s="824">
        <f t="shared" si="16"/>
        <v>0</v>
      </c>
      <c r="R112" s="824">
        <f t="shared" si="16"/>
        <v>0</v>
      </c>
      <c r="S112" s="824">
        <f t="shared" si="16"/>
        <v>0</v>
      </c>
      <c r="T112" s="824">
        <f t="shared" si="16"/>
        <v>0</v>
      </c>
      <c r="U112" s="824">
        <f t="shared" si="16"/>
        <v>0</v>
      </c>
      <c r="V112" s="824">
        <f t="shared" si="16"/>
        <v>0</v>
      </c>
      <c r="W112" s="824">
        <f t="shared" si="16"/>
        <v>0</v>
      </c>
      <c r="X112" s="824">
        <f t="shared" si="16"/>
        <v>0</v>
      </c>
      <c r="Y112" s="824">
        <f t="shared" si="16"/>
        <v>0</v>
      </c>
      <c r="Z112" s="824">
        <f t="shared" si="16"/>
        <v>0</v>
      </c>
      <c r="AA112" s="824">
        <f t="shared" si="16"/>
        <v>0</v>
      </c>
      <c r="AB112" s="824">
        <f t="shared" si="16"/>
        <v>0</v>
      </c>
      <c r="AC112" s="824">
        <f t="shared" si="16"/>
        <v>0</v>
      </c>
      <c r="AD112" s="824">
        <f t="shared" si="16"/>
        <v>0</v>
      </c>
      <c r="AE112" s="824">
        <f t="shared" si="16"/>
        <v>0</v>
      </c>
      <c r="AF112" s="824">
        <f t="shared" si="16"/>
        <v>0</v>
      </c>
      <c r="AG112" s="824">
        <f t="shared" si="16"/>
        <v>0</v>
      </c>
      <c r="AH112" s="824">
        <f>IF(ISERROR((CG$97-AH$104)*(1-AH$93)),0,(CG$97-AH$104)*(1-AH$93))</f>
        <v>0</v>
      </c>
      <c r="AI112" s="734"/>
      <c r="AJ112" s="729"/>
      <c r="AK112" s="729"/>
      <c r="AL112" s="729"/>
      <c r="AM112" s="729"/>
      <c r="AN112" s="729"/>
      <c r="AO112" s="729"/>
      <c r="AP112" s="732"/>
      <c r="AQ112" s="732"/>
      <c r="AR112" s="732"/>
      <c r="AS112" s="732"/>
      <c r="AT112" s="732"/>
      <c r="AU112" s="732"/>
      <c r="AV112" s="729"/>
    </row>
    <row r="113" spans="1:48" s="237" customFormat="1" ht="15" customHeight="1" outlineLevel="1" x14ac:dyDescent="0.35">
      <c r="A113" s="729"/>
      <c r="B113" s="729"/>
      <c r="C113" s="780" t="s">
        <v>1403</v>
      </c>
      <c r="D113" s="800" t="s">
        <v>1440</v>
      </c>
      <c r="E113" s="824">
        <f t="shared" ref="E113:AG113" si="17">E$112*gwp_CH4</f>
        <v>0</v>
      </c>
      <c r="F113" s="824">
        <f t="shared" si="17"/>
        <v>0</v>
      </c>
      <c r="G113" s="824">
        <f t="shared" si="17"/>
        <v>0</v>
      </c>
      <c r="H113" s="824">
        <f t="shared" si="17"/>
        <v>0</v>
      </c>
      <c r="I113" s="824">
        <f t="shared" si="17"/>
        <v>0</v>
      </c>
      <c r="J113" s="824">
        <f t="shared" si="17"/>
        <v>0</v>
      </c>
      <c r="K113" s="824">
        <f t="shared" si="17"/>
        <v>0</v>
      </c>
      <c r="L113" s="824">
        <f t="shared" si="17"/>
        <v>0</v>
      </c>
      <c r="M113" s="824">
        <f t="shared" si="17"/>
        <v>0</v>
      </c>
      <c r="N113" s="824">
        <f t="shared" si="17"/>
        <v>0</v>
      </c>
      <c r="O113" s="824">
        <f t="shared" si="17"/>
        <v>0</v>
      </c>
      <c r="P113" s="824">
        <f t="shared" si="17"/>
        <v>0</v>
      </c>
      <c r="Q113" s="824">
        <f t="shared" si="17"/>
        <v>0</v>
      </c>
      <c r="R113" s="824">
        <f t="shared" si="17"/>
        <v>0</v>
      </c>
      <c r="S113" s="824">
        <f t="shared" si="17"/>
        <v>0</v>
      </c>
      <c r="T113" s="824">
        <f t="shared" si="17"/>
        <v>0</v>
      </c>
      <c r="U113" s="824">
        <f t="shared" si="17"/>
        <v>0</v>
      </c>
      <c r="V113" s="824">
        <f t="shared" si="17"/>
        <v>0</v>
      </c>
      <c r="W113" s="824">
        <f t="shared" si="17"/>
        <v>0</v>
      </c>
      <c r="X113" s="824">
        <f t="shared" si="17"/>
        <v>0</v>
      </c>
      <c r="Y113" s="824">
        <f t="shared" si="17"/>
        <v>0</v>
      </c>
      <c r="Z113" s="824">
        <f t="shared" si="17"/>
        <v>0</v>
      </c>
      <c r="AA113" s="824">
        <f t="shared" si="17"/>
        <v>0</v>
      </c>
      <c r="AB113" s="824">
        <f t="shared" si="17"/>
        <v>0</v>
      </c>
      <c r="AC113" s="824">
        <f t="shared" si="17"/>
        <v>0</v>
      </c>
      <c r="AD113" s="824">
        <f t="shared" si="17"/>
        <v>0</v>
      </c>
      <c r="AE113" s="824">
        <f t="shared" si="17"/>
        <v>0</v>
      </c>
      <c r="AF113" s="824">
        <f t="shared" si="17"/>
        <v>0</v>
      </c>
      <c r="AG113" s="824">
        <f t="shared" si="17"/>
        <v>0</v>
      </c>
      <c r="AH113" s="824">
        <f>AH$112*gwp_CH4</f>
        <v>0</v>
      </c>
      <c r="AI113" s="729"/>
      <c r="AJ113" s="729"/>
      <c r="AK113" s="729"/>
      <c r="AL113" s="729"/>
      <c r="AM113" s="729"/>
      <c r="AN113" s="729"/>
      <c r="AO113" s="729"/>
      <c r="AP113" s="732"/>
      <c r="AQ113" s="732"/>
      <c r="AR113" s="732"/>
      <c r="AS113" s="732"/>
      <c r="AT113" s="732"/>
      <c r="AU113" s="732"/>
      <c r="AV113" s="729"/>
    </row>
    <row r="114" spans="1:48" s="237" customFormat="1" ht="15" customHeight="1" outlineLevel="1" x14ac:dyDescent="0.35">
      <c r="A114" s="729"/>
      <c r="B114" s="729"/>
      <c r="C114" s="780" t="s">
        <v>1969</v>
      </c>
      <c r="D114" s="800" t="s">
        <v>1441</v>
      </c>
      <c r="E114" s="824">
        <f t="shared" ref="E114:AH114" si="18">IF($D$107=$BI$48,E$104*(44/16),0)</f>
        <v>0</v>
      </c>
      <c r="F114" s="824">
        <f t="shared" si="18"/>
        <v>0</v>
      </c>
      <c r="G114" s="824">
        <f t="shared" si="18"/>
        <v>0</v>
      </c>
      <c r="H114" s="824">
        <f t="shared" si="18"/>
        <v>0</v>
      </c>
      <c r="I114" s="824">
        <f t="shared" si="18"/>
        <v>0</v>
      </c>
      <c r="J114" s="824">
        <f t="shared" si="18"/>
        <v>0</v>
      </c>
      <c r="K114" s="824">
        <f t="shared" si="18"/>
        <v>0</v>
      </c>
      <c r="L114" s="824">
        <f t="shared" si="18"/>
        <v>0</v>
      </c>
      <c r="M114" s="824">
        <f t="shared" si="18"/>
        <v>0</v>
      </c>
      <c r="N114" s="824">
        <f t="shared" si="18"/>
        <v>0</v>
      </c>
      <c r="O114" s="824">
        <f t="shared" si="18"/>
        <v>0</v>
      </c>
      <c r="P114" s="824">
        <f t="shared" si="18"/>
        <v>0</v>
      </c>
      <c r="Q114" s="824">
        <f t="shared" si="18"/>
        <v>0</v>
      </c>
      <c r="R114" s="824">
        <f t="shared" si="18"/>
        <v>0</v>
      </c>
      <c r="S114" s="824">
        <f t="shared" si="18"/>
        <v>0</v>
      </c>
      <c r="T114" s="824">
        <f t="shared" si="18"/>
        <v>0</v>
      </c>
      <c r="U114" s="824">
        <f t="shared" si="18"/>
        <v>0</v>
      </c>
      <c r="V114" s="824">
        <f t="shared" si="18"/>
        <v>0</v>
      </c>
      <c r="W114" s="824">
        <f t="shared" si="18"/>
        <v>0</v>
      </c>
      <c r="X114" s="824">
        <f t="shared" si="18"/>
        <v>0</v>
      </c>
      <c r="Y114" s="824">
        <f t="shared" si="18"/>
        <v>0</v>
      </c>
      <c r="Z114" s="824">
        <f t="shared" si="18"/>
        <v>0</v>
      </c>
      <c r="AA114" s="824">
        <f t="shared" si="18"/>
        <v>0</v>
      </c>
      <c r="AB114" s="824">
        <f t="shared" si="18"/>
        <v>0</v>
      </c>
      <c r="AC114" s="824">
        <f t="shared" si="18"/>
        <v>0</v>
      </c>
      <c r="AD114" s="824">
        <f t="shared" si="18"/>
        <v>0</v>
      </c>
      <c r="AE114" s="824">
        <f t="shared" si="18"/>
        <v>0</v>
      </c>
      <c r="AF114" s="824">
        <f t="shared" si="18"/>
        <v>0</v>
      </c>
      <c r="AG114" s="824">
        <f t="shared" si="18"/>
        <v>0</v>
      </c>
      <c r="AH114" s="824">
        <f t="shared" si="18"/>
        <v>0</v>
      </c>
      <c r="AI114" s="729"/>
      <c r="AJ114" s="729"/>
      <c r="AK114" s="729"/>
      <c r="AL114" s="729"/>
      <c r="AM114" s="729"/>
      <c r="AN114" s="729"/>
      <c r="AO114" s="729"/>
      <c r="AP114" s="732"/>
      <c r="AQ114" s="732"/>
      <c r="AR114" s="732"/>
      <c r="AS114" s="732"/>
      <c r="AT114" s="732"/>
      <c r="AU114" s="732"/>
      <c r="AV114" s="729"/>
    </row>
    <row r="115" spans="1:48" s="237" customFormat="1" ht="15" customHeight="1" outlineLevel="1" x14ac:dyDescent="0.25">
      <c r="A115" s="729"/>
      <c r="B115" s="729"/>
      <c r="C115" s="729"/>
      <c r="D115" s="729"/>
      <c r="E115" s="825"/>
      <c r="F115" s="729"/>
      <c r="G115" s="729"/>
      <c r="H115" s="729"/>
      <c r="I115" s="729"/>
      <c r="J115" s="729"/>
      <c r="K115" s="729"/>
      <c r="L115" s="729"/>
      <c r="M115" s="729"/>
      <c r="N115" s="729"/>
      <c r="O115" s="729"/>
      <c r="P115" s="729"/>
      <c r="Q115" s="754"/>
      <c r="R115" s="755"/>
      <c r="S115" s="756"/>
      <c r="T115" s="729"/>
      <c r="U115" s="729"/>
      <c r="V115" s="729"/>
      <c r="W115" s="729"/>
      <c r="X115" s="729"/>
      <c r="Y115" s="729"/>
      <c r="Z115" s="729"/>
      <c r="AA115" s="729"/>
      <c r="AB115" s="729"/>
      <c r="AC115" s="729"/>
      <c r="AD115" s="729"/>
      <c r="AE115" s="729"/>
      <c r="AF115" s="729"/>
      <c r="AG115" s="729"/>
      <c r="AH115" s="729"/>
      <c r="AI115" s="729"/>
      <c r="AJ115" s="729"/>
      <c r="AK115" s="729"/>
      <c r="AL115" s="729"/>
      <c r="AM115" s="729"/>
      <c r="AN115" s="729"/>
      <c r="AO115" s="729"/>
      <c r="AP115" s="732"/>
      <c r="AQ115" s="732"/>
      <c r="AR115" s="732"/>
      <c r="AS115" s="732"/>
      <c r="AT115" s="732"/>
      <c r="AU115" s="732"/>
      <c r="AV115" s="729"/>
    </row>
    <row r="116" spans="1:48" s="237" customFormat="1" ht="15" customHeight="1" outlineLevel="1" x14ac:dyDescent="0.35">
      <c r="A116" s="729"/>
      <c r="B116" s="729"/>
      <c r="C116" s="780" t="s">
        <v>1442</v>
      </c>
      <c r="D116" s="800" t="s">
        <v>1440</v>
      </c>
      <c r="E116" s="826">
        <f>IF(ISERROR($AH$113),0,$AH$113)</f>
        <v>0</v>
      </c>
      <c r="F116" s="729"/>
      <c r="G116" s="729"/>
      <c r="H116" s="729"/>
      <c r="I116" s="729"/>
      <c r="J116" s="729"/>
      <c r="K116" s="729"/>
      <c r="L116" s="729"/>
      <c r="M116" s="729"/>
      <c r="N116" s="729"/>
      <c r="O116" s="729"/>
      <c r="P116" s="729"/>
      <c r="Q116" s="754"/>
      <c r="R116" s="755"/>
      <c r="S116" s="756"/>
      <c r="T116" s="729"/>
      <c r="U116" s="729"/>
      <c r="V116" s="729"/>
      <c r="W116" s="729"/>
      <c r="X116" s="729"/>
      <c r="Y116" s="729"/>
      <c r="Z116" s="729"/>
      <c r="AA116" s="729"/>
      <c r="AB116" s="729"/>
      <c r="AC116" s="729"/>
      <c r="AD116" s="729"/>
      <c r="AE116" s="729"/>
      <c r="AF116" s="729"/>
      <c r="AG116" s="729"/>
      <c r="AH116" s="729"/>
      <c r="AI116" s="729"/>
      <c r="AJ116" s="729"/>
      <c r="AK116" s="729"/>
      <c r="AL116" s="729"/>
      <c r="AM116" s="729"/>
      <c r="AN116" s="729"/>
      <c r="AO116" s="729"/>
      <c r="AP116" s="732"/>
      <c r="AQ116" s="732"/>
      <c r="AR116" s="732"/>
      <c r="AS116" s="732"/>
      <c r="AT116" s="732"/>
      <c r="AU116" s="732"/>
      <c r="AV116" s="729"/>
    </row>
    <row r="117" spans="1:48" s="205" customFormat="1" ht="15" customHeight="1" outlineLevel="1" x14ac:dyDescent="0.25">
      <c r="A117" s="729"/>
      <c r="B117" s="729"/>
      <c r="C117" s="827"/>
      <c r="D117" s="827"/>
      <c r="E117" s="828"/>
      <c r="F117" s="729"/>
      <c r="G117" s="729"/>
      <c r="H117" s="729"/>
      <c r="I117" s="729"/>
      <c r="J117" s="729"/>
      <c r="K117" s="729"/>
      <c r="L117" s="729"/>
      <c r="M117" s="729"/>
      <c r="N117" s="729"/>
      <c r="O117" s="729"/>
      <c r="P117" s="729"/>
      <c r="Q117" s="754"/>
      <c r="R117" s="755"/>
      <c r="S117" s="756"/>
      <c r="T117" s="729"/>
      <c r="U117" s="729"/>
      <c r="V117" s="729"/>
      <c r="W117" s="729"/>
      <c r="X117" s="729"/>
      <c r="Y117" s="729"/>
      <c r="Z117" s="729"/>
      <c r="AA117" s="729"/>
      <c r="AB117" s="729"/>
      <c r="AC117" s="729"/>
      <c r="AD117" s="729"/>
      <c r="AE117" s="729"/>
      <c r="AF117" s="729"/>
      <c r="AG117" s="729"/>
      <c r="AH117" s="729"/>
      <c r="AI117" s="729"/>
      <c r="AJ117" s="729"/>
      <c r="AK117" s="729"/>
      <c r="AL117" s="729"/>
      <c r="AM117" s="729"/>
      <c r="AN117" s="729"/>
      <c r="AO117" s="729"/>
      <c r="AP117" s="732"/>
      <c r="AQ117" s="732"/>
      <c r="AR117" s="732"/>
      <c r="AS117" s="732"/>
      <c r="AT117" s="732"/>
      <c r="AU117" s="732"/>
      <c r="AV117" s="729"/>
    </row>
    <row r="118" spans="1:48" s="237" customFormat="1" ht="15" customHeight="1" collapsed="1" x14ac:dyDescent="0.25">
      <c r="A118" s="729"/>
      <c r="B118" s="729"/>
      <c r="C118" s="729"/>
      <c r="D118" s="729"/>
      <c r="E118" s="729"/>
      <c r="F118" s="729"/>
      <c r="G118" s="729"/>
      <c r="H118" s="729"/>
      <c r="I118" s="729"/>
      <c r="J118" s="729"/>
      <c r="K118" s="729"/>
      <c r="L118" s="729"/>
      <c r="M118" s="729"/>
      <c r="N118" s="729"/>
      <c r="O118" s="729"/>
      <c r="P118" s="729"/>
      <c r="Q118" s="729"/>
      <c r="R118" s="729"/>
      <c r="S118" s="729"/>
      <c r="T118" s="729"/>
      <c r="U118" s="729"/>
      <c r="V118" s="729"/>
      <c r="W118" s="729"/>
      <c r="X118" s="729"/>
      <c r="Y118" s="729"/>
      <c r="Z118" s="729"/>
      <c r="AA118" s="729"/>
      <c r="AB118" s="729"/>
      <c r="AC118" s="729"/>
      <c r="AD118" s="729"/>
      <c r="AE118" s="729"/>
      <c r="AF118" s="729"/>
      <c r="AG118" s="729"/>
      <c r="AH118" s="729"/>
      <c r="AI118" s="729"/>
      <c r="AJ118" s="729"/>
      <c r="AK118" s="729"/>
      <c r="AL118" s="729"/>
      <c r="AM118" s="729"/>
      <c r="AN118" s="729"/>
      <c r="AO118" s="729"/>
      <c r="AP118" s="732"/>
      <c r="AQ118" s="732"/>
      <c r="AR118" s="732"/>
      <c r="AS118" s="732"/>
      <c r="AT118" s="732"/>
      <c r="AU118" s="732"/>
      <c r="AV118" s="729"/>
    </row>
    <row r="119" spans="1:48" s="463" customFormat="1" ht="18" customHeight="1" x14ac:dyDescent="0.3">
      <c r="A119" s="458"/>
      <c r="B119" s="733" t="s">
        <v>65</v>
      </c>
      <c r="C119" s="459"/>
      <c r="D119" s="460"/>
      <c r="E119" s="460"/>
      <c r="F119" s="460"/>
      <c r="G119" s="461"/>
      <c r="H119" s="461"/>
      <c r="I119" s="461"/>
      <c r="J119" s="461"/>
      <c r="K119" s="461"/>
      <c r="L119" s="461"/>
      <c r="M119" s="461"/>
      <c r="N119" s="461"/>
      <c r="O119" s="461"/>
      <c r="P119" s="461"/>
      <c r="Q119" s="461"/>
      <c r="R119" s="461"/>
      <c r="S119" s="461"/>
      <c r="T119" s="461"/>
      <c r="U119" s="461"/>
      <c r="V119" s="461"/>
      <c r="W119" s="461"/>
      <c r="X119" s="461"/>
      <c r="Y119" s="461"/>
      <c r="Z119" s="461"/>
      <c r="AA119" s="461"/>
      <c r="AB119" s="830"/>
      <c r="AC119" s="830"/>
      <c r="AD119" s="830"/>
      <c r="AE119" s="830"/>
      <c r="AF119" s="830"/>
      <c r="AG119" s="830"/>
      <c r="AH119" s="830"/>
      <c r="AI119" s="830"/>
      <c r="AJ119" s="830"/>
      <c r="AK119" s="830"/>
      <c r="AL119" s="830"/>
      <c r="AM119" s="830"/>
      <c r="AN119" s="830"/>
      <c r="AO119" s="830"/>
      <c r="AP119" s="831"/>
      <c r="AQ119" s="831"/>
      <c r="AR119" s="831"/>
      <c r="AS119" s="831"/>
      <c r="AT119" s="831"/>
      <c r="AU119" s="831"/>
      <c r="AV119" s="832"/>
    </row>
    <row r="120" spans="1:48" ht="15" customHeight="1" outlineLevel="1" x14ac:dyDescent="0.2">
      <c r="A120" s="690"/>
      <c r="B120" s="690"/>
      <c r="C120" s="690"/>
      <c r="D120" s="690"/>
      <c r="E120" s="690"/>
      <c r="F120" s="690"/>
      <c r="G120" s="690"/>
      <c r="H120" s="690"/>
      <c r="I120" s="690"/>
      <c r="J120" s="690"/>
      <c r="K120" s="690"/>
      <c r="L120" s="690"/>
      <c r="M120" s="690"/>
      <c r="N120" s="690"/>
      <c r="O120" s="690"/>
      <c r="P120" s="690"/>
      <c r="Q120" s="690"/>
      <c r="R120" s="690"/>
      <c r="S120" s="690"/>
      <c r="T120" s="690"/>
      <c r="U120" s="690"/>
      <c r="V120" s="690"/>
      <c r="W120" s="690"/>
      <c r="X120" s="690"/>
      <c r="Y120" s="690"/>
      <c r="Z120" s="690"/>
      <c r="AA120" s="690"/>
      <c r="AB120" s="690"/>
      <c r="AC120" s="690"/>
      <c r="AD120" s="690"/>
      <c r="AE120" s="690"/>
      <c r="AF120" s="690"/>
      <c r="AG120" s="690"/>
      <c r="AH120" s="690"/>
      <c r="AI120" s="690"/>
      <c r="AJ120" s="690"/>
      <c r="AK120" s="690"/>
      <c r="AL120" s="690"/>
      <c r="AM120" s="690"/>
      <c r="AN120" s="690"/>
      <c r="AO120" s="690"/>
      <c r="AP120" s="698"/>
      <c r="AQ120" s="698"/>
      <c r="AR120" s="698"/>
      <c r="AS120" s="698"/>
      <c r="AT120" s="698"/>
      <c r="AU120" s="698"/>
      <c r="AV120" s="690"/>
    </row>
    <row r="121" spans="1:48" ht="15" customHeight="1" outlineLevel="1" x14ac:dyDescent="0.25">
      <c r="A121" s="690"/>
      <c r="B121" s="728" t="s">
        <v>124</v>
      </c>
      <c r="C121" s="690"/>
      <c r="D121" s="690"/>
      <c r="E121" s="690"/>
      <c r="F121" s="690"/>
      <c r="G121" s="690"/>
      <c r="H121" s="690"/>
      <c r="I121" s="690"/>
      <c r="J121" s="690"/>
      <c r="K121" s="690"/>
      <c r="L121" s="690"/>
      <c r="M121" s="690"/>
      <c r="N121" s="690"/>
      <c r="O121" s="690"/>
      <c r="P121" s="690"/>
      <c r="Q121" s="690"/>
      <c r="R121" s="690"/>
      <c r="S121" s="690"/>
      <c r="T121" s="690"/>
      <c r="U121" s="690"/>
      <c r="V121" s="690"/>
      <c r="W121" s="690"/>
      <c r="X121" s="690"/>
      <c r="Y121" s="690"/>
      <c r="Z121" s="690"/>
      <c r="AA121" s="690"/>
      <c r="AB121" s="690"/>
      <c r="AC121" s="690"/>
      <c r="AD121" s="690"/>
      <c r="AE121" s="690"/>
      <c r="AF121" s="690"/>
      <c r="AG121" s="690"/>
      <c r="AH121" s="690"/>
      <c r="AI121" s="690"/>
      <c r="AJ121" s="690"/>
      <c r="AK121" s="690"/>
      <c r="AL121" s="690"/>
      <c r="AM121" s="690"/>
      <c r="AN121" s="690"/>
      <c r="AO121" s="690"/>
      <c r="AP121" s="698"/>
      <c r="AQ121" s="698"/>
      <c r="AR121" s="698"/>
      <c r="AS121" s="698"/>
      <c r="AT121" s="698"/>
      <c r="AU121" s="698"/>
      <c r="AV121" s="690"/>
    </row>
    <row r="122" spans="1:48" s="237" customFormat="1" ht="15" customHeight="1" outlineLevel="1" x14ac:dyDescent="0.25">
      <c r="A122" s="729"/>
      <c r="B122" s="731" t="s">
        <v>1964</v>
      </c>
      <c r="C122" s="729"/>
      <c r="D122" s="729"/>
      <c r="E122" s="729"/>
      <c r="F122" s="729"/>
      <c r="G122" s="729"/>
      <c r="H122" s="729"/>
      <c r="I122" s="729"/>
      <c r="J122" s="729"/>
      <c r="K122" s="729"/>
      <c r="L122" s="729"/>
      <c r="M122" s="729"/>
      <c r="N122" s="729"/>
      <c r="O122" s="729"/>
      <c r="P122" s="729"/>
      <c r="Q122" s="729"/>
      <c r="R122" s="729"/>
      <c r="S122" s="729"/>
      <c r="T122" s="729"/>
      <c r="U122" s="729"/>
      <c r="V122" s="729"/>
      <c r="W122" s="729"/>
      <c r="X122" s="729"/>
      <c r="Y122" s="729"/>
      <c r="Z122" s="729"/>
      <c r="AA122" s="729"/>
      <c r="AB122" s="729"/>
      <c r="AC122" s="729"/>
      <c r="AD122" s="729"/>
      <c r="AE122" s="729"/>
      <c r="AF122" s="729"/>
      <c r="AG122" s="729"/>
      <c r="AH122" s="729"/>
      <c r="AI122" s="729"/>
      <c r="AJ122" s="729"/>
      <c r="AK122" s="729"/>
      <c r="AL122" s="729"/>
      <c r="AM122" s="729"/>
      <c r="AN122" s="729"/>
      <c r="AO122" s="729"/>
      <c r="AP122" s="732"/>
      <c r="AQ122" s="732"/>
      <c r="AR122" s="732"/>
      <c r="AS122" s="732"/>
      <c r="AT122" s="732"/>
      <c r="AU122" s="732"/>
      <c r="AV122" s="729"/>
    </row>
    <row r="123" spans="1:48" s="237" customFormat="1" ht="15" customHeight="1" outlineLevel="1" x14ac:dyDescent="0.35">
      <c r="A123" s="729"/>
      <c r="B123" s="731" t="s">
        <v>1444</v>
      </c>
      <c r="C123" s="729"/>
      <c r="D123" s="729"/>
      <c r="E123" s="729"/>
      <c r="F123" s="729"/>
      <c r="G123" s="729"/>
      <c r="H123" s="729"/>
      <c r="I123" s="729"/>
      <c r="J123" s="729"/>
      <c r="K123" s="729"/>
      <c r="L123" s="729"/>
      <c r="M123" s="729"/>
      <c r="N123" s="729"/>
      <c r="O123" s="729"/>
      <c r="P123" s="729"/>
      <c r="Q123" s="729"/>
      <c r="R123" s="729"/>
      <c r="S123" s="729"/>
      <c r="T123" s="729"/>
      <c r="U123" s="729"/>
      <c r="V123" s="729"/>
      <c r="W123" s="729"/>
      <c r="X123" s="729"/>
      <c r="Y123" s="729"/>
      <c r="Z123" s="729"/>
      <c r="AA123" s="729"/>
      <c r="AB123" s="729"/>
      <c r="AC123" s="729"/>
      <c r="AD123" s="729"/>
      <c r="AE123" s="729"/>
      <c r="AF123" s="729"/>
      <c r="AG123" s="729"/>
      <c r="AH123" s="729"/>
      <c r="AI123" s="729"/>
      <c r="AJ123" s="729"/>
      <c r="AK123" s="729"/>
      <c r="AL123" s="729"/>
      <c r="AM123" s="729"/>
      <c r="AN123" s="729"/>
      <c r="AO123" s="729"/>
      <c r="AP123" s="732"/>
      <c r="AQ123" s="732"/>
      <c r="AR123" s="732"/>
      <c r="AS123" s="732"/>
      <c r="AT123" s="732"/>
      <c r="AU123" s="732"/>
      <c r="AV123" s="729"/>
    </row>
    <row r="124" spans="1:48" s="237" customFormat="1" ht="15" customHeight="1" outlineLevel="1" x14ac:dyDescent="0.25">
      <c r="A124" s="729"/>
      <c r="B124" s="727"/>
      <c r="C124" s="729"/>
      <c r="D124" s="729"/>
      <c r="E124" s="729"/>
      <c r="F124" s="729"/>
      <c r="G124" s="729"/>
      <c r="H124" s="729"/>
      <c r="I124" s="729"/>
      <c r="J124" s="729"/>
      <c r="K124" s="729"/>
      <c r="L124" s="729"/>
      <c r="M124" s="729"/>
      <c r="N124" s="729"/>
      <c r="O124" s="729"/>
      <c r="P124" s="729"/>
      <c r="Q124" s="729"/>
      <c r="R124" s="729"/>
      <c r="S124" s="729"/>
      <c r="T124" s="729"/>
      <c r="U124" s="729"/>
      <c r="V124" s="729"/>
      <c r="W124" s="729"/>
      <c r="X124" s="729"/>
      <c r="Y124" s="729"/>
      <c r="Z124" s="729"/>
      <c r="AA124" s="729"/>
      <c r="AB124" s="729"/>
      <c r="AC124" s="729"/>
      <c r="AD124" s="729"/>
      <c r="AE124" s="729"/>
      <c r="AF124" s="729"/>
      <c r="AG124" s="729"/>
      <c r="AH124" s="729"/>
      <c r="AI124" s="729"/>
      <c r="AJ124" s="729"/>
      <c r="AK124" s="729"/>
      <c r="AL124" s="729"/>
      <c r="AM124" s="729"/>
      <c r="AN124" s="729"/>
      <c r="AO124" s="729"/>
      <c r="AP124" s="732"/>
      <c r="AQ124" s="732"/>
      <c r="AR124" s="732"/>
      <c r="AS124" s="732"/>
      <c r="AT124" s="732"/>
      <c r="AU124" s="732"/>
      <c r="AV124" s="729"/>
    </row>
    <row r="125" spans="1:48" s="237" customFormat="1" ht="15" customHeight="1" outlineLevel="1" x14ac:dyDescent="0.25">
      <c r="A125" s="729"/>
      <c r="B125" s="833" t="s">
        <v>1965</v>
      </c>
      <c r="C125" s="752"/>
      <c r="D125" s="752"/>
      <c r="E125" s="752"/>
      <c r="F125" s="752"/>
      <c r="G125" s="729"/>
      <c r="H125" s="729"/>
      <c r="I125" s="729"/>
      <c r="J125" s="729"/>
      <c r="K125" s="729"/>
      <c r="L125" s="729"/>
      <c r="M125" s="729"/>
      <c r="N125" s="729"/>
      <c r="O125" s="729"/>
      <c r="P125" s="729"/>
      <c r="Q125" s="729"/>
      <c r="R125" s="729"/>
      <c r="S125" s="729"/>
      <c r="T125" s="729"/>
      <c r="U125" s="729"/>
      <c r="V125" s="729"/>
      <c r="W125" s="729"/>
      <c r="X125" s="729"/>
      <c r="Y125" s="729"/>
      <c r="Z125" s="729"/>
      <c r="AA125" s="729"/>
      <c r="AB125" s="729"/>
      <c r="AC125" s="729"/>
      <c r="AD125" s="729"/>
      <c r="AE125" s="729"/>
      <c r="AF125" s="729"/>
      <c r="AG125" s="729"/>
      <c r="AH125" s="729"/>
      <c r="AI125" s="729"/>
      <c r="AJ125" s="729"/>
      <c r="AK125" s="729"/>
      <c r="AL125" s="729"/>
      <c r="AM125" s="729"/>
      <c r="AN125" s="729"/>
      <c r="AO125" s="729"/>
      <c r="AP125" s="732"/>
      <c r="AQ125" s="732"/>
      <c r="AR125" s="732"/>
      <c r="AS125" s="732"/>
      <c r="AT125" s="732"/>
      <c r="AU125" s="732"/>
      <c r="AV125" s="729"/>
    </row>
    <row r="126" spans="1:48" s="237" customFormat="1" ht="15" customHeight="1" outlineLevel="1" x14ac:dyDescent="0.25">
      <c r="A126" s="729"/>
      <c r="B126" s="729"/>
      <c r="C126" s="752"/>
      <c r="D126" s="752"/>
      <c r="E126" s="752"/>
      <c r="F126" s="752"/>
      <c r="G126" s="729"/>
      <c r="H126" s="729"/>
      <c r="I126" s="729"/>
      <c r="J126" s="729"/>
      <c r="K126" s="729"/>
      <c r="L126" s="729"/>
      <c r="M126" s="729"/>
      <c r="N126" s="729"/>
      <c r="O126" s="729"/>
      <c r="P126" s="729"/>
      <c r="Q126" s="729"/>
      <c r="R126" s="729"/>
      <c r="S126" s="729"/>
      <c r="T126" s="729"/>
      <c r="U126" s="729"/>
      <c r="V126" s="729"/>
      <c r="W126" s="729"/>
      <c r="X126" s="729"/>
      <c r="Y126" s="729"/>
      <c r="Z126" s="729"/>
      <c r="AA126" s="729"/>
      <c r="AB126" s="729"/>
      <c r="AC126" s="729"/>
      <c r="AD126" s="729"/>
      <c r="AE126" s="729"/>
      <c r="AF126" s="729"/>
      <c r="AG126" s="729"/>
      <c r="AH126" s="729"/>
      <c r="AI126" s="729"/>
      <c r="AJ126" s="729"/>
      <c r="AK126" s="729"/>
      <c r="AL126" s="729"/>
      <c r="AM126" s="729"/>
      <c r="AN126" s="729"/>
      <c r="AO126" s="729"/>
      <c r="AP126" s="732"/>
      <c r="AQ126" s="732"/>
      <c r="AR126" s="732"/>
      <c r="AS126" s="732"/>
      <c r="AT126" s="732"/>
      <c r="AU126" s="732"/>
      <c r="AV126" s="729"/>
    </row>
    <row r="127" spans="1:48" s="237" customFormat="1" ht="15" customHeight="1" outlineLevel="1" x14ac:dyDescent="0.25">
      <c r="A127" s="729"/>
      <c r="B127" s="729"/>
      <c r="C127" s="759" t="s">
        <v>45</v>
      </c>
      <c r="D127" s="1323" t="s">
        <v>27</v>
      </c>
      <c r="E127" s="1324"/>
      <c r="F127" s="807"/>
      <c r="G127" s="729"/>
      <c r="H127" s="729"/>
      <c r="I127" s="729"/>
      <c r="J127" s="729"/>
      <c r="K127" s="729"/>
      <c r="L127" s="729"/>
      <c r="M127" s="729"/>
      <c r="N127" s="729"/>
      <c r="O127" s="729"/>
      <c r="P127" s="729"/>
      <c r="Q127" s="729"/>
      <c r="R127" s="729"/>
      <c r="S127" s="729"/>
      <c r="T127" s="729"/>
      <c r="U127" s="729"/>
      <c r="V127" s="729"/>
      <c r="W127" s="729"/>
      <c r="X127" s="729"/>
      <c r="Y127" s="729"/>
      <c r="Z127" s="729"/>
      <c r="AA127" s="729"/>
      <c r="AB127" s="729"/>
      <c r="AC127" s="729"/>
      <c r="AD127" s="729"/>
      <c r="AE127" s="729"/>
      <c r="AF127" s="729"/>
      <c r="AG127" s="729"/>
      <c r="AH127" s="729"/>
      <c r="AI127" s="729"/>
      <c r="AJ127" s="729"/>
      <c r="AK127" s="729"/>
      <c r="AL127" s="729"/>
      <c r="AM127" s="729"/>
      <c r="AN127" s="729"/>
      <c r="AO127" s="729"/>
      <c r="AP127" s="732"/>
      <c r="AQ127" s="732"/>
      <c r="AR127" s="732"/>
      <c r="AS127" s="732"/>
      <c r="AT127" s="732"/>
      <c r="AU127" s="732"/>
      <c r="AV127" s="729"/>
    </row>
    <row r="128" spans="1:48" s="237" customFormat="1" ht="15" customHeight="1" outlineLevel="1" x14ac:dyDescent="0.25">
      <c r="A128" s="729"/>
      <c r="B128" s="729"/>
      <c r="C128" s="729" t="s">
        <v>1966</v>
      </c>
      <c r="D128" s="752"/>
      <c r="E128" s="752"/>
      <c r="F128" s="752"/>
      <c r="G128" s="729"/>
      <c r="H128" s="729"/>
      <c r="I128" s="729"/>
      <c r="J128" s="729"/>
      <c r="K128" s="729"/>
      <c r="L128" s="729"/>
      <c r="M128" s="729"/>
      <c r="N128" s="729"/>
      <c r="O128" s="729"/>
      <c r="P128" s="729"/>
      <c r="Q128" s="729"/>
      <c r="R128" s="729"/>
      <c r="S128" s="729"/>
      <c r="T128" s="729"/>
      <c r="U128" s="729"/>
      <c r="V128" s="729"/>
      <c r="W128" s="729"/>
      <c r="X128" s="729"/>
      <c r="Y128" s="729"/>
      <c r="Z128" s="729"/>
      <c r="AA128" s="729"/>
      <c r="AB128" s="729"/>
      <c r="AC128" s="729"/>
      <c r="AD128" s="729"/>
      <c r="AE128" s="729"/>
      <c r="AF128" s="729"/>
      <c r="AG128" s="729"/>
      <c r="AH128" s="729"/>
      <c r="AI128" s="729"/>
      <c r="AJ128" s="729"/>
      <c r="AK128" s="729"/>
      <c r="AL128" s="729"/>
      <c r="AM128" s="729"/>
      <c r="AN128" s="729"/>
      <c r="AO128" s="729"/>
      <c r="AP128" s="732"/>
      <c r="AQ128" s="732"/>
      <c r="AR128" s="732"/>
      <c r="AS128" s="732"/>
      <c r="AT128" s="732"/>
      <c r="AU128" s="732"/>
      <c r="AV128" s="729"/>
    </row>
    <row r="129" spans="1:48" s="237" customFormat="1" ht="15" customHeight="1" outlineLevel="1" x14ac:dyDescent="0.25">
      <c r="A129" s="729"/>
      <c r="B129" s="729"/>
      <c r="C129" s="748"/>
      <c r="D129" s="752"/>
      <c r="E129" s="752"/>
      <c r="F129" s="752"/>
      <c r="G129" s="729"/>
      <c r="H129" s="729"/>
      <c r="I129" s="729"/>
      <c r="J129" s="729"/>
      <c r="K129" s="729"/>
      <c r="L129" s="729"/>
      <c r="M129" s="729"/>
      <c r="N129" s="729"/>
      <c r="O129" s="729"/>
      <c r="P129" s="729"/>
      <c r="Q129" s="729"/>
      <c r="R129" s="729"/>
      <c r="S129" s="729"/>
      <c r="T129" s="729"/>
      <c r="U129" s="729"/>
      <c r="V129" s="729"/>
      <c r="W129" s="729"/>
      <c r="X129" s="729"/>
      <c r="Y129" s="729"/>
      <c r="Z129" s="729"/>
      <c r="AA129" s="729"/>
      <c r="AB129" s="729"/>
      <c r="AC129" s="729"/>
      <c r="AD129" s="729"/>
      <c r="AE129" s="729"/>
      <c r="AF129" s="729"/>
      <c r="AG129" s="729"/>
      <c r="AH129" s="729"/>
      <c r="AI129" s="729"/>
      <c r="AJ129" s="729"/>
      <c r="AK129" s="729"/>
      <c r="AL129" s="729"/>
      <c r="AM129" s="729"/>
      <c r="AN129" s="729"/>
      <c r="AO129" s="729"/>
      <c r="AP129" s="732"/>
      <c r="AQ129" s="732"/>
      <c r="AR129" s="732"/>
      <c r="AS129" s="732"/>
      <c r="AT129" s="732"/>
      <c r="AU129" s="732"/>
      <c r="AV129" s="729"/>
    </row>
    <row r="130" spans="1:48" s="237" customFormat="1" ht="15" customHeight="1" outlineLevel="1" x14ac:dyDescent="0.25">
      <c r="A130" s="729"/>
      <c r="B130" s="833" t="s">
        <v>210</v>
      </c>
      <c r="C130" s="834"/>
      <c r="D130" s="752"/>
      <c r="E130" s="752"/>
      <c r="F130" s="752"/>
      <c r="G130" s="729"/>
      <c r="H130" s="729"/>
      <c r="I130" s="729"/>
      <c r="J130" s="729"/>
      <c r="K130" s="729"/>
      <c r="L130" s="729"/>
      <c r="M130" s="729"/>
      <c r="N130" s="729"/>
      <c r="O130" s="729"/>
      <c r="P130" s="729"/>
      <c r="Q130" s="729"/>
      <c r="R130" s="729"/>
      <c r="S130" s="729"/>
      <c r="T130" s="729"/>
      <c r="U130" s="729"/>
      <c r="V130" s="729"/>
      <c r="W130" s="729"/>
      <c r="X130" s="729"/>
      <c r="Y130" s="729"/>
      <c r="Z130" s="729"/>
      <c r="AA130" s="729"/>
      <c r="AB130" s="729"/>
      <c r="AC130" s="729"/>
      <c r="AD130" s="729"/>
      <c r="AE130" s="729"/>
      <c r="AF130" s="729"/>
      <c r="AG130" s="729"/>
      <c r="AH130" s="729"/>
      <c r="AI130" s="729"/>
      <c r="AJ130" s="729"/>
      <c r="AK130" s="729"/>
      <c r="AL130" s="729"/>
      <c r="AM130" s="729"/>
      <c r="AN130" s="729"/>
      <c r="AO130" s="729"/>
      <c r="AP130" s="732"/>
      <c r="AQ130" s="732"/>
      <c r="AR130" s="732"/>
      <c r="AS130" s="732"/>
      <c r="AT130" s="732"/>
      <c r="AU130" s="732"/>
      <c r="AV130" s="729"/>
    </row>
    <row r="131" spans="1:48" s="237" customFormat="1" ht="15" customHeight="1" outlineLevel="1" x14ac:dyDescent="0.25">
      <c r="A131" s="729"/>
      <c r="B131" s="729"/>
      <c r="C131" s="835" t="s">
        <v>1967</v>
      </c>
      <c r="D131" s="752"/>
      <c r="E131" s="752"/>
      <c r="F131" s="752"/>
      <c r="G131" s="729"/>
      <c r="H131" s="729"/>
      <c r="I131" s="729"/>
      <c r="J131" s="729"/>
      <c r="K131" s="729"/>
      <c r="L131" s="729"/>
      <c r="M131" s="729"/>
      <c r="N131" s="729"/>
      <c r="O131" s="729"/>
      <c r="P131" s="729"/>
      <c r="Q131" s="729"/>
      <c r="R131" s="729"/>
      <c r="S131" s="729"/>
      <c r="T131" s="729"/>
      <c r="U131" s="729"/>
      <c r="V131" s="729"/>
      <c r="W131" s="729"/>
      <c r="X131" s="729"/>
      <c r="Y131" s="729"/>
      <c r="Z131" s="729"/>
      <c r="AA131" s="729"/>
      <c r="AB131" s="729"/>
      <c r="AC131" s="729"/>
      <c r="AD131" s="729"/>
      <c r="AE131" s="729"/>
      <c r="AF131" s="729"/>
      <c r="AG131" s="729"/>
      <c r="AH131" s="729"/>
      <c r="AI131" s="729"/>
      <c r="AJ131" s="729"/>
      <c r="AK131" s="729"/>
      <c r="AL131" s="729"/>
      <c r="AM131" s="729"/>
      <c r="AN131" s="729"/>
      <c r="AO131" s="729"/>
      <c r="AP131" s="732"/>
      <c r="AQ131" s="732"/>
      <c r="AR131" s="732"/>
      <c r="AS131" s="732"/>
      <c r="AT131" s="732"/>
      <c r="AU131" s="732"/>
      <c r="AV131" s="729"/>
    </row>
    <row r="132" spans="1:48" s="237" customFormat="1" ht="15" customHeight="1" outlineLevel="1" x14ac:dyDescent="0.25">
      <c r="A132" s="729"/>
      <c r="B132" s="729"/>
      <c r="C132" s="835" t="s">
        <v>1445</v>
      </c>
      <c r="D132" s="729"/>
      <c r="E132" s="729"/>
      <c r="F132" s="729"/>
      <c r="G132" s="729"/>
      <c r="H132" s="729"/>
      <c r="I132" s="729"/>
      <c r="J132" s="729"/>
      <c r="K132" s="729"/>
      <c r="L132" s="729"/>
      <c r="M132" s="729"/>
      <c r="N132" s="729"/>
      <c r="O132" s="729"/>
      <c r="P132" s="729"/>
      <c r="Q132" s="729"/>
      <c r="R132" s="729"/>
      <c r="S132" s="729"/>
      <c r="T132" s="729"/>
      <c r="U132" s="729"/>
      <c r="V132" s="729"/>
      <c r="W132" s="729"/>
      <c r="X132" s="729"/>
      <c r="Y132" s="729"/>
      <c r="Z132" s="729"/>
      <c r="AA132" s="729"/>
      <c r="AB132" s="729"/>
      <c r="AC132" s="729"/>
      <c r="AD132" s="729"/>
      <c r="AE132" s="729"/>
      <c r="AF132" s="729"/>
      <c r="AG132" s="729"/>
      <c r="AH132" s="729"/>
      <c r="AI132" s="729"/>
      <c r="AJ132" s="729"/>
      <c r="AK132" s="729"/>
      <c r="AL132" s="729"/>
      <c r="AM132" s="729"/>
      <c r="AN132" s="729"/>
      <c r="AO132" s="729"/>
      <c r="AP132" s="732"/>
      <c r="AQ132" s="732"/>
      <c r="AR132" s="732"/>
      <c r="AS132" s="732"/>
      <c r="AT132" s="732"/>
      <c r="AU132" s="732"/>
      <c r="AV132" s="729"/>
    </row>
    <row r="133" spans="1:48" s="237" customFormat="1" ht="15" customHeight="1" outlineLevel="1" x14ac:dyDescent="0.35">
      <c r="A133" s="729"/>
      <c r="B133" s="729"/>
      <c r="C133" s="759" t="s">
        <v>1446</v>
      </c>
      <c r="D133" s="1323" t="s">
        <v>1447</v>
      </c>
      <c r="E133" s="1324"/>
      <c r="F133" s="807"/>
      <c r="G133" s="729"/>
      <c r="H133" s="729"/>
      <c r="I133" s="729"/>
      <c r="J133" s="729"/>
      <c r="K133" s="729"/>
      <c r="L133" s="729"/>
      <c r="M133" s="729"/>
      <c r="N133" s="729"/>
      <c r="O133" s="729"/>
      <c r="P133" s="729"/>
      <c r="Q133" s="729"/>
      <c r="R133" s="729"/>
      <c r="S133" s="729"/>
      <c r="T133" s="729"/>
      <c r="U133" s="729"/>
      <c r="V133" s="729"/>
      <c r="W133" s="729"/>
      <c r="X133" s="729"/>
      <c r="Y133" s="729"/>
      <c r="Z133" s="729"/>
      <c r="AA133" s="729"/>
      <c r="AB133" s="729"/>
      <c r="AC133" s="729"/>
      <c r="AD133" s="729"/>
      <c r="AE133" s="729"/>
      <c r="AF133" s="729"/>
      <c r="AG133" s="729"/>
      <c r="AH133" s="729"/>
      <c r="AI133" s="729"/>
      <c r="AJ133" s="729"/>
      <c r="AK133" s="729"/>
      <c r="AL133" s="729"/>
      <c r="AM133" s="729"/>
      <c r="AN133" s="729"/>
      <c r="AO133" s="729"/>
      <c r="AP133" s="732"/>
      <c r="AQ133" s="732"/>
      <c r="AR133" s="732"/>
      <c r="AS133" s="732"/>
      <c r="AT133" s="732"/>
      <c r="AU133" s="732"/>
      <c r="AV133" s="729"/>
    </row>
    <row r="134" spans="1:48" s="237" customFormat="1" ht="15" customHeight="1" outlineLevel="1" x14ac:dyDescent="0.35">
      <c r="A134" s="729"/>
      <c r="B134" s="729"/>
      <c r="C134" s="759" t="s">
        <v>1448</v>
      </c>
      <c r="D134" s="1323" t="s">
        <v>1449</v>
      </c>
      <c r="E134" s="1324"/>
      <c r="F134" s="807"/>
      <c r="G134" s="729"/>
      <c r="H134" s="729"/>
      <c r="I134" s="729"/>
      <c r="J134" s="729"/>
      <c r="K134" s="729"/>
      <c r="L134" s="729"/>
      <c r="M134" s="729"/>
      <c r="N134" s="729"/>
      <c r="O134" s="729"/>
      <c r="P134" s="729"/>
      <c r="Q134" s="729"/>
      <c r="R134" s="729"/>
      <c r="S134" s="729"/>
      <c r="T134" s="729"/>
      <c r="U134" s="729"/>
      <c r="V134" s="729"/>
      <c r="W134" s="729"/>
      <c r="X134" s="729"/>
      <c r="Y134" s="729"/>
      <c r="Z134" s="729"/>
      <c r="AA134" s="729"/>
      <c r="AB134" s="729"/>
      <c r="AC134" s="729"/>
      <c r="AD134" s="729"/>
      <c r="AE134" s="729"/>
      <c r="AF134" s="729"/>
      <c r="AG134" s="729"/>
      <c r="AH134" s="729"/>
      <c r="AI134" s="729"/>
      <c r="AJ134" s="729"/>
      <c r="AK134" s="729"/>
      <c r="AL134" s="729"/>
      <c r="AM134" s="729"/>
      <c r="AN134" s="729"/>
      <c r="AO134" s="729"/>
      <c r="AP134" s="732"/>
      <c r="AQ134" s="732"/>
      <c r="AR134" s="732"/>
      <c r="AS134" s="732"/>
      <c r="AT134" s="732"/>
      <c r="AU134" s="732"/>
      <c r="AV134" s="729"/>
    </row>
    <row r="135" spans="1:48" s="237" customFormat="1" ht="15" customHeight="1" outlineLevel="1" x14ac:dyDescent="0.25">
      <c r="A135" s="729"/>
      <c r="B135" s="729"/>
      <c r="C135" s="729"/>
      <c r="D135" s="729"/>
      <c r="E135" s="729"/>
      <c r="F135" s="729"/>
      <c r="G135" s="729"/>
      <c r="H135" s="729"/>
      <c r="I135" s="729"/>
      <c r="J135" s="729"/>
      <c r="K135" s="729"/>
      <c r="L135" s="729"/>
      <c r="M135" s="729"/>
      <c r="N135" s="729"/>
      <c r="O135" s="729"/>
      <c r="P135" s="729"/>
      <c r="Q135" s="729"/>
      <c r="R135" s="729"/>
      <c r="S135" s="729"/>
      <c r="T135" s="729"/>
      <c r="U135" s="729"/>
      <c r="V135" s="729"/>
      <c r="W135" s="729"/>
      <c r="X135" s="729"/>
      <c r="Y135" s="729"/>
      <c r="Z135" s="729"/>
      <c r="AA135" s="729"/>
      <c r="AB135" s="729"/>
      <c r="AC135" s="729"/>
      <c r="AD135" s="729"/>
      <c r="AE135" s="729"/>
      <c r="AF135" s="729"/>
      <c r="AG135" s="729"/>
      <c r="AH135" s="729"/>
      <c r="AI135" s="729"/>
      <c r="AJ135" s="729"/>
      <c r="AK135" s="729"/>
      <c r="AL135" s="729"/>
      <c r="AM135" s="729"/>
      <c r="AN135" s="729"/>
      <c r="AO135" s="729"/>
      <c r="AP135" s="732"/>
      <c r="AQ135" s="732"/>
      <c r="AR135" s="732"/>
      <c r="AS135" s="732"/>
      <c r="AT135" s="732"/>
      <c r="AU135" s="732"/>
      <c r="AV135" s="729"/>
    </row>
    <row r="136" spans="1:48" s="237" customFormat="1" ht="15" customHeight="1" outlineLevel="1" x14ac:dyDescent="0.35">
      <c r="A136" s="833"/>
      <c r="B136" s="833" t="s">
        <v>1450</v>
      </c>
      <c r="C136" s="833"/>
      <c r="D136" s="833"/>
      <c r="E136" s="833"/>
      <c r="F136" s="833"/>
      <c r="G136" s="833"/>
      <c r="H136" s="833"/>
      <c r="I136" s="833"/>
      <c r="J136" s="833"/>
      <c r="K136" s="833"/>
      <c r="L136" s="833"/>
      <c r="M136" s="833"/>
      <c r="N136" s="833"/>
      <c r="O136" s="833"/>
      <c r="P136" s="833"/>
      <c r="Q136" s="833"/>
      <c r="R136" s="833"/>
      <c r="S136" s="833"/>
      <c r="T136" s="833"/>
      <c r="U136" s="833"/>
      <c r="V136" s="833"/>
      <c r="W136" s="833"/>
      <c r="X136" s="833"/>
      <c r="Y136" s="833"/>
      <c r="Z136" s="833"/>
      <c r="AA136" s="833"/>
      <c r="AB136" s="833"/>
      <c r="AC136" s="833"/>
      <c r="AD136" s="833"/>
      <c r="AE136" s="833"/>
      <c r="AF136" s="833"/>
      <c r="AG136" s="833"/>
      <c r="AH136" s="833"/>
      <c r="AI136" s="833"/>
      <c r="AJ136" s="833"/>
      <c r="AK136" s="833"/>
      <c r="AL136" s="833"/>
      <c r="AM136" s="833"/>
      <c r="AN136" s="833"/>
      <c r="AO136" s="833"/>
      <c r="AP136" s="836"/>
      <c r="AQ136" s="836"/>
      <c r="AR136" s="836"/>
      <c r="AS136" s="836"/>
      <c r="AT136" s="836"/>
      <c r="AU136" s="836"/>
      <c r="AV136" s="833"/>
    </row>
    <row r="137" spans="1:48" s="237" customFormat="1" ht="15" customHeight="1" outlineLevel="1" x14ac:dyDescent="0.35">
      <c r="A137" s="729"/>
      <c r="B137" s="729"/>
      <c r="C137" s="752" t="s">
        <v>1451</v>
      </c>
      <c r="D137" s="729"/>
      <c r="E137" s="729"/>
      <c r="F137" s="729"/>
      <c r="G137" s="729"/>
      <c r="H137" s="729"/>
      <c r="I137" s="729"/>
      <c r="J137" s="729"/>
      <c r="K137" s="729"/>
      <c r="L137" s="729"/>
      <c r="M137" s="729"/>
      <c r="N137" s="729"/>
      <c r="O137" s="729"/>
      <c r="P137" s="729"/>
      <c r="Q137" s="729"/>
      <c r="R137" s="729"/>
      <c r="S137" s="729"/>
      <c r="T137" s="729"/>
      <c r="U137" s="729"/>
      <c r="V137" s="729"/>
      <c r="W137" s="729"/>
      <c r="X137" s="729"/>
      <c r="Y137" s="729"/>
      <c r="Z137" s="729"/>
      <c r="AA137" s="729"/>
      <c r="AB137" s="729"/>
      <c r="AC137" s="729"/>
      <c r="AD137" s="729"/>
      <c r="AE137" s="729"/>
      <c r="AF137" s="729"/>
      <c r="AG137" s="729"/>
      <c r="AH137" s="729"/>
      <c r="AI137" s="729"/>
      <c r="AJ137" s="729"/>
      <c r="AK137" s="729"/>
      <c r="AL137" s="729"/>
      <c r="AM137" s="729"/>
      <c r="AN137" s="729"/>
      <c r="AO137" s="729"/>
      <c r="AP137" s="732"/>
      <c r="AQ137" s="732"/>
      <c r="AR137" s="732"/>
      <c r="AS137" s="732"/>
      <c r="AT137" s="732"/>
      <c r="AU137" s="732"/>
      <c r="AV137" s="729"/>
    </row>
    <row r="138" spans="1:48" s="237" customFormat="1" ht="15" customHeight="1" outlineLevel="1" x14ac:dyDescent="0.35">
      <c r="A138" s="729"/>
      <c r="B138" s="729"/>
      <c r="C138" s="837" t="s">
        <v>1452</v>
      </c>
      <c r="D138" s="1326" t="s">
        <v>1437</v>
      </c>
      <c r="E138" s="1327"/>
      <c r="F138" s="838"/>
      <c r="G138" s="729"/>
      <c r="H138" s="729"/>
      <c r="I138" s="729"/>
      <c r="J138" s="729"/>
      <c r="K138" s="729"/>
      <c r="L138" s="729"/>
      <c r="M138" s="729"/>
      <c r="N138" s="729"/>
      <c r="O138" s="729"/>
      <c r="P138" s="729"/>
      <c r="Q138" s="729"/>
      <c r="R138" s="729"/>
      <c r="S138" s="729"/>
      <c r="T138" s="729"/>
      <c r="U138" s="729"/>
      <c r="V138" s="729"/>
      <c r="W138" s="729"/>
      <c r="X138" s="729"/>
      <c r="Y138" s="729"/>
      <c r="Z138" s="729"/>
      <c r="AA138" s="729"/>
      <c r="AB138" s="729"/>
      <c r="AC138" s="729"/>
      <c r="AD138" s="729"/>
      <c r="AE138" s="729"/>
      <c r="AF138" s="729"/>
      <c r="AG138" s="729"/>
      <c r="AH138" s="729"/>
      <c r="AI138" s="729"/>
      <c r="AJ138" s="729"/>
      <c r="AK138" s="729"/>
      <c r="AL138" s="729"/>
      <c r="AM138" s="729"/>
      <c r="AN138" s="729"/>
      <c r="AO138" s="729"/>
      <c r="AP138" s="732"/>
      <c r="AQ138" s="732"/>
      <c r="AR138" s="732"/>
      <c r="AS138" s="732"/>
      <c r="AT138" s="732"/>
      <c r="AU138" s="732"/>
      <c r="AV138" s="729"/>
    </row>
    <row r="139" spans="1:48" s="237" customFormat="1" ht="15" customHeight="1" outlineLevel="1" x14ac:dyDescent="0.25">
      <c r="A139" s="729"/>
      <c r="B139" s="729"/>
      <c r="C139" s="816" t="s">
        <v>1968</v>
      </c>
      <c r="D139" s="729"/>
      <c r="E139" s="729"/>
      <c r="F139" s="729"/>
      <c r="G139" s="729"/>
      <c r="H139" s="729"/>
      <c r="I139" s="729"/>
      <c r="J139" s="729"/>
      <c r="K139" s="729"/>
      <c r="L139" s="729"/>
      <c r="M139" s="729"/>
      <c r="N139" s="729"/>
      <c r="O139" s="729"/>
      <c r="P139" s="729"/>
      <c r="Q139" s="729"/>
      <c r="R139" s="729"/>
      <c r="S139" s="729"/>
      <c r="T139" s="729"/>
      <c r="U139" s="729"/>
      <c r="V139" s="729"/>
      <c r="W139" s="729"/>
      <c r="X139" s="729"/>
      <c r="Y139" s="729"/>
      <c r="Z139" s="729"/>
      <c r="AA139" s="729"/>
      <c r="AB139" s="729"/>
      <c r="AC139" s="729"/>
      <c r="AD139" s="729"/>
      <c r="AE139" s="729"/>
      <c r="AF139" s="729"/>
      <c r="AG139" s="729"/>
      <c r="AH139" s="729"/>
      <c r="AI139" s="729"/>
      <c r="AJ139" s="729"/>
      <c r="AK139" s="729"/>
      <c r="AL139" s="729"/>
      <c r="AM139" s="729"/>
      <c r="AN139" s="729"/>
      <c r="AO139" s="729"/>
      <c r="AP139" s="732"/>
      <c r="AQ139" s="732"/>
      <c r="AR139" s="732"/>
      <c r="AS139" s="732"/>
      <c r="AT139" s="732"/>
      <c r="AU139" s="732"/>
      <c r="AV139" s="729"/>
    </row>
    <row r="140" spans="1:48" s="237" customFormat="1" ht="15" customHeight="1" outlineLevel="1" x14ac:dyDescent="0.25">
      <c r="A140" s="729"/>
      <c r="B140" s="729"/>
      <c r="C140" s="817"/>
      <c r="D140" s="729"/>
      <c r="E140" s="729"/>
      <c r="F140" s="729"/>
      <c r="G140" s="729"/>
      <c r="H140" s="729"/>
      <c r="I140" s="729"/>
      <c r="J140" s="729"/>
      <c r="K140" s="729"/>
      <c r="L140" s="729"/>
      <c r="M140" s="729"/>
      <c r="N140" s="729"/>
      <c r="O140" s="729"/>
      <c r="P140" s="729"/>
      <c r="Q140" s="729"/>
      <c r="R140" s="729"/>
      <c r="S140" s="729"/>
      <c r="T140" s="729"/>
      <c r="U140" s="729"/>
      <c r="V140" s="729"/>
      <c r="W140" s="729"/>
      <c r="X140" s="729"/>
      <c r="Y140" s="729"/>
      <c r="Z140" s="729"/>
      <c r="AA140" s="729"/>
      <c r="AB140" s="729"/>
      <c r="AC140" s="729"/>
      <c r="AD140" s="729"/>
      <c r="AE140" s="729"/>
      <c r="AF140" s="729"/>
      <c r="AG140" s="729"/>
      <c r="AH140" s="729"/>
      <c r="AI140" s="729"/>
      <c r="AJ140" s="729"/>
      <c r="AK140" s="729"/>
      <c r="AL140" s="729"/>
      <c r="AM140" s="729"/>
      <c r="AN140" s="729"/>
      <c r="AO140" s="729"/>
      <c r="AP140" s="732"/>
      <c r="AQ140" s="732"/>
      <c r="AR140" s="732"/>
      <c r="AS140" s="732"/>
      <c r="AT140" s="732"/>
      <c r="AU140" s="732"/>
      <c r="AV140" s="729"/>
    </row>
    <row r="141" spans="1:48" s="237" customFormat="1" ht="15" customHeight="1" outlineLevel="1" x14ac:dyDescent="0.25">
      <c r="A141" s="729"/>
      <c r="B141" s="729"/>
      <c r="C141" s="759" t="s">
        <v>43</v>
      </c>
      <c r="D141" s="818"/>
      <c r="E141" s="839"/>
      <c r="F141" s="729"/>
      <c r="G141" s="729"/>
      <c r="H141" s="729"/>
      <c r="I141" s="729"/>
      <c r="J141" s="729"/>
      <c r="K141" s="729"/>
      <c r="L141" s="729"/>
      <c r="M141" s="729"/>
      <c r="N141" s="729"/>
      <c r="O141" s="729"/>
      <c r="P141" s="729"/>
      <c r="Q141" s="729"/>
      <c r="R141" s="729"/>
      <c r="S141" s="729"/>
      <c r="T141" s="729"/>
      <c r="U141" s="729"/>
      <c r="V141" s="729"/>
      <c r="W141" s="729"/>
      <c r="X141" s="729"/>
      <c r="Y141" s="729"/>
      <c r="Z141" s="729"/>
      <c r="AA141" s="729"/>
      <c r="AB141" s="729"/>
      <c r="AC141" s="729"/>
      <c r="AD141" s="729"/>
      <c r="AE141" s="729"/>
      <c r="AF141" s="729"/>
      <c r="AG141" s="729"/>
      <c r="AH141" s="729"/>
      <c r="AI141" s="729"/>
      <c r="AJ141" s="729"/>
      <c r="AK141" s="729"/>
      <c r="AL141" s="729"/>
      <c r="AM141" s="729"/>
      <c r="AN141" s="729"/>
      <c r="AO141" s="729"/>
      <c r="AP141" s="732"/>
      <c r="AQ141" s="732"/>
      <c r="AR141" s="732"/>
      <c r="AS141" s="732"/>
      <c r="AT141" s="732"/>
      <c r="AU141" s="732"/>
      <c r="AV141" s="729"/>
    </row>
    <row r="142" spans="1:48" s="237" customFormat="1" ht="15" customHeight="1" outlineLevel="1" x14ac:dyDescent="0.25">
      <c r="A142" s="729"/>
      <c r="B142" s="729"/>
      <c r="C142" s="819"/>
      <c r="D142" s="729"/>
      <c r="E142" s="729"/>
      <c r="F142" s="729"/>
      <c r="G142" s="729"/>
      <c r="H142" s="729"/>
      <c r="I142" s="729"/>
      <c r="J142" s="729"/>
      <c r="K142" s="729"/>
      <c r="L142" s="729"/>
      <c r="M142" s="729"/>
      <c r="N142" s="729"/>
      <c r="O142" s="729"/>
      <c r="P142" s="729"/>
      <c r="Q142" s="729"/>
      <c r="R142" s="729"/>
      <c r="S142" s="729"/>
      <c r="T142" s="729"/>
      <c r="U142" s="729"/>
      <c r="V142" s="729"/>
      <c r="W142" s="729"/>
      <c r="X142" s="729"/>
      <c r="Y142" s="729"/>
      <c r="Z142" s="729"/>
      <c r="AA142" s="729"/>
      <c r="AB142" s="729"/>
      <c r="AC142" s="729"/>
      <c r="AD142" s="729"/>
      <c r="AE142" s="729"/>
      <c r="AF142" s="729"/>
      <c r="AG142" s="729"/>
      <c r="AH142" s="729"/>
      <c r="AI142" s="729"/>
      <c r="AJ142" s="729"/>
      <c r="AK142" s="729"/>
      <c r="AL142" s="729"/>
      <c r="AM142" s="729"/>
      <c r="AN142" s="729"/>
      <c r="AO142" s="729"/>
      <c r="AP142" s="732"/>
      <c r="AQ142" s="732"/>
      <c r="AR142" s="732"/>
      <c r="AS142" s="732"/>
      <c r="AT142" s="732"/>
      <c r="AU142" s="732"/>
      <c r="AV142" s="729"/>
    </row>
    <row r="143" spans="1:48" s="237" customFormat="1" ht="15" customHeight="1" outlineLevel="1" x14ac:dyDescent="0.25">
      <c r="A143" s="729"/>
      <c r="B143" s="729"/>
      <c r="C143" s="819"/>
      <c r="D143" s="729"/>
      <c r="E143" s="729"/>
      <c r="F143" s="729"/>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c r="AJ143" s="729"/>
      <c r="AK143" s="729"/>
      <c r="AL143" s="729"/>
      <c r="AM143" s="729"/>
      <c r="AN143" s="729"/>
      <c r="AO143" s="729"/>
      <c r="AP143" s="732"/>
      <c r="AQ143" s="732"/>
      <c r="AR143" s="732"/>
      <c r="AS143" s="732"/>
      <c r="AT143" s="732"/>
      <c r="AU143" s="732"/>
      <c r="AV143" s="729"/>
    </row>
    <row r="144" spans="1:48" s="237" customFormat="1" ht="15" customHeight="1" outlineLevel="1" x14ac:dyDescent="0.25">
      <c r="A144" s="729"/>
      <c r="B144" s="727" t="s">
        <v>268</v>
      </c>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c r="AJ144" s="729"/>
      <c r="AK144" s="729"/>
      <c r="AL144" s="729"/>
      <c r="AM144" s="729"/>
      <c r="AN144" s="729"/>
      <c r="AO144" s="729"/>
      <c r="AP144" s="732"/>
      <c r="AQ144" s="732"/>
      <c r="AR144" s="732"/>
      <c r="AS144" s="732"/>
      <c r="AT144" s="732"/>
      <c r="AU144" s="732"/>
      <c r="AV144" s="729"/>
    </row>
    <row r="145" spans="1:48" s="237" customFormat="1" ht="15" customHeight="1" outlineLevel="1" x14ac:dyDescent="0.25">
      <c r="A145" s="729"/>
      <c r="B145" s="727"/>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c r="AJ145" s="729"/>
      <c r="AK145" s="729"/>
      <c r="AL145" s="729"/>
      <c r="AM145" s="729"/>
      <c r="AN145" s="729"/>
      <c r="AO145" s="729"/>
      <c r="AP145" s="732"/>
      <c r="AQ145" s="732"/>
      <c r="AR145" s="732"/>
      <c r="AS145" s="732"/>
      <c r="AT145" s="732"/>
      <c r="AU145" s="732"/>
      <c r="AV145" s="729"/>
    </row>
    <row r="146" spans="1:48" s="237" customFormat="1" ht="15" customHeight="1" outlineLevel="1" x14ac:dyDescent="0.35">
      <c r="A146" s="729"/>
      <c r="B146" s="729"/>
      <c r="C146" s="757" t="s">
        <v>1453</v>
      </c>
      <c r="D146" s="800" t="s">
        <v>1439</v>
      </c>
      <c r="E146" s="840">
        <f>($F$127*IF($F$133=0, 4,$F$133)*(10^(-3)))-$F$138</f>
        <v>0</v>
      </c>
      <c r="F146" s="729" t="str">
        <f>IF($E$146&lt;0, " O dado de CH4 recuperado é maior que o de CH4 gerado. Insira um dado válido.","")</f>
        <v/>
      </c>
      <c r="G146" s="729"/>
      <c r="H146" s="729"/>
      <c r="I146" s="729"/>
      <c r="J146" s="729"/>
      <c r="K146" s="729"/>
      <c r="L146" s="729"/>
      <c r="M146" s="729"/>
      <c r="N146" s="729"/>
      <c r="O146" s="729"/>
      <c r="P146" s="729"/>
      <c r="Q146" s="729"/>
      <c r="R146" s="729"/>
      <c r="S146" s="729"/>
      <c r="T146" s="729"/>
      <c r="U146" s="729"/>
      <c r="V146" s="729"/>
      <c r="W146" s="729"/>
      <c r="X146" s="729"/>
      <c r="Y146" s="729"/>
      <c r="Z146" s="729"/>
      <c r="AA146" s="729"/>
      <c r="AB146" s="729"/>
      <c r="AC146" s="729"/>
      <c r="AD146" s="729"/>
      <c r="AE146" s="729"/>
      <c r="AF146" s="729"/>
      <c r="AG146" s="729"/>
      <c r="AH146" s="729"/>
      <c r="AI146" s="729"/>
      <c r="AJ146" s="729"/>
      <c r="AK146" s="729"/>
      <c r="AL146" s="729"/>
      <c r="AM146" s="729"/>
      <c r="AN146" s="729"/>
      <c r="AO146" s="729"/>
      <c r="AP146" s="732"/>
      <c r="AQ146" s="732"/>
      <c r="AR146" s="732"/>
      <c r="AS146" s="732"/>
      <c r="AT146" s="732"/>
      <c r="AU146" s="732"/>
      <c r="AV146" s="729"/>
    </row>
    <row r="147" spans="1:48" s="237" customFormat="1" ht="15" customHeight="1" outlineLevel="1" x14ac:dyDescent="0.35">
      <c r="A147" s="729"/>
      <c r="B147" s="729"/>
      <c r="C147" s="841" t="s">
        <v>1454</v>
      </c>
      <c r="D147" s="842" t="s">
        <v>1455</v>
      </c>
      <c r="E147" s="843">
        <f>$F$127*IF($F$134=0,0.3,$F$134)*(10^(-3))</f>
        <v>0</v>
      </c>
      <c r="G147" s="729"/>
      <c r="H147" s="729"/>
      <c r="I147" s="729"/>
      <c r="J147" s="729"/>
      <c r="K147" s="729"/>
      <c r="L147" s="729"/>
      <c r="M147" s="729"/>
      <c r="N147" s="729"/>
      <c r="O147" s="729"/>
      <c r="P147" s="729"/>
      <c r="Q147" s="729"/>
      <c r="R147" s="729"/>
      <c r="S147" s="729"/>
      <c r="T147" s="729"/>
      <c r="U147" s="729"/>
      <c r="V147" s="729"/>
      <c r="W147" s="729"/>
      <c r="X147" s="729"/>
      <c r="Y147" s="729"/>
      <c r="Z147" s="729"/>
      <c r="AA147" s="729"/>
      <c r="AB147" s="729"/>
      <c r="AC147" s="729"/>
      <c r="AD147" s="729"/>
      <c r="AE147" s="729"/>
      <c r="AF147" s="729"/>
      <c r="AG147" s="729"/>
      <c r="AH147" s="729"/>
      <c r="AI147" s="729"/>
      <c r="AJ147" s="729"/>
      <c r="AK147" s="729"/>
      <c r="AL147" s="729"/>
      <c r="AM147" s="729"/>
      <c r="AN147" s="729"/>
      <c r="AO147" s="729"/>
      <c r="AP147" s="732"/>
      <c r="AQ147" s="732"/>
      <c r="AR147" s="732"/>
      <c r="AS147" s="732"/>
      <c r="AT147" s="732"/>
      <c r="AU147" s="732"/>
      <c r="AV147" s="729"/>
    </row>
    <row r="148" spans="1:48" s="237" customFormat="1" ht="15" customHeight="1" outlineLevel="1" x14ac:dyDescent="0.35">
      <c r="A148" s="729"/>
      <c r="B148" s="729"/>
      <c r="C148" s="757" t="s">
        <v>1456</v>
      </c>
      <c r="D148" s="800" t="s">
        <v>1440</v>
      </c>
      <c r="E148" s="843">
        <f>IF(E146&lt;0,0,(E146*gwp_CH4+E147*gwp_N2O))</f>
        <v>0</v>
      </c>
      <c r="F148" s="729"/>
      <c r="G148" s="729"/>
      <c r="H148" s="729"/>
      <c r="I148" s="729"/>
      <c r="J148" s="729"/>
      <c r="K148" s="729"/>
      <c r="L148" s="729"/>
      <c r="M148" s="729"/>
      <c r="N148" s="729"/>
      <c r="O148" s="729"/>
      <c r="P148" s="729"/>
      <c r="Q148" s="729"/>
      <c r="R148" s="729"/>
      <c r="S148" s="729"/>
      <c r="T148" s="729"/>
      <c r="U148" s="729"/>
      <c r="V148" s="729"/>
      <c r="W148" s="729"/>
      <c r="X148" s="729"/>
      <c r="Y148" s="729"/>
      <c r="Z148" s="729"/>
      <c r="AA148" s="729"/>
      <c r="AB148" s="729"/>
      <c r="AC148" s="729"/>
      <c r="AD148" s="729"/>
      <c r="AE148" s="729"/>
      <c r="AF148" s="729"/>
      <c r="AG148" s="729"/>
      <c r="AH148" s="729"/>
      <c r="AI148" s="729"/>
      <c r="AJ148" s="729"/>
      <c r="AK148" s="729"/>
      <c r="AL148" s="729"/>
      <c r="AM148" s="729"/>
      <c r="AN148" s="729"/>
      <c r="AO148" s="729"/>
      <c r="AP148" s="732"/>
      <c r="AQ148" s="732"/>
      <c r="AR148" s="732"/>
      <c r="AS148" s="732"/>
      <c r="AT148" s="732"/>
      <c r="AU148" s="732"/>
      <c r="AV148" s="729"/>
    </row>
    <row r="149" spans="1:48" s="237" customFormat="1" ht="15" customHeight="1" outlineLevel="1" x14ac:dyDescent="0.35">
      <c r="A149" s="729"/>
      <c r="B149" s="729"/>
      <c r="C149" s="780" t="s">
        <v>1969</v>
      </c>
      <c r="D149" s="800" t="s">
        <v>1441</v>
      </c>
      <c r="E149" s="843">
        <f>IF($D$141=$BI$48,$F$138*(44/16),0)</f>
        <v>0</v>
      </c>
      <c r="F149" s="729"/>
      <c r="G149" s="729"/>
      <c r="H149" s="729"/>
      <c r="I149" s="729"/>
      <c r="J149" s="729"/>
      <c r="K149" s="729"/>
      <c r="L149" s="729"/>
      <c r="M149" s="729"/>
      <c r="N149" s="729"/>
      <c r="O149" s="729"/>
      <c r="P149" s="729"/>
      <c r="Q149" s="729"/>
      <c r="R149" s="729"/>
      <c r="S149" s="729"/>
      <c r="T149" s="729"/>
      <c r="U149" s="729"/>
      <c r="V149" s="729"/>
      <c r="W149" s="729"/>
      <c r="X149" s="729"/>
      <c r="Y149" s="729"/>
      <c r="Z149" s="729"/>
      <c r="AA149" s="729"/>
      <c r="AB149" s="729"/>
      <c r="AC149" s="729"/>
      <c r="AD149" s="729"/>
      <c r="AE149" s="729"/>
      <c r="AF149" s="729"/>
      <c r="AG149" s="729"/>
      <c r="AH149" s="729"/>
      <c r="AI149" s="729"/>
      <c r="AJ149" s="729"/>
      <c r="AK149" s="729"/>
      <c r="AL149" s="729"/>
      <c r="AM149" s="729"/>
      <c r="AN149" s="729"/>
      <c r="AO149" s="729"/>
      <c r="AP149" s="732"/>
      <c r="AQ149" s="732"/>
      <c r="AR149" s="732"/>
      <c r="AS149" s="732"/>
      <c r="AT149" s="732"/>
      <c r="AU149" s="732"/>
      <c r="AV149" s="729"/>
    </row>
    <row r="150" spans="1:48" s="237" customFormat="1" ht="15" customHeight="1" collapsed="1" x14ac:dyDescent="0.25">
      <c r="A150" s="729"/>
      <c r="B150" s="729"/>
      <c r="C150" s="729"/>
      <c r="D150" s="727"/>
      <c r="E150" s="731"/>
      <c r="F150" s="731"/>
      <c r="G150" s="729"/>
      <c r="H150" s="729"/>
      <c r="I150" s="729"/>
      <c r="J150" s="729"/>
      <c r="K150" s="729"/>
      <c r="L150" s="729"/>
      <c r="M150" s="729"/>
      <c r="N150" s="729"/>
      <c r="O150" s="729"/>
      <c r="P150" s="729"/>
      <c r="Q150" s="729"/>
      <c r="R150" s="729"/>
      <c r="S150" s="729"/>
      <c r="T150" s="729"/>
      <c r="U150" s="729"/>
      <c r="V150" s="729"/>
      <c r="W150" s="729"/>
      <c r="X150" s="729"/>
      <c r="Y150" s="729"/>
      <c r="Z150" s="729"/>
      <c r="AA150" s="729"/>
      <c r="AB150" s="729"/>
      <c r="AC150" s="729"/>
      <c r="AD150" s="729"/>
      <c r="AE150" s="729"/>
      <c r="AF150" s="729"/>
      <c r="AG150" s="729"/>
      <c r="AH150" s="729"/>
      <c r="AI150" s="729"/>
      <c r="AJ150" s="729"/>
      <c r="AK150" s="729"/>
      <c r="AL150" s="729"/>
      <c r="AM150" s="729"/>
      <c r="AN150" s="729"/>
      <c r="AO150" s="729"/>
      <c r="AP150" s="732"/>
      <c r="AQ150" s="732"/>
      <c r="AR150" s="732"/>
      <c r="AS150" s="732"/>
      <c r="AT150" s="732"/>
      <c r="AU150" s="732"/>
      <c r="AV150" s="729"/>
    </row>
    <row r="151" spans="1:48" s="463" customFormat="1" ht="18" customHeight="1" x14ac:dyDescent="0.3">
      <c r="A151" s="458"/>
      <c r="B151" s="733" t="s">
        <v>46</v>
      </c>
      <c r="C151" s="459"/>
      <c r="D151" s="460"/>
      <c r="E151" s="460"/>
      <c r="F151" s="460"/>
      <c r="G151" s="461"/>
      <c r="H151" s="461"/>
      <c r="I151" s="461"/>
      <c r="J151" s="461"/>
      <c r="K151" s="461"/>
      <c r="L151" s="461"/>
      <c r="M151" s="461"/>
      <c r="N151" s="461"/>
      <c r="O151" s="461"/>
      <c r="P151" s="461"/>
      <c r="Q151" s="461"/>
      <c r="R151" s="461"/>
      <c r="S151" s="461"/>
      <c r="T151" s="461"/>
      <c r="U151" s="461"/>
      <c r="V151" s="461"/>
      <c r="W151" s="461"/>
      <c r="X151" s="461"/>
      <c r="Y151" s="461"/>
      <c r="Z151" s="461"/>
      <c r="AA151" s="461"/>
      <c r="AB151" s="830"/>
      <c r="AC151" s="830"/>
      <c r="AD151" s="830"/>
      <c r="AE151" s="830"/>
      <c r="AF151" s="830"/>
      <c r="AG151" s="830"/>
      <c r="AH151" s="830"/>
      <c r="AI151" s="830"/>
      <c r="AJ151" s="830"/>
      <c r="AK151" s="830"/>
      <c r="AL151" s="830"/>
      <c r="AM151" s="830"/>
      <c r="AN151" s="830"/>
      <c r="AO151" s="830"/>
      <c r="AP151" s="831"/>
      <c r="AQ151" s="831"/>
      <c r="AR151" s="831"/>
      <c r="AS151" s="831"/>
      <c r="AT151" s="831"/>
      <c r="AU151" s="831"/>
      <c r="AV151" s="832"/>
    </row>
    <row r="152" spans="1:48" ht="15" customHeight="1" outlineLevel="1" x14ac:dyDescent="0.2">
      <c r="A152" s="690"/>
      <c r="B152" s="690"/>
      <c r="C152" s="690"/>
      <c r="D152" s="695"/>
      <c r="E152" s="703"/>
      <c r="F152" s="703"/>
      <c r="G152" s="690"/>
      <c r="H152" s="690"/>
      <c r="I152" s="690"/>
      <c r="J152" s="690"/>
      <c r="K152" s="690"/>
      <c r="L152" s="690"/>
      <c r="M152" s="690"/>
      <c r="N152" s="690"/>
      <c r="O152" s="690"/>
      <c r="P152" s="690"/>
      <c r="Q152" s="690"/>
      <c r="R152" s="690"/>
      <c r="S152" s="690"/>
      <c r="T152" s="690"/>
      <c r="U152" s="690"/>
      <c r="V152" s="690"/>
      <c r="W152" s="690"/>
      <c r="X152" s="690"/>
      <c r="Y152" s="690"/>
      <c r="Z152" s="690"/>
      <c r="AA152" s="690"/>
      <c r="AB152" s="690"/>
      <c r="AC152" s="690"/>
      <c r="AD152" s="690"/>
      <c r="AE152" s="690"/>
      <c r="AF152" s="690"/>
      <c r="AG152" s="690"/>
      <c r="AH152" s="690"/>
      <c r="AI152" s="690"/>
      <c r="AJ152" s="690"/>
      <c r="AK152" s="690"/>
      <c r="AL152" s="690"/>
      <c r="AM152" s="690"/>
      <c r="AN152" s="690"/>
      <c r="AO152" s="690"/>
      <c r="AP152" s="698"/>
      <c r="AQ152" s="698"/>
      <c r="AR152" s="698"/>
      <c r="AS152" s="698"/>
      <c r="AT152" s="698"/>
      <c r="AU152" s="698"/>
      <c r="AV152" s="690"/>
    </row>
    <row r="153" spans="1:48" ht="15" customHeight="1" outlineLevel="1" x14ac:dyDescent="0.25">
      <c r="A153" s="690"/>
      <c r="B153" s="728" t="s">
        <v>124</v>
      </c>
      <c r="C153" s="690"/>
      <c r="D153" s="695"/>
      <c r="E153" s="703"/>
      <c r="F153" s="703"/>
      <c r="G153" s="690"/>
      <c r="H153" s="690"/>
      <c r="I153" s="690"/>
      <c r="J153" s="690"/>
      <c r="K153" s="690"/>
      <c r="L153" s="690"/>
      <c r="M153" s="690"/>
      <c r="N153" s="690"/>
      <c r="O153" s="690"/>
      <c r="P153" s="690"/>
      <c r="Q153" s="690"/>
      <c r="R153" s="690"/>
      <c r="S153" s="690"/>
      <c r="T153" s="690"/>
      <c r="U153" s="690"/>
      <c r="V153" s="690"/>
      <c r="W153" s="690"/>
      <c r="X153" s="690"/>
      <c r="Y153" s="690"/>
      <c r="Z153" s="690"/>
      <c r="AA153" s="690"/>
      <c r="AB153" s="690"/>
      <c r="AC153" s="690"/>
      <c r="AD153" s="690"/>
      <c r="AE153" s="690"/>
      <c r="AF153" s="690"/>
      <c r="AG153" s="690"/>
      <c r="AH153" s="690"/>
      <c r="AI153" s="690"/>
      <c r="AJ153" s="690"/>
      <c r="AK153" s="690"/>
      <c r="AL153" s="690"/>
      <c r="AM153" s="690"/>
      <c r="AN153" s="690"/>
      <c r="AO153" s="690"/>
      <c r="AP153" s="698"/>
      <c r="AQ153" s="698"/>
      <c r="AR153" s="698"/>
      <c r="AS153" s="698"/>
      <c r="AT153" s="698"/>
      <c r="AU153" s="698"/>
      <c r="AV153" s="690"/>
    </row>
    <row r="154" spans="1:48" s="237" customFormat="1" ht="15" customHeight="1" outlineLevel="1" x14ac:dyDescent="0.25">
      <c r="A154" s="729"/>
      <c r="B154" s="1331" t="s">
        <v>1963</v>
      </c>
      <c r="C154" s="1331"/>
      <c r="D154" s="1331"/>
      <c r="E154" s="1331"/>
      <c r="F154" s="1331"/>
      <c r="G154" s="1331"/>
      <c r="H154" s="1331"/>
      <c r="I154" s="729"/>
      <c r="J154" s="729"/>
      <c r="K154" s="729"/>
      <c r="L154" s="729"/>
      <c r="M154" s="729"/>
      <c r="N154" s="729"/>
      <c r="O154" s="729"/>
      <c r="P154" s="729"/>
      <c r="Q154" s="729"/>
      <c r="R154" s="729"/>
      <c r="S154" s="729"/>
      <c r="T154" s="729"/>
      <c r="U154" s="729"/>
      <c r="V154" s="729"/>
      <c r="W154" s="729"/>
      <c r="X154" s="729"/>
      <c r="Y154" s="729"/>
      <c r="Z154" s="729"/>
      <c r="AA154" s="729"/>
      <c r="AB154" s="729"/>
      <c r="AC154" s="729"/>
      <c r="AD154" s="729"/>
      <c r="AE154" s="729"/>
      <c r="AF154" s="729"/>
      <c r="AG154" s="729"/>
      <c r="AH154" s="729"/>
      <c r="AI154" s="729"/>
      <c r="AJ154" s="729"/>
      <c r="AK154" s="729"/>
      <c r="AL154" s="729"/>
      <c r="AM154" s="729"/>
      <c r="AN154" s="729"/>
      <c r="AO154" s="729"/>
      <c r="AP154" s="732"/>
      <c r="AQ154" s="732"/>
      <c r="AR154" s="732"/>
      <c r="AS154" s="732"/>
      <c r="AT154" s="732"/>
      <c r="AU154" s="732"/>
      <c r="AV154" s="729"/>
    </row>
    <row r="155" spans="1:48" s="237" customFormat="1" ht="15" customHeight="1" outlineLevel="1" x14ac:dyDescent="0.25">
      <c r="A155" s="729"/>
      <c r="B155" s="1331"/>
      <c r="C155" s="1331"/>
      <c r="D155" s="1331"/>
      <c r="E155" s="1331"/>
      <c r="F155" s="1331"/>
      <c r="G155" s="1331"/>
      <c r="H155" s="1331"/>
      <c r="I155" s="729"/>
      <c r="J155" s="729"/>
      <c r="K155" s="729"/>
      <c r="L155" s="729"/>
      <c r="M155" s="729"/>
      <c r="N155" s="729"/>
      <c r="O155" s="729"/>
      <c r="P155" s="729"/>
      <c r="Q155" s="729"/>
      <c r="R155" s="729"/>
      <c r="S155" s="729"/>
      <c r="T155" s="729"/>
      <c r="U155" s="729"/>
      <c r="V155" s="729"/>
      <c r="W155" s="729"/>
      <c r="X155" s="729"/>
      <c r="Y155" s="729"/>
      <c r="Z155" s="729"/>
      <c r="AA155" s="729"/>
      <c r="AB155" s="729"/>
      <c r="AC155" s="729"/>
      <c r="AD155" s="729"/>
      <c r="AE155" s="729"/>
      <c r="AF155" s="729"/>
      <c r="AG155" s="729"/>
      <c r="AH155" s="729"/>
      <c r="AI155" s="729"/>
      <c r="AJ155" s="729"/>
      <c r="AK155" s="729"/>
      <c r="AL155" s="729"/>
      <c r="AM155" s="729"/>
      <c r="AN155" s="729"/>
      <c r="AO155" s="729"/>
      <c r="AP155" s="732"/>
      <c r="AQ155" s="732"/>
      <c r="AR155" s="732"/>
      <c r="AS155" s="732"/>
      <c r="AT155" s="732"/>
      <c r="AU155" s="732"/>
      <c r="AV155" s="729"/>
    </row>
    <row r="156" spans="1:48" s="237" customFormat="1" ht="15" customHeight="1" outlineLevel="1" x14ac:dyDescent="0.25">
      <c r="A156" s="729"/>
      <c r="B156" s="1325" t="s">
        <v>1962</v>
      </c>
      <c r="C156" s="1325"/>
      <c r="D156" s="1325"/>
      <c r="E156" s="1325"/>
      <c r="F156" s="1325"/>
      <c r="G156" s="1325"/>
      <c r="H156" s="729"/>
      <c r="I156" s="729"/>
      <c r="J156" s="729"/>
      <c r="K156" s="729"/>
      <c r="L156" s="729"/>
      <c r="M156" s="729"/>
      <c r="N156" s="729"/>
      <c r="O156" s="729"/>
      <c r="P156" s="729"/>
      <c r="Q156" s="729"/>
      <c r="R156" s="729"/>
      <c r="S156" s="729"/>
      <c r="T156" s="729"/>
      <c r="U156" s="729"/>
      <c r="V156" s="729"/>
      <c r="W156" s="729"/>
      <c r="X156" s="729"/>
      <c r="Y156" s="729"/>
      <c r="Z156" s="729"/>
      <c r="AA156" s="729"/>
      <c r="AB156" s="729"/>
      <c r="AC156" s="729"/>
      <c r="AD156" s="729"/>
      <c r="AE156" s="729"/>
      <c r="AF156" s="729"/>
      <c r="AG156" s="729"/>
      <c r="AH156" s="729"/>
      <c r="AI156" s="729"/>
      <c r="AJ156" s="729"/>
      <c r="AK156" s="729"/>
      <c r="AL156" s="729"/>
      <c r="AM156" s="729"/>
      <c r="AN156" s="729"/>
      <c r="AO156" s="729"/>
      <c r="AP156" s="732"/>
      <c r="AQ156" s="732"/>
      <c r="AR156" s="732"/>
      <c r="AS156" s="732"/>
      <c r="AT156" s="732"/>
      <c r="AU156" s="732"/>
      <c r="AV156" s="729"/>
    </row>
    <row r="157" spans="1:48" s="237" customFormat="1" ht="15" customHeight="1" outlineLevel="1" x14ac:dyDescent="0.25">
      <c r="A157" s="729"/>
      <c r="B157" s="1325"/>
      <c r="C157" s="1325"/>
      <c r="D157" s="1325"/>
      <c r="E157" s="1325"/>
      <c r="F157" s="1325"/>
      <c r="G157" s="1325"/>
      <c r="H157" s="729"/>
      <c r="I157" s="729"/>
      <c r="J157" s="729"/>
      <c r="K157" s="729"/>
      <c r="L157" s="729"/>
      <c r="M157" s="729"/>
      <c r="N157" s="729"/>
      <c r="O157" s="729"/>
      <c r="P157" s="729"/>
      <c r="Q157" s="729"/>
      <c r="R157" s="729"/>
      <c r="S157" s="729"/>
      <c r="T157" s="729"/>
      <c r="U157" s="729"/>
      <c r="V157" s="729"/>
      <c r="W157" s="729"/>
      <c r="X157" s="729"/>
      <c r="Y157" s="729"/>
      <c r="Z157" s="729"/>
      <c r="AA157" s="729"/>
      <c r="AB157" s="729"/>
      <c r="AC157" s="729"/>
      <c r="AD157" s="729"/>
      <c r="AE157" s="729"/>
      <c r="AF157" s="729"/>
      <c r="AG157" s="729"/>
      <c r="AH157" s="729"/>
      <c r="AI157" s="729"/>
      <c r="AJ157" s="729"/>
      <c r="AK157" s="729"/>
      <c r="AL157" s="729"/>
      <c r="AM157" s="729"/>
      <c r="AN157" s="729"/>
      <c r="AO157" s="729"/>
      <c r="AP157" s="732"/>
      <c r="AQ157" s="732"/>
      <c r="AR157" s="732"/>
      <c r="AS157" s="732"/>
      <c r="AT157" s="732"/>
      <c r="AU157" s="732"/>
      <c r="AV157" s="729"/>
    </row>
    <row r="158" spans="1:48" s="237" customFormat="1" ht="15" customHeight="1" outlineLevel="1" x14ac:dyDescent="0.25">
      <c r="A158" s="729"/>
      <c r="B158" s="729"/>
      <c r="C158" s="729"/>
      <c r="D158" s="727"/>
      <c r="E158" s="731"/>
      <c r="F158" s="731"/>
      <c r="G158" s="729"/>
      <c r="H158" s="729"/>
      <c r="I158" s="729"/>
      <c r="J158" s="729"/>
      <c r="K158" s="729"/>
      <c r="L158" s="729"/>
      <c r="M158" s="729"/>
      <c r="N158" s="729"/>
      <c r="O158" s="729"/>
      <c r="P158" s="729"/>
      <c r="Q158" s="729"/>
      <c r="R158" s="729"/>
      <c r="S158" s="729"/>
      <c r="T158" s="729"/>
      <c r="U158" s="729"/>
      <c r="V158" s="729"/>
      <c r="W158" s="729"/>
      <c r="X158" s="729"/>
      <c r="Y158" s="729"/>
      <c r="Z158" s="729"/>
      <c r="AA158" s="729"/>
      <c r="AB158" s="729"/>
      <c r="AC158" s="729"/>
      <c r="AD158" s="729"/>
      <c r="AE158" s="729"/>
      <c r="AF158" s="729"/>
      <c r="AG158" s="729"/>
      <c r="AH158" s="729"/>
      <c r="AI158" s="729"/>
      <c r="AJ158" s="729"/>
      <c r="AK158" s="729"/>
      <c r="AL158" s="729"/>
      <c r="AM158" s="729"/>
      <c r="AN158" s="729"/>
      <c r="AO158" s="729"/>
      <c r="AP158" s="732"/>
      <c r="AQ158" s="732"/>
      <c r="AR158" s="732"/>
      <c r="AS158" s="732"/>
      <c r="AT158" s="732"/>
      <c r="AU158" s="732"/>
      <c r="AV158" s="729"/>
    </row>
    <row r="159" spans="1:48" s="237" customFormat="1" ht="15" customHeight="1" outlineLevel="1" x14ac:dyDescent="0.25">
      <c r="A159" s="729"/>
      <c r="B159" s="727" t="s">
        <v>267</v>
      </c>
      <c r="C159" s="729"/>
      <c r="D159" s="729"/>
      <c r="E159" s="729"/>
      <c r="F159" s="729"/>
      <c r="G159" s="729"/>
      <c r="H159" s="729"/>
      <c r="I159" s="729"/>
      <c r="J159" s="729"/>
      <c r="K159" s="729"/>
      <c r="L159" s="729"/>
      <c r="M159" s="729"/>
      <c r="N159" s="729"/>
      <c r="O159" s="729"/>
      <c r="P159" s="729"/>
      <c r="Q159" s="729"/>
      <c r="R159" s="729"/>
      <c r="S159" s="729"/>
      <c r="T159" s="729"/>
      <c r="U159" s="729"/>
      <c r="V159" s="729"/>
      <c r="W159" s="729"/>
      <c r="X159" s="729"/>
      <c r="Y159" s="729"/>
      <c r="Z159" s="729"/>
      <c r="AA159" s="729"/>
      <c r="AB159" s="729"/>
      <c r="AC159" s="729"/>
      <c r="AD159" s="729"/>
      <c r="AE159" s="729"/>
      <c r="AF159" s="729"/>
      <c r="AG159" s="729"/>
      <c r="AH159" s="729"/>
      <c r="AI159" s="729"/>
      <c r="AJ159" s="729"/>
      <c r="AK159" s="729"/>
      <c r="AL159" s="729"/>
      <c r="AM159" s="729"/>
      <c r="AN159" s="729"/>
      <c r="AO159" s="729"/>
      <c r="AP159" s="732"/>
      <c r="AQ159" s="732"/>
      <c r="AR159" s="732"/>
      <c r="AS159" s="732"/>
      <c r="AT159" s="732"/>
      <c r="AU159" s="732"/>
      <c r="AV159" s="729"/>
    </row>
    <row r="160" spans="1:48" s="237" customFormat="1" ht="15" customHeight="1" outlineLevel="1" x14ac:dyDescent="0.35">
      <c r="A160" s="729"/>
      <c r="B160" s="729"/>
      <c r="C160" s="729"/>
      <c r="D160" s="844" t="s">
        <v>1457</v>
      </c>
      <c r="E160" s="844" t="s">
        <v>1458</v>
      </c>
      <c r="F160" s="844" t="s">
        <v>1459</v>
      </c>
      <c r="G160" s="844" t="s">
        <v>1460</v>
      </c>
      <c r="H160" s="729"/>
      <c r="I160" s="729"/>
      <c r="J160" s="729"/>
      <c r="K160" s="729"/>
      <c r="L160" s="729"/>
      <c r="M160" s="729"/>
      <c r="N160" s="729"/>
      <c r="O160" s="729"/>
      <c r="P160" s="729"/>
      <c r="Q160" s="729"/>
      <c r="R160" s="729"/>
      <c r="S160" s="729"/>
      <c r="T160" s="729"/>
      <c r="U160" s="729"/>
      <c r="V160" s="729"/>
      <c r="W160" s="729"/>
      <c r="X160" s="729"/>
      <c r="Y160" s="729"/>
      <c r="Z160" s="729"/>
      <c r="AA160" s="729"/>
      <c r="AB160" s="729"/>
      <c r="AC160" s="729"/>
      <c r="AD160" s="729"/>
      <c r="AE160" s="729"/>
      <c r="AF160" s="729"/>
      <c r="AG160" s="729"/>
      <c r="AH160" s="729"/>
      <c r="AI160" s="729"/>
      <c r="AJ160" s="729"/>
      <c r="AK160" s="729"/>
      <c r="AL160" s="729"/>
      <c r="AM160" s="729"/>
      <c r="AN160" s="729"/>
      <c r="AO160" s="729"/>
      <c r="AP160" s="732"/>
      <c r="AQ160" s="732"/>
      <c r="AR160" s="732"/>
      <c r="AS160" s="732"/>
      <c r="AT160" s="732"/>
      <c r="AU160" s="732"/>
      <c r="AV160" s="729"/>
    </row>
    <row r="161" spans="1:48" s="237" customFormat="1" ht="15" customHeight="1" outlineLevel="1" x14ac:dyDescent="0.25">
      <c r="A161" s="729"/>
      <c r="B161" s="729"/>
      <c r="C161" s="757" t="s">
        <v>0</v>
      </c>
      <c r="D161" s="845"/>
      <c r="E161" s="845"/>
      <c r="F161" s="845"/>
      <c r="G161" s="846">
        <f>$D$161+($E$161*gwp_CH4)+($F$161*gwp_N2O)</f>
        <v>0</v>
      </c>
      <c r="H161" s="729"/>
      <c r="I161" s="729"/>
      <c r="J161" s="729"/>
      <c r="K161" s="729"/>
      <c r="L161" s="729"/>
      <c r="M161" s="729"/>
      <c r="N161" s="729"/>
      <c r="O161" s="729"/>
      <c r="P161" s="729"/>
      <c r="Q161" s="729"/>
      <c r="R161" s="729"/>
      <c r="S161" s="729"/>
      <c r="T161" s="729"/>
      <c r="U161" s="729"/>
      <c r="V161" s="729"/>
      <c r="W161" s="729"/>
      <c r="X161" s="729"/>
      <c r="Y161" s="729"/>
      <c r="Z161" s="729"/>
      <c r="AA161" s="729"/>
      <c r="AB161" s="729"/>
      <c r="AC161" s="729"/>
      <c r="AD161" s="729"/>
      <c r="AE161" s="729"/>
      <c r="AF161" s="729"/>
      <c r="AG161" s="729"/>
      <c r="AH161" s="729"/>
      <c r="AI161" s="729"/>
      <c r="AJ161" s="729"/>
      <c r="AK161" s="729"/>
      <c r="AL161" s="729"/>
      <c r="AM161" s="729"/>
      <c r="AN161" s="729"/>
      <c r="AO161" s="729"/>
      <c r="AP161" s="732"/>
      <c r="AQ161" s="732"/>
      <c r="AR161" s="732"/>
      <c r="AS161" s="732"/>
      <c r="AT161" s="732"/>
      <c r="AU161" s="732"/>
      <c r="AV161" s="729"/>
    </row>
    <row r="162" spans="1:48" s="237" customFormat="1" ht="15" customHeight="1" collapsed="1" x14ac:dyDescent="0.25">
      <c r="A162" s="729"/>
      <c r="B162" s="729"/>
      <c r="C162" s="729"/>
      <c r="D162" s="727"/>
      <c r="E162" s="731"/>
      <c r="F162" s="731"/>
      <c r="G162" s="729"/>
      <c r="H162" s="729"/>
      <c r="I162" s="729"/>
      <c r="J162" s="729"/>
      <c r="K162" s="729"/>
      <c r="L162" s="729"/>
      <c r="M162" s="729"/>
      <c r="N162" s="729"/>
      <c r="O162" s="729"/>
      <c r="P162" s="729"/>
      <c r="Q162" s="729"/>
      <c r="R162" s="729"/>
      <c r="S162" s="729"/>
      <c r="T162" s="729"/>
      <c r="U162" s="729"/>
      <c r="V162" s="729"/>
      <c r="W162" s="729"/>
      <c r="X162" s="729"/>
      <c r="Y162" s="729"/>
      <c r="Z162" s="729"/>
      <c r="AA162" s="729"/>
      <c r="AB162" s="729"/>
      <c r="AC162" s="729"/>
      <c r="AD162" s="729"/>
      <c r="AE162" s="729"/>
      <c r="AF162" s="729"/>
      <c r="AG162" s="729"/>
      <c r="AH162" s="729"/>
      <c r="AI162" s="729"/>
      <c r="AJ162" s="729"/>
      <c r="AK162" s="729"/>
      <c r="AL162" s="729"/>
      <c r="AM162" s="729"/>
      <c r="AN162" s="729"/>
      <c r="AO162" s="729"/>
      <c r="AP162" s="732"/>
      <c r="AQ162" s="732"/>
      <c r="AR162" s="732"/>
      <c r="AS162" s="732"/>
      <c r="AT162" s="732"/>
      <c r="AU162" s="732"/>
      <c r="AV162" s="729"/>
    </row>
    <row r="163" spans="1:48" s="463" customFormat="1" ht="18" customHeight="1" x14ac:dyDescent="0.3">
      <c r="A163" s="847"/>
      <c r="B163" s="848" t="s">
        <v>2106</v>
      </c>
      <c r="C163" s="848"/>
      <c r="D163" s="848"/>
      <c r="E163" s="848"/>
      <c r="F163" s="848"/>
      <c r="G163" s="848"/>
      <c r="H163" s="848"/>
      <c r="I163" s="848"/>
      <c r="J163" s="848"/>
      <c r="K163" s="848"/>
      <c r="L163" s="848"/>
      <c r="M163" s="848"/>
      <c r="N163" s="848"/>
      <c r="O163" s="848"/>
      <c r="P163" s="848"/>
      <c r="Q163" s="848"/>
      <c r="R163" s="848"/>
      <c r="S163" s="848"/>
      <c r="T163" s="848"/>
      <c r="U163" s="848"/>
      <c r="V163" s="848"/>
      <c r="W163" s="848"/>
      <c r="X163" s="848"/>
      <c r="Y163" s="848"/>
      <c r="Z163" s="848"/>
      <c r="AA163" s="848"/>
      <c r="AB163" s="848"/>
      <c r="AC163" s="848"/>
      <c r="AD163" s="848"/>
      <c r="AE163" s="848"/>
      <c r="AF163" s="848"/>
      <c r="AG163" s="848"/>
      <c r="AH163" s="848"/>
      <c r="AI163" s="848"/>
      <c r="AJ163" s="848"/>
      <c r="AK163" s="848"/>
      <c r="AL163" s="848"/>
      <c r="AM163" s="848"/>
      <c r="AN163" s="848"/>
      <c r="AO163" s="848"/>
      <c r="AP163" s="849"/>
      <c r="AQ163" s="849"/>
      <c r="AR163" s="849"/>
      <c r="AS163" s="849"/>
      <c r="AT163" s="849"/>
      <c r="AU163" s="849"/>
      <c r="AV163" s="850"/>
    </row>
    <row r="164" spans="1:48" s="290" customFormat="1" ht="15" customHeight="1" x14ac:dyDescent="0.25">
      <c r="A164" s="709"/>
      <c r="B164" s="709"/>
      <c r="C164" s="709"/>
      <c r="D164" s="709"/>
      <c r="E164" s="709"/>
      <c r="F164" s="709"/>
      <c r="G164" s="709"/>
      <c r="H164" s="709"/>
      <c r="I164" s="709"/>
      <c r="J164" s="709"/>
      <c r="K164" s="709"/>
      <c r="L164" s="709"/>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10"/>
      <c r="AQ164" s="710"/>
      <c r="AR164" s="710"/>
      <c r="AS164" s="710"/>
      <c r="AT164" s="710"/>
      <c r="AU164" s="710"/>
      <c r="AV164" s="709"/>
    </row>
    <row r="165" spans="1:48" ht="15" customHeight="1" x14ac:dyDescent="0.25">
      <c r="A165" s="711"/>
      <c r="B165" s="712"/>
      <c r="C165" s="713"/>
      <c r="D165" s="711"/>
      <c r="E165" s="711"/>
      <c r="F165" s="711"/>
      <c r="G165" s="711"/>
      <c r="H165" s="711"/>
      <c r="I165" s="711"/>
      <c r="J165" s="711"/>
      <c r="K165" s="711"/>
      <c r="L165" s="711"/>
      <c r="M165" s="711"/>
      <c r="N165" s="711"/>
      <c r="O165" s="711"/>
      <c r="P165" s="711"/>
      <c r="Q165" s="714"/>
      <c r="R165" s="715"/>
      <c r="S165" s="716"/>
      <c r="T165" s="711"/>
      <c r="U165" s="711"/>
      <c r="V165" s="711"/>
      <c r="W165" s="711"/>
      <c r="X165" s="711"/>
      <c r="Y165" s="711"/>
      <c r="Z165" s="711"/>
      <c r="AA165" s="711"/>
      <c r="AB165" s="711"/>
      <c r="AC165" s="711"/>
      <c r="AD165" s="711"/>
      <c r="AE165" s="711"/>
      <c r="AF165" s="711"/>
      <c r="AG165" s="711"/>
      <c r="AH165" s="711"/>
      <c r="AI165" s="711"/>
      <c r="AJ165" s="711"/>
      <c r="AK165" s="711"/>
      <c r="AL165" s="711"/>
      <c r="AM165" s="717"/>
      <c r="AN165" s="718"/>
      <c r="AO165" s="711"/>
      <c r="AP165" s="719"/>
      <c r="AQ165" s="719"/>
      <c r="AR165" s="719"/>
      <c r="AS165" s="719"/>
      <c r="AT165" s="719"/>
      <c r="AU165" s="719"/>
      <c r="AV165" s="713"/>
    </row>
    <row r="166" spans="1:48" ht="15" customHeight="1" x14ac:dyDescent="0.25">
      <c r="A166" s="690"/>
      <c r="B166" s="727" t="s">
        <v>2105</v>
      </c>
      <c r="C166" s="695"/>
      <c r="D166" s="720"/>
      <c r="E166" s="690"/>
      <c r="F166" s="690"/>
      <c r="G166" s="690"/>
      <c r="H166" s="690"/>
      <c r="I166" s="690"/>
      <c r="J166" s="690"/>
      <c r="K166" s="690"/>
      <c r="L166" s="690"/>
      <c r="M166" s="690"/>
      <c r="N166" s="690"/>
      <c r="O166" s="690"/>
      <c r="P166" s="690"/>
      <c r="Q166" s="690"/>
      <c r="R166" s="690"/>
      <c r="S166" s="690"/>
      <c r="T166" s="690"/>
      <c r="U166" s="690"/>
      <c r="V166" s="690"/>
      <c r="W166" s="690"/>
      <c r="X166" s="690"/>
      <c r="Y166" s="690"/>
      <c r="Z166" s="690"/>
      <c r="AA166" s="690"/>
      <c r="AB166" s="690"/>
      <c r="AC166" s="690"/>
      <c r="AD166" s="690"/>
      <c r="AE166" s="690"/>
      <c r="AF166" s="690"/>
      <c r="AG166" s="690"/>
      <c r="AH166" s="690"/>
      <c r="AI166" s="690"/>
      <c r="AJ166" s="690"/>
      <c r="AK166" s="690"/>
      <c r="AL166" s="690"/>
      <c r="AM166" s="705"/>
      <c r="AN166" s="697"/>
      <c r="AO166" s="690"/>
      <c r="AP166" s="698"/>
      <c r="AQ166" s="698"/>
      <c r="AR166" s="698"/>
      <c r="AS166" s="698"/>
      <c r="AT166" s="698"/>
      <c r="AU166" s="698"/>
      <c r="AV166" s="631"/>
    </row>
    <row r="167" spans="1:48" ht="5.0999999999999996" customHeight="1" thickBot="1" x14ac:dyDescent="0.25"/>
    <row r="168" spans="1:48" ht="30" customHeight="1" thickBot="1" x14ac:dyDescent="0.3">
      <c r="A168" s="690"/>
      <c r="B168" s="851" t="s">
        <v>1407</v>
      </c>
      <c r="C168" s="721"/>
      <c r="D168" s="722"/>
      <c r="E168" s="1308">
        <f>IF(ISERROR(SUM($E$116,$E$148,$G$161)),0,SUM($E$116,$E$148,$G$161))</f>
        <v>0</v>
      </c>
      <c r="F168" s="1309"/>
      <c r="G168" s="419"/>
      <c r="H168" s="690"/>
      <c r="I168" s="690"/>
      <c r="J168" s="690"/>
      <c r="K168" s="690"/>
      <c r="L168" s="690"/>
      <c r="M168" s="690"/>
      <c r="N168" s="690"/>
      <c r="O168" s="690"/>
      <c r="P168" s="690"/>
      <c r="Q168" s="690"/>
      <c r="R168" s="690"/>
      <c r="S168" s="690"/>
      <c r="T168" s="690"/>
      <c r="U168" s="690"/>
      <c r="V168" s="690"/>
      <c r="W168" s="690"/>
      <c r="X168" s="690"/>
      <c r="Y168" s="690"/>
      <c r="Z168" s="690"/>
      <c r="AA168" s="690"/>
      <c r="AB168" s="690"/>
      <c r="AC168" s="690"/>
      <c r="AD168" s="690"/>
      <c r="AE168" s="690"/>
      <c r="AF168" s="690"/>
      <c r="AG168" s="690"/>
      <c r="AH168" s="690"/>
      <c r="AI168" s="690"/>
      <c r="AJ168" s="690"/>
      <c r="AK168" s="690"/>
      <c r="AL168" s="690"/>
      <c r="AM168" s="705"/>
      <c r="AN168" s="697"/>
      <c r="AO168" s="690"/>
      <c r="AP168" s="698"/>
      <c r="AQ168" s="698"/>
      <c r="AR168" s="698"/>
      <c r="AS168" s="698"/>
      <c r="AT168" s="698"/>
      <c r="AU168" s="698"/>
      <c r="AV168" s="631"/>
    </row>
    <row r="169" spans="1:48" ht="5.0999999999999996" customHeight="1" thickBot="1" x14ac:dyDescent="0.25">
      <c r="A169" s="639"/>
      <c r="B169" s="723"/>
      <c r="C169" s="724"/>
      <c r="D169" s="724"/>
      <c r="E169" s="725"/>
      <c r="F169" s="725"/>
      <c r="G169" s="639"/>
    </row>
    <row r="170" spans="1:48" ht="30" customHeight="1" thickBot="1" x14ac:dyDescent="0.3">
      <c r="A170" s="631"/>
      <c r="B170" s="852" t="s">
        <v>1961</v>
      </c>
      <c r="C170" s="726"/>
      <c r="D170" s="726"/>
      <c r="E170" s="1318">
        <f>AH114+E149</f>
        <v>0</v>
      </c>
      <c r="F170" s="1319"/>
      <c r="G170" s="419"/>
      <c r="H170" s="690"/>
      <c r="I170" s="690"/>
      <c r="J170" s="690"/>
      <c r="K170" s="690"/>
      <c r="L170" s="690"/>
      <c r="M170" s="690"/>
      <c r="N170" s="690"/>
      <c r="O170" s="690"/>
      <c r="P170" s="690"/>
      <c r="Q170" s="690"/>
      <c r="R170" s="690"/>
      <c r="S170" s="690"/>
      <c r="T170" s="690"/>
      <c r="U170" s="690"/>
      <c r="V170" s="690"/>
      <c r="W170" s="690"/>
      <c r="X170" s="690"/>
      <c r="Y170" s="690"/>
      <c r="Z170" s="690"/>
      <c r="AA170" s="690"/>
      <c r="AB170" s="690"/>
      <c r="AC170" s="690"/>
      <c r="AD170" s="690"/>
      <c r="AE170" s="690"/>
      <c r="AF170" s="690"/>
      <c r="AG170" s="690"/>
      <c r="AH170" s="690"/>
      <c r="AI170" s="690"/>
      <c r="AJ170" s="690"/>
      <c r="AK170" s="690"/>
      <c r="AL170" s="690"/>
      <c r="AM170" s="705"/>
      <c r="AN170" s="697"/>
      <c r="AO170" s="690"/>
      <c r="AP170" s="698"/>
      <c r="AQ170" s="698"/>
      <c r="AR170" s="698"/>
      <c r="AS170" s="698"/>
      <c r="AT170" s="698"/>
      <c r="AU170" s="698"/>
      <c r="AV170" s="631"/>
    </row>
    <row r="171" spans="1:48" ht="15" customHeight="1" x14ac:dyDescent="0.25">
      <c r="A171" s="631"/>
      <c r="B171" s="690"/>
      <c r="C171" s="690"/>
      <c r="D171" s="690"/>
      <c r="E171" s="690"/>
      <c r="F171" s="690"/>
      <c r="G171" s="690"/>
      <c r="H171" s="690"/>
      <c r="I171" s="690"/>
      <c r="J171" s="690"/>
      <c r="K171" s="690"/>
      <c r="L171" s="690"/>
      <c r="M171" s="690"/>
      <c r="N171" s="690"/>
      <c r="O171" s="690"/>
      <c r="P171" s="690"/>
      <c r="Q171" s="690"/>
      <c r="R171" s="690"/>
      <c r="S171" s="690"/>
      <c r="T171" s="690"/>
      <c r="U171" s="690"/>
      <c r="V171" s="690"/>
      <c r="W171" s="690"/>
      <c r="X171" s="690"/>
      <c r="Y171" s="690"/>
      <c r="Z171" s="690"/>
      <c r="AA171" s="690"/>
      <c r="AB171" s="690"/>
      <c r="AC171" s="690"/>
      <c r="AD171" s="690"/>
      <c r="AE171" s="690"/>
      <c r="AF171" s="690"/>
      <c r="AG171" s="690"/>
      <c r="AH171" s="690"/>
      <c r="AI171" s="690"/>
      <c r="AJ171" s="690"/>
      <c r="AK171" s="690"/>
      <c r="AL171" s="690"/>
      <c r="AM171" s="705"/>
      <c r="AN171" s="697"/>
      <c r="AO171" s="690"/>
      <c r="AP171" s="698"/>
      <c r="AQ171" s="698"/>
      <c r="AR171" s="698"/>
      <c r="AS171" s="698"/>
      <c r="AT171" s="698"/>
      <c r="AU171" s="698"/>
      <c r="AV171" s="631"/>
    </row>
    <row r="172" spans="1:48" ht="15.75" x14ac:dyDescent="0.25">
      <c r="B172" s="708" t="s">
        <v>1461</v>
      </c>
      <c r="C172" s="690"/>
      <c r="D172" s="690"/>
      <c r="E172" s="690"/>
      <c r="F172" s="690"/>
      <c r="G172" s="690"/>
      <c r="H172" s="690"/>
      <c r="I172" s="690"/>
      <c r="J172" s="690"/>
      <c r="K172" s="690"/>
      <c r="L172" s="690"/>
      <c r="M172" s="690"/>
      <c r="N172" s="690"/>
      <c r="O172" s="690"/>
      <c r="P172" s="690"/>
      <c r="Q172" s="690"/>
      <c r="R172" s="690"/>
      <c r="S172" s="690"/>
      <c r="T172" s="690"/>
      <c r="U172" s="690"/>
      <c r="V172" s="690"/>
      <c r="W172" s="690"/>
      <c r="X172" s="690"/>
      <c r="Y172" s="690"/>
      <c r="Z172" s="690"/>
      <c r="AA172" s="690"/>
      <c r="AB172" s="690"/>
      <c r="AC172" s="690"/>
      <c r="AD172" s="690"/>
      <c r="AE172" s="690"/>
      <c r="AF172" s="690"/>
      <c r="AG172" s="690"/>
      <c r="AH172" s="690"/>
      <c r="AI172" s="690"/>
      <c r="AJ172" s="690"/>
      <c r="AK172" s="690"/>
      <c r="AL172" s="690"/>
      <c r="AM172" s="705"/>
      <c r="AN172" s="697"/>
      <c r="AO172" s="690"/>
      <c r="AP172" s="698"/>
      <c r="AQ172" s="698"/>
      <c r="AR172" s="698"/>
      <c r="AS172" s="698"/>
      <c r="AT172" s="698"/>
      <c r="AU172" s="698"/>
      <c r="AV172" s="631"/>
    </row>
    <row r="173" spans="1:48" ht="15.75" x14ac:dyDescent="0.25">
      <c r="A173" s="631"/>
      <c r="B173" s="853" t="s">
        <v>1462</v>
      </c>
      <c r="C173" s="711"/>
      <c r="D173" s="711"/>
      <c r="E173" s="711"/>
      <c r="F173" s="711"/>
      <c r="G173" s="711"/>
      <c r="H173" s="690"/>
      <c r="I173" s="690"/>
      <c r="J173" s="690"/>
      <c r="K173" s="690"/>
      <c r="L173" s="690"/>
      <c r="M173" s="690"/>
      <c r="N173" s="690"/>
      <c r="O173" s="690"/>
      <c r="P173" s="690"/>
      <c r="Q173" s="690"/>
      <c r="R173" s="690"/>
      <c r="S173" s="690"/>
      <c r="T173" s="690"/>
      <c r="U173" s="690"/>
      <c r="V173" s="690"/>
      <c r="W173" s="690"/>
      <c r="X173" s="690"/>
      <c r="Y173" s="690"/>
      <c r="Z173" s="690"/>
      <c r="AA173" s="690"/>
      <c r="AB173" s="690"/>
      <c r="AC173" s="690"/>
      <c r="AD173" s="690"/>
      <c r="AE173" s="690"/>
      <c r="AF173" s="690"/>
      <c r="AG173" s="690"/>
      <c r="AH173" s="690"/>
      <c r="AI173" s="690"/>
      <c r="AJ173" s="690"/>
      <c r="AK173" s="690"/>
      <c r="AL173" s="690"/>
      <c r="AM173" s="705"/>
      <c r="AN173" s="697"/>
      <c r="AO173" s="690"/>
      <c r="AP173" s="698"/>
      <c r="AQ173" s="698"/>
      <c r="AR173" s="698"/>
      <c r="AS173" s="698"/>
      <c r="AT173" s="698"/>
      <c r="AU173" s="698"/>
      <c r="AV173" s="631"/>
    </row>
    <row r="174" spans="1:48" ht="15.75" x14ac:dyDescent="0.25">
      <c r="A174" s="631"/>
      <c r="B174" s="853" t="s">
        <v>1463</v>
      </c>
      <c r="C174" s="711"/>
      <c r="D174" s="711"/>
      <c r="E174" s="711"/>
      <c r="F174" s="711"/>
      <c r="G174" s="711"/>
      <c r="H174" s="690"/>
      <c r="I174" s="690"/>
      <c r="J174" s="690"/>
      <c r="K174" s="690"/>
      <c r="L174" s="690"/>
      <c r="M174" s="690"/>
      <c r="N174" s="690"/>
      <c r="O174" s="690"/>
      <c r="P174" s="690"/>
      <c r="Q174" s="690"/>
      <c r="R174" s="690"/>
      <c r="S174" s="690"/>
      <c r="T174" s="690"/>
      <c r="U174" s="690"/>
      <c r="V174" s="690"/>
      <c r="W174" s="690"/>
      <c r="X174" s="690"/>
      <c r="Y174" s="690"/>
      <c r="Z174" s="690"/>
      <c r="AA174" s="690"/>
      <c r="AB174" s="690"/>
      <c r="AC174" s="690"/>
      <c r="AD174" s="690"/>
      <c r="AE174" s="690"/>
      <c r="AF174" s="690"/>
      <c r="AG174" s="690"/>
      <c r="AH174" s="690"/>
      <c r="AI174" s="690"/>
      <c r="AJ174" s="690"/>
      <c r="AK174" s="690"/>
      <c r="AL174" s="690"/>
      <c r="AM174" s="705"/>
      <c r="AN174" s="697"/>
      <c r="AO174" s="690"/>
      <c r="AP174" s="698"/>
      <c r="AQ174" s="698"/>
      <c r="AR174" s="698"/>
      <c r="AS174" s="698"/>
      <c r="AT174" s="698"/>
      <c r="AU174" s="698"/>
      <c r="AV174" s="631"/>
    </row>
    <row r="175" spans="1:48" ht="24.95" customHeight="1" x14ac:dyDescent="0.2">
      <c r="B175" s="495"/>
      <c r="C175" s="495"/>
      <c r="D175" s="495"/>
      <c r="E175" s="495"/>
      <c r="F175" s="495"/>
      <c r="G175" s="495"/>
    </row>
    <row r="176" spans="1:48"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sheetData>
  <dataConsolidate/>
  <mergeCells count="26">
    <mergeCell ref="E168:F168"/>
    <mergeCell ref="E170:F170"/>
    <mergeCell ref="D127:E127"/>
    <mergeCell ref="D133:E133"/>
    <mergeCell ref="D134:E134"/>
    <mergeCell ref="D138:E138"/>
    <mergeCell ref="B154:H155"/>
    <mergeCell ref="B156:G157"/>
    <mergeCell ref="C83:C87"/>
    <mergeCell ref="H83:R83"/>
    <mergeCell ref="H84:R84"/>
    <mergeCell ref="H85:R85"/>
    <mergeCell ref="H86:R86"/>
    <mergeCell ref="H87:R87"/>
    <mergeCell ref="D45:F45"/>
    <mergeCell ref="D12:F12"/>
    <mergeCell ref="B15:H17"/>
    <mergeCell ref="B18:H19"/>
    <mergeCell ref="B20:H21"/>
    <mergeCell ref="B22:H25"/>
    <mergeCell ref="B26:H26"/>
    <mergeCell ref="B27:H27"/>
    <mergeCell ref="B28:H29"/>
    <mergeCell ref="B34:H37"/>
    <mergeCell ref="B38:H40"/>
    <mergeCell ref="B41:H42"/>
  </mergeCells>
  <conditionalFormatting sqref="E13 D12">
    <cfRule type="expression" dxfId="6334" priority="4" stopIfTrue="1">
      <formula>NOT(ISERROR(SEARCH("ESCOLHA",D12)))</formula>
    </cfRule>
  </conditionalFormatting>
  <conditionalFormatting sqref="E76:AH76">
    <cfRule type="cellIs" dxfId="6333" priority="3" stopIfTrue="1" operator="equal">
      <formula>"Erro! &gt;100%"</formula>
    </cfRule>
  </conditionalFormatting>
  <conditionalFormatting sqref="F146:K146">
    <cfRule type="expression" dxfId="6332" priority="2">
      <formula>$E$146&lt;0</formula>
    </cfRule>
  </conditionalFormatting>
  <conditionalFormatting sqref="D151:E151 D119:E119 D31:E31">
    <cfRule type="containsText" dxfId="6331" priority="1" stopIfTrue="1" operator="containsText" text="ESCOLHA">
      <formula>NOT(ISERROR(SEARCH("ESCOLHA",D31)))</formula>
    </cfRule>
  </conditionalFormatting>
  <dataValidations count="3">
    <dataValidation type="list" allowBlank="1" showInputMessage="1" showErrorMessage="1" sqref="E91:AH91">
      <formula1>$D$83:$D$87</formula1>
    </dataValidation>
    <dataValidation type="decimal" operator="lessThanOrEqual" allowBlank="1" showInputMessage="1" showErrorMessage="1" errorTitle="Entre com um número válido!" error="Entre com uma porcentagem entre 0 e 100%." sqref="E69:AH75">
      <formula1>1</formula1>
    </dataValidation>
    <dataValidation type="list" allowBlank="1" showInputMessage="1" showErrorMessage="1" sqref="D141 D107">
      <formula1>$BI$47:$BI$49</formula1>
    </dataValidation>
  </dataValidations>
  <pageMargins left="0.511811024" right="0.511811024" top="0.78740157499999996" bottom="0.78740157499999996" header="0.31496062000000002" footer="0.31496062000000002"/>
  <pageSetup paperSize="9"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Title="Selecione a cidade" error="Selecione a cidade na lista.">
          <x14:formula1>
            <xm:f>Listas!$BI$2:$BI$10</xm:f>
          </x14:formula1>
          <xm:sqref>D45:F45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R146"/>
  <sheetViews>
    <sheetView showGridLines="0" topLeftCell="A52" zoomScale="90" zoomScaleNormal="90" workbookViewId="0">
      <selection activeCell="H11" sqref="H11"/>
    </sheetView>
  </sheetViews>
  <sheetFormatPr defaultColWidth="0" defaultRowHeight="12.75" customHeight="1" zeroHeight="1" outlineLevelRow="1" x14ac:dyDescent="0.2"/>
  <cols>
    <col min="1" max="1" width="5.7109375" style="195" customWidth="1"/>
    <col min="2" max="2" width="9.140625" style="195" customWidth="1"/>
    <col min="3" max="3" width="65.85546875" style="195" customWidth="1"/>
    <col min="4" max="4" width="28" style="195" customWidth="1"/>
    <col min="5" max="5" width="17.7109375" style="195" customWidth="1"/>
    <col min="6" max="6" width="13.140625" style="195" bestFit="1" customWidth="1"/>
    <col min="7" max="14" width="9.140625" style="195" customWidth="1"/>
    <col min="15" max="15" width="6.7109375" style="195" customWidth="1"/>
    <col min="16" max="18" width="9.140625" style="195" customWidth="1"/>
    <col min="19" max="26" width="9.140625" style="195" hidden="1" customWidth="1"/>
    <col min="27" max="44" width="30.28515625" style="195" hidden="1" customWidth="1"/>
    <col min="45" max="16384" width="9.140625" style="195" hidden="1"/>
  </cols>
  <sheetData>
    <row r="1" spans="1:31" ht="15.75" customHeight="1" x14ac:dyDescent="0.2">
      <c r="A1" s="171"/>
      <c r="B1" s="171"/>
      <c r="C1" s="171"/>
      <c r="D1" s="171"/>
      <c r="E1" s="171"/>
      <c r="F1" s="171"/>
      <c r="G1" s="171"/>
      <c r="H1" s="171"/>
      <c r="I1" s="171"/>
      <c r="J1" s="171"/>
      <c r="K1" s="171"/>
      <c r="L1" s="171"/>
      <c r="M1" s="171"/>
      <c r="N1" s="171"/>
      <c r="O1" s="171"/>
      <c r="P1" s="171"/>
      <c r="Q1" s="171"/>
      <c r="R1" s="171"/>
      <c r="S1" s="171"/>
      <c r="T1" s="171"/>
      <c r="U1" s="171"/>
      <c r="V1" s="171"/>
      <c r="W1" s="171"/>
      <c r="X1" s="171"/>
      <c r="Y1" s="171"/>
      <c r="Z1" s="171"/>
      <c r="AA1" s="171"/>
      <c r="AB1" s="171"/>
      <c r="AC1" s="171"/>
      <c r="AD1" s="171"/>
      <c r="AE1" s="171"/>
    </row>
    <row r="2" spans="1:31" ht="15.75" customHeight="1" x14ac:dyDescent="0.2">
      <c r="A2" s="171"/>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row>
    <row r="3" spans="1:31" ht="15.75" customHeight="1" x14ac:dyDescent="0.2">
      <c r="A3" s="171"/>
      <c r="B3" s="171"/>
      <c r="C3" s="171"/>
      <c r="D3" s="171"/>
      <c r="E3" s="171"/>
      <c r="F3" s="171"/>
      <c r="G3" s="171"/>
      <c r="H3" s="171"/>
      <c r="I3" s="171"/>
      <c r="J3" s="171"/>
      <c r="K3" s="171"/>
      <c r="L3" s="171"/>
      <c r="M3" s="171"/>
      <c r="N3" s="171"/>
      <c r="O3" s="171"/>
      <c r="P3" s="171"/>
      <c r="Q3" s="171"/>
      <c r="R3" s="171"/>
      <c r="S3" s="171"/>
      <c r="T3" s="171"/>
      <c r="U3" s="171"/>
      <c r="V3" s="171"/>
      <c r="W3" s="171"/>
      <c r="X3" s="171"/>
      <c r="Y3" s="171"/>
      <c r="Z3" s="171"/>
      <c r="AA3" s="171"/>
      <c r="AB3" s="171"/>
      <c r="AC3" s="171"/>
      <c r="AD3" s="171"/>
      <c r="AE3" s="171"/>
    </row>
    <row r="4" spans="1:31" ht="15.75" customHeight="1" x14ac:dyDescent="0.2">
      <c r="A4" s="171"/>
      <c r="B4" s="171"/>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row>
    <row r="5" spans="1:31" ht="15.75" customHeight="1" x14ac:dyDescent="0.2">
      <c r="A5" s="171"/>
      <c r="B5" s="171"/>
      <c r="C5" s="171"/>
      <c r="D5" s="171"/>
      <c r="E5" s="171"/>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row>
    <row r="6" spans="1:31" ht="15.75" customHeight="1" x14ac:dyDescent="0.2">
      <c r="A6" s="171"/>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row>
    <row r="7" spans="1:31" ht="15.75" customHeight="1" x14ac:dyDescent="0.2">
      <c r="A7" s="171"/>
      <c r="B7" s="171"/>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row>
    <row r="8" spans="1:31" ht="15.75" customHeight="1" x14ac:dyDescent="0.2">
      <c r="A8" s="171"/>
      <c r="B8" s="171"/>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row>
    <row r="9" spans="1:31" ht="15.75" customHeight="1" x14ac:dyDescent="0.25">
      <c r="A9" s="631"/>
      <c r="B9" s="631"/>
      <c r="C9" s="631"/>
      <c r="D9" s="631"/>
      <c r="E9" s="631"/>
      <c r="F9" s="631"/>
      <c r="G9" s="631"/>
      <c r="H9" s="631"/>
      <c r="I9" s="631"/>
      <c r="J9" s="631"/>
      <c r="K9" s="631"/>
      <c r="L9" s="631"/>
      <c r="M9" s="631"/>
      <c r="N9" s="631"/>
      <c r="O9" s="171"/>
      <c r="P9" s="171"/>
      <c r="Q9" s="171"/>
      <c r="R9" s="171"/>
      <c r="S9" s="171"/>
      <c r="T9" s="171"/>
      <c r="U9" s="631"/>
      <c r="V9" s="631"/>
      <c r="W9" s="631"/>
      <c r="X9" s="631"/>
      <c r="Y9" s="631"/>
      <c r="Z9" s="631"/>
      <c r="AA9" s="631"/>
      <c r="AB9" s="631"/>
      <c r="AC9" s="631"/>
      <c r="AD9" s="631"/>
      <c r="AE9" s="631"/>
    </row>
    <row r="10" spans="1:31" ht="15.75" customHeight="1" x14ac:dyDescent="0.3">
      <c r="A10" s="631"/>
      <c r="B10" s="861" t="s">
        <v>2214</v>
      </c>
      <c r="C10" s="631"/>
      <c r="D10" s="631"/>
      <c r="E10" s="631"/>
      <c r="F10" s="631"/>
      <c r="G10" s="631"/>
      <c r="H10" s="631"/>
      <c r="I10" s="631"/>
      <c r="J10" s="631"/>
      <c r="K10" s="631"/>
      <c r="L10" s="631"/>
      <c r="M10" s="631"/>
      <c r="N10" s="631"/>
      <c r="O10" s="171"/>
      <c r="P10" s="171"/>
      <c r="Q10" s="171"/>
      <c r="R10" s="171"/>
      <c r="S10" s="171"/>
      <c r="T10" s="171"/>
      <c r="U10" s="631"/>
      <c r="V10" s="631"/>
      <c r="W10" s="631"/>
      <c r="X10" s="631"/>
      <c r="Y10" s="631"/>
      <c r="Z10" s="631"/>
      <c r="AA10" s="631"/>
      <c r="AB10" s="631"/>
      <c r="AC10" s="631"/>
      <c r="AD10" s="631"/>
      <c r="AE10" s="631"/>
    </row>
    <row r="11" spans="1:31" ht="15.75" customHeight="1" x14ac:dyDescent="0.3">
      <c r="A11" s="631"/>
      <c r="B11" s="861"/>
      <c r="C11" s="631"/>
      <c r="D11" s="631"/>
      <c r="E11" s="631"/>
      <c r="F11" s="631"/>
      <c r="G11" s="631"/>
      <c r="H11" s="631"/>
      <c r="I11" s="631"/>
      <c r="J11" s="631"/>
      <c r="K11" s="631"/>
      <c r="L11" s="631"/>
      <c r="M11" s="631"/>
      <c r="N11" s="631"/>
      <c r="O11" s="171"/>
      <c r="P11" s="171"/>
      <c r="Q11" s="171"/>
      <c r="R11" s="171"/>
      <c r="S11" s="171"/>
      <c r="T11" s="171"/>
      <c r="U11" s="631"/>
      <c r="V11" s="631"/>
      <c r="W11" s="631"/>
      <c r="X11" s="631"/>
      <c r="Y11" s="631"/>
      <c r="Z11" s="631"/>
      <c r="AA11" s="631"/>
      <c r="AB11" s="631"/>
      <c r="AC11" s="631"/>
      <c r="AD11" s="631"/>
      <c r="AE11" s="631"/>
    </row>
    <row r="12" spans="1:31" ht="15.75" customHeight="1" x14ac:dyDescent="0.25">
      <c r="A12" s="631"/>
      <c r="B12" s="631"/>
      <c r="C12" s="655" t="s">
        <v>142</v>
      </c>
      <c r="D12" s="1351">
        <f>IF(OR(Ano="Selecione",Ano=0),"Escolha o ano do inventário na aba 'Introdução'",Ano)</f>
        <v>2030</v>
      </c>
      <c r="E12" s="1352"/>
      <c r="F12" s="1352"/>
      <c r="G12" s="631"/>
      <c r="H12" s="631"/>
      <c r="I12" s="631"/>
      <c r="J12" s="631"/>
      <c r="K12" s="631"/>
      <c r="L12" s="631"/>
      <c r="M12" s="631"/>
      <c r="N12" s="631"/>
      <c r="O12" s="171"/>
      <c r="P12" s="171"/>
      <c r="Q12" s="171"/>
      <c r="R12" s="171"/>
      <c r="S12" s="171"/>
      <c r="T12" s="171"/>
      <c r="U12" s="631"/>
      <c r="V12" s="631"/>
      <c r="W12" s="631"/>
      <c r="X12" s="631"/>
      <c r="Y12" s="631"/>
      <c r="Z12" s="631"/>
      <c r="AA12" s="631"/>
      <c r="AB12" s="631"/>
      <c r="AC12" s="631"/>
      <c r="AD12" s="631"/>
      <c r="AE12" s="631"/>
    </row>
    <row r="13" spans="1:31" ht="15.75" customHeight="1" thickBot="1" x14ac:dyDescent="0.3">
      <c r="A13" s="631"/>
      <c r="B13" s="631"/>
      <c r="C13" s="655"/>
      <c r="D13" s="1150"/>
      <c r="E13" s="1150"/>
      <c r="F13" s="1150"/>
      <c r="G13" s="631"/>
      <c r="H13" s="631"/>
      <c r="I13" s="631"/>
      <c r="J13" s="631"/>
      <c r="K13" s="631"/>
      <c r="L13" s="631"/>
      <c r="M13" s="631"/>
      <c r="N13" s="631"/>
      <c r="O13" s="171"/>
      <c r="P13" s="171"/>
      <c r="Q13" s="171"/>
      <c r="R13" s="171"/>
      <c r="S13" s="171"/>
      <c r="T13" s="171"/>
      <c r="U13" s="631"/>
      <c r="V13" s="631"/>
      <c r="W13" s="631"/>
      <c r="X13" s="631"/>
      <c r="Y13" s="631"/>
      <c r="Z13" s="631"/>
      <c r="AA13" s="631"/>
      <c r="AB13" s="631"/>
      <c r="AC13" s="631"/>
      <c r="AD13" s="631"/>
      <c r="AE13" s="631"/>
    </row>
    <row r="14" spans="1:31" ht="15" customHeight="1" x14ac:dyDescent="0.2">
      <c r="A14" s="690"/>
      <c r="B14" s="1375" t="s">
        <v>2114</v>
      </c>
      <c r="C14" s="1376"/>
      <c r="D14" s="1376"/>
      <c r="E14" s="1376"/>
      <c r="F14" s="1376"/>
      <c r="G14" s="1376"/>
      <c r="H14" s="1377"/>
      <c r="I14" s="690"/>
      <c r="J14" s="690"/>
      <c r="K14" s="690"/>
      <c r="L14" s="690"/>
      <c r="M14" s="690"/>
      <c r="N14" s="690"/>
      <c r="O14" s="171"/>
      <c r="P14" s="171"/>
      <c r="Q14" s="171"/>
      <c r="R14" s="171"/>
      <c r="S14" s="171"/>
      <c r="T14" s="171"/>
      <c r="U14" s="690"/>
      <c r="V14" s="690"/>
      <c r="W14" s="690"/>
      <c r="X14" s="690"/>
      <c r="Y14" s="690"/>
      <c r="Z14" s="690"/>
    </row>
    <row r="15" spans="1:31" ht="15" customHeight="1" thickBot="1" x14ac:dyDescent="0.25">
      <c r="A15" s="690"/>
      <c r="B15" s="1378"/>
      <c r="C15" s="1379"/>
      <c r="D15" s="1379"/>
      <c r="E15" s="1379"/>
      <c r="F15" s="1379"/>
      <c r="G15" s="1379"/>
      <c r="H15" s="1380"/>
      <c r="I15" s="690"/>
      <c r="J15" s="690"/>
      <c r="K15" s="690"/>
      <c r="L15" s="690"/>
      <c r="M15" s="690"/>
      <c r="N15" s="690"/>
      <c r="O15" s="171"/>
      <c r="P15" s="171"/>
      <c r="Q15" s="171"/>
      <c r="R15" s="171"/>
      <c r="S15" s="171"/>
      <c r="T15" s="171"/>
      <c r="U15" s="690"/>
      <c r="V15" s="690"/>
      <c r="W15" s="690"/>
      <c r="X15" s="690"/>
      <c r="Y15" s="690"/>
      <c r="Z15" s="690"/>
    </row>
    <row r="16" spans="1:31" ht="15.75" customHeight="1" x14ac:dyDescent="0.25">
      <c r="A16" s="631"/>
      <c r="B16" s="631"/>
      <c r="C16" s="694"/>
      <c r="D16" s="94"/>
      <c r="E16" s="171"/>
      <c r="F16" s="631"/>
      <c r="G16" s="631"/>
      <c r="H16" s="631"/>
      <c r="I16" s="631"/>
      <c r="J16" s="631"/>
      <c r="K16" s="631"/>
      <c r="L16" s="631"/>
      <c r="M16" s="631"/>
      <c r="N16" s="631"/>
      <c r="O16" s="171"/>
      <c r="P16" s="171"/>
      <c r="Q16" s="171"/>
      <c r="R16" s="171"/>
      <c r="S16" s="171"/>
      <c r="T16" s="171"/>
      <c r="U16" s="631"/>
      <c r="V16" s="631"/>
      <c r="W16" s="631"/>
      <c r="X16" s="631"/>
      <c r="Y16" s="631"/>
      <c r="Z16" s="631"/>
      <c r="AA16" s="631"/>
      <c r="AB16" s="631"/>
      <c r="AC16" s="631"/>
      <c r="AD16" s="631"/>
      <c r="AE16" s="631"/>
    </row>
    <row r="17" spans="1:31" ht="15.75" customHeight="1" x14ac:dyDescent="0.25">
      <c r="A17" s="631"/>
      <c r="B17" s="863" t="s">
        <v>4</v>
      </c>
      <c r="C17" s="690"/>
      <c r="D17" s="690"/>
      <c r="E17" s="703"/>
      <c r="F17" s="703"/>
      <c r="G17" s="690"/>
      <c r="H17" s="690"/>
      <c r="I17" s="690"/>
      <c r="J17" s="690"/>
      <c r="K17" s="690"/>
      <c r="L17" s="690"/>
      <c r="M17" s="690"/>
      <c r="N17" s="690"/>
      <c r="O17" s="705"/>
      <c r="P17" s="171"/>
      <c r="Q17" s="171"/>
      <c r="R17" s="171"/>
      <c r="S17" s="171"/>
      <c r="T17" s="171"/>
      <c r="U17" s="690"/>
      <c r="V17" s="690"/>
      <c r="W17" s="690"/>
      <c r="X17" s="690"/>
      <c r="Y17" s="690"/>
      <c r="Z17" s="690"/>
      <c r="AA17" s="631"/>
      <c r="AB17" s="631"/>
      <c r="AC17" s="631"/>
      <c r="AD17" s="631"/>
      <c r="AE17" s="631"/>
    </row>
    <row r="18" spans="1:31" s="237" customFormat="1" ht="15.75" customHeight="1" x14ac:dyDescent="0.25">
      <c r="A18" s="729"/>
      <c r="B18" s="1325" t="s">
        <v>2113</v>
      </c>
      <c r="C18" s="1325"/>
      <c r="D18" s="1325"/>
      <c r="E18" s="1325"/>
      <c r="F18" s="1325"/>
      <c r="G18" s="1325"/>
      <c r="H18" s="1325"/>
      <c r="I18" s="1325"/>
      <c r="J18" s="1325"/>
      <c r="K18" s="729"/>
      <c r="L18" s="729"/>
      <c r="M18" s="729"/>
      <c r="N18" s="729"/>
      <c r="O18" s="729"/>
      <c r="P18" s="865"/>
      <c r="Q18" s="865"/>
      <c r="R18" s="865"/>
      <c r="S18" s="865"/>
      <c r="T18" s="865"/>
      <c r="U18" s="729"/>
      <c r="V18" s="729"/>
      <c r="W18" s="729"/>
      <c r="X18" s="729"/>
      <c r="Y18" s="729"/>
      <c r="Z18" s="729"/>
      <c r="AA18" s="729"/>
      <c r="AB18" s="729"/>
      <c r="AC18" s="729"/>
      <c r="AD18" s="729"/>
      <c r="AE18" s="729"/>
    </row>
    <row r="19" spans="1:31" s="237" customFormat="1" ht="3" customHeight="1" x14ac:dyDescent="0.25">
      <c r="A19" s="729"/>
      <c r="B19" s="1325"/>
      <c r="C19" s="1325"/>
      <c r="D19" s="1325"/>
      <c r="E19" s="1325"/>
      <c r="F19" s="1325"/>
      <c r="G19" s="1325"/>
      <c r="H19" s="1325"/>
      <c r="I19" s="1325"/>
      <c r="J19" s="1325"/>
      <c r="K19" s="729"/>
      <c r="L19" s="729"/>
      <c r="M19" s="729"/>
      <c r="N19" s="729"/>
      <c r="O19" s="729"/>
      <c r="P19" s="865"/>
      <c r="Q19" s="865"/>
      <c r="R19" s="865"/>
      <c r="S19" s="865"/>
      <c r="T19" s="865"/>
      <c r="U19" s="729"/>
      <c r="V19" s="729"/>
      <c r="W19" s="729"/>
      <c r="X19" s="729"/>
      <c r="Y19" s="729"/>
      <c r="Z19" s="729"/>
      <c r="AA19" s="729"/>
      <c r="AB19" s="729"/>
      <c r="AC19" s="729"/>
      <c r="AD19" s="729"/>
      <c r="AE19" s="729"/>
    </row>
    <row r="20" spans="1:31" s="237" customFormat="1" ht="15.75" customHeight="1" x14ac:dyDescent="0.25">
      <c r="A20" s="729"/>
      <c r="B20" s="1325" t="s">
        <v>1348</v>
      </c>
      <c r="C20" s="1325"/>
      <c r="D20" s="1325"/>
      <c r="E20" s="1325"/>
      <c r="F20" s="1325"/>
      <c r="G20" s="1325"/>
      <c r="H20" s="1325"/>
      <c r="I20" s="1325"/>
      <c r="J20" s="1325"/>
      <c r="K20" s="729"/>
      <c r="L20" s="729"/>
      <c r="M20" s="729"/>
      <c r="N20" s="729"/>
      <c r="O20" s="729"/>
      <c r="P20" s="865"/>
      <c r="Q20" s="865"/>
      <c r="R20" s="865"/>
      <c r="S20" s="865"/>
      <c r="T20" s="865"/>
      <c r="U20" s="729"/>
      <c r="V20" s="729"/>
      <c r="W20" s="729"/>
      <c r="X20" s="729"/>
      <c r="Y20" s="729"/>
      <c r="Z20" s="729"/>
      <c r="AA20" s="729"/>
      <c r="AB20" s="729"/>
      <c r="AC20" s="729"/>
      <c r="AD20" s="729"/>
      <c r="AE20" s="729"/>
    </row>
    <row r="21" spans="1:31" s="237" customFormat="1" ht="15.75" customHeight="1" x14ac:dyDescent="0.25">
      <c r="A21" s="729"/>
      <c r="B21" s="1325"/>
      <c r="C21" s="1325"/>
      <c r="D21" s="1325"/>
      <c r="E21" s="1325"/>
      <c r="F21" s="1325"/>
      <c r="G21" s="1325"/>
      <c r="H21" s="1325"/>
      <c r="I21" s="1325"/>
      <c r="J21" s="1325"/>
      <c r="K21" s="729"/>
      <c r="L21" s="729"/>
      <c r="M21" s="729"/>
      <c r="N21" s="729"/>
      <c r="O21" s="729"/>
      <c r="P21" s="865"/>
      <c r="Q21" s="865"/>
      <c r="R21" s="865"/>
      <c r="S21" s="865"/>
      <c r="T21" s="865"/>
      <c r="U21" s="729"/>
      <c r="V21" s="729"/>
      <c r="W21" s="729"/>
      <c r="X21" s="729"/>
      <c r="Y21" s="729"/>
      <c r="Z21" s="729"/>
      <c r="AA21" s="729"/>
      <c r="AB21" s="729"/>
      <c r="AC21" s="729"/>
      <c r="AD21" s="729"/>
      <c r="AE21" s="729"/>
    </row>
    <row r="22" spans="1:31" s="237" customFormat="1" ht="15.75" customHeight="1" x14ac:dyDescent="0.25">
      <c r="A22" s="729"/>
      <c r="B22" s="1335" t="s">
        <v>2051</v>
      </c>
      <c r="C22" s="1335"/>
      <c r="D22" s="1335"/>
      <c r="E22" s="1335"/>
      <c r="F22" s="1335"/>
      <c r="G22" s="1335"/>
      <c r="H22" s="1335"/>
      <c r="I22" s="1335"/>
      <c r="J22" s="1335"/>
      <c r="K22" s="729"/>
      <c r="L22" s="729"/>
      <c r="M22" s="729"/>
      <c r="N22" s="729"/>
      <c r="O22" s="729"/>
      <c r="P22" s="865"/>
      <c r="Q22" s="865"/>
      <c r="R22" s="865"/>
      <c r="S22" s="865"/>
      <c r="T22" s="865"/>
      <c r="U22" s="729"/>
      <c r="V22" s="729"/>
      <c r="W22" s="729"/>
      <c r="X22" s="729"/>
      <c r="Y22" s="729"/>
      <c r="Z22" s="729"/>
      <c r="AA22" s="729"/>
      <c r="AB22" s="729"/>
      <c r="AC22" s="729"/>
      <c r="AD22" s="729"/>
      <c r="AE22" s="729"/>
    </row>
    <row r="23" spans="1:31" s="237" customFormat="1" ht="15.75" customHeight="1" x14ac:dyDescent="0.25">
      <c r="A23" s="729"/>
      <c r="B23" s="1334" t="s">
        <v>2052</v>
      </c>
      <c r="C23" s="1334"/>
      <c r="D23" s="1334"/>
      <c r="E23" s="1334"/>
      <c r="F23" s="1334"/>
      <c r="G23" s="1334"/>
      <c r="H23" s="1334"/>
      <c r="I23" s="1334"/>
      <c r="J23" s="1334"/>
      <c r="K23" s="729"/>
      <c r="L23" s="729"/>
      <c r="M23" s="729"/>
      <c r="N23" s="729"/>
      <c r="O23" s="729"/>
      <c r="P23" s="729"/>
      <c r="Q23" s="729"/>
      <c r="R23" s="865"/>
      <c r="S23" s="729"/>
      <c r="T23" s="729"/>
      <c r="U23" s="729"/>
      <c r="V23" s="729"/>
      <c r="W23" s="729"/>
      <c r="X23" s="729"/>
      <c r="Y23" s="729"/>
      <c r="Z23" s="729"/>
      <c r="AA23" s="729"/>
      <c r="AB23" s="729"/>
      <c r="AC23" s="729"/>
      <c r="AD23" s="729"/>
      <c r="AE23" s="729"/>
    </row>
    <row r="24" spans="1:31" s="237" customFormat="1" ht="15.75" customHeight="1" x14ac:dyDescent="0.25">
      <c r="A24" s="729"/>
      <c r="B24" s="1334" t="s">
        <v>2053</v>
      </c>
      <c r="C24" s="1334"/>
      <c r="D24" s="1334"/>
      <c r="E24" s="1334"/>
      <c r="F24" s="1334"/>
      <c r="G24" s="1334"/>
      <c r="H24" s="1334"/>
      <c r="I24" s="1334"/>
      <c r="J24" s="1334"/>
      <c r="K24" s="729"/>
      <c r="L24" s="729"/>
      <c r="M24" s="729"/>
      <c r="N24" s="729"/>
      <c r="O24" s="729"/>
      <c r="P24" s="729"/>
      <c r="Q24" s="729"/>
      <c r="R24" s="729"/>
      <c r="S24" s="729"/>
      <c r="T24" s="729"/>
      <c r="U24" s="729"/>
      <c r="V24" s="729"/>
      <c r="W24" s="729"/>
      <c r="X24" s="729"/>
      <c r="Y24" s="729"/>
      <c r="Z24" s="729"/>
      <c r="AA24" s="729"/>
      <c r="AB24" s="729"/>
      <c r="AC24" s="729"/>
      <c r="AD24" s="729"/>
      <c r="AE24" s="729"/>
    </row>
    <row r="25" spans="1:31" s="237" customFormat="1" ht="15.75" customHeight="1" x14ac:dyDescent="0.25">
      <c r="A25" s="729"/>
      <c r="C25" s="729"/>
      <c r="D25" s="729"/>
      <c r="E25" s="731"/>
      <c r="F25" s="731"/>
      <c r="G25" s="729"/>
      <c r="H25" s="729"/>
      <c r="I25" s="729"/>
      <c r="J25" s="729"/>
      <c r="K25" s="729"/>
      <c r="L25" s="729"/>
      <c r="M25" s="729"/>
      <c r="N25" s="729"/>
      <c r="O25" s="729"/>
      <c r="P25" s="729"/>
      <c r="Q25" s="729"/>
      <c r="R25" s="729"/>
      <c r="S25" s="729"/>
      <c r="T25" s="729"/>
      <c r="U25" s="729"/>
      <c r="V25" s="729"/>
      <c r="W25" s="729"/>
      <c r="X25" s="729"/>
      <c r="Y25" s="729"/>
      <c r="Z25" s="729"/>
      <c r="AA25" s="729"/>
      <c r="AB25" s="729"/>
      <c r="AC25" s="729"/>
      <c r="AD25" s="729"/>
      <c r="AE25" s="729"/>
    </row>
    <row r="26" spans="1:31" s="463" customFormat="1" ht="18" customHeight="1" x14ac:dyDescent="0.3">
      <c r="A26" s="866"/>
      <c r="B26" s="866" t="s">
        <v>443</v>
      </c>
      <c r="C26" s="867"/>
      <c r="D26" s="867"/>
      <c r="E26" s="867"/>
      <c r="F26" s="867"/>
      <c r="G26" s="867"/>
      <c r="H26" s="867"/>
      <c r="I26" s="867"/>
      <c r="J26" s="867"/>
      <c r="K26" s="867"/>
      <c r="L26" s="867"/>
      <c r="M26" s="867"/>
      <c r="N26" s="868"/>
      <c r="O26" s="864"/>
      <c r="P26" s="864"/>
      <c r="Q26" s="864"/>
      <c r="R26" s="864"/>
      <c r="S26" s="864"/>
      <c r="T26" s="864"/>
      <c r="U26" s="864"/>
      <c r="V26" s="864"/>
      <c r="W26" s="864"/>
      <c r="X26" s="864"/>
      <c r="Y26" s="864"/>
      <c r="Z26" s="864"/>
      <c r="AA26" s="864"/>
      <c r="AB26" s="864"/>
      <c r="AC26" s="864"/>
      <c r="AD26" s="864"/>
      <c r="AE26" s="864"/>
    </row>
    <row r="27" spans="1:31" ht="15" customHeight="1" outlineLevel="1" x14ac:dyDescent="0.25">
      <c r="A27" s="854"/>
      <c r="K27" s="711"/>
      <c r="L27" s="711"/>
      <c r="M27" s="711"/>
      <c r="N27" s="711"/>
      <c r="O27" s="717"/>
      <c r="P27" s="717"/>
      <c r="Q27" s="717"/>
      <c r="R27" s="717"/>
      <c r="S27" s="717"/>
      <c r="T27" s="717"/>
      <c r="U27" s="717"/>
      <c r="V27" s="717"/>
      <c r="W27" s="717"/>
      <c r="X27" s="717"/>
      <c r="Y27" s="717"/>
      <c r="Z27" s="717"/>
      <c r="AA27" s="717"/>
      <c r="AB27" s="717"/>
      <c r="AC27" s="717"/>
      <c r="AD27" s="717"/>
      <c r="AE27" s="717"/>
    </row>
    <row r="28" spans="1:31" s="237" customFormat="1" ht="15" customHeight="1" outlineLevel="1" x14ac:dyDescent="0.25">
      <c r="A28" s="729"/>
      <c r="B28" s="728" t="s">
        <v>124</v>
      </c>
      <c r="K28" s="729"/>
      <c r="L28" s="729"/>
      <c r="M28" s="729"/>
      <c r="N28" s="729"/>
      <c r="O28" s="278"/>
      <c r="P28" s="729"/>
      <c r="Q28" s="729"/>
      <c r="R28" s="729"/>
      <c r="S28" s="729"/>
      <c r="T28" s="729"/>
      <c r="U28" s="729"/>
      <c r="V28" s="729"/>
      <c r="W28" s="729"/>
      <c r="X28" s="729"/>
      <c r="Y28" s="729"/>
      <c r="Z28" s="729"/>
      <c r="AA28" s="729"/>
      <c r="AB28" s="729"/>
      <c r="AC28" s="729"/>
      <c r="AE28" s="729"/>
    </row>
    <row r="29" spans="1:31" s="237" customFormat="1" ht="15" outlineLevel="1" x14ac:dyDescent="0.25">
      <c r="A29" s="729"/>
      <c r="B29" s="1339" t="s">
        <v>2112</v>
      </c>
      <c r="C29" s="1339"/>
      <c r="D29" s="1339"/>
      <c r="E29" s="1339"/>
      <c r="F29" s="1339"/>
      <c r="G29" s="1339"/>
      <c r="H29" s="1339"/>
      <c r="I29" s="1339"/>
      <c r="J29" s="1339"/>
      <c r="K29" s="729"/>
      <c r="L29" s="729"/>
      <c r="M29" s="729"/>
      <c r="N29" s="729"/>
      <c r="O29" s="278"/>
      <c r="P29" s="729"/>
      <c r="Q29" s="729"/>
      <c r="R29" s="729"/>
      <c r="S29" s="729"/>
      <c r="T29" s="729"/>
      <c r="U29" s="729"/>
      <c r="V29" s="729"/>
      <c r="W29" s="729"/>
      <c r="X29" s="729"/>
      <c r="Y29" s="729"/>
      <c r="Z29" s="729"/>
    </row>
    <row r="30" spans="1:31" s="237" customFormat="1" ht="15" customHeight="1" outlineLevel="1" x14ac:dyDescent="0.25">
      <c r="A30" s="729"/>
      <c r="B30" s="1338" t="s">
        <v>2211</v>
      </c>
      <c r="C30" s="1338"/>
      <c r="D30" s="1338"/>
      <c r="E30" s="1338"/>
      <c r="F30" s="1338"/>
      <c r="G30" s="1338"/>
      <c r="H30" s="1338"/>
      <c r="I30" s="1338"/>
      <c r="J30" s="1338"/>
      <c r="K30" s="729"/>
      <c r="L30" s="729"/>
      <c r="M30" s="729"/>
      <c r="N30" s="729"/>
      <c r="O30" s="278"/>
      <c r="P30" s="865"/>
      <c r="Q30" s="865"/>
      <c r="R30" s="865"/>
      <c r="S30" s="865"/>
      <c r="T30" s="865"/>
      <c r="U30" s="865"/>
      <c r="V30" s="865"/>
      <c r="W30" s="865"/>
      <c r="X30" s="865"/>
      <c r="Y30" s="729"/>
      <c r="Z30" s="729"/>
    </row>
    <row r="31" spans="1:31" s="237" customFormat="1" ht="15" customHeight="1" outlineLevel="1" x14ac:dyDescent="0.25">
      <c r="A31" s="729"/>
      <c r="B31" s="1338"/>
      <c r="C31" s="1338"/>
      <c r="D31" s="1338"/>
      <c r="E31" s="1338"/>
      <c r="F31" s="1338"/>
      <c r="G31" s="1338"/>
      <c r="H31" s="1338"/>
      <c r="I31" s="1338"/>
      <c r="J31" s="1338"/>
      <c r="K31" s="729"/>
      <c r="L31" s="729"/>
      <c r="M31" s="729"/>
      <c r="N31" s="729"/>
      <c r="O31" s="278"/>
      <c r="P31" s="865"/>
      <c r="Q31" s="865"/>
      <c r="R31" s="865"/>
      <c r="S31" s="865"/>
      <c r="T31" s="865"/>
      <c r="U31" s="865"/>
      <c r="V31" s="865"/>
      <c r="W31" s="865"/>
      <c r="X31" s="865"/>
      <c r="Y31" s="729"/>
      <c r="Z31" s="729"/>
    </row>
    <row r="32" spans="1:31" s="237" customFormat="1" ht="15" customHeight="1" outlineLevel="1" x14ac:dyDescent="0.25">
      <c r="A32" s="729"/>
      <c r="B32" s="1340" t="s">
        <v>2212</v>
      </c>
      <c r="C32" s="1340"/>
      <c r="D32" s="1340"/>
      <c r="E32" s="1340"/>
      <c r="F32" s="1340"/>
      <c r="G32" s="1340"/>
      <c r="H32" s="1340"/>
      <c r="I32" s="1340"/>
      <c r="J32" s="1340"/>
      <c r="K32" s="729"/>
      <c r="L32" s="729"/>
      <c r="M32" s="729"/>
      <c r="N32" s="729"/>
      <c r="O32" s="278"/>
      <c r="P32" s="865"/>
      <c r="Q32" s="865"/>
      <c r="R32" s="865"/>
      <c r="S32" s="865"/>
      <c r="T32" s="865"/>
      <c r="U32" s="865"/>
      <c r="V32" s="865"/>
      <c r="W32" s="865"/>
      <c r="X32" s="865"/>
      <c r="Y32" s="729"/>
      <c r="Z32" s="729"/>
    </row>
    <row r="33" spans="1:31" s="237" customFormat="1" ht="15" customHeight="1" outlineLevel="1" x14ac:dyDescent="0.25">
      <c r="A33" s="729"/>
      <c r="K33" s="729"/>
      <c r="L33" s="729"/>
      <c r="M33" s="729"/>
      <c r="N33" s="729"/>
      <c r="O33" s="278"/>
      <c r="P33" s="865"/>
      <c r="Q33" s="865"/>
      <c r="R33" s="865"/>
      <c r="S33" s="865"/>
      <c r="T33" s="865"/>
      <c r="U33" s="865"/>
      <c r="V33" s="865"/>
      <c r="W33" s="865"/>
      <c r="X33" s="865"/>
      <c r="Y33" s="729"/>
      <c r="Z33" s="729"/>
    </row>
    <row r="34" spans="1:31" s="237" customFormat="1" ht="15" customHeight="1" outlineLevel="1" x14ac:dyDescent="0.25">
      <c r="A34" s="729"/>
      <c r="B34" s="871" t="s">
        <v>221</v>
      </c>
      <c r="K34" s="729"/>
      <c r="L34" s="729"/>
      <c r="M34" s="729"/>
      <c r="N34" s="729"/>
      <c r="O34" s="278"/>
      <c r="P34" s="865"/>
      <c r="Q34" s="865"/>
      <c r="R34" s="865"/>
      <c r="S34" s="865"/>
      <c r="T34" s="865"/>
      <c r="U34" s="865"/>
      <c r="V34" s="865"/>
      <c r="W34" s="865"/>
      <c r="X34" s="865"/>
      <c r="Y34" s="729"/>
      <c r="Z34" s="729"/>
    </row>
    <row r="35" spans="1:31" s="237" customFormat="1" ht="15" customHeight="1" outlineLevel="1" x14ac:dyDescent="0.25">
      <c r="A35" s="252"/>
      <c r="C35" s="872"/>
      <c r="D35" s="865"/>
      <c r="E35" s="865"/>
      <c r="F35" s="865"/>
      <c r="G35" s="865"/>
      <c r="H35" s="865"/>
      <c r="I35" s="252"/>
      <c r="J35" s="252"/>
      <c r="K35" s="252"/>
      <c r="L35" s="252"/>
      <c r="M35" s="252"/>
      <c r="N35" s="252"/>
      <c r="O35" s="278"/>
      <c r="P35" s="865"/>
      <c r="Q35" s="865"/>
      <c r="R35" s="865"/>
      <c r="S35" s="865"/>
      <c r="T35" s="865"/>
      <c r="U35" s="865"/>
      <c r="V35" s="865"/>
      <c r="W35" s="865"/>
      <c r="X35" s="865"/>
      <c r="Y35" s="252"/>
      <c r="Z35" s="252"/>
    </row>
    <row r="36" spans="1:31" s="237" customFormat="1" ht="15" customHeight="1" outlineLevel="1" x14ac:dyDescent="0.25">
      <c r="A36" s="252"/>
      <c r="B36" s="865"/>
      <c r="C36" s="873" t="s">
        <v>213</v>
      </c>
      <c r="D36" s="874"/>
      <c r="E36" s="875" t="s">
        <v>338</v>
      </c>
      <c r="F36" s="865"/>
      <c r="G36" s="865"/>
      <c r="H36" s="865"/>
      <c r="I36" s="252"/>
      <c r="J36" s="252"/>
      <c r="K36" s="252"/>
      <c r="L36" s="252"/>
      <c r="M36" s="252"/>
      <c r="N36" s="252"/>
      <c r="O36" s="278"/>
      <c r="P36" s="865"/>
      <c r="Q36" s="865"/>
      <c r="R36" s="865"/>
      <c r="S36" s="865"/>
      <c r="T36" s="865"/>
      <c r="U36" s="865"/>
      <c r="V36" s="865"/>
      <c r="W36" s="865"/>
      <c r="X36" s="865"/>
      <c r="Y36" s="252"/>
      <c r="Z36" s="252"/>
    </row>
    <row r="37" spans="1:31" s="237" customFormat="1" ht="15" customHeight="1" outlineLevel="1" x14ac:dyDescent="0.25">
      <c r="A37" s="252"/>
      <c r="B37" s="865"/>
      <c r="C37" s="876" t="s">
        <v>2023</v>
      </c>
      <c r="D37" s="877"/>
      <c r="E37" s="877"/>
      <c r="F37" s="865"/>
      <c r="G37" s="865"/>
      <c r="H37" s="865"/>
      <c r="I37" s="252"/>
      <c r="J37" s="252"/>
      <c r="K37" s="252"/>
      <c r="L37" s="252"/>
      <c r="M37" s="252"/>
      <c r="N37" s="252"/>
      <c r="O37" s="278"/>
      <c r="P37" s="865"/>
      <c r="Q37" s="865"/>
      <c r="R37" s="865"/>
      <c r="S37" s="865"/>
      <c r="T37" s="865"/>
      <c r="U37" s="865"/>
      <c r="V37" s="865"/>
      <c r="W37" s="865"/>
      <c r="X37" s="865"/>
      <c r="Y37" s="252"/>
      <c r="Z37" s="252"/>
    </row>
    <row r="38" spans="1:31" s="237" customFormat="1" ht="15" customHeight="1" outlineLevel="1" x14ac:dyDescent="0.25">
      <c r="A38" s="252"/>
      <c r="B38" s="865"/>
      <c r="C38" s="865"/>
      <c r="D38" s="865"/>
      <c r="E38" s="865"/>
      <c r="F38" s="252"/>
      <c r="G38" s="252"/>
      <c r="H38" s="865"/>
      <c r="I38" s="865"/>
      <c r="J38" s="865"/>
      <c r="K38" s="865"/>
      <c r="L38" s="252"/>
      <c r="M38" s="252"/>
      <c r="N38" s="252"/>
      <c r="O38" s="278"/>
      <c r="P38" s="865"/>
      <c r="Q38" s="865"/>
      <c r="R38" s="865"/>
      <c r="S38" s="865"/>
      <c r="T38" s="865"/>
      <c r="U38" s="865"/>
      <c r="V38" s="865"/>
      <c r="W38" s="865"/>
      <c r="X38" s="865"/>
      <c r="Y38" s="252"/>
      <c r="Z38" s="252"/>
    </row>
    <row r="39" spans="1:31" s="237" customFormat="1" ht="15" customHeight="1" outlineLevel="1" x14ac:dyDescent="0.25">
      <c r="A39" s="252"/>
      <c r="B39" s="871" t="s">
        <v>2024</v>
      </c>
      <c r="C39" s="252"/>
      <c r="D39" s="252"/>
      <c r="E39" s="871"/>
      <c r="F39" s="252"/>
      <c r="G39" s="252"/>
      <c r="H39" s="865"/>
      <c r="I39" s="865"/>
      <c r="J39" s="865"/>
      <c r="K39" s="865"/>
      <c r="L39" s="252"/>
      <c r="M39" s="252"/>
      <c r="N39" s="252"/>
      <c r="O39" s="278"/>
      <c r="P39" s="865"/>
      <c r="Q39" s="865"/>
      <c r="R39" s="865"/>
      <c r="S39" s="865"/>
      <c r="T39" s="865"/>
      <c r="U39" s="865"/>
      <c r="V39" s="865"/>
      <c r="W39" s="865"/>
      <c r="X39" s="865"/>
      <c r="Y39" s="252"/>
      <c r="Z39" s="252"/>
    </row>
    <row r="40" spans="1:31" s="237" customFormat="1" ht="15" customHeight="1" outlineLevel="1" x14ac:dyDescent="0.25">
      <c r="A40" s="252"/>
      <c r="B40" s="252"/>
      <c r="C40" s="878"/>
      <c r="D40" s="878"/>
      <c r="E40" s="871"/>
      <c r="F40" s="252"/>
      <c r="G40" s="252"/>
      <c r="H40" s="865"/>
      <c r="I40" s="865"/>
      <c r="J40" s="865"/>
      <c r="K40" s="865"/>
      <c r="L40" s="252"/>
      <c r="M40" s="252"/>
      <c r="N40" s="252"/>
      <c r="O40" s="278"/>
      <c r="P40" s="865"/>
      <c r="Q40" s="865"/>
      <c r="R40" s="865"/>
      <c r="S40" s="865"/>
      <c r="T40" s="865"/>
      <c r="U40" s="865"/>
      <c r="V40" s="865"/>
      <c r="W40" s="865"/>
      <c r="X40" s="865"/>
      <c r="Y40" s="252"/>
      <c r="Z40" s="252"/>
    </row>
    <row r="41" spans="1:31" s="237" customFormat="1" ht="15" customHeight="1" outlineLevel="1" x14ac:dyDescent="0.25">
      <c r="A41" s="252"/>
      <c r="B41" s="879"/>
      <c r="C41" s="880" t="s">
        <v>50</v>
      </c>
      <c r="D41" s="881"/>
      <c r="E41" s="865" t="s">
        <v>51</v>
      </c>
      <c r="F41" s="865"/>
      <c r="G41" s="865"/>
      <c r="H41" s="865"/>
      <c r="I41" s="865"/>
      <c r="J41" s="865"/>
      <c r="K41" s="865"/>
      <c r="L41" s="252"/>
      <c r="M41" s="252"/>
      <c r="N41" s="252"/>
      <c r="O41" s="278"/>
      <c r="P41" s="865"/>
      <c r="Q41" s="865"/>
      <c r="R41" s="865"/>
      <c r="S41" s="865"/>
      <c r="T41" s="865"/>
      <c r="U41" s="865"/>
      <c r="V41" s="865"/>
      <c r="W41" s="865"/>
      <c r="X41" s="865"/>
      <c r="Y41" s="252"/>
      <c r="Z41" s="252"/>
    </row>
    <row r="42" spans="1:31" s="237" customFormat="1" ht="15" customHeight="1" outlineLevel="1" x14ac:dyDescent="0.25">
      <c r="A42" s="252"/>
      <c r="B42" s="879"/>
      <c r="C42" s="882"/>
      <c r="D42" s="865"/>
      <c r="E42" s="865"/>
      <c r="F42" s="865"/>
      <c r="G42" s="865"/>
      <c r="H42" s="865"/>
      <c r="I42" s="865"/>
      <c r="J42" s="865"/>
      <c r="K42" s="865"/>
      <c r="L42" s="252"/>
      <c r="M42" s="252"/>
      <c r="N42" s="252"/>
      <c r="O42" s="278"/>
      <c r="P42" s="865"/>
      <c r="Q42" s="865"/>
      <c r="R42" s="865"/>
      <c r="S42" s="865"/>
      <c r="T42" s="865"/>
      <c r="U42" s="865"/>
      <c r="V42" s="865"/>
      <c r="W42" s="865"/>
      <c r="X42" s="865"/>
      <c r="Y42" s="252"/>
      <c r="Z42" s="252"/>
    </row>
    <row r="43" spans="1:31" s="237" customFormat="1" ht="15" customHeight="1" outlineLevel="1" x14ac:dyDescent="0.25">
      <c r="A43" s="252"/>
      <c r="B43" s="871" t="s">
        <v>219</v>
      </c>
      <c r="C43" s="882"/>
      <c r="D43" s="865"/>
      <c r="E43" s="865"/>
      <c r="F43" s="865"/>
      <c r="G43" s="865"/>
      <c r="H43" s="865"/>
      <c r="I43" s="865"/>
      <c r="J43" s="865"/>
      <c r="K43" s="865"/>
      <c r="L43" s="252"/>
      <c r="M43" s="252"/>
      <c r="N43" s="252"/>
      <c r="O43" s="278"/>
      <c r="P43" s="865"/>
      <c r="Q43" s="865"/>
      <c r="R43" s="865"/>
      <c r="S43" s="865"/>
      <c r="T43" s="865"/>
      <c r="U43" s="865"/>
      <c r="V43" s="865"/>
      <c r="W43" s="865"/>
      <c r="X43" s="865"/>
      <c r="Y43" s="252"/>
      <c r="Z43" s="252"/>
    </row>
    <row r="44" spans="1:31" s="237" customFormat="1" ht="15" customHeight="1" outlineLevel="1" x14ac:dyDescent="0.25">
      <c r="A44" s="252"/>
      <c r="B44" s="879"/>
      <c r="C44" s="876" t="s">
        <v>614</v>
      </c>
      <c r="D44" s="252"/>
      <c r="E44" s="865"/>
      <c r="F44" s="252"/>
      <c r="G44" s="252"/>
      <c r="H44" s="865"/>
      <c r="I44" s="865"/>
      <c r="J44" s="865"/>
      <c r="K44" s="865"/>
      <c r="L44" s="252"/>
      <c r="M44" s="252"/>
      <c r="N44" s="252"/>
      <c r="O44" s="278"/>
      <c r="P44" s="865"/>
      <c r="Q44" s="865"/>
      <c r="R44" s="865"/>
      <c r="S44" s="865"/>
      <c r="T44" s="865"/>
      <c r="U44" s="865"/>
      <c r="V44" s="865"/>
      <c r="W44" s="865"/>
      <c r="X44" s="865"/>
      <c r="Y44" s="252"/>
      <c r="Z44" s="252"/>
      <c r="AA44" s="865"/>
      <c r="AB44" s="865"/>
      <c r="AC44" s="865"/>
      <c r="AD44" s="729"/>
      <c r="AE44" s="252"/>
    </row>
    <row r="45" spans="1:31" s="237" customFormat="1" ht="15" customHeight="1" outlineLevel="1" x14ac:dyDescent="0.25">
      <c r="A45" s="252"/>
      <c r="B45" s="879"/>
      <c r="C45" s="876" t="s">
        <v>2025</v>
      </c>
      <c r="D45" s="252"/>
      <c r="E45" s="865"/>
      <c r="F45" s="252"/>
      <c r="G45" s="252"/>
      <c r="H45" s="865"/>
      <c r="I45" s="865"/>
      <c r="J45" s="865"/>
      <c r="K45" s="865"/>
      <c r="L45" s="252"/>
      <c r="M45" s="252"/>
      <c r="N45" s="252"/>
      <c r="O45" s="278"/>
      <c r="P45" s="865"/>
      <c r="Q45" s="865"/>
      <c r="R45" s="865"/>
      <c r="S45" s="865"/>
      <c r="T45" s="865"/>
      <c r="U45" s="865"/>
      <c r="V45" s="865"/>
      <c r="W45" s="865"/>
      <c r="X45" s="865"/>
      <c r="Y45" s="252"/>
      <c r="Z45" s="252"/>
      <c r="AA45" s="865"/>
      <c r="AB45" s="865"/>
      <c r="AC45" s="252"/>
      <c r="AD45" s="252"/>
      <c r="AE45" s="252"/>
    </row>
    <row r="46" spans="1:31" s="237" customFormat="1" ht="15" customHeight="1" outlineLevel="1" x14ac:dyDescent="0.25">
      <c r="A46" s="252"/>
      <c r="B46" s="879"/>
      <c r="C46" s="876"/>
      <c r="D46" s="252"/>
      <c r="E46" s="865"/>
      <c r="F46" s="252"/>
      <c r="G46" s="252"/>
      <c r="H46" s="865"/>
      <c r="I46" s="865"/>
      <c r="J46" s="865"/>
      <c r="K46" s="865"/>
      <c r="L46" s="252"/>
      <c r="M46" s="252"/>
      <c r="N46" s="252"/>
      <c r="O46" s="278"/>
      <c r="P46" s="865"/>
      <c r="Q46" s="865"/>
      <c r="R46" s="865"/>
      <c r="S46" s="865"/>
      <c r="T46" s="865"/>
      <c r="U46" s="865"/>
      <c r="V46" s="865"/>
      <c r="W46" s="865"/>
      <c r="X46" s="865"/>
      <c r="Y46" s="252"/>
      <c r="Z46" s="252"/>
      <c r="AA46" s="865"/>
      <c r="AB46" s="865"/>
      <c r="AC46" s="252"/>
      <c r="AD46" s="252"/>
      <c r="AE46" s="252"/>
    </row>
    <row r="47" spans="1:31" s="237" customFormat="1" ht="15" customHeight="1" outlineLevel="1" x14ac:dyDescent="0.25">
      <c r="A47" s="252"/>
      <c r="B47" s="879"/>
      <c r="C47" s="883"/>
      <c r="D47" s="883"/>
      <c r="E47" s="884" t="s">
        <v>143</v>
      </c>
      <c r="F47" s="252"/>
      <c r="G47" s="252"/>
      <c r="H47" s="865"/>
      <c r="I47" s="865"/>
      <c r="J47" s="865"/>
      <c r="K47" s="865"/>
      <c r="L47" s="252"/>
      <c r="M47" s="252"/>
      <c r="N47" s="252"/>
      <c r="O47" s="278"/>
      <c r="P47" s="252"/>
      <c r="Q47" s="865"/>
      <c r="R47" s="865"/>
      <c r="S47" s="865"/>
      <c r="T47" s="865"/>
      <c r="U47" s="865"/>
      <c r="V47" s="252"/>
      <c r="W47" s="252"/>
      <c r="X47" s="252"/>
      <c r="Y47" s="252"/>
      <c r="Z47" s="252"/>
      <c r="AA47" s="252"/>
      <c r="AB47" s="252"/>
      <c r="AC47" s="252"/>
      <c r="AD47" s="252"/>
      <c r="AE47" s="252"/>
    </row>
    <row r="48" spans="1:31" s="237" customFormat="1" ht="15" customHeight="1" outlineLevel="1" x14ac:dyDescent="0.25">
      <c r="A48" s="252"/>
      <c r="B48" s="879"/>
      <c r="C48" s="885" t="s">
        <v>2026</v>
      </c>
      <c r="D48" s="875"/>
      <c r="E48" s="875"/>
      <c r="F48" s="252"/>
      <c r="G48" s="252"/>
      <c r="H48" s="865"/>
      <c r="I48" s="865"/>
      <c r="J48" s="865"/>
      <c r="K48" s="865"/>
      <c r="L48" s="252"/>
      <c r="M48" s="252"/>
      <c r="N48" s="252"/>
      <c r="O48" s="278"/>
      <c r="P48" s="252"/>
      <c r="Q48" s="865"/>
      <c r="R48" s="865"/>
      <c r="S48" s="865"/>
      <c r="T48" s="865"/>
      <c r="U48" s="865"/>
      <c r="V48" s="252"/>
      <c r="W48" s="252"/>
      <c r="X48" s="252"/>
      <c r="Y48" s="252"/>
      <c r="Z48" s="252"/>
      <c r="AA48" s="252"/>
      <c r="AB48" s="252"/>
      <c r="AC48" s="252"/>
      <c r="AD48" s="252"/>
      <c r="AE48" s="252"/>
    </row>
    <row r="49" spans="1:31" s="237" customFormat="1" ht="15" customHeight="1" outlineLevel="1" x14ac:dyDescent="0.25">
      <c r="A49" s="252"/>
      <c r="B49" s="879"/>
      <c r="C49" s="886"/>
      <c r="D49" s="252"/>
      <c r="E49" s="252"/>
      <c r="F49" s="252"/>
      <c r="G49" s="252"/>
      <c r="H49" s="865"/>
      <c r="I49" s="865"/>
      <c r="J49" s="865"/>
      <c r="K49" s="865"/>
      <c r="L49" s="252"/>
      <c r="M49" s="252"/>
      <c r="N49" s="252"/>
      <c r="O49" s="278"/>
      <c r="P49" s="252"/>
      <c r="Q49" s="865"/>
      <c r="R49" s="865"/>
      <c r="S49" s="865"/>
      <c r="T49" s="865"/>
      <c r="U49" s="865"/>
      <c r="V49" s="252"/>
      <c r="W49" s="252"/>
      <c r="X49" s="252"/>
      <c r="Y49" s="252"/>
      <c r="Z49" s="252"/>
      <c r="AA49" s="252"/>
      <c r="AB49" s="252"/>
      <c r="AC49" s="252"/>
      <c r="AD49" s="252"/>
      <c r="AE49" s="252"/>
    </row>
    <row r="50" spans="1:31" s="237" customFormat="1" ht="15" customHeight="1" outlineLevel="1" x14ac:dyDescent="0.25">
      <c r="A50" s="252"/>
      <c r="B50" s="879"/>
      <c r="C50" s="876" t="s">
        <v>2029</v>
      </c>
      <c r="D50" s="252"/>
      <c r="E50" s="252"/>
      <c r="F50" s="252"/>
      <c r="G50" s="252"/>
      <c r="H50" s="865"/>
      <c r="I50" s="865"/>
      <c r="J50" s="865"/>
      <c r="K50" s="865"/>
      <c r="L50" s="865"/>
      <c r="M50" s="865"/>
      <c r="N50" s="865"/>
      <c r="O50" s="278"/>
      <c r="P50" s="252"/>
      <c r="Q50" s="865"/>
      <c r="R50" s="865"/>
      <c r="S50" s="865"/>
      <c r="T50" s="865"/>
      <c r="U50" s="865"/>
      <c r="V50" s="252"/>
      <c r="W50" s="252"/>
      <c r="X50" s="252"/>
      <c r="Y50" s="252"/>
      <c r="Z50" s="252"/>
      <c r="AA50" s="252"/>
      <c r="AB50" s="252"/>
      <c r="AC50" s="252"/>
      <c r="AD50" s="252"/>
      <c r="AE50" s="252"/>
    </row>
    <row r="51" spans="1:31" s="237" customFormat="1" ht="15" customHeight="1" outlineLevel="1" x14ac:dyDescent="0.35">
      <c r="A51" s="252"/>
      <c r="B51" s="879"/>
      <c r="C51" s="876" t="s">
        <v>1464</v>
      </c>
      <c r="D51" s="252"/>
      <c r="E51" s="252"/>
      <c r="F51" s="252"/>
      <c r="G51" s="252"/>
      <c r="H51" s="865"/>
      <c r="I51" s="865"/>
      <c r="J51" s="865"/>
      <c r="K51" s="865"/>
      <c r="L51" s="865"/>
      <c r="M51" s="865"/>
      <c r="N51" s="865"/>
      <c r="O51" s="278"/>
      <c r="P51" s="252"/>
      <c r="Q51" s="252"/>
      <c r="R51" s="252"/>
      <c r="S51" s="252"/>
      <c r="T51" s="252"/>
      <c r="U51" s="252"/>
      <c r="V51" s="252"/>
      <c r="W51" s="252"/>
      <c r="X51" s="252"/>
      <c r="Y51" s="252"/>
      <c r="Z51" s="252"/>
      <c r="AA51" s="252"/>
      <c r="AB51" s="252"/>
      <c r="AC51" s="252"/>
      <c r="AD51" s="252"/>
      <c r="AE51" s="252"/>
    </row>
    <row r="52" spans="1:31" s="237" customFormat="1" ht="15" customHeight="1" outlineLevel="1" x14ac:dyDescent="0.35">
      <c r="A52" s="252"/>
      <c r="B52" s="879"/>
      <c r="C52" s="876" t="s">
        <v>1498</v>
      </c>
      <c r="D52" s="877"/>
      <c r="E52" s="877"/>
      <c r="F52" s="252"/>
      <c r="G52" s="252"/>
      <c r="H52" s="865"/>
      <c r="I52" s="865"/>
      <c r="J52" s="865"/>
      <c r="K52" s="865"/>
      <c r="L52" s="865"/>
      <c r="M52" s="865"/>
      <c r="N52" s="865"/>
      <c r="O52" s="278"/>
      <c r="P52" s="252"/>
      <c r="Q52" s="252"/>
      <c r="R52" s="252"/>
      <c r="S52" s="252"/>
      <c r="T52" s="252"/>
      <c r="U52" s="252"/>
      <c r="V52" s="252"/>
      <c r="W52" s="252"/>
      <c r="X52" s="252"/>
      <c r="Y52" s="252"/>
      <c r="Z52" s="252"/>
      <c r="AA52" s="252"/>
      <c r="AB52" s="252"/>
      <c r="AC52" s="252"/>
      <c r="AD52" s="252"/>
      <c r="AE52" s="252"/>
    </row>
    <row r="53" spans="1:31" s="237" customFormat="1" ht="15" customHeight="1" outlineLevel="1" x14ac:dyDescent="0.25">
      <c r="A53" s="252"/>
      <c r="B53" s="879"/>
      <c r="C53" s="886"/>
      <c r="D53" s="252"/>
      <c r="E53" s="252"/>
      <c r="F53" s="252"/>
      <c r="G53" s="252"/>
      <c r="H53" s="865"/>
      <c r="I53" s="865"/>
      <c r="J53" s="865"/>
      <c r="K53" s="865"/>
      <c r="L53" s="865"/>
      <c r="M53" s="865"/>
      <c r="N53" s="865"/>
      <c r="O53" s="278"/>
      <c r="P53" s="252"/>
      <c r="Q53" s="252"/>
      <c r="R53" s="252"/>
      <c r="S53" s="252"/>
      <c r="T53" s="252"/>
      <c r="U53" s="252"/>
      <c r="V53" s="252"/>
      <c r="W53" s="252"/>
      <c r="X53" s="252"/>
      <c r="Y53" s="252"/>
      <c r="Z53" s="252"/>
      <c r="AA53" s="252"/>
      <c r="AB53" s="252"/>
      <c r="AC53" s="252"/>
      <c r="AD53" s="252"/>
      <c r="AE53" s="252"/>
    </row>
    <row r="54" spans="1:31" s="237" customFormat="1" ht="15" customHeight="1" outlineLevel="1" x14ac:dyDescent="0.25">
      <c r="A54" s="252"/>
      <c r="B54" s="879"/>
      <c r="C54" s="887" t="s">
        <v>2030</v>
      </c>
      <c r="D54" s="881"/>
      <c r="E54" s="865" t="s">
        <v>1465</v>
      </c>
      <c r="F54" s="252"/>
      <c r="G54" s="252"/>
      <c r="H54" s="865"/>
      <c r="I54" s="865"/>
      <c r="J54" s="865"/>
      <c r="K54" s="865"/>
      <c r="L54" s="865"/>
      <c r="M54" s="865"/>
      <c r="N54" s="865"/>
      <c r="O54" s="278"/>
      <c r="P54" s="252"/>
      <c r="Q54" s="252"/>
      <c r="R54" s="252"/>
      <c r="S54" s="252"/>
      <c r="T54" s="252"/>
      <c r="U54" s="252"/>
      <c r="V54" s="252"/>
      <c r="W54" s="252"/>
      <c r="X54" s="252"/>
      <c r="Y54" s="252"/>
      <c r="Z54" s="252"/>
      <c r="AA54" s="252"/>
      <c r="AB54" s="252"/>
      <c r="AC54" s="252"/>
      <c r="AD54" s="252"/>
      <c r="AE54" s="252"/>
    </row>
    <row r="55" spans="1:31" s="237" customFormat="1" ht="15" customHeight="1" outlineLevel="1" x14ac:dyDescent="0.35">
      <c r="A55" s="252"/>
      <c r="B55" s="879"/>
      <c r="C55" s="885" t="s">
        <v>1471</v>
      </c>
      <c r="D55" s="881"/>
      <c r="E55" s="865" t="s">
        <v>1466</v>
      </c>
      <c r="F55" s="865"/>
      <c r="G55" s="252"/>
      <c r="H55" s="865"/>
      <c r="I55" s="865"/>
      <c r="J55" s="865"/>
      <c r="K55" s="865"/>
      <c r="L55" s="865"/>
      <c r="M55" s="865"/>
      <c r="N55" s="865"/>
      <c r="O55" s="278"/>
      <c r="P55" s="252"/>
      <c r="Q55" s="252"/>
      <c r="R55" s="252"/>
      <c r="S55" s="252"/>
      <c r="T55" s="252"/>
      <c r="U55" s="252"/>
      <c r="V55" s="252"/>
      <c r="W55" s="252"/>
      <c r="X55" s="252"/>
      <c r="Y55" s="252"/>
      <c r="Z55" s="252"/>
      <c r="AA55" s="252"/>
      <c r="AB55" s="252"/>
      <c r="AC55" s="252"/>
      <c r="AD55" s="252"/>
      <c r="AE55" s="252"/>
    </row>
    <row r="56" spans="1:31" s="237" customFormat="1" ht="15" customHeight="1" outlineLevel="1" x14ac:dyDescent="0.25">
      <c r="A56" s="252"/>
      <c r="B56" s="879"/>
      <c r="C56" s="888" t="s">
        <v>2031</v>
      </c>
      <c r="D56" s="881"/>
      <c r="E56" s="865" t="s">
        <v>52</v>
      </c>
      <c r="F56" s="865"/>
      <c r="G56" s="252"/>
      <c r="H56" s="865"/>
      <c r="I56" s="865"/>
      <c r="J56" s="865"/>
      <c r="K56" s="865"/>
      <c r="L56" s="865"/>
      <c r="M56" s="865"/>
      <c r="N56" s="865"/>
      <c r="O56" s="278"/>
      <c r="P56" s="252"/>
      <c r="Q56" s="252"/>
      <c r="R56" s="252"/>
      <c r="S56" s="252"/>
      <c r="T56" s="252"/>
      <c r="U56" s="252"/>
      <c r="V56" s="252"/>
      <c r="W56" s="252"/>
      <c r="X56" s="252"/>
      <c r="Y56" s="252"/>
      <c r="Z56" s="252"/>
      <c r="AA56" s="252"/>
      <c r="AB56" s="252"/>
      <c r="AC56" s="252"/>
      <c r="AD56" s="252"/>
      <c r="AE56" s="252"/>
    </row>
    <row r="57" spans="1:31" s="237" customFormat="1" ht="15" customHeight="1" outlineLevel="1" x14ac:dyDescent="0.25">
      <c r="A57" s="252"/>
      <c r="B57" s="879"/>
      <c r="C57" s="252"/>
      <c r="D57" s="252"/>
      <c r="E57" s="865"/>
      <c r="F57" s="865"/>
      <c r="G57" s="252"/>
      <c r="H57" s="865"/>
      <c r="I57" s="865"/>
      <c r="J57" s="865"/>
      <c r="K57" s="865"/>
      <c r="L57" s="865"/>
      <c r="M57" s="865"/>
      <c r="N57" s="865"/>
      <c r="O57" s="278"/>
      <c r="P57" s="252"/>
      <c r="Q57" s="252"/>
      <c r="R57" s="252"/>
      <c r="S57" s="252"/>
      <c r="T57" s="252"/>
      <c r="U57" s="252"/>
      <c r="V57" s="252"/>
      <c r="W57" s="252"/>
      <c r="X57" s="252"/>
      <c r="Y57" s="252"/>
      <c r="Z57" s="252"/>
      <c r="AA57" s="252"/>
      <c r="AB57" s="252"/>
      <c r="AC57" s="252"/>
      <c r="AD57" s="252"/>
      <c r="AE57" s="252"/>
    </row>
    <row r="58" spans="1:31" s="237" customFormat="1" ht="15" customHeight="1" outlineLevel="1" x14ac:dyDescent="0.25">
      <c r="A58" s="252"/>
      <c r="B58" s="763" t="s">
        <v>220</v>
      </c>
      <c r="C58" s="252"/>
      <c r="D58" s="865"/>
      <c r="E58" s="865"/>
      <c r="F58" s="865"/>
      <c r="G58" s="252"/>
      <c r="H58" s="865"/>
      <c r="I58" s="865"/>
      <c r="J58" s="865"/>
      <c r="K58" s="865"/>
      <c r="L58" s="865"/>
      <c r="M58" s="865"/>
      <c r="N58" s="865"/>
      <c r="O58" s="278"/>
      <c r="P58" s="252"/>
      <c r="Q58" s="252"/>
      <c r="R58" s="252"/>
      <c r="S58" s="252"/>
      <c r="T58" s="252"/>
      <c r="U58" s="252"/>
      <c r="V58" s="252"/>
      <c r="W58" s="252"/>
      <c r="X58" s="252"/>
      <c r="Y58" s="252"/>
      <c r="Z58" s="252"/>
      <c r="AA58" s="252"/>
      <c r="AB58" s="252"/>
      <c r="AC58" s="252"/>
      <c r="AD58" s="252"/>
      <c r="AE58" s="252"/>
    </row>
    <row r="59" spans="1:31" s="237" customFormat="1" ht="15" customHeight="1" outlineLevel="1" x14ac:dyDescent="0.25">
      <c r="A59" s="252"/>
      <c r="B59" s="763"/>
      <c r="C59" s="252"/>
      <c r="D59" s="865"/>
      <c r="E59" s="865"/>
      <c r="F59" s="865"/>
      <c r="G59" s="865"/>
      <c r="H59" s="865"/>
      <c r="I59" s="865"/>
      <c r="J59" s="865"/>
      <c r="K59" s="865"/>
      <c r="L59" s="865"/>
      <c r="M59" s="865"/>
      <c r="N59" s="865"/>
      <c r="O59" s="278"/>
      <c r="P59" s="252"/>
      <c r="Q59" s="865"/>
      <c r="R59" s="865"/>
      <c r="S59" s="865"/>
      <c r="T59" s="865"/>
      <c r="U59" s="865"/>
      <c r="V59" s="252"/>
      <c r="W59" s="252"/>
      <c r="X59" s="252"/>
      <c r="Y59" s="252"/>
      <c r="Z59" s="252"/>
      <c r="AA59" s="252"/>
      <c r="AB59" s="252"/>
      <c r="AC59" s="252"/>
      <c r="AD59" s="252"/>
      <c r="AE59" s="252"/>
    </row>
    <row r="60" spans="1:31" s="237" customFormat="1" ht="15" customHeight="1" outlineLevel="1" x14ac:dyDescent="0.25">
      <c r="A60" s="252"/>
      <c r="B60" s="879"/>
      <c r="C60" s="873" t="s">
        <v>212</v>
      </c>
      <c r="D60" s="1346"/>
      <c r="E60" s="1347"/>
      <c r="F60" s="865"/>
      <c r="G60" s="865"/>
      <c r="H60" s="865"/>
      <c r="I60" s="865"/>
      <c r="J60" s="865"/>
      <c r="K60" s="865"/>
      <c r="L60" s="865"/>
      <c r="M60" s="865"/>
      <c r="N60" s="865"/>
      <c r="O60" s="278"/>
      <c r="P60" s="252"/>
      <c r="Q60" s="865"/>
      <c r="R60" s="865"/>
      <c r="S60" s="865"/>
      <c r="T60" s="865"/>
      <c r="U60" s="865"/>
      <c r="V60" s="252"/>
      <c r="W60" s="252"/>
      <c r="X60" s="252"/>
      <c r="Y60" s="252"/>
      <c r="Z60" s="252"/>
      <c r="AA60" s="252"/>
      <c r="AB60" s="252"/>
      <c r="AC60" s="252"/>
      <c r="AD60" s="252"/>
      <c r="AE60" s="252"/>
    </row>
    <row r="61" spans="1:31" s="237" customFormat="1" ht="15" customHeight="1" outlineLevel="1" x14ac:dyDescent="0.25">
      <c r="A61" s="252"/>
      <c r="B61" s="879"/>
      <c r="C61" s="873" t="s">
        <v>1467</v>
      </c>
      <c r="D61" s="1343">
        <f>IF(ISERROR(VLOOKUP(D60,eflu_tipo_tratamento_MCF,2,FALSE)),0,VLOOKUP(D60,eflu_tipo_tratamento_MCF,2,FALSE))</f>
        <v>0</v>
      </c>
      <c r="E61" s="1344"/>
      <c r="F61" s="865"/>
      <c r="G61" s="865"/>
      <c r="H61" s="865"/>
      <c r="I61" s="865"/>
      <c r="J61" s="865"/>
      <c r="K61" s="865"/>
      <c r="L61" s="865"/>
      <c r="M61" s="865"/>
      <c r="N61" s="865"/>
      <c r="O61" s="278"/>
      <c r="P61" s="252"/>
      <c r="Q61" s="865"/>
      <c r="R61" s="865"/>
      <c r="S61" s="865"/>
      <c r="T61" s="865"/>
      <c r="U61" s="865"/>
      <c r="V61" s="252"/>
      <c r="W61" s="252"/>
      <c r="X61" s="252"/>
      <c r="Y61" s="252"/>
      <c r="Z61" s="252"/>
      <c r="AA61" s="252"/>
      <c r="AB61" s="252"/>
      <c r="AC61" s="252"/>
      <c r="AD61" s="252"/>
      <c r="AE61" s="252"/>
    </row>
    <row r="62" spans="1:31" s="237" customFormat="1" ht="15" customHeight="1" outlineLevel="1" x14ac:dyDescent="0.25">
      <c r="A62" s="252"/>
      <c r="B62" s="879"/>
      <c r="C62" s="865"/>
      <c r="D62" s="252"/>
      <c r="E62" s="865"/>
      <c r="F62" s="865"/>
      <c r="G62" s="865"/>
      <c r="H62" s="865"/>
      <c r="I62" s="865"/>
      <c r="J62" s="865"/>
      <c r="K62" s="865"/>
      <c r="L62" s="865"/>
      <c r="M62" s="865"/>
      <c r="N62" s="865"/>
      <c r="O62" s="278"/>
      <c r="P62" s="252"/>
      <c r="Q62" s="865"/>
      <c r="R62" s="865"/>
      <c r="S62" s="865"/>
      <c r="T62" s="865"/>
      <c r="U62" s="865"/>
      <c r="V62" s="252"/>
      <c r="W62" s="252"/>
      <c r="X62" s="252"/>
      <c r="Y62" s="252"/>
      <c r="Z62" s="252"/>
      <c r="AA62" s="252"/>
      <c r="AB62" s="252"/>
      <c r="AC62" s="252"/>
      <c r="AD62" s="252"/>
      <c r="AE62" s="252"/>
    </row>
    <row r="63" spans="1:31" s="237" customFormat="1" ht="15" customHeight="1" outlineLevel="1" x14ac:dyDescent="0.35">
      <c r="A63" s="252"/>
      <c r="B63" s="763" t="s">
        <v>1468</v>
      </c>
      <c r="C63" s="763"/>
      <c r="D63" s="763"/>
      <c r="E63" s="763"/>
      <c r="F63" s="252"/>
      <c r="G63" s="252"/>
      <c r="H63" s="865"/>
      <c r="I63" s="865"/>
      <c r="J63" s="865"/>
      <c r="K63" s="865"/>
      <c r="L63" s="865"/>
      <c r="M63" s="865"/>
      <c r="N63" s="865"/>
      <c r="O63" s="278"/>
      <c r="P63" s="252"/>
      <c r="Q63" s="865"/>
      <c r="R63" s="865"/>
      <c r="S63" s="865"/>
      <c r="T63" s="865"/>
      <c r="U63" s="865"/>
      <c r="V63" s="252"/>
      <c r="W63" s="252"/>
      <c r="X63" s="252"/>
      <c r="Y63" s="252"/>
      <c r="Z63" s="252"/>
      <c r="AA63" s="252"/>
      <c r="AB63" s="252"/>
      <c r="AC63" s="252"/>
      <c r="AD63" s="252"/>
      <c r="AE63" s="252"/>
    </row>
    <row r="64" spans="1:31" s="237" customFormat="1" ht="15" customHeight="1" outlineLevel="1" x14ac:dyDescent="0.35">
      <c r="A64" s="252"/>
      <c r="B64" s="252"/>
      <c r="C64" s="889" t="s">
        <v>1469</v>
      </c>
      <c r="D64" s="865"/>
      <c r="E64" s="865"/>
      <c r="F64" s="865"/>
      <c r="G64" s="865"/>
      <c r="H64" s="865"/>
      <c r="I64" s="865"/>
      <c r="J64" s="865"/>
      <c r="K64" s="252"/>
      <c r="L64" s="865"/>
      <c r="M64" s="865"/>
      <c r="N64" s="865"/>
      <c r="O64" s="278"/>
      <c r="P64" s="252"/>
      <c r="Q64" s="865"/>
      <c r="R64" s="865"/>
      <c r="S64" s="865"/>
      <c r="T64" s="865"/>
      <c r="U64" s="865"/>
      <c r="V64" s="252"/>
      <c r="W64" s="252"/>
      <c r="X64" s="252"/>
      <c r="Y64" s="252"/>
      <c r="Z64" s="252"/>
      <c r="AA64" s="252"/>
      <c r="AB64" s="252"/>
      <c r="AC64" s="252"/>
      <c r="AD64" s="252"/>
      <c r="AE64" s="252"/>
    </row>
    <row r="65" spans="1:31" s="237" customFormat="1" ht="15" customHeight="1" outlineLevel="1" x14ac:dyDescent="0.25">
      <c r="A65" s="252"/>
      <c r="B65" s="252"/>
      <c r="C65" s="889"/>
      <c r="D65" s="865"/>
      <c r="E65" s="865"/>
      <c r="F65" s="865"/>
      <c r="G65" s="865"/>
      <c r="H65" s="865"/>
      <c r="I65" s="865"/>
      <c r="J65" s="865"/>
      <c r="K65" s="865"/>
      <c r="L65" s="865"/>
      <c r="M65" s="865"/>
      <c r="N65" s="865"/>
      <c r="O65" s="278"/>
      <c r="P65" s="865"/>
      <c r="Q65" s="865"/>
      <c r="R65" s="865"/>
      <c r="S65" s="865"/>
      <c r="T65" s="865"/>
      <c r="U65" s="865"/>
      <c r="V65" s="252"/>
      <c r="W65" s="252"/>
      <c r="X65" s="252"/>
      <c r="Y65" s="252"/>
      <c r="Z65" s="252"/>
      <c r="AA65" s="252"/>
      <c r="AB65" s="252"/>
      <c r="AC65" s="252"/>
      <c r="AD65" s="252"/>
      <c r="AE65" s="252"/>
    </row>
    <row r="66" spans="1:31" s="237" customFormat="1" ht="15" customHeight="1" outlineLevel="1" x14ac:dyDescent="0.25">
      <c r="A66" s="252"/>
      <c r="B66" s="252"/>
      <c r="C66" s="890" t="s">
        <v>1470</v>
      </c>
      <c r="D66" s="891" t="s">
        <v>1437</v>
      </c>
      <c r="E66" s="892"/>
      <c r="F66" s="865"/>
      <c r="G66" s="763"/>
      <c r="H66" s="865"/>
      <c r="I66" s="865"/>
      <c r="J66" s="865"/>
      <c r="K66" s="865"/>
      <c r="L66" s="865"/>
      <c r="M66" s="865"/>
      <c r="N66" s="865"/>
      <c r="O66" s="278"/>
      <c r="P66" s="865"/>
      <c r="Q66" s="865"/>
      <c r="R66" s="865"/>
      <c r="S66" s="865"/>
      <c r="T66" s="865"/>
      <c r="U66" s="865"/>
      <c r="V66" s="252"/>
      <c r="W66" s="252"/>
      <c r="X66" s="252"/>
      <c r="Y66" s="252"/>
      <c r="Z66" s="252"/>
      <c r="AA66" s="252"/>
      <c r="AB66" s="252"/>
      <c r="AC66" s="252"/>
      <c r="AD66" s="252"/>
      <c r="AE66" s="252"/>
    </row>
    <row r="67" spans="1:31" s="237" customFormat="1" ht="15" customHeight="1" outlineLevel="1" x14ac:dyDescent="0.25">
      <c r="A67" s="252"/>
      <c r="B67" s="252"/>
      <c r="C67" s="816" t="s">
        <v>2043</v>
      </c>
      <c r="D67" s="865"/>
      <c r="E67" s="865"/>
      <c r="F67" s="252"/>
      <c r="G67" s="865"/>
      <c r="H67" s="865"/>
      <c r="I67" s="865"/>
      <c r="J67" s="865"/>
      <c r="K67" s="865"/>
      <c r="L67" s="865"/>
      <c r="M67" s="865"/>
      <c r="N67" s="865"/>
      <c r="O67" s="278"/>
      <c r="P67" s="865"/>
      <c r="Q67" s="865"/>
      <c r="R67" s="865"/>
      <c r="S67" s="865"/>
      <c r="T67" s="865"/>
      <c r="U67" s="865"/>
      <c r="V67" s="252"/>
      <c r="W67" s="252"/>
      <c r="X67" s="252"/>
      <c r="Y67" s="252"/>
      <c r="Z67" s="252"/>
      <c r="AA67" s="252"/>
      <c r="AB67" s="252"/>
      <c r="AC67" s="252"/>
      <c r="AD67" s="252"/>
      <c r="AE67" s="252"/>
    </row>
    <row r="68" spans="1:31" s="237" customFormat="1" ht="15" customHeight="1" outlineLevel="1" x14ac:dyDescent="0.25">
      <c r="A68" s="252"/>
      <c r="B68" s="252"/>
      <c r="C68" s="817"/>
      <c r="D68" s="865"/>
      <c r="E68" s="865"/>
      <c r="F68" s="252"/>
      <c r="G68" s="865"/>
      <c r="H68" s="865"/>
      <c r="I68" s="865"/>
      <c r="J68" s="865"/>
      <c r="K68" s="865"/>
      <c r="L68" s="865"/>
      <c r="M68" s="865"/>
      <c r="N68" s="865"/>
      <c r="O68" s="278"/>
      <c r="P68" s="865"/>
      <c r="Q68" s="865"/>
      <c r="R68" s="865"/>
      <c r="S68" s="865"/>
      <c r="T68" s="865"/>
      <c r="U68" s="865"/>
      <c r="V68" s="252"/>
      <c r="W68" s="252"/>
      <c r="X68" s="252"/>
      <c r="Y68" s="252"/>
      <c r="Z68" s="252"/>
      <c r="AA68" s="252"/>
      <c r="AB68" s="252"/>
      <c r="AC68" s="252"/>
      <c r="AD68" s="252"/>
      <c r="AE68" s="865"/>
    </row>
    <row r="69" spans="1:31" s="237" customFormat="1" ht="15" customHeight="1" outlineLevel="1" x14ac:dyDescent="0.25">
      <c r="A69" s="252"/>
      <c r="B69" s="252"/>
      <c r="C69" s="885" t="s">
        <v>43</v>
      </c>
      <c r="D69" s="1341"/>
      <c r="E69" s="1342"/>
      <c r="F69" s="865"/>
      <c r="G69" s="893"/>
      <c r="H69" s="893"/>
      <c r="I69" s="893"/>
      <c r="J69" s="865"/>
      <c r="K69" s="865"/>
      <c r="L69" s="865"/>
      <c r="M69" s="865"/>
      <c r="N69" s="865"/>
      <c r="O69" s="278"/>
      <c r="P69" s="865"/>
      <c r="Q69" s="865"/>
      <c r="R69" s="865"/>
      <c r="S69" s="865"/>
      <c r="T69" s="865"/>
      <c r="U69" s="252"/>
      <c r="V69" s="252"/>
      <c r="W69" s="252"/>
      <c r="X69" s="252"/>
      <c r="Y69" s="252"/>
      <c r="Z69" s="252"/>
      <c r="AA69" s="252"/>
      <c r="AB69" s="252"/>
      <c r="AC69" s="252"/>
      <c r="AD69" s="252"/>
      <c r="AE69" s="865"/>
    </row>
    <row r="70" spans="1:31" s="237" customFormat="1" ht="15" customHeight="1" outlineLevel="1" x14ac:dyDescent="0.25">
      <c r="A70" s="252"/>
      <c r="B70" s="871"/>
      <c r="C70" s="865" t="str">
        <f>IF(D69="geração de energia", " ATENÇÃO: Se a eletricidade é gerada pela organização inventariante, deve-se contabilizar as emissões do biogás consumido na aba Combustão Estacionária.","")</f>
        <v/>
      </c>
      <c r="D70" s="865"/>
      <c r="E70" s="865"/>
      <c r="F70" s="865"/>
      <c r="G70" s="893"/>
      <c r="H70" s="893"/>
      <c r="I70" s="893"/>
      <c r="J70" s="865"/>
      <c r="K70" s="865"/>
      <c r="L70" s="865"/>
      <c r="M70" s="865"/>
      <c r="N70" s="865"/>
      <c r="O70" s="278"/>
      <c r="P70" s="865"/>
      <c r="Q70" s="865"/>
      <c r="R70" s="865"/>
      <c r="S70" s="865"/>
      <c r="T70" s="865"/>
      <c r="U70" s="252"/>
      <c r="V70" s="252"/>
      <c r="W70" s="252"/>
      <c r="X70" s="252"/>
      <c r="Y70" s="252"/>
      <c r="Z70" s="252"/>
      <c r="AA70" s="252"/>
      <c r="AB70" s="252"/>
      <c r="AC70" s="252"/>
      <c r="AD70" s="252"/>
      <c r="AE70" s="865"/>
    </row>
    <row r="71" spans="1:31" s="237" customFormat="1" ht="15" customHeight="1" outlineLevel="1" x14ac:dyDescent="0.25">
      <c r="A71" s="252"/>
      <c r="B71" s="871"/>
      <c r="C71" s="865"/>
      <c r="D71" s="865"/>
      <c r="E71" s="865"/>
      <c r="F71" s="865"/>
      <c r="G71" s="893"/>
      <c r="H71" s="893"/>
      <c r="I71" s="893"/>
      <c r="J71" s="865"/>
      <c r="K71" s="865"/>
      <c r="L71" s="865"/>
      <c r="M71" s="865"/>
      <c r="N71" s="865"/>
      <c r="O71" s="278"/>
      <c r="P71" s="865"/>
      <c r="Q71" s="865"/>
      <c r="R71" s="865"/>
      <c r="S71" s="865"/>
      <c r="T71" s="865"/>
      <c r="U71" s="252"/>
      <c r="V71" s="252"/>
      <c r="W71" s="252"/>
      <c r="X71" s="252"/>
      <c r="Y71" s="252"/>
      <c r="Z71" s="252"/>
      <c r="AA71" s="252"/>
      <c r="AB71" s="252"/>
      <c r="AC71" s="252"/>
      <c r="AD71" s="252"/>
      <c r="AE71" s="865"/>
    </row>
    <row r="72" spans="1:31" s="237" customFormat="1" ht="15" customHeight="1" outlineLevel="1" x14ac:dyDescent="0.25">
      <c r="A72" s="252"/>
      <c r="B72" s="1350" t="s">
        <v>336</v>
      </c>
      <c r="C72" s="1350"/>
      <c r="D72" s="1350"/>
      <c r="E72" s="1350"/>
      <c r="F72" s="1350"/>
      <c r="G72" s="1350"/>
      <c r="H72" s="893"/>
      <c r="I72" s="893"/>
      <c r="J72" s="865"/>
      <c r="K72" s="865"/>
      <c r="L72" s="865"/>
      <c r="M72" s="865"/>
      <c r="N72" s="865"/>
      <c r="O72" s="278"/>
      <c r="P72" s="865"/>
      <c r="Q72" s="865"/>
      <c r="R72" s="865"/>
      <c r="S72" s="865"/>
      <c r="T72" s="865"/>
      <c r="U72" s="252"/>
      <c r="V72" s="252"/>
      <c r="W72" s="252"/>
      <c r="X72" s="252"/>
      <c r="Y72" s="252"/>
      <c r="Z72" s="252"/>
      <c r="AA72" s="252"/>
      <c r="AB72" s="252"/>
      <c r="AC72" s="252"/>
      <c r="AD72" s="252"/>
      <c r="AE72" s="865"/>
    </row>
    <row r="73" spans="1:31" s="237" customFormat="1" ht="15" customHeight="1" outlineLevel="1" x14ac:dyDescent="0.25">
      <c r="A73" s="252"/>
      <c r="B73" s="1350"/>
      <c r="C73" s="1350"/>
      <c r="D73" s="1350"/>
      <c r="E73" s="1350"/>
      <c r="F73" s="1350"/>
      <c r="G73" s="1350"/>
      <c r="H73" s="893"/>
      <c r="I73" s="893"/>
      <c r="J73" s="865"/>
      <c r="K73" s="865"/>
      <c r="L73" s="865"/>
      <c r="M73" s="865"/>
      <c r="N73" s="865"/>
      <c r="O73" s="278"/>
      <c r="P73" s="865"/>
      <c r="Q73" s="865"/>
      <c r="R73" s="865"/>
      <c r="S73" s="865"/>
      <c r="T73" s="865"/>
      <c r="U73" s="252"/>
      <c r="V73" s="252"/>
      <c r="W73" s="252"/>
      <c r="X73" s="252"/>
      <c r="Y73" s="252"/>
      <c r="Z73" s="252"/>
      <c r="AA73" s="252"/>
      <c r="AB73" s="252"/>
      <c r="AC73" s="252"/>
      <c r="AD73" s="252"/>
      <c r="AE73" s="865"/>
    </row>
    <row r="74" spans="1:31" s="237" customFormat="1" ht="15" customHeight="1" outlineLevel="1" x14ac:dyDescent="0.25">
      <c r="A74" s="252"/>
      <c r="B74" s="894"/>
      <c r="C74" s="894"/>
      <c r="D74" s="894"/>
      <c r="E74" s="894"/>
      <c r="F74" s="894"/>
      <c r="G74" s="894"/>
      <c r="H74" s="893"/>
      <c r="I74" s="893"/>
      <c r="J74" s="865"/>
      <c r="K74" s="865"/>
      <c r="L74" s="865"/>
      <c r="M74" s="865"/>
      <c r="N74" s="865"/>
      <c r="O74" s="278"/>
      <c r="P74" s="865"/>
      <c r="Q74" s="865"/>
      <c r="R74" s="865"/>
      <c r="S74" s="865"/>
      <c r="T74" s="865"/>
      <c r="U74" s="252"/>
      <c r="V74" s="252"/>
      <c r="W74" s="252"/>
      <c r="X74" s="252"/>
      <c r="Y74" s="252"/>
      <c r="Z74" s="252"/>
      <c r="AA74" s="252"/>
      <c r="AB74" s="252"/>
      <c r="AC74" s="252"/>
      <c r="AD74" s="252"/>
      <c r="AE74" s="865"/>
    </row>
    <row r="75" spans="1:31" s="237" customFormat="1" ht="15" customHeight="1" outlineLevel="1" x14ac:dyDescent="0.25">
      <c r="A75" s="252"/>
      <c r="B75" s="871" t="s">
        <v>217</v>
      </c>
      <c r="C75" s="252"/>
      <c r="D75" s="252"/>
      <c r="E75" s="878"/>
      <c r="F75" s="865"/>
      <c r="G75" s="893"/>
      <c r="H75" s="893"/>
      <c r="I75" s="893"/>
      <c r="J75" s="865"/>
      <c r="K75" s="865"/>
      <c r="L75" s="865"/>
      <c r="M75" s="865"/>
      <c r="N75" s="865"/>
      <c r="O75" s="278"/>
      <c r="P75" s="865"/>
      <c r="Q75" s="865"/>
      <c r="R75" s="865"/>
      <c r="S75" s="865"/>
      <c r="T75" s="865"/>
      <c r="U75" s="252"/>
      <c r="V75" s="252"/>
      <c r="W75" s="252"/>
      <c r="X75" s="252"/>
      <c r="Y75" s="252"/>
      <c r="Z75" s="252"/>
      <c r="AA75" s="252"/>
      <c r="AB75" s="252"/>
      <c r="AC75" s="252"/>
      <c r="AD75" s="252"/>
      <c r="AE75" s="865"/>
    </row>
    <row r="76" spans="1:31" s="237" customFormat="1" ht="15" customHeight="1" outlineLevel="1" x14ac:dyDescent="0.25">
      <c r="A76" s="252"/>
      <c r="B76" s="252"/>
      <c r="C76" s="878"/>
      <c r="D76" s="878"/>
      <c r="E76" s="252"/>
      <c r="F76" s="865"/>
      <c r="G76" s="893"/>
      <c r="H76" s="893"/>
      <c r="I76" s="893"/>
      <c r="J76" s="865"/>
      <c r="K76" s="865"/>
      <c r="L76" s="865"/>
      <c r="M76" s="865"/>
      <c r="N76" s="865"/>
      <c r="O76" s="278"/>
      <c r="P76" s="865"/>
      <c r="Q76" s="865"/>
      <c r="R76" s="865"/>
      <c r="S76" s="865"/>
      <c r="T76" s="865"/>
      <c r="U76" s="252"/>
      <c r="V76" s="252"/>
      <c r="W76" s="252"/>
      <c r="X76" s="252"/>
      <c r="Y76" s="252"/>
      <c r="Z76" s="252"/>
      <c r="AA76" s="252"/>
      <c r="AB76" s="252"/>
      <c r="AC76" s="252"/>
      <c r="AD76" s="252"/>
      <c r="AE76" s="865"/>
    </row>
    <row r="77" spans="1:31" s="237" customFormat="1" ht="15" customHeight="1" outlineLevel="1" x14ac:dyDescent="0.25">
      <c r="A77" s="252"/>
      <c r="B77" s="879"/>
      <c r="C77" s="895" t="s">
        <v>223</v>
      </c>
      <c r="D77" s="881"/>
      <c r="E77" s="865" t="s">
        <v>51</v>
      </c>
      <c r="F77" s="865"/>
      <c r="G77" s="893"/>
      <c r="H77" s="893"/>
      <c r="I77" s="893"/>
      <c r="J77" s="865"/>
      <c r="K77" s="865"/>
      <c r="L77" s="865"/>
      <c r="M77" s="865"/>
      <c r="N77" s="865"/>
      <c r="O77" s="278"/>
      <c r="P77" s="865"/>
      <c r="Q77" s="865"/>
      <c r="R77" s="865"/>
      <c r="S77" s="865"/>
      <c r="T77" s="865"/>
      <c r="U77" s="252"/>
      <c r="V77" s="252"/>
      <c r="W77" s="252"/>
      <c r="X77" s="252"/>
      <c r="Y77" s="252"/>
      <c r="Z77" s="252"/>
      <c r="AA77" s="252"/>
      <c r="AB77" s="252"/>
      <c r="AC77" s="252"/>
      <c r="AD77" s="252"/>
      <c r="AE77" s="865"/>
    </row>
    <row r="78" spans="1:31" s="237" customFormat="1" ht="15" customHeight="1" outlineLevel="1" x14ac:dyDescent="0.25">
      <c r="A78" s="252"/>
      <c r="B78" s="879"/>
      <c r="C78" s="882"/>
      <c r="D78" s="865"/>
      <c r="E78" s="865"/>
      <c r="F78" s="865"/>
      <c r="G78" s="893"/>
      <c r="H78" s="893"/>
      <c r="I78" s="893"/>
      <c r="J78" s="865"/>
      <c r="K78" s="865"/>
      <c r="L78" s="865"/>
      <c r="M78" s="865"/>
      <c r="N78" s="865"/>
      <c r="O78" s="278"/>
      <c r="P78" s="865"/>
      <c r="Q78" s="865"/>
      <c r="R78" s="865"/>
      <c r="S78" s="865"/>
      <c r="T78" s="865"/>
      <c r="U78" s="252"/>
      <c r="V78" s="252"/>
      <c r="W78" s="252"/>
      <c r="X78" s="252"/>
      <c r="Y78" s="252"/>
      <c r="Z78" s="252"/>
      <c r="AA78" s="252"/>
      <c r="AB78" s="252"/>
      <c r="AC78" s="252"/>
      <c r="AD78" s="252"/>
      <c r="AE78" s="865"/>
    </row>
    <row r="79" spans="1:31" s="237" customFormat="1" ht="15" customHeight="1" outlineLevel="1" x14ac:dyDescent="0.25">
      <c r="A79" s="252"/>
      <c r="B79" s="871" t="s">
        <v>218</v>
      </c>
      <c r="C79" s="882"/>
      <c r="D79" s="865"/>
      <c r="E79" s="865"/>
      <c r="F79" s="865"/>
      <c r="G79" s="893"/>
      <c r="H79" s="893"/>
      <c r="I79" s="893"/>
      <c r="J79" s="865"/>
      <c r="K79" s="865"/>
      <c r="L79" s="865"/>
      <c r="M79" s="865"/>
      <c r="N79" s="865"/>
      <c r="O79" s="278"/>
      <c r="P79" s="865"/>
      <c r="Q79" s="865"/>
      <c r="R79" s="865"/>
      <c r="S79" s="865"/>
      <c r="T79" s="865"/>
      <c r="U79" s="252"/>
      <c r="V79" s="252"/>
      <c r="W79" s="252"/>
      <c r="X79" s="252"/>
      <c r="Y79" s="252"/>
      <c r="Z79" s="252"/>
      <c r="AA79" s="252"/>
      <c r="AB79" s="252"/>
      <c r="AC79" s="252"/>
      <c r="AD79" s="252"/>
      <c r="AE79" s="865"/>
    </row>
    <row r="80" spans="1:31" s="237" customFormat="1" ht="15" customHeight="1" outlineLevel="1" x14ac:dyDescent="0.25">
      <c r="A80" s="252"/>
      <c r="B80" s="879"/>
      <c r="C80" s="876" t="s">
        <v>2044</v>
      </c>
      <c r="D80" s="252"/>
      <c r="E80" s="865"/>
      <c r="F80" s="865"/>
      <c r="G80" s="893"/>
      <c r="H80" s="893"/>
      <c r="I80" s="893"/>
      <c r="J80" s="865"/>
      <c r="K80" s="865"/>
      <c r="L80" s="865"/>
      <c r="M80" s="865"/>
      <c r="N80" s="865"/>
      <c r="O80" s="278"/>
      <c r="P80" s="865"/>
      <c r="Q80" s="865"/>
      <c r="R80" s="865"/>
      <c r="S80" s="865"/>
      <c r="T80" s="865"/>
      <c r="U80" s="252"/>
      <c r="V80" s="252"/>
      <c r="W80" s="252"/>
      <c r="X80" s="252"/>
      <c r="Y80" s="252"/>
      <c r="Z80" s="252"/>
      <c r="AA80" s="252"/>
      <c r="AB80" s="252"/>
      <c r="AC80" s="252"/>
      <c r="AD80" s="252"/>
      <c r="AE80" s="865"/>
    </row>
    <row r="81" spans="1:31" s="237" customFormat="1" ht="15" customHeight="1" outlineLevel="1" x14ac:dyDescent="0.25">
      <c r="A81" s="252"/>
      <c r="B81" s="879"/>
      <c r="C81" s="876" t="s">
        <v>2045</v>
      </c>
      <c r="D81" s="252"/>
      <c r="E81" s="865"/>
      <c r="F81" s="865"/>
      <c r="G81" s="893"/>
      <c r="H81" s="893"/>
      <c r="I81" s="893"/>
      <c r="J81" s="865"/>
      <c r="K81" s="865"/>
      <c r="L81" s="865"/>
      <c r="M81" s="865"/>
      <c r="N81" s="865"/>
      <c r="O81" s="278"/>
      <c r="P81" s="865"/>
      <c r="Q81" s="865"/>
      <c r="R81" s="865"/>
      <c r="S81" s="865"/>
      <c r="T81" s="865"/>
      <c r="U81" s="252"/>
      <c r="V81" s="252"/>
      <c r="W81" s="252"/>
      <c r="X81" s="252"/>
      <c r="Y81" s="252"/>
      <c r="Z81" s="252"/>
      <c r="AA81" s="252"/>
      <c r="AB81" s="252"/>
      <c r="AC81" s="252"/>
      <c r="AD81" s="252"/>
      <c r="AE81" s="865"/>
    </row>
    <row r="82" spans="1:31" s="237" customFormat="1" ht="15" customHeight="1" outlineLevel="1" x14ac:dyDescent="0.25">
      <c r="A82" s="252"/>
      <c r="B82" s="879"/>
      <c r="C82" s="877"/>
      <c r="D82" s="252"/>
      <c r="E82" s="865"/>
      <c r="F82" s="865"/>
      <c r="G82" s="893"/>
      <c r="H82" s="893"/>
      <c r="I82" s="893"/>
      <c r="J82" s="865"/>
      <c r="K82" s="865"/>
      <c r="L82" s="252"/>
      <c r="M82" s="252"/>
      <c r="N82" s="865"/>
      <c r="O82" s="278"/>
      <c r="P82" s="865"/>
      <c r="Q82" s="865"/>
      <c r="R82" s="865"/>
      <c r="S82" s="865"/>
      <c r="T82" s="865"/>
      <c r="U82" s="252"/>
      <c r="V82" s="252"/>
      <c r="W82" s="252"/>
      <c r="X82" s="252"/>
      <c r="Y82" s="252"/>
      <c r="Z82" s="252"/>
      <c r="AA82" s="252"/>
      <c r="AB82" s="252"/>
      <c r="AC82" s="252"/>
      <c r="AD82" s="252"/>
      <c r="AE82" s="865"/>
    </row>
    <row r="83" spans="1:31" s="237" customFormat="1" ht="15" customHeight="1" outlineLevel="1" x14ac:dyDescent="0.25">
      <c r="A83" s="252"/>
      <c r="B83" s="879"/>
      <c r="C83" s="883"/>
      <c r="D83" s="883"/>
      <c r="E83" s="884" t="s">
        <v>143</v>
      </c>
      <c r="F83" s="865"/>
      <c r="G83" s="893"/>
      <c r="H83" s="893"/>
      <c r="I83" s="893"/>
      <c r="J83" s="865"/>
      <c r="K83" s="865"/>
      <c r="L83" s="252"/>
      <c r="M83" s="252"/>
      <c r="N83" s="865"/>
      <c r="O83" s="278"/>
      <c r="P83" s="865"/>
      <c r="Q83" s="865"/>
      <c r="R83" s="865"/>
      <c r="S83" s="865"/>
      <c r="T83" s="865"/>
      <c r="U83" s="252"/>
      <c r="V83" s="252"/>
      <c r="W83" s="252"/>
      <c r="X83" s="252"/>
      <c r="Y83" s="252"/>
      <c r="Z83" s="252"/>
      <c r="AA83" s="252"/>
      <c r="AB83" s="252"/>
      <c r="AC83" s="252"/>
      <c r="AD83" s="252"/>
      <c r="AE83" s="865"/>
    </row>
    <row r="84" spans="1:31" s="237" customFormat="1" ht="15" customHeight="1" outlineLevel="1" x14ac:dyDescent="0.25">
      <c r="A84" s="252"/>
      <c r="B84" s="879"/>
      <c r="C84" s="885" t="s">
        <v>2026</v>
      </c>
      <c r="D84" s="881"/>
      <c r="E84" s="875"/>
      <c r="F84" s="865"/>
      <c r="G84" s="893"/>
      <c r="H84" s="893"/>
      <c r="I84" s="893"/>
      <c r="J84" s="865"/>
      <c r="K84" s="865"/>
      <c r="L84" s="252"/>
      <c r="M84" s="252"/>
      <c r="N84" s="865"/>
      <c r="O84" s="278"/>
      <c r="P84" s="865"/>
      <c r="Q84" s="865"/>
      <c r="R84" s="865"/>
      <c r="S84" s="865"/>
      <c r="T84" s="865"/>
      <c r="U84" s="252"/>
      <c r="V84" s="252"/>
      <c r="W84" s="252"/>
      <c r="X84" s="252"/>
      <c r="Y84" s="252"/>
      <c r="Z84" s="252"/>
      <c r="AA84" s="252"/>
      <c r="AB84" s="252"/>
      <c r="AC84" s="252"/>
      <c r="AD84" s="252"/>
      <c r="AE84" s="865"/>
    </row>
    <row r="85" spans="1:31" s="237" customFormat="1" ht="15" customHeight="1" outlineLevel="1" x14ac:dyDescent="0.25">
      <c r="A85" s="252"/>
      <c r="B85" s="879"/>
      <c r="C85" s="886"/>
      <c r="D85" s="252"/>
      <c r="E85" s="252"/>
      <c r="F85" s="865"/>
      <c r="G85" s="893"/>
      <c r="H85" s="893"/>
      <c r="I85" s="893"/>
      <c r="J85" s="865"/>
      <c r="K85" s="865"/>
      <c r="L85" s="252"/>
      <c r="M85" s="252"/>
      <c r="N85" s="865"/>
      <c r="O85" s="278"/>
      <c r="P85" s="865"/>
      <c r="Q85" s="865"/>
      <c r="R85" s="865"/>
      <c r="S85" s="865"/>
      <c r="T85" s="865"/>
      <c r="U85" s="252"/>
      <c r="V85" s="252"/>
      <c r="W85" s="252"/>
      <c r="X85" s="252"/>
      <c r="Y85" s="252"/>
      <c r="Z85" s="252"/>
      <c r="AA85" s="252"/>
      <c r="AB85" s="252"/>
      <c r="AC85" s="252"/>
      <c r="AD85" s="252"/>
      <c r="AE85" s="865"/>
    </row>
    <row r="86" spans="1:31" s="237" customFormat="1" ht="15" customHeight="1" outlineLevel="1" x14ac:dyDescent="0.25">
      <c r="A86" s="252"/>
      <c r="B86" s="879"/>
      <c r="C86" s="896" t="s">
        <v>2046</v>
      </c>
      <c r="D86" s="252"/>
      <c r="E86" s="252"/>
      <c r="F86" s="865"/>
      <c r="G86" s="893"/>
      <c r="H86" s="893"/>
      <c r="I86" s="893"/>
      <c r="J86" s="865"/>
      <c r="K86" s="865"/>
      <c r="L86" s="252"/>
      <c r="M86" s="252"/>
      <c r="N86" s="865"/>
      <c r="O86" s="278"/>
      <c r="P86" s="865"/>
      <c r="Q86" s="865"/>
      <c r="R86" s="865"/>
      <c r="S86" s="865"/>
      <c r="T86" s="865"/>
      <c r="U86" s="252"/>
      <c r="V86" s="252"/>
      <c r="W86" s="252"/>
      <c r="X86" s="252"/>
      <c r="Y86" s="252"/>
      <c r="Z86" s="252"/>
      <c r="AA86" s="252"/>
      <c r="AB86" s="252"/>
      <c r="AC86" s="252"/>
      <c r="AD86" s="252"/>
      <c r="AE86" s="865"/>
    </row>
    <row r="87" spans="1:31" s="237" customFormat="1" ht="15" customHeight="1" outlineLevel="1" x14ac:dyDescent="0.25">
      <c r="A87" s="252"/>
      <c r="B87" s="879"/>
      <c r="C87" s="896" t="s">
        <v>1464</v>
      </c>
      <c r="D87" s="252"/>
      <c r="E87" s="252"/>
      <c r="F87" s="865"/>
      <c r="G87" s="893"/>
      <c r="H87" s="893"/>
      <c r="I87" s="893"/>
      <c r="J87" s="865"/>
      <c r="K87" s="865"/>
      <c r="L87" s="252"/>
      <c r="M87" s="252"/>
      <c r="N87" s="865"/>
      <c r="O87" s="278"/>
      <c r="P87" s="865"/>
      <c r="Q87" s="865"/>
      <c r="R87" s="865"/>
      <c r="S87" s="865"/>
      <c r="T87" s="865"/>
      <c r="U87" s="252"/>
      <c r="V87" s="252"/>
      <c r="W87" s="252"/>
      <c r="X87" s="252"/>
      <c r="Y87" s="252"/>
      <c r="Z87" s="252"/>
      <c r="AA87" s="252"/>
      <c r="AB87" s="252"/>
      <c r="AC87" s="252"/>
      <c r="AD87" s="252"/>
      <c r="AE87" s="865"/>
    </row>
    <row r="88" spans="1:31" s="237" customFormat="1" ht="15" customHeight="1" outlineLevel="1" x14ac:dyDescent="0.25">
      <c r="A88" s="252"/>
      <c r="B88" s="879"/>
      <c r="C88" s="896" t="s">
        <v>1498</v>
      </c>
      <c r="D88" s="252"/>
      <c r="E88" s="252"/>
      <c r="F88" s="865"/>
      <c r="G88" s="893"/>
      <c r="H88" s="893"/>
      <c r="I88" s="893"/>
      <c r="J88" s="865"/>
      <c r="K88" s="865"/>
      <c r="L88" s="252"/>
      <c r="M88" s="252"/>
      <c r="N88" s="865"/>
      <c r="O88" s="278"/>
      <c r="P88" s="865"/>
      <c r="Q88" s="865"/>
      <c r="R88" s="865"/>
      <c r="S88" s="865"/>
      <c r="T88" s="865"/>
      <c r="U88" s="252"/>
      <c r="V88" s="252"/>
      <c r="W88" s="252"/>
      <c r="X88" s="252"/>
      <c r="Y88" s="252"/>
      <c r="Z88" s="252"/>
      <c r="AA88" s="252"/>
      <c r="AB88" s="252"/>
      <c r="AC88" s="252"/>
      <c r="AD88" s="252"/>
      <c r="AE88" s="865"/>
    </row>
    <row r="89" spans="1:31" s="237" customFormat="1" ht="15" customHeight="1" outlineLevel="1" x14ac:dyDescent="0.25">
      <c r="A89" s="252"/>
      <c r="B89" s="879"/>
      <c r="C89" s="886"/>
      <c r="D89" s="252"/>
      <c r="E89" s="252"/>
      <c r="F89" s="865"/>
      <c r="G89" s="893"/>
      <c r="H89" s="893"/>
      <c r="I89" s="893"/>
      <c r="J89" s="865"/>
      <c r="K89" s="865"/>
      <c r="L89" s="252"/>
      <c r="M89" s="252"/>
      <c r="N89" s="865"/>
      <c r="O89" s="278"/>
      <c r="P89" s="865"/>
      <c r="Q89" s="865"/>
      <c r="R89" s="865"/>
      <c r="S89" s="865"/>
      <c r="T89" s="865"/>
      <c r="U89" s="252"/>
      <c r="V89" s="252"/>
      <c r="W89" s="252"/>
      <c r="X89" s="252"/>
      <c r="Y89" s="252"/>
      <c r="Z89" s="252"/>
      <c r="AA89" s="252"/>
      <c r="AB89" s="252"/>
      <c r="AC89" s="252"/>
      <c r="AD89" s="252"/>
      <c r="AE89" s="865"/>
    </row>
    <row r="90" spans="1:31" s="237" customFormat="1" ht="15" customHeight="1" outlineLevel="1" x14ac:dyDescent="0.25">
      <c r="A90" s="252"/>
      <c r="B90" s="879"/>
      <c r="C90" s="887" t="s">
        <v>2030</v>
      </c>
      <c r="D90" s="881"/>
      <c r="E90" s="865" t="s">
        <v>1465</v>
      </c>
      <c r="F90" s="865"/>
      <c r="G90" s="893"/>
      <c r="H90" s="893"/>
      <c r="I90" s="893"/>
      <c r="J90" s="865"/>
      <c r="K90" s="865"/>
      <c r="L90" s="252"/>
      <c r="M90" s="252"/>
      <c r="N90" s="865"/>
      <c r="O90" s="278"/>
      <c r="P90" s="865"/>
      <c r="Q90" s="865"/>
      <c r="R90" s="865"/>
      <c r="S90" s="865"/>
      <c r="T90" s="865"/>
      <c r="U90" s="252"/>
      <c r="V90" s="252"/>
      <c r="W90" s="252"/>
      <c r="X90" s="252"/>
      <c r="Y90" s="252"/>
      <c r="Z90" s="252"/>
      <c r="AA90" s="252"/>
      <c r="AB90" s="252"/>
      <c r="AC90" s="252"/>
      <c r="AD90" s="252"/>
      <c r="AE90" s="865"/>
    </row>
    <row r="91" spans="1:31" s="237" customFormat="1" ht="15" customHeight="1" outlineLevel="1" x14ac:dyDescent="0.35">
      <c r="A91" s="252"/>
      <c r="B91" s="879"/>
      <c r="C91" s="885" t="s">
        <v>1471</v>
      </c>
      <c r="D91" s="881"/>
      <c r="E91" s="865" t="s">
        <v>1466</v>
      </c>
      <c r="F91" s="865"/>
      <c r="G91" s="893"/>
      <c r="H91" s="893"/>
      <c r="I91" s="893"/>
      <c r="J91" s="865"/>
      <c r="K91" s="865"/>
      <c r="L91" s="252"/>
      <c r="M91" s="252"/>
      <c r="N91" s="865"/>
      <c r="O91" s="278"/>
      <c r="P91" s="865"/>
      <c r="Q91" s="865"/>
      <c r="R91" s="865"/>
      <c r="S91" s="865"/>
      <c r="T91" s="865"/>
      <c r="U91" s="252"/>
      <c r="V91" s="252"/>
      <c r="W91" s="252"/>
      <c r="X91" s="252"/>
      <c r="Y91" s="252"/>
      <c r="Z91" s="252"/>
      <c r="AA91" s="252"/>
      <c r="AB91" s="252"/>
      <c r="AC91" s="252"/>
      <c r="AD91" s="252"/>
      <c r="AE91" s="865"/>
    </row>
    <row r="92" spans="1:31" s="237" customFormat="1" ht="15" customHeight="1" outlineLevel="1" x14ac:dyDescent="0.25">
      <c r="A92" s="252"/>
      <c r="B92" s="879"/>
      <c r="C92" s="888" t="s">
        <v>2047</v>
      </c>
      <c r="D92" s="881"/>
      <c r="E92" s="865" t="s">
        <v>52</v>
      </c>
      <c r="F92" s="865"/>
      <c r="G92" s="893"/>
      <c r="H92" s="893"/>
      <c r="I92" s="893"/>
      <c r="J92" s="865"/>
      <c r="K92" s="865"/>
      <c r="L92" s="252"/>
      <c r="M92" s="252"/>
      <c r="N92" s="865"/>
      <c r="O92" s="278"/>
      <c r="P92" s="865"/>
      <c r="Q92" s="865"/>
      <c r="R92" s="865"/>
      <c r="S92" s="865"/>
      <c r="T92" s="865"/>
      <c r="U92" s="252"/>
      <c r="V92" s="252"/>
      <c r="W92" s="252"/>
      <c r="X92" s="252"/>
      <c r="Y92" s="252"/>
      <c r="Z92" s="252"/>
      <c r="AA92" s="252"/>
      <c r="AB92" s="252"/>
      <c r="AC92" s="252"/>
      <c r="AD92" s="252"/>
      <c r="AE92" s="865"/>
    </row>
    <row r="93" spans="1:31" s="237" customFormat="1" ht="15" customHeight="1" outlineLevel="1" x14ac:dyDescent="0.25">
      <c r="A93" s="252"/>
      <c r="B93" s="879"/>
      <c r="C93" s="252"/>
      <c r="D93" s="252"/>
      <c r="E93" s="865"/>
      <c r="F93" s="865"/>
      <c r="G93" s="893"/>
      <c r="H93" s="893"/>
      <c r="I93" s="893"/>
      <c r="J93" s="865"/>
      <c r="K93" s="865"/>
      <c r="L93" s="252"/>
      <c r="M93" s="252"/>
      <c r="N93" s="865"/>
      <c r="O93" s="278"/>
      <c r="P93" s="865"/>
      <c r="Q93" s="865"/>
      <c r="R93" s="865"/>
      <c r="S93" s="865"/>
      <c r="T93" s="865"/>
      <c r="U93" s="252"/>
      <c r="V93" s="252"/>
      <c r="W93" s="252"/>
      <c r="X93" s="252"/>
      <c r="Y93" s="252"/>
      <c r="Z93" s="252"/>
      <c r="AA93" s="252"/>
      <c r="AB93" s="252"/>
      <c r="AC93" s="252"/>
      <c r="AD93" s="252"/>
      <c r="AE93" s="865"/>
    </row>
    <row r="94" spans="1:31" s="237" customFormat="1" ht="15" customHeight="1" outlineLevel="1" x14ac:dyDescent="0.25">
      <c r="A94" s="252"/>
      <c r="B94" s="763" t="s">
        <v>222</v>
      </c>
      <c r="C94" s="252"/>
      <c r="D94" s="865"/>
      <c r="E94" s="865"/>
      <c r="F94" s="865"/>
      <c r="G94" s="893"/>
      <c r="H94" s="893"/>
      <c r="I94" s="893"/>
      <c r="J94" s="865"/>
      <c r="K94" s="865"/>
      <c r="L94" s="252"/>
      <c r="M94" s="252"/>
      <c r="N94" s="865"/>
      <c r="O94" s="278"/>
      <c r="P94" s="865"/>
      <c r="Q94" s="865"/>
      <c r="R94" s="865"/>
      <c r="S94" s="865"/>
      <c r="T94" s="865"/>
      <c r="U94" s="252"/>
      <c r="V94" s="252"/>
      <c r="W94" s="252"/>
      <c r="X94" s="252"/>
      <c r="Y94" s="252"/>
      <c r="Z94" s="252"/>
      <c r="AA94" s="252"/>
      <c r="AB94" s="252"/>
      <c r="AC94" s="252"/>
      <c r="AD94" s="252"/>
      <c r="AE94" s="865"/>
    </row>
    <row r="95" spans="1:31" s="237" customFormat="1" ht="15" customHeight="1" outlineLevel="1" x14ac:dyDescent="0.25">
      <c r="A95" s="252"/>
      <c r="B95" s="763"/>
      <c r="C95" s="252"/>
      <c r="D95" s="865"/>
      <c r="E95" s="865"/>
      <c r="F95" s="865"/>
      <c r="G95" s="893"/>
      <c r="H95" s="893"/>
      <c r="I95" s="893"/>
      <c r="J95" s="865"/>
      <c r="K95" s="865"/>
      <c r="L95" s="252"/>
      <c r="M95" s="252"/>
      <c r="N95" s="865"/>
      <c r="O95" s="278"/>
      <c r="P95" s="865"/>
      <c r="Q95" s="865"/>
      <c r="R95" s="865"/>
      <c r="S95" s="865"/>
      <c r="T95" s="865"/>
      <c r="U95" s="252"/>
      <c r="V95" s="252"/>
      <c r="W95" s="252"/>
      <c r="X95" s="252"/>
      <c r="Y95" s="252"/>
      <c r="Z95" s="252"/>
      <c r="AA95" s="252"/>
      <c r="AB95" s="252"/>
      <c r="AC95" s="252"/>
      <c r="AD95" s="252"/>
      <c r="AE95" s="865"/>
    </row>
    <row r="96" spans="1:31" s="237" customFormat="1" ht="15" customHeight="1" outlineLevel="1" x14ac:dyDescent="0.25">
      <c r="A96" s="252"/>
      <c r="B96" s="879"/>
      <c r="C96" s="873" t="s">
        <v>212</v>
      </c>
      <c r="D96" s="1346"/>
      <c r="E96" s="1347"/>
      <c r="F96" s="865"/>
      <c r="G96" s="893"/>
      <c r="H96" s="893"/>
      <c r="I96" s="893"/>
      <c r="J96" s="865"/>
      <c r="K96" s="865"/>
      <c r="L96" s="252"/>
      <c r="M96" s="252"/>
      <c r="N96" s="865"/>
      <c r="O96" s="278"/>
      <c r="P96" s="865"/>
      <c r="Q96" s="865"/>
      <c r="R96" s="865"/>
      <c r="S96" s="865"/>
      <c r="T96" s="865"/>
      <c r="U96" s="252"/>
      <c r="V96" s="252"/>
      <c r="W96" s="252"/>
      <c r="X96" s="252"/>
      <c r="Y96" s="252"/>
      <c r="Z96" s="252"/>
      <c r="AA96" s="252"/>
      <c r="AB96" s="252"/>
      <c r="AC96" s="252"/>
      <c r="AD96" s="252"/>
      <c r="AE96" s="865"/>
    </row>
    <row r="97" spans="1:31" s="237" customFormat="1" ht="15" customHeight="1" outlineLevel="1" x14ac:dyDescent="0.25">
      <c r="A97" s="252"/>
      <c r="B97" s="879"/>
      <c r="C97" s="873" t="s">
        <v>1467</v>
      </c>
      <c r="D97" s="1343">
        <f>IF(ISERROR(VLOOKUP(D96,eflu_tipo_tratamento_MCF,2,FALSE)),0,VLOOKUP(D96,eflu_tipo_tratamento_MCF,2,FALSE))</f>
        <v>0</v>
      </c>
      <c r="E97" s="1344"/>
      <c r="F97" s="865"/>
      <c r="G97" s="893"/>
      <c r="H97" s="893"/>
      <c r="I97" s="893"/>
      <c r="J97" s="865"/>
      <c r="K97" s="865"/>
      <c r="L97" s="252"/>
      <c r="M97" s="252"/>
      <c r="N97" s="865"/>
      <c r="O97" s="278"/>
      <c r="P97" s="865"/>
      <c r="Q97" s="865"/>
      <c r="R97" s="865"/>
      <c r="S97" s="865"/>
      <c r="T97" s="865"/>
      <c r="U97" s="252"/>
      <c r="V97" s="252"/>
      <c r="W97" s="252"/>
      <c r="X97" s="252"/>
      <c r="Y97" s="252"/>
      <c r="Z97" s="252"/>
      <c r="AA97" s="252"/>
      <c r="AB97" s="252"/>
      <c r="AC97" s="252"/>
      <c r="AD97" s="252"/>
      <c r="AE97" s="865"/>
    </row>
    <row r="98" spans="1:31" s="237" customFormat="1" ht="15" customHeight="1" outlineLevel="1" x14ac:dyDescent="0.25">
      <c r="A98" s="252"/>
      <c r="B98" s="879"/>
      <c r="C98" s="865"/>
      <c r="D98" s="252"/>
      <c r="E98" s="865"/>
      <c r="F98" s="865"/>
      <c r="G98" s="893"/>
      <c r="H98" s="893"/>
      <c r="I98" s="893"/>
      <c r="J98" s="865"/>
      <c r="K98" s="865"/>
      <c r="L98" s="252"/>
      <c r="M98" s="252"/>
      <c r="N98" s="865"/>
      <c r="O98" s="278"/>
      <c r="P98" s="865"/>
      <c r="Q98" s="865"/>
      <c r="R98" s="865"/>
      <c r="S98" s="865"/>
      <c r="T98" s="865"/>
      <c r="U98" s="252"/>
      <c r="V98" s="252"/>
      <c r="W98" s="252"/>
      <c r="X98" s="252"/>
      <c r="Y98" s="252"/>
      <c r="Z98" s="252"/>
      <c r="AA98" s="252"/>
      <c r="AB98" s="252"/>
      <c r="AC98" s="252"/>
      <c r="AD98" s="252"/>
      <c r="AE98" s="865"/>
    </row>
    <row r="99" spans="1:31" s="237" customFormat="1" ht="15" customHeight="1" outlineLevel="1" x14ac:dyDescent="0.35">
      <c r="A99" s="252"/>
      <c r="B99" s="763" t="s">
        <v>1472</v>
      </c>
      <c r="C99" s="763"/>
      <c r="D99" s="763"/>
      <c r="E99" s="763"/>
      <c r="F99" s="865"/>
      <c r="G99" s="893"/>
      <c r="H99" s="893"/>
      <c r="I99" s="893"/>
      <c r="J99" s="865"/>
      <c r="K99" s="865"/>
      <c r="L99" s="252"/>
      <c r="M99" s="252"/>
      <c r="N99" s="865"/>
      <c r="O99" s="278"/>
      <c r="P99" s="865"/>
      <c r="Q99" s="865"/>
      <c r="R99" s="865"/>
      <c r="S99" s="865"/>
      <c r="T99" s="865"/>
      <c r="U99" s="252"/>
      <c r="V99" s="252"/>
      <c r="W99" s="252"/>
      <c r="X99" s="252"/>
      <c r="Y99" s="252"/>
      <c r="Z99" s="252"/>
      <c r="AA99" s="252"/>
      <c r="AB99" s="252"/>
      <c r="AC99" s="252"/>
      <c r="AD99" s="252"/>
      <c r="AE99" s="865"/>
    </row>
    <row r="100" spans="1:31" s="237" customFormat="1" ht="15" customHeight="1" outlineLevel="1" x14ac:dyDescent="0.35">
      <c r="A100" s="252"/>
      <c r="B100" s="252"/>
      <c r="C100" s="889" t="s">
        <v>1469</v>
      </c>
      <c r="D100" s="865"/>
      <c r="E100" s="865"/>
      <c r="F100" s="865"/>
      <c r="G100" s="893"/>
      <c r="H100" s="893"/>
      <c r="I100" s="893"/>
      <c r="J100" s="865"/>
      <c r="K100" s="865"/>
      <c r="L100" s="252"/>
      <c r="M100" s="252"/>
      <c r="N100" s="865"/>
      <c r="O100" s="278"/>
      <c r="P100" s="865"/>
      <c r="Q100" s="865"/>
      <c r="R100" s="865"/>
      <c r="S100" s="865"/>
      <c r="T100" s="865"/>
      <c r="U100" s="252"/>
      <c r="V100" s="252"/>
      <c r="W100" s="252"/>
      <c r="X100" s="252"/>
      <c r="Y100" s="252"/>
      <c r="Z100" s="252"/>
      <c r="AA100" s="252"/>
      <c r="AB100" s="252"/>
      <c r="AC100" s="252"/>
      <c r="AD100" s="252"/>
      <c r="AE100" s="865"/>
    </row>
    <row r="101" spans="1:31" s="237" customFormat="1" ht="15" customHeight="1" outlineLevel="1" x14ac:dyDescent="0.25">
      <c r="A101" s="252"/>
      <c r="B101" s="252"/>
      <c r="C101" s="889"/>
      <c r="D101" s="865"/>
      <c r="E101" s="865"/>
      <c r="F101" s="865"/>
      <c r="G101" s="893"/>
      <c r="H101" s="893"/>
      <c r="I101" s="893"/>
      <c r="J101" s="865"/>
      <c r="K101" s="865"/>
      <c r="L101" s="252"/>
      <c r="M101" s="252"/>
      <c r="N101" s="865"/>
      <c r="O101" s="278"/>
      <c r="P101" s="865"/>
      <c r="Q101" s="865"/>
      <c r="R101" s="865"/>
      <c r="S101" s="865"/>
      <c r="T101" s="865"/>
      <c r="U101" s="252"/>
      <c r="V101" s="252"/>
      <c r="W101" s="252"/>
      <c r="X101" s="252"/>
      <c r="Y101" s="252"/>
      <c r="Z101" s="252"/>
      <c r="AA101" s="252"/>
      <c r="AB101" s="252"/>
      <c r="AC101" s="252"/>
      <c r="AD101" s="252"/>
      <c r="AE101" s="865"/>
    </row>
    <row r="102" spans="1:31" s="237" customFormat="1" ht="15" customHeight="1" outlineLevel="1" x14ac:dyDescent="0.35">
      <c r="A102" s="252"/>
      <c r="B102" s="252"/>
      <c r="C102" s="980" t="s">
        <v>1470</v>
      </c>
      <c r="D102" s="897" t="s">
        <v>1437</v>
      </c>
      <c r="E102" s="881"/>
      <c r="F102" s="865"/>
      <c r="G102" s="893"/>
      <c r="H102" s="893"/>
      <c r="I102" s="893"/>
      <c r="J102" s="865"/>
      <c r="K102" s="865"/>
      <c r="L102" s="252"/>
      <c r="M102" s="252"/>
      <c r="N102" s="865"/>
      <c r="O102" s="278"/>
      <c r="P102" s="865"/>
      <c r="Q102" s="865"/>
      <c r="R102" s="865"/>
      <c r="S102" s="865"/>
      <c r="T102" s="865"/>
      <c r="U102" s="252"/>
      <c r="V102" s="252"/>
      <c r="W102" s="252"/>
      <c r="X102" s="252"/>
      <c r="Y102" s="252"/>
      <c r="Z102" s="252"/>
      <c r="AA102" s="252"/>
      <c r="AB102" s="252"/>
      <c r="AC102" s="252"/>
      <c r="AD102" s="252"/>
      <c r="AE102" s="865"/>
    </row>
    <row r="103" spans="1:31" s="237" customFormat="1" ht="15" customHeight="1" outlineLevel="1" x14ac:dyDescent="0.25">
      <c r="A103" s="252"/>
      <c r="B103" s="252"/>
      <c r="C103" s="816" t="s">
        <v>2043</v>
      </c>
      <c r="D103" s="865"/>
      <c r="E103" s="865"/>
      <c r="F103" s="865"/>
      <c r="G103" s="893"/>
      <c r="H103" s="893"/>
      <c r="I103" s="893"/>
      <c r="J103" s="865"/>
      <c r="K103" s="865"/>
      <c r="L103" s="252"/>
      <c r="M103" s="252"/>
      <c r="N103" s="865"/>
      <c r="O103" s="278"/>
      <c r="P103" s="865"/>
      <c r="Q103" s="865"/>
      <c r="R103" s="865"/>
      <c r="S103" s="865"/>
      <c r="T103" s="865"/>
      <c r="U103" s="252"/>
      <c r="V103" s="252"/>
      <c r="W103" s="252"/>
      <c r="X103" s="252"/>
      <c r="Y103" s="252"/>
      <c r="Z103" s="252"/>
      <c r="AA103" s="252"/>
      <c r="AB103" s="252"/>
      <c r="AC103" s="252"/>
      <c r="AD103" s="252"/>
      <c r="AE103" s="865"/>
    </row>
    <row r="104" spans="1:31" s="237" customFormat="1" ht="15" customHeight="1" outlineLevel="1" x14ac:dyDescent="0.25">
      <c r="A104" s="252"/>
      <c r="B104" s="252"/>
      <c r="C104" s="817"/>
      <c r="D104" s="865"/>
      <c r="E104" s="865"/>
      <c r="F104" s="865"/>
      <c r="G104" s="893"/>
      <c r="H104" s="893"/>
      <c r="I104" s="893"/>
      <c r="J104" s="865"/>
      <c r="K104" s="865"/>
      <c r="L104" s="252"/>
      <c r="M104" s="252"/>
      <c r="N104" s="865"/>
      <c r="O104" s="278"/>
      <c r="P104" s="865"/>
      <c r="Q104" s="865"/>
      <c r="R104" s="865"/>
      <c r="S104" s="865"/>
      <c r="T104" s="865"/>
      <c r="U104" s="252"/>
      <c r="V104" s="252"/>
      <c r="W104" s="252"/>
      <c r="X104" s="252"/>
      <c r="Y104" s="252"/>
      <c r="Z104" s="252"/>
      <c r="AA104" s="252"/>
      <c r="AB104" s="252"/>
      <c r="AC104" s="252"/>
      <c r="AD104" s="252"/>
      <c r="AE104" s="865"/>
    </row>
    <row r="105" spans="1:31" s="237" customFormat="1" ht="15" customHeight="1" outlineLevel="1" x14ac:dyDescent="0.25">
      <c r="A105" s="252"/>
      <c r="B105" s="252"/>
      <c r="C105" s="898" t="s">
        <v>43</v>
      </c>
      <c r="D105" s="1341"/>
      <c r="E105" s="1342"/>
      <c r="F105" s="865"/>
      <c r="G105" s="893"/>
      <c r="H105" s="893"/>
      <c r="I105" s="893"/>
      <c r="J105" s="865"/>
      <c r="K105" s="865"/>
      <c r="L105" s="252"/>
      <c r="M105" s="252"/>
      <c r="N105" s="865"/>
      <c r="O105" s="278"/>
      <c r="P105" s="865"/>
      <c r="Q105" s="865"/>
      <c r="R105" s="865"/>
      <c r="S105" s="865"/>
      <c r="T105" s="865"/>
      <c r="U105" s="252"/>
      <c r="V105" s="252"/>
      <c r="W105" s="252"/>
      <c r="X105" s="252"/>
      <c r="Y105" s="252"/>
      <c r="Z105" s="252"/>
      <c r="AA105" s="252"/>
      <c r="AB105" s="252"/>
      <c r="AC105" s="252"/>
      <c r="AD105" s="252"/>
      <c r="AE105" s="865"/>
    </row>
    <row r="106" spans="1:31" s="237" customFormat="1" ht="15" customHeight="1" outlineLevel="1" collapsed="1" x14ac:dyDescent="0.25">
      <c r="A106" s="252"/>
      <c r="B106" s="252"/>
      <c r="C106" s="865" t="str">
        <f>IF(D105="geração de energia", " ATENÇÃO: Se a eletricidade é gerada pela organização inventariante, deve-se contabilizar as emissões do biogás consumido na aba Combustão Estacionária.","")</f>
        <v/>
      </c>
      <c r="D106" s="252"/>
      <c r="E106" s="252"/>
      <c r="F106" s="865"/>
      <c r="G106" s="893"/>
      <c r="H106" s="893"/>
      <c r="I106" s="893"/>
      <c r="J106" s="865"/>
      <c r="K106" s="865"/>
      <c r="L106" s="252"/>
      <c r="M106" s="252"/>
      <c r="N106" s="865"/>
      <c r="O106" s="278"/>
      <c r="P106" s="865"/>
      <c r="Q106" s="865"/>
      <c r="R106" s="865"/>
      <c r="S106" s="865"/>
      <c r="T106" s="865"/>
      <c r="U106" s="252"/>
      <c r="V106" s="252"/>
      <c r="W106" s="252"/>
      <c r="X106" s="252"/>
      <c r="Y106" s="252"/>
      <c r="Z106" s="252"/>
      <c r="AA106" s="252"/>
      <c r="AB106" s="252"/>
      <c r="AC106" s="252"/>
      <c r="AD106" s="252"/>
      <c r="AE106" s="865"/>
    </row>
    <row r="107" spans="1:31" s="237" customFormat="1" ht="15" customHeight="1" outlineLevel="1" x14ac:dyDescent="0.25">
      <c r="A107" s="252"/>
      <c r="B107" s="252"/>
      <c r="C107" s="865"/>
      <c r="D107" s="252"/>
      <c r="E107" s="252"/>
      <c r="F107" s="865"/>
      <c r="G107" s="893"/>
      <c r="H107" s="893"/>
      <c r="I107" s="893"/>
      <c r="J107" s="865"/>
      <c r="K107" s="865"/>
      <c r="L107" s="252"/>
      <c r="M107" s="252"/>
      <c r="N107" s="865"/>
      <c r="O107" s="278"/>
      <c r="P107" s="865"/>
      <c r="Q107" s="865"/>
      <c r="R107" s="865"/>
      <c r="S107" s="865"/>
      <c r="T107" s="865"/>
      <c r="U107" s="252"/>
      <c r="V107" s="252"/>
      <c r="W107" s="252"/>
      <c r="X107" s="252"/>
      <c r="Y107" s="252"/>
      <c r="Z107" s="252"/>
      <c r="AA107" s="252"/>
      <c r="AB107" s="252"/>
      <c r="AC107" s="252"/>
      <c r="AD107" s="252"/>
      <c r="AE107" s="865"/>
    </row>
    <row r="108" spans="1:31" s="237" customFormat="1" ht="15" customHeight="1" outlineLevel="1" x14ac:dyDescent="0.25">
      <c r="A108" s="252"/>
      <c r="B108" s="899" t="s">
        <v>1473</v>
      </c>
      <c r="C108" s="900"/>
      <c r="D108" s="901"/>
      <c r="E108" s="900"/>
      <c r="F108" s="865"/>
      <c r="G108" s="893"/>
      <c r="H108" s="893"/>
      <c r="I108" s="893"/>
      <c r="J108" s="865"/>
      <c r="K108" s="865"/>
      <c r="L108" s="252"/>
      <c r="M108" s="252"/>
      <c r="N108" s="865"/>
      <c r="O108" s="278"/>
      <c r="P108" s="865"/>
      <c r="Q108" s="865"/>
      <c r="R108" s="865"/>
      <c r="S108" s="865"/>
      <c r="T108" s="865"/>
      <c r="U108" s="252"/>
      <c r="V108" s="252"/>
      <c r="W108" s="252"/>
      <c r="X108" s="252"/>
      <c r="Y108" s="252"/>
      <c r="Z108" s="252"/>
      <c r="AA108" s="252"/>
      <c r="AB108" s="252"/>
      <c r="AC108" s="252"/>
      <c r="AD108" s="252"/>
      <c r="AE108" s="865"/>
    </row>
    <row r="109" spans="1:31" s="237" customFormat="1" ht="15" customHeight="1" outlineLevel="1" x14ac:dyDescent="0.25">
      <c r="A109" s="252"/>
      <c r="B109" s="865"/>
      <c r="C109" s="865"/>
      <c r="D109" s="893"/>
      <c r="E109" s="893"/>
      <c r="F109" s="893"/>
      <c r="G109" s="893"/>
      <c r="H109" s="893"/>
      <c r="I109" s="893"/>
      <c r="J109" s="865"/>
      <c r="K109" s="865"/>
      <c r="L109" s="252"/>
      <c r="M109" s="252"/>
      <c r="N109" s="865"/>
      <c r="O109" s="278"/>
      <c r="P109" s="865"/>
      <c r="Q109" s="865"/>
      <c r="R109" s="865"/>
      <c r="S109" s="865"/>
      <c r="T109" s="865"/>
      <c r="U109" s="252"/>
      <c r="V109" s="252"/>
      <c r="W109" s="252"/>
      <c r="X109" s="252"/>
      <c r="Y109" s="252"/>
      <c r="Z109" s="252"/>
      <c r="AA109" s="252"/>
      <c r="AB109" s="252"/>
      <c r="AC109" s="252"/>
      <c r="AD109" s="252"/>
      <c r="AE109" s="865"/>
    </row>
    <row r="110" spans="1:31" s="237" customFormat="1" ht="15" customHeight="1" outlineLevel="1" x14ac:dyDescent="0.35">
      <c r="A110" s="252"/>
      <c r="B110" s="865"/>
      <c r="C110" s="780" t="s">
        <v>1474</v>
      </c>
      <c r="D110" s="800" t="s">
        <v>1439</v>
      </c>
      <c r="E110" s="902">
        <f>IF(ISERROR(SUM((D41*D48*IF($E$48="[kgCQO/m3]", 0.25, IF($E$48="[kgCBO/m3]", 0.6,0))*D61)/1000-IF(E48="",0,E66),IF($E$36="Sim",(D77*D84*(IF($E$84="[kgCQO/m3]",0.25,IF($E$84="[kgCBO/m3]",0.6,0)))*D97)/1000-IF(E84="",0,E102),0))),0,SUM((D41*D48*IF($E$48="[kgCQO/m3]", 0.25, IF($E$48="[kgCBO/m3]", 0.6,0))*D61)/1000-IF(E48="",0,E66),IF($E$36="Sim",(D77*D84*(IF($E$84="[kgCQO/m3]",0.25,IF($E$84="[kgCBO/m3]",0.6,0)))*D97)/1000-IF(E36="Sim",E102,0),0)))</f>
        <v>0</v>
      </c>
      <c r="F110" s="729" t="str">
        <f>IF($E$110&lt;0,"O dado de CH4 recuperado é maior que o de CH4 gerado. Reveja os seus cálculos.","")</f>
        <v/>
      </c>
      <c r="G110" s="893"/>
      <c r="H110" s="893"/>
      <c r="I110" s="893"/>
      <c r="J110" s="865"/>
      <c r="K110" s="865"/>
      <c r="L110" s="252"/>
      <c r="M110" s="252"/>
      <c r="N110" s="865"/>
      <c r="O110" s="278"/>
      <c r="P110" s="865"/>
      <c r="Q110" s="865"/>
      <c r="R110" s="865"/>
      <c r="S110" s="865"/>
      <c r="T110" s="865"/>
      <c r="U110" s="252"/>
      <c r="V110" s="252"/>
      <c r="W110" s="252"/>
      <c r="X110" s="252"/>
      <c r="Y110" s="252"/>
      <c r="Z110" s="252"/>
      <c r="AA110" s="252"/>
      <c r="AB110" s="252"/>
      <c r="AC110" s="252"/>
      <c r="AD110" s="252"/>
      <c r="AE110" s="865"/>
    </row>
    <row r="111" spans="1:31" s="237" customFormat="1" ht="15" customHeight="1" outlineLevel="1" x14ac:dyDescent="0.35">
      <c r="A111" s="252"/>
      <c r="B111" s="865"/>
      <c r="C111" s="903" t="s">
        <v>1475</v>
      </c>
      <c r="D111" s="842" t="s">
        <v>1455</v>
      </c>
      <c r="E111" s="843">
        <f>IF(ISERROR(SUM(((D41*D54-D56)*IF(D55="", 0.005, D55)*(44/28))/1000,((D77*D90-D92)*IF(D91="", 0.005, D91)*(44/28))/1000)),0,SUM(((D41*D54-D56)*IF(D55="", 0.005, D55)*(44/28))/1000,((D77*D90-D92)*IF(D91="", 0.005, D91)*(44/28))/1000))</f>
        <v>0</v>
      </c>
      <c r="F111" s="729" t="str">
        <f>IF($E$111&lt;0,"O dado de remoção de azoto nas lamas é maior do que a quantidade de azoto no efluente gerado. Reveja os seus cálculos.","")</f>
        <v/>
      </c>
      <c r="G111" s="729"/>
      <c r="H111" s="729"/>
      <c r="I111" s="729"/>
      <c r="J111" s="729"/>
      <c r="K111" s="729"/>
      <c r="L111" s="729"/>
      <c r="M111" s="729"/>
      <c r="N111" s="729"/>
      <c r="O111" s="729"/>
      <c r="P111" s="729"/>
      <c r="Q111" s="729"/>
      <c r="R111" s="729"/>
      <c r="S111" s="729"/>
      <c r="T111" s="865"/>
      <c r="U111" s="252"/>
      <c r="V111" s="252"/>
      <c r="W111" s="252"/>
      <c r="X111" s="252"/>
      <c r="Y111" s="252"/>
      <c r="Z111" s="252"/>
      <c r="AA111" s="252"/>
      <c r="AB111" s="252"/>
      <c r="AC111" s="252"/>
      <c r="AD111" s="252"/>
      <c r="AE111" s="865"/>
    </row>
    <row r="112" spans="1:31" s="237" customFormat="1" ht="15" customHeight="1" outlineLevel="1" x14ac:dyDescent="0.35">
      <c r="A112" s="252"/>
      <c r="B112" s="865"/>
      <c r="C112" s="780" t="s">
        <v>1476</v>
      </c>
      <c r="D112" s="800" t="s">
        <v>1440</v>
      </c>
      <c r="E112" s="843">
        <f>IF(ISERROR(IF(E110&lt;0,0,$E$110*gwp_CH4+$E$111*gwp_N2O)),0,IF(E110&lt;0,0,$E$110*gwp_CH4+$E$111*gwp_N2O))</f>
        <v>0</v>
      </c>
      <c r="F112" s="865"/>
      <c r="G112" s="893"/>
      <c r="H112" s="893"/>
      <c r="I112" s="893"/>
      <c r="J112" s="865"/>
      <c r="K112" s="865"/>
      <c r="L112" s="252"/>
      <c r="M112" s="252"/>
      <c r="N112" s="865"/>
      <c r="O112" s="94"/>
      <c r="P112" s="865"/>
      <c r="Q112" s="865"/>
      <c r="R112" s="865"/>
      <c r="S112" s="865"/>
      <c r="T112" s="865"/>
      <c r="U112" s="252"/>
      <c r="V112" s="252"/>
      <c r="W112" s="252"/>
      <c r="X112" s="252"/>
      <c r="Y112" s="252"/>
      <c r="Z112" s="252"/>
      <c r="AA112" s="252"/>
      <c r="AB112" s="252"/>
      <c r="AC112" s="252"/>
      <c r="AD112" s="252"/>
      <c r="AE112" s="865"/>
    </row>
    <row r="113" spans="1:31" s="237" customFormat="1" ht="15" customHeight="1" outlineLevel="1" x14ac:dyDescent="0.35">
      <c r="A113" s="252"/>
      <c r="B113" s="865"/>
      <c r="C113" s="780" t="s">
        <v>2048</v>
      </c>
      <c r="D113" s="800" t="s">
        <v>1441</v>
      </c>
      <c r="E113" s="840">
        <f>IF($F$110="",IF($D$69=Listas!$BQ$3,$E$66*(44/16),0)+IF($D$105=Listas!$BQ$3,$E$102*(44/16),0),0)</f>
        <v>0</v>
      </c>
      <c r="F113" s="865"/>
      <c r="G113" s="893"/>
      <c r="H113" s="893"/>
      <c r="I113" s="893"/>
      <c r="J113" s="865"/>
      <c r="K113" s="865"/>
      <c r="L113" s="252"/>
      <c r="M113" s="252"/>
      <c r="N113" s="865"/>
      <c r="O113" s="278"/>
      <c r="P113" s="865"/>
      <c r="Q113" s="865"/>
      <c r="R113" s="865"/>
      <c r="S113" s="865"/>
      <c r="T113" s="865"/>
      <c r="U113" s="252"/>
      <c r="V113" s="252"/>
      <c r="W113" s="252"/>
      <c r="X113" s="252"/>
      <c r="Y113" s="252"/>
      <c r="Z113" s="252"/>
      <c r="AA113" s="252"/>
      <c r="AB113" s="252"/>
      <c r="AC113" s="252"/>
      <c r="AD113" s="252"/>
      <c r="AE113" s="865"/>
    </row>
    <row r="114" spans="1:31" s="237" customFormat="1" ht="15" customHeight="1" x14ac:dyDescent="0.25">
      <c r="A114" s="252"/>
      <c r="B114" s="871"/>
      <c r="C114" s="865"/>
      <c r="D114" s="865"/>
      <c r="E114" s="865"/>
      <c r="F114" s="865"/>
      <c r="G114" s="893"/>
      <c r="H114" s="893"/>
      <c r="I114" s="893"/>
      <c r="J114" s="865"/>
      <c r="K114" s="865"/>
      <c r="L114" s="252"/>
      <c r="M114" s="252"/>
      <c r="N114" s="865"/>
      <c r="O114" s="278"/>
      <c r="P114" s="865"/>
      <c r="Q114" s="865"/>
      <c r="R114" s="865"/>
      <c r="S114" s="865"/>
      <c r="T114" s="865"/>
      <c r="U114" s="252"/>
      <c r="V114" s="252"/>
      <c r="W114" s="252"/>
      <c r="X114" s="252"/>
      <c r="Y114" s="252"/>
      <c r="Z114" s="252"/>
      <c r="AA114" s="252"/>
      <c r="AB114" s="252"/>
      <c r="AC114" s="278"/>
      <c r="AD114" s="278"/>
      <c r="AE114" s="865"/>
    </row>
    <row r="115" spans="1:31" s="463" customFormat="1" ht="18" customHeight="1" x14ac:dyDescent="0.3">
      <c r="A115" s="847"/>
      <c r="B115" s="465" t="s">
        <v>2111</v>
      </c>
      <c r="C115" s="848"/>
      <c r="D115" s="848"/>
      <c r="E115" s="848"/>
      <c r="F115" s="848"/>
      <c r="G115" s="848"/>
      <c r="H115" s="848"/>
      <c r="I115" s="848"/>
      <c r="J115" s="848"/>
      <c r="K115" s="848"/>
      <c r="L115" s="848"/>
      <c r="M115" s="848"/>
      <c r="N115" s="850"/>
      <c r="O115" s="904"/>
      <c r="P115" s="904"/>
      <c r="Q115" s="904"/>
      <c r="R115" s="904"/>
      <c r="S115" s="904"/>
      <c r="T115" s="904"/>
      <c r="U115" s="904"/>
      <c r="V115" s="904"/>
      <c r="W115" s="904"/>
      <c r="X115" s="904"/>
      <c r="Y115" s="904"/>
      <c r="Z115" s="904"/>
      <c r="AA115" s="904"/>
      <c r="AB115" s="904"/>
      <c r="AC115" s="905"/>
      <c r="AD115" s="905"/>
      <c r="AE115" s="904"/>
    </row>
    <row r="116" spans="1:31" ht="15" customHeight="1" x14ac:dyDescent="0.2">
      <c r="A116" s="856"/>
      <c r="B116" s="856"/>
      <c r="C116" s="856"/>
      <c r="D116" s="856"/>
      <c r="E116" s="856"/>
      <c r="F116" s="856"/>
      <c r="G116" s="856"/>
      <c r="H116" s="856"/>
      <c r="I116" s="856"/>
      <c r="J116" s="856"/>
      <c r="K116" s="856"/>
      <c r="L116" s="856"/>
      <c r="M116" s="856"/>
      <c r="N116" s="856"/>
      <c r="O116" s="856"/>
      <c r="P116" s="856"/>
      <c r="Q116" s="171"/>
      <c r="R116" s="171"/>
      <c r="S116" s="171"/>
      <c r="T116" s="171"/>
      <c r="U116" s="856"/>
      <c r="V116" s="856"/>
      <c r="W116" s="856"/>
      <c r="X116" s="856"/>
      <c r="Y116" s="856"/>
      <c r="Z116" s="856"/>
      <c r="AA116" s="856"/>
      <c r="AB116" s="856"/>
      <c r="AC116" s="856"/>
      <c r="AD116" s="856"/>
      <c r="AE116" s="856"/>
    </row>
    <row r="117" spans="1:31" ht="15" customHeight="1" x14ac:dyDescent="0.25">
      <c r="A117" s="856"/>
      <c r="B117" s="906" t="s">
        <v>2110</v>
      </c>
      <c r="C117" s="855"/>
      <c r="D117" s="856"/>
      <c r="E117" s="856"/>
      <c r="F117" s="856"/>
      <c r="G117" s="856"/>
      <c r="H117" s="171"/>
      <c r="I117" s="856"/>
      <c r="J117" s="856"/>
      <c r="K117" s="856"/>
      <c r="L117" s="856"/>
      <c r="M117" s="856"/>
      <c r="N117" s="856"/>
      <c r="O117" s="857"/>
      <c r="P117" s="706"/>
      <c r="Q117" s="171"/>
      <c r="R117" s="171"/>
      <c r="S117" s="171"/>
      <c r="T117" s="171"/>
      <c r="U117" s="856"/>
      <c r="V117" s="856"/>
      <c r="W117" s="856"/>
      <c r="X117" s="856"/>
      <c r="Y117" s="856"/>
      <c r="Z117" s="856"/>
      <c r="AA117" s="856"/>
      <c r="AB117" s="856"/>
      <c r="AE117" s="856"/>
    </row>
    <row r="118" spans="1:31" ht="5.0999999999999996" customHeight="1" thickBot="1" x14ac:dyDescent="0.25">
      <c r="AC118" s="856"/>
      <c r="AD118" s="856"/>
    </row>
    <row r="119" spans="1:31" ht="30" customHeight="1" thickBot="1" x14ac:dyDescent="0.3">
      <c r="A119" s="858"/>
      <c r="B119" s="907" t="s">
        <v>1407</v>
      </c>
      <c r="C119" s="859"/>
      <c r="D119" s="1348">
        <f>E112</f>
        <v>0</v>
      </c>
      <c r="E119" s="1349"/>
      <c r="F119" s="419"/>
      <c r="G119" s="856"/>
      <c r="H119" s="171"/>
      <c r="I119" s="856"/>
      <c r="J119" s="856"/>
      <c r="K119" s="856"/>
      <c r="L119" s="856"/>
      <c r="M119" s="856"/>
      <c r="N119" s="856"/>
      <c r="O119" s="857"/>
      <c r="P119" s="706"/>
      <c r="Q119" s="171"/>
      <c r="R119" s="171"/>
      <c r="S119" s="171"/>
      <c r="T119" s="171"/>
      <c r="U119" s="856"/>
      <c r="V119" s="856"/>
      <c r="W119" s="856"/>
      <c r="X119" s="856"/>
      <c r="Y119" s="856"/>
      <c r="Z119" s="856"/>
      <c r="AA119" s="856"/>
      <c r="AB119" s="856"/>
      <c r="AE119" s="856"/>
    </row>
    <row r="120" spans="1:31" ht="5.0999999999999996" customHeight="1" thickBot="1" x14ac:dyDescent="0.25">
      <c r="A120" s="639"/>
      <c r="B120" s="724"/>
      <c r="C120" s="724"/>
      <c r="D120" s="725"/>
      <c r="E120" s="725"/>
      <c r="F120" s="639"/>
      <c r="AC120" s="171"/>
      <c r="AD120" s="171"/>
    </row>
    <row r="121" spans="1:31" ht="30" customHeight="1" thickBot="1" x14ac:dyDescent="0.3">
      <c r="A121" s="858"/>
      <c r="B121" s="852" t="s">
        <v>1961</v>
      </c>
      <c r="C121" s="860"/>
      <c r="D121" s="1318">
        <f>E113</f>
        <v>0</v>
      </c>
      <c r="E121" s="1319"/>
      <c r="F121" s="419"/>
      <c r="G121" s="856"/>
      <c r="H121" s="856"/>
      <c r="I121" s="856"/>
      <c r="J121" s="856"/>
      <c r="K121" s="856"/>
      <c r="L121" s="856"/>
      <c r="M121" s="856"/>
      <c r="N121" s="856"/>
      <c r="O121" s="857"/>
      <c r="P121" s="706"/>
      <c r="Q121" s="171"/>
      <c r="R121" s="171"/>
      <c r="S121" s="171"/>
      <c r="T121" s="171"/>
      <c r="U121" s="856"/>
      <c r="V121" s="856"/>
      <c r="W121" s="856"/>
      <c r="X121" s="856"/>
      <c r="Y121" s="856"/>
      <c r="Z121" s="856"/>
      <c r="AA121" s="171"/>
      <c r="AB121" s="171"/>
      <c r="AC121" s="171"/>
      <c r="AD121" s="171"/>
      <c r="AE121" s="171"/>
    </row>
    <row r="122" spans="1:31" ht="15" customHeight="1" x14ac:dyDescent="0.25">
      <c r="A122" s="858"/>
      <c r="B122" s="856"/>
      <c r="C122" s="856"/>
      <c r="D122" s="856"/>
      <c r="E122" s="856"/>
      <c r="F122" s="856"/>
      <c r="G122" s="856"/>
      <c r="H122" s="856"/>
      <c r="I122" s="856"/>
      <c r="J122" s="856"/>
      <c r="K122" s="856"/>
      <c r="L122" s="856"/>
      <c r="M122" s="856"/>
      <c r="N122" s="856"/>
      <c r="O122" s="857"/>
      <c r="P122" s="706"/>
      <c r="Q122" s="171"/>
      <c r="R122" s="171"/>
      <c r="S122" s="171"/>
      <c r="T122" s="171"/>
      <c r="U122" s="856"/>
      <c r="V122" s="856"/>
      <c r="W122" s="856"/>
      <c r="X122" s="856"/>
      <c r="Y122" s="856"/>
      <c r="Z122" s="856"/>
      <c r="AA122" s="171"/>
      <c r="AB122" s="171"/>
      <c r="AC122" s="171"/>
      <c r="AD122" s="171"/>
      <c r="AE122" s="171"/>
    </row>
    <row r="123" spans="1:31" ht="15" customHeight="1" x14ac:dyDescent="0.25">
      <c r="A123" s="858"/>
      <c r="B123" s="1345" t="s">
        <v>2019</v>
      </c>
      <c r="C123" s="1345"/>
      <c r="D123" s="1345"/>
      <c r="E123" s="1345"/>
      <c r="F123" s="856"/>
      <c r="G123" s="856"/>
      <c r="H123" s="856"/>
      <c r="I123" s="856"/>
      <c r="J123" s="856"/>
      <c r="K123" s="856"/>
      <c r="L123" s="856"/>
      <c r="M123" s="856"/>
      <c r="N123" s="856"/>
      <c r="O123" s="857"/>
      <c r="P123" s="706"/>
      <c r="Q123" s="171"/>
      <c r="R123" s="171"/>
      <c r="S123" s="171"/>
      <c r="T123" s="171"/>
      <c r="U123" s="856"/>
      <c r="V123" s="856"/>
      <c r="W123" s="856"/>
      <c r="X123" s="856"/>
      <c r="Y123" s="856"/>
      <c r="Z123" s="856"/>
      <c r="AA123" s="171"/>
      <c r="AB123" s="171"/>
      <c r="AC123" s="171"/>
      <c r="AD123" s="171"/>
      <c r="AE123" s="171"/>
    </row>
    <row r="124" spans="1:31" ht="15" customHeight="1" x14ac:dyDescent="0.25">
      <c r="A124" s="858"/>
      <c r="B124" s="1345"/>
      <c r="C124" s="1345"/>
      <c r="D124" s="1345"/>
      <c r="E124" s="1345"/>
      <c r="F124" s="856"/>
      <c r="G124" s="856"/>
      <c r="H124" s="856"/>
      <c r="I124" s="856"/>
      <c r="J124" s="856"/>
      <c r="K124" s="856"/>
      <c r="L124" s="856"/>
      <c r="M124" s="856"/>
      <c r="N124" s="856"/>
      <c r="O124" s="857"/>
      <c r="P124" s="706"/>
      <c r="Q124" s="171"/>
      <c r="R124" s="171"/>
      <c r="S124" s="171"/>
      <c r="T124" s="171"/>
      <c r="U124" s="856"/>
      <c r="V124" s="856"/>
      <c r="W124" s="856"/>
      <c r="X124" s="856"/>
      <c r="Y124" s="856"/>
      <c r="Z124" s="856"/>
      <c r="AA124" s="171"/>
      <c r="AB124" s="171"/>
      <c r="AC124" s="171"/>
      <c r="AD124" s="171"/>
      <c r="AE124" s="171"/>
    </row>
    <row r="125" spans="1:31" ht="24.95" customHeight="1" x14ac:dyDescent="0.25">
      <c r="A125" s="858"/>
      <c r="B125" s="856"/>
      <c r="C125" s="856"/>
      <c r="D125" s="856"/>
      <c r="E125" s="856"/>
      <c r="F125" s="856"/>
      <c r="G125" s="856"/>
      <c r="H125" s="856"/>
      <c r="I125" s="856"/>
      <c r="J125" s="856"/>
      <c r="K125" s="856"/>
      <c r="L125" s="856"/>
      <c r="M125" s="856"/>
      <c r="N125" s="856"/>
      <c r="O125" s="857"/>
      <c r="P125" s="706"/>
      <c r="Q125" s="171"/>
      <c r="R125" s="171"/>
      <c r="S125" s="171"/>
      <c r="T125" s="171"/>
      <c r="U125" s="856"/>
      <c r="V125" s="856"/>
      <c r="W125" s="856"/>
      <c r="X125" s="856"/>
      <c r="Y125" s="856"/>
      <c r="Z125" s="856"/>
      <c r="AA125" s="171"/>
      <c r="AB125" s="171"/>
      <c r="AE125" s="171"/>
    </row>
    <row r="126" spans="1:31" ht="15" hidden="1" customHeight="1" x14ac:dyDescent="0.2"/>
    <row r="127" spans="1:31" ht="15" hidden="1" customHeight="1" x14ac:dyDescent="0.2"/>
    <row r="128" spans="1:31" ht="15" hidden="1" customHeight="1" x14ac:dyDescent="0.2"/>
    <row r="129" ht="15" hidden="1" customHeight="1" x14ac:dyDescent="0.2"/>
    <row r="130" ht="15" hidden="1" customHeight="1" x14ac:dyDescent="0.2"/>
    <row r="131" ht="15" hidden="1" customHeight="1" x14ac:dyDescent="0.2"/>
    <row r="132" ht="15" hidden="1" customHeight="1" x14ac:dyDescent="0.2"/>
    <row r="133" ht="15" hidden="1" customHeight="1" x14ac:dyDescent="0.2"/>
    <row r="134" ht="15" hidden="1" customHeight="1" x14ac:dyDescent="0.2"/>
    <row r="135" ht="15" hidden="1" customHeight="1" x14ac:dyDescent="0.2"/>
    <row r="136" ht="15" hidden="1" customHeight="1" x14ac:dyDescent="0.2"/>
    <row r="137" x14ac:dyDescent="0.2"/>
    <row r="138" x14ac:dyDescent="0.2"/>
    <row r="139" x14ac:dyDescent="0.2"/>
    <row r="140" x14ac:dyDescent="0.2"/>
    <row r="141" x14ac:dyDescent="0.2"/>
    <row r="142" x14ac:dyDescent="0.2"/>
    <row r="143" x14ac:dyDescent="0.2"/>
    <row r="144" x14ac:dyDescent="0.2"/>
    <row r="145" x14ac:dyDescent="0.2"/>
    <row r="146" ht="12.75" customHeight="1" x14ac:dyDescent="0.2"/>
  </sheetData>
  <sheetProtection selectLockedCells="1"/>
  <mergeCells count="20">
    <mergeCell ref="D121:E121"/>
    <mergeCell ref="B123:E124"/>
    <mergeCell ref="B14:H15"/>
    <mergeCell ref="D69:E69"/>
    <mergeCell ref="B72:G73"/>
    <mergeCell ref="D96:E96"/>
    <mergeCell ref="D97:E97"/>
    <mergeCell ref="D105:E105"/>
    <mergeCell ref="D119:E119"/>
    <mergeCell ref="B29:J29"/>
    <mergeCell ref="B30:J31"/>
    <mergeCell ref="B32:J32"/>
    <mergeCell ref="D60:E60"/>
    <mergeCell ref="D61:E61"/>
    <mergeCell ref="B24:J24"/>
    <mergeCell ref="D12:F12"/>
    <mergeCell ref="B18:J19"/>
    <mergeCell ref="B20:J21"/>
    <mergeCell ref="B22:J22"/>
    <mergeCell ref="B23:J23"/>
  </mergeCells>
  <conditionalFormatting sqref="D12:D13">
    <cfRule type="expression" dxfId="6330" priority="13" stopIfTrue="1">
      <formula>NOT(ISERROR(SEARCH("ESCOLHA",D12)))</formula>
    </cfRule>
  </conditionalFormatting>
  <conditionalFormatting sqref="F110:M110">
    <cfRule type="expression" dxfId="6329" priority="12">
      <formula>$E$110&lt;0</formula>
    </cfRule>
  </conditionalFormatting>
  <conditionalFormatting sqref="D77">
    <cfRule type="expression" dxfId="6328" priority="11">
      <formula>$E$36="Não"</formula>
    </cfRule>
  </conditionalFormatting>
  <conditionalFormatting sqref="D84:E84">
    <cfRule type="expression" dxfId="6327" priority="10">
      <formula>$E$36="Não"</formula>
    </cfRule>
  </conditionalFormatting>
  <conditionalFormatting sqref="D90:D92">
    <cfRule type="expression" dxfId="6326" priority="9">
      <formula>$E$36="Não"</formula>
    </cfRule>
  </conditionalFormatting>
  <conditionalFormatting sqref="E102">
    <cfRule type="expression" dxfId="6325" priority="8">
      <formula>$E$36="Não"</formula>
    </cfRule>
  </conditionalFormatting>
  <conditionalFormatting sqref="D96:E97">
    <cfRule type="expression" dxfId="6324" priority="7">
      <formula>$E$36="Não"</formula>
    </cfRule>
  </conditionalFormatting>
  <conditionalFormatting sqref="D105:E105">
    <cfRule type="expression" dxfId="6323" priority="6">
      <formula>$E$36="Não"</formula>
    </cfRule>
  </conditionalFormatting>
  <conditionalFormatting sqref="F111">
    <cfRule type="expression" dxfId="6322" priority="5">
      <formula>$E$111&lt;0</formula>
    </cfRule>
  </conditionalFormatting>
  <conditionalFormatting sqref="G111:Q111">
    <cfRule type="expression" dxfId="6321" priority="3">
      <formula>$E$110&lt;0</formula>
    </cfRule>
    <cfRule type="expression" dxfId="6320" priority="4">
      <formula>$E$111&lt;0</formula>
    </cfRule>
  </conditionalFormatting>
  <conditionalFormatting sqref="R111">
    <cfRule type="expression" dxfId="6319" priority="2">
      <formula>$E$111&lt;0</formula>
    </cfRule>
  </conditionalFormatting>
  <conditionalFormatting sqref="S111">
    <cfRule type="expression" dxfId="6318" priority="1">
      <formula>$E$111&lt;0</formula>
    </cfRule>
  </conditionalFormatting>
  <dataValidations count="4">
    <dataValidation type="list" allowBlank="1" showInputMessage="1" showErrorMessage="1" sqref="D69:E69 D105:E105">
      <formula1>eflu_ch4_recuperado</formula1>
    </dataValidation>
    <dataValidation type="list" allowBlank="1" showInputMessage="1" showErrorMessage="1" sqref="E36">
      <formula1>eflu_trat_sequenc</formula1>
    </dataValidation>
    <dataValidation type="list" allowBlank="1" showInputMessage="1" showErrorMessage="1" sqref="E84 E48">
      <formula1>dbo_dqo</formula1>
    </dataValidation>
    <dataValidation type="custom" allowBlank="1" showInputMessage="1" showErrorMessage="1" errorTitle="Há tratamento sequencial?" error="No passo 1, não foi indicado que são aplicados, sequencialmente, dois tipos de tratamentos anaeróbicos ao efluente gerado. Verifique, caso haja, escolha a resposta &quot;sim&quot;." sqref="D77">
      <formula1>E36="Sim"</formula1>
    </dataValidation>
  </dataValidations>
  <pageMargins left="0.511811024" right="0.511811024" top="0.78740157499999996" bottom="0.78740157499999996" header="0.31496062000000002" footer="0.31496062000000002"/>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Listas!$BR$3:$BR$10</xm:f>
          </x14:formula1>
          <xm:sqref>D60:E60 D96:E96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pageSetUpPr fitToPage="1"/>
  </sheetPr>
  <dimension ref="A1:BT786"/>
  <sheetViews>
    <sheetView showGridLines="0" topLeftCell="A173" zoomScale="80" zoomScaleNormal="80" workbookViewId="0">
      <selection activeCell="D311" sqref="D311:E311"/>
    </sheetView>
  </sheetViews>
  <sheetFormatPr defaultColWidth="0" defaultRowHeight="12.75" customHeight="1" zeroHeight="1" outlineLevelRow="2" x14ac:dyDescent="0.2"/>
  <cols>
    <col min="1" max="1" width="10.7109375" style="195" customWidth="1"/>
    <col min="2" max="2" width="15.42578125" style="195" customWidth="1"/>
    <col min="3" max="3" width="23.42578125" style="195" customWidth="1"/>
    <col min="4" max="4" width="73.140625" style="195" customWidth="1"/>
    <col min="5" max="5" width="13.140625" style="195" customWidth="1"/>
    <col min="6" max="6" width="12.7109375" style="195" customWidth="1"/>
    <col min="7" max="7" width="13.5703125" style="195" customWidth="1"/>
    <col min="8" max="8" width="16.140625" style="195" customWidth="1"/>
    <col min="9" max="9" width="15.28515625" style="195" customWidth="1"/>
    <col min="10" max="10" width="16.5703125" style="195" customWidth="1"/>
    <col min="11" max="16" width="10.7109375" style="195" customWidth="1"/>
    <col min="17" max="17" width="16.7109375" style="195" customWidth="1"/>
    <col min="18" max="18" width="17" style="195" bestFit="1" customWidth="1"/>
    <col min="19" max="19" width="13.42578125" style="195" customWidth="1"/>
    <col min="20" max="20" width="23.42578125" style="195" bestFit="1" customWidth="1"/>
    <col min="21" max="21" width="17" style="195" bestFit="1" customWidth="1"/>
    <col min="22" max="22" width="15" style="195" customWidth="1"/>
    <col min="23" max="23" width="10.5703125" style="195" bestFit="1" customWidth="1"/>
    <col min="24" max="24" width="10.42578125" style="195" bestFit="1" customWidth="1"/>
    <col min="25" max="25" width="10.5703125" style="195" bestFit="1" customWidth="1"/>
    <col min="26" max="26" width="10.28515625" style="195" bestFit="1" customWidth="1"/>
    <col min="27" max="27" width="10.5703125" style="195" customWidth="1"/>
    <col min="28" max="28" width="11.5703125" style="195" customWidth="1"/>
    <col min="29" max="29" width="10.5703125" style="195" customWidth="1"/>
    <col min="30" max="30" width="8.7109375" style="195" customWidth="1"/>
    <col min="31" max="31" width="10" style="195" bestFit="1" customWidth="1"/>
    <col min="32" max="32" width="8.7109375" style="195" customWidth="1"/>
    <col min="33" max="33" width="10.85546875" style="195" customWidth="1"/>
    <col min="34" max="34" width="10.7109375" style="195" customWidth="1"/>
    <col min="35" max="35" width="24.7109375" style="195" customWidth="1"/>
    <col min="36" max="36" width="20.7109375" style="195" customWidth="1"/>
    <col min="37" max="46" width="8.7109375" style="195" customWidth="1"/>
    <col min="47" max="47" width="10.7109375" style="195" customWidth="1"/>
    <col min="48" max="49" width="23.42578125" style="195" customWidth="1"/>
    <col min="50" max="50" width="15.140625" style="195" customWidth="1"/>
    <col min="51" max="53" width="15.7109375" style="195" customWidth="1"/>
    <col min="54" max="55" width="13.140625" style="195" customWidth="1"/>
    <col min="56" max="56" width="15.5703125" style="195" customWidth="1"/>
    <col min="57" max="57" width="15.7109375" style="195" customWidth="1"/>
    <col min="58" max="58" width="19.42578125" style="195" customWidth="1"/>
    <col min="59" max="61" width="10.7109375" style="195" customWidth="1"/>
    <col min="62" max="62" width="12.7109375" style="195" customWidth="1"/>
    <col min="63" max="64" width="24.42578125" style="195" customWidth="1"/>
    <col min="65" max="66" width="17.140625" style="195" customWidth="1"/>
    <col min="67" max="70" width="12.5703125" style="195" customWidth="1"/>
    <col min="71" max="71" width="15" style="195" customWidth="1"/>
    <col min="72" max="72" width="9.140625" style="195" customWidth="1"/>
    <col min="73" max="88" width="9.140625" style="195" hidden="1" customWidth="1"/>
    <col min="89" max="16384" width="9.140625" style="195" hidden="1"/>
  </cols>
  <sheetData>
    <row r="1" spans="1:28" x14ac:dyDescent="0.2">
      <c r="A1" s="339"/>
      <c r="B1" s="339"/>
      <c r="C1" s="339"/>
      <c r="D1" s="339"/>
      <c r="E1" s="339"/>
      <c r="F1" s="339"/>
      <c r="G1" s="339"/>
      <c r="H1" s="339"/>
      <c r="I1" s="339"/>
      <c r="J1" s="339"/>
      <c r="K1" s="339"/>
      <c r="L1" s="339"/>
      <c r="M1" s="339"/>
      <c r="N1" s="339"/>
      <c r="O1" s="339"/>
      <c r="P1" s="339"/>
      <c r="Q1" s="339"/>
      <c r="R1" s="339"/>
      <c r="S1" s="339"/>
      <c r="T1" s="339"/>
      <c r="U1" s="339"/>
      <c r="V1" s="339"/>
      <c r="W1" s="339"/>
      <c r="X1" s="339"/>
      <c r="Y1" s="339"/>
      <c r="Z1" s="339"/>
      <c r="AA1" s="339"/>
      <c r="AB1" s="339"/>
    </row>
    <row r="2" spans="1:28" x14ac:dyDescent="0.2">
      <c r="A2" s="290"/>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row>
    <row r="3" spans="1:28" ht="14.1" customHeight="1" x14ac:dyDescent="0.2">
      <c r="A3" s="290"/>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row>
    <row r="4" spans="1:28" ht="15.75" customHeight="1" x14ac:dyDescent="0.2">
      <c r="A4" s="290"/>
      <c r="B4" s="290"/>
      <c r="C4" s="290"/>
      <c r="D4" s="290"/>
      <c r="E4" s="290"/>
      <c r="F4" s="290"/>
      <c r="G4" s="290"/>
      <c r="H4" s="290"/>
      <c r="I4" s="290"/>
      <c r="J4" s="290"/>
      <c r="K4" s="290"/>
      <c r="L4" s="290"/>
      <c r="M4" s="290"/>
      <c r="N4" s="290"/>
      <c r="O4" s="290"/>
      <c r="P4" s="290"/>
      <c r="Q4" s="290"/>
      <c r="R4" s="290"/>
      <c r="S4" s="290"/>
      <c r="T4" s="290"/>
      <c r="U4" s="290"/>
      <c r="V4" s="290"/>
      <c r="W4" s="290"/>
      <c r="X4" s="290"/>
      <c r="Y4" s="290"/>
      <c r="Z4" s="290"/>
      <c r="AA4" s="290"/>
      <c r="AB4" s="290"/>
    </row>
    <row r="5" spans="1:28" ht="15.75" customHeight="1" x14ac:dyDescent="0.2">
      <c r="A5" s="290"/>
      <c r="B5" s="290"/>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row>
    <row r="6" spans="1:28" ht="15.75" customHeight="1" x14ac:dyDescent="0.2">
      <c r="A6" s="290"/>
      <c r="B6" s="290"/>
      <c r="C6" s="290"/>
      <c r="D6" s="290"/>
      <c r="E6" s="290"/>
      <c r="F6" s="290"/>
      <c r="G6" s="290"/>
      <c r="H6" s="290"/>
      <c r="I6" s="290"/>
      <c r="J6" s="290"/>
      <c r="K6" s="290"/>
      <c r="L6" s="290"/>
      <c r="M6" s="290"/>
      <c r="N6" s="290"/>
      <c r="O6" s="290"/>
      <c r="P6" s="290"/>
      <c r="Q6" s="290"/>
      <c r="R6" s="290"/>
      <c r="S6" s="290"/>
      <c r="T6" s="290"/>
      <c r="U6" s="290"/>
      <c r="V6" s="290"/>
      <c r="W6" s="290"/>
      <c r="X6" s="290"/>
      <c r="Y6" s="290"/>
      <c r="Z6" s="290"/>
      <c r="AA6" s="290"/>
      <c r="AB6" s="290"/>
    </row>
    <row r="7" spans="1:28" ht="15.75" customHeight="1" x14ac:dyDescent="0.2">
      <c r="A7" s="290"/>
      <c r="B7" s="290"/>
      <c r="C7" s="290"/>
      <c r="D7" s="290"/>
      <c r="E7" s="290"/>
      <c r="F7" s="290"/>
      <c r="G7" s="290"/>
      <c r="H7" s="290"/>
      <c r="I7" s="290"/>
      <c r="J7" s="290"/>
      <c r="K7" s="290"/>
      <c r="L7" s="290"/>
      <c r="M7" s="290"/>
      <c r="N7" s="290"/>
      <c r="O7" s="290"/>
      <c r="P7" s="290"/>
      <c r="Q7" s="290"/>
      <c r="R7" s="290"/>
      <c r="S7" s="290"/>
      <c r="T7" s="290"/>
      <c r="U7" s="290"/>
      <c r="V7" s="290"/>
      <c r="W7" s="290"/>
      <c r="X7" s="290"/>
      <c r="Y7" s="290"/>
      <c r="Z7" s="290"/>
      <c r="AA7" s="290"/>
      <c r="AB7" s="290"/>
    </row>
    <row r="8" spans="1:28" ht="15" customHeight="1" x14ac:dyDescent="0.2">
      <c r="A8" s="290"/>
      <c r="B8" s="290"/>
      <c r="C8" s="290"/>
      <c r="D8" s="290"/>
      <c r="E8" s="290"/>
      <c r="F8" s="290"/>
      <c r="G8" s="290"/>
      <c r="H8" s="290"/>
      <c r="I8" s="290"/>
      <c r="J8" s="290"/>
      <c r="K8" s="290"/>
      <c r="L8" s="290"/>
      <c r="M8" s="290"/>
      <c r="N8" s="290"/>
      <c r="O8" s="290"/>
      <c r="P8" s="290"/>
      <c r="Q8" s="290"/>
      <c r="R8" s="290"/>
      <c r="S8" s="290"/>
      <c r="T8" s="290"/>
      <c r="U8" s="290"/>
      <c r="V8" s="290"/>
      <c r="W8" s="290"/>
      <c r="X8" s="290"/>
      <c r="Y8" s="290"/>
      <c r="Z8" s="290"/>
      <c r="AA8" s="290"/>
      <c r="AB8" s="290"/>
    </row>
    <row r="9" spans="1:28" ht="15" customHeight="1" x14ac:dyDescent="0.2">
      <c r="A9" s="290"/>
      <c r="B9" s="290"/>
      <c r="C9" s="290"/>
      <c r="D9" s="290"/>
      <c r="E9" s="290"/>
      <c r="F9" s="290"/>
      <c r="G9" s="290"/>
      <c r="H9" s="290"/>
      <c r="I9" s="290"/>
      <c r="J9" s="290"/>
      <c r="K9" s="290"/>
      <c r="L9" s="290"/>
      <c r="M9" s="290"/>
      <c r="N9" s="290"/>
      <c r="O9" s="290"/>
      <c r="P9" s="290"/>
      <c r="Q9" s="290"/>
      <c r="R9" s="290"/>
      <c r="S9" s="290"/>
      <c r="T9" s="290"/>
      <c r="U9" s="290"/>
      <c r="V9" s="290"/>
      <c r="W9" s="290"/>
      <c r="X9" s="290"/>
      <c r="Y9" s="290"/>
      <c r="Z9" s="290"/>
      <c r="AA9" s="290"/>
      <c r="AB9" s="290"/>
    </row>
    <row r="10" spans="1:28" ht="15" customHeight="1" x14ac:dyDescent="0.2">
      <c r="A10" s="290"/>
      <c r="B10" s="290"/>
      <c r="C10" s="290"/>
      <c r="D10" s="290"/>
      <c r="E10" s="290"/>
      <c r="F10" s="290"/>
      <c r="G10" s="290"/>
      <c r="H10" s="290"/>
      <c r="I10" s="290"/>
      <c r="J10" s="290"/>
      <c r="K10" s="290"/>
      <c r="L10" s="290"/>
      <c r="M10" s="290"/>
      <c r="N10" s="290"/>
      <c r="O10" s="290"/>
      <c r="P10" s="290"/>
      <c r="Q10" s="290"/>
      <c r="R10" s="290"/>
      <c r="S10" s="290"/>
      <c r="T10" s="290"/>
      <c r="U10" s="290"/>
      <c r="V10" s="290"/>
      <c r="W10" s="290"/>
      <c r="X10" s="290"/>
      <c r="Y10" s="290"/>
      <c r="Z10" s="290"/>
      <c r="AA10" s="290"/>
      <c r="AB10" s="290"/>
    </row>
    <row r="11" spans="1:28" ht="15" customHeight="1" x14ac:dyDescent="0.3">
      <c r="A11" s="290"/>
      <c r="B11" s="208" t="s">
        <v>2215</v>
      </c>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row>
    <row r="12" spans="1:28" ht="15" customHeight="1" x14ac:dyDescent="0.2">
      <c r="A12" s="290"/>
      <c r="B12" s="290"/>
      <c r="C12" s="290"/>
      <c r="D12" s="290"/>
      <c r="E12" s="290"/>
      <c r="F12" s="290"/>
      <c r="G12" s="290"/>
      <c r="H12" s="290"/>
      <c r="I12" s="290"/>
      <c r="J12" s="290"/>
      <c r="K12" s="290"/>
      <c r="L12" s="290"/>
      <c r="M12" s="290"/>
      <c r="N12" s="290"/>
      <c r="O12" s="290"/>
      <c r="P12" s="290"/>
      <c r="Q12" s="290"/>
      <c r="R12" s="290"/>
      <c r="S12" s="290"/>
      <c r="T12" s="290"/>
      <c r="U12" s="290"/>
      <c r="V12" s="290"/>
      <c r="W12" s="290"/>
      <c r="X12" s="290"/>
      <c r="Y12" s="290"/>
      <c r="Z12" s="290"/>
      <c r="AA12" s="290"/>
      <c r="AB12" s="290"/>
    </row>
    <row r="13" spans="1:28" ht="15" customHeight="1" x14ac:dyDescent="0.2">
      <c r="A13" s="290"/>
      <c r="B13" s="331"/>
      <c r="C13" s="355" t="s">
        <v>142</v>
      </c>
      <c r="D13" s="1297">
        <f>IF(OR(Ano="Selecione",Ano=0),"Escolha o ano do inventário na aba 'Introdução'",Ano)</f>
        <v>2030</v>
      </c>
      <c r="E13" s="1297"/>
      <c r="F13" s="1297"/>
      <c r="G13" s="290"/>
      <c r="H13" s="290"/>
      <c r="I13" s="290"/>
      <c r="J13" s="290"/>
      <c r="K13" s="290"/>
      <c r="L13" s="290"/>
      <c r="M13" s="290"/>
      <c r="N13" s="290"/>
      <c r="O13" s="290"/>
      <c r="P13" s="290"/>
      <c r="Q13" s="290"/>
      <c r="R13" s="290"/>
      <c r="S13" s="290"/>
      <c r="T13" s="290"/>
      <c r="U13" s="290"/>
      <c r="V13" s="290"/>
      <c r="W13" s="290"/>
      <c r="X13" s="290"/>
      <c r="Y13" s="290"/>
      <c r="Z13" s="290"/>
      <c r="AA13" s="290"/>
      <c r="AB13" s="290"/>
    </row>
    <row r="14" spans="1:28" ht="15" customHeight="1" thickBot="1" x14ac:dyDescent="0.25">
      <c r="A14" s="290"/>
      <c r="B14" s="331"/>
      <c r="C14" s="355"/>
      <c r="D14" s="1144"/>
      <c r="E14" s="1144"/>
      <c r="F14" s="1144"/>
      <c r="G14" s="290"/>
      <c r="H14" s="290"/>
      <c r="I14" s="290"/>
      <c r="J14" s="290"/>
      <c r="K14" s="290"/>
      <c r="L14" s="290"/>
      <c r="M14" s="290"/>
      <c r="N14" s="290"/>
      <c r="O14" s="290"/>
      <c r="P14" s="290"/>
      <c r="Q14" s="290"/>
      <c r="R14" s="290"/>
      <c r="S14" s="290"/>
      <c r="T14" s="290"/>
      <c r="U14" s="290"/>
      <c r="V14" s="290"/>
      <c r="W14" s="290"/>
      <c r="X14" s="290"/>
      <c r="Y14" s="290"/>
      <c r="Z14" s="290"/>
      <c r="AA14" s="290"/>
      <c r="AB14" s="290"/>
    </row>
    <row r="15" spans="1:28" s="981" customFormat="1" ht="15" customHeight="1" x14ac:dyDescent="0.25">
      <c r="B15" s="1382" t="s">
        <v>2151</v>
      </c>
      <c r="C15" s="1383"/>
      <c r="D15" s="1383"/>
      <c r="E15" s="1383"/>
      <c r="F15" s="1383"/>
      <c r="G15" s="1383"/>
      <c r="H15" s="1383"/>
      <c r="I15" s="1384"/>
    </row>
    <row r="16" spans="1:28" s="981" customFormat="1" ht="15" customHeight="1" x14ac:dyDescent="0.25">
      <c r="B16" s="1385"/>
      <c r="C16" s="1386"/>
      <c r="D16" s="1386"/>
      <c r="E16" s="1386"/>
      <c r="F16" s="1386"/>
      <c r="G16" s="1386"/>
      <c r="H16" s="1386"/>
      <c r="I16" s="1387"/>
    </row>
    <row r="17" spans="1:58" s="981" customFormat="1" ht="15" customHeight="1" x14ac:dyDescent="0.25">
      <c r="B17" s="1385"/>
      <c r="C17" s="1386"/>
      <c r="D17" s="1386"/>
      <c r="E17" s="1386"/>
      <c r="F17" s="1386"/>
      <c r="G17" s="1386"/>
      <c r="H17" s="1386"/>
      <c r="I17" s="1387"/>
    </row>
    <row r="18" spans="1:58" s="981" customFormat="1" ht="15" customHeight="1" x14ac:dyDescent="0.25">
      <c r="B18" s="1385"/>
      <c r="C18" s="1386"/>
      <c r="D18" s="1386"/>
      <c r="E18" s="1386"/>
      <c r="F18" s="1386"/>
      <c r="G18" s="1386"/>
      <c r="H18" s="1386"/>
      <c r="I18" s="1387"/>
    </row>
    <row r="19" spans="1:58" s="981" customFormat="1" ht="15" customHeight="1" thickBot="1" x14ac:dyDescent="0.3">
      <c r="B19" s="1388"/>
      <c r="C19" s="1389"/>
      <c r="D19" s="1389"/>
      <c r="E19" s="1389"/>
      <c r="F19" s="1389"/>
      <c r="G19" s="1389"/>
      <c r="H19" s="1389"/>
      <c r="I19" s="1390"/>
    </row>
    <row r="20" spans="1:58" ht="15" customHeight="1" x14ac:dyDescent="0.2">
      <c r="A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row>
    <row r="21" spans="1:58" ht="15" customHeight="1" x14ac:dyDescent="0.25">
      <c r="A21" s="290"/>
      <c r="B21" s="292" t="s">
        <v>4</v>
      </c>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row>
    <row r="22" spans="1:58" ht="15" customHeight="1" x14ac:dyDescent="0.2">
      <c r="A22" s="290"/>
      <c r="B22" s="206" t="s">
        <v>2139</v>
      </c>
      <c r="C22" s="290"/>
      <c r="D22" s="290"/>
      <c r="E22" s="290"/>
      <c r="F22" s="290"/>
      <c r="G22" s="290"/>
      <c r="H22" s="290"/>
      <c r="I22" s="290"/>
      <c r="J22" s="290"/>
      <c r="K22" s="290"/>
      <c r="L22" s="290"/>
      <c r="M22" s="290"/>
      <c r="N22" s="290"/>
      <c r="O22" s="290"/>
      <c r="P22" s="290"/>
      <c r="Q22" s="290"/>
      <c r="R22" s="290"/>
      <c r="S22" s="290"/>
      <c r="T22" s="290"/>
      <c r="U22" s="290"/>
      <c r="V22" s="290"/>
      <c r="W22" s="290"/>
      <c r="X22" s="290"/>
      <c r="Y22" s="290"/>
      <c r="Z22" s="290"/>
      <c r="AA22" s="290"/>
      <c r="AB22" s="290"/>
    </row>
    <row r="23" spans="1:58" ht="15" customHeight="1" x14ac:dyDescent="0.2">
      <c r="A23" s="290"/>
      <c r="B23" s="456" t="s">
        <v>2140</v>
      </c>
      <c r="C23" s="290"/>
      <c r="D23" s="290"/>
      <c r="E23" s="290"/>
      <c r="F23" s="290"/>
      <c r="G23" s="290"/>
      <c r="H23" s="290"/>
      <c r="I23" s="290"/>
      <c r="J23" s="290"/>
      <c r="K23" s="290"/>
      <c r="L23" s="290"/>
      <c r="M23" s="290"/>
      <c r="N23" s="290"/>
      <c r="O23" s="290"/>
      <c r="P23" s="290"/>
      <c r="Q23" s="290"/>
      <c r="R23" s="290"/>
      <c r="S23" s="290"/>
      <c r="T23" s="290"/>
      <c r="U23" s="290"/>
      <c r="V23" s="290"/>
      <c r="W23" s="290"/>
      <c r="X23" s="290"/>
      <c r="Y23" s="290"/>
      <c r="Z23" s="290"/>
      <c r="AA23" s="290"/>
      <c r="AB23" s="290"/>
    </row>
    <row r="24" spans="1:58" ht="15" customHeight="1" x14ac:dyDescent="0.2">
      <c r="A24" s="290"/>
      <c r="B24" s="206" t="s">
        <v>2076</v>
      </c>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row>
    <row r="25" spans="1:58" ht="15" customHeight="1" x14ac:dyDescent="0.2">
      <c r="A25" s="290"/>
      <c r="B25" s="206" t="s">
        <v>2141</v>
      </c>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row>
    <row r="26" spans="1:58" ht="15" customHeight="1" x14ac:dyDescent="0.2">
      <c r="A26" s="290"/>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row>
    <row r="27" spans="1:58" ht="18" customHeight="1" x14ac:dyDescent="0.2">
      <c r="A27" s="411"/>
      <c r="B27" s="358" t="s">
        <v>2136</v>
      </c>
      <c r="C27" s="412"/>
      <c r="D27" s="413"/>
      <c r="E27" s="413"/>
      <c r="F27" s="413"/>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s="327"/>
      <c r="AG27" s="327"/>
      <c r="AH27" s="327"/>
      <c r="AI27" s="327"/>
      <c r="AJ27" s="327"/>
      <c r="AK27" s="327"/>
      <c r="AL27" s="327"/>
      <c r="AM27" s="327"/>
      <c r="AN27" s="327"/>
      <c r="AO27" s="327"/>
      <c r="AP27" s="327"/>
      <c r="AQ27" s="327"/>
      <c r="AR27" s="327"/>
      <c r="AS27" s="327"/>
      <c r="AT27" s="327"/>
      <c r="AU27" s="327"/>
      <c r="AV27" s="327"/>
      <c r="AW27" s="327"/>
      <c r="AX27" s="327"/>
      <c r="AY27" s="327"/>
      <c r="AZ27" s="327"/>
      <c r="BA27" s="327"/>
      <c r="BB27" s="327"/>
      <c r="BC27" s="327"/>
      <c r="BD27" s="327"/>
      <c r="BE27" s="327"/>
      <c r="BF27" s="414"/>
    </row>
    <row r="28" spans="1:58" ht="15" customHeight="1" outlineLevel="1" x14ac:dyDescent="0.2">
      <c r="A28" s="290"/>
      <c r="B28" s="331"/>
      <c r="C28" s="290"/>
      <c r="D28" s="290"/>
      <c r="E28" s="290"/>
      <c r="F28" s="290"/>
      <c r="G28" s="290"/>
      <c r="H28" s="290"/>
      <c r="I28" s="290"/>
      <c r="J28" s="290"/>
      <c r="K28" s="290"/>
      <c r="L28" s="290"/>
      <c r="M28" s="290"/>
      <c r="N28" s="290"/>
      <c r="O28" s="290"/>
      <c r="P28" s="290"/>
      <c r="Q28" s="290"/>
      <c r="R28" s="290"/>
      <c r="S28" s="290"/>
      <c r="T28" s="290"/>
      <c r="U28" s="290"/>
      <c r="V28" s="290"/>
      <c r="W28" s="290"/>
      <c r="X28" s="290"/>
      <c r="Y28" s="290"/>
      <c r="Z28" s="290"/>
      <c r="AA28" s="290"/>
      <c r="AB28" s="290"/>
    </row>
    <row r="29" spans="1:58" ht="15" customHeight="1" outlineLevel="1" x14ac:dyDescent="0.2">
      <c r="A29" s="290"/>
      <c r="B29" s="359" t="s">
        <v>124</v>
      </c>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row>
    <row r="30" spans="1:58" s="237" customFormat="1" ht="15" customHeight="1" outlineLevel="1" x14ac:dyDescent="0.25">
      <c r="A30" s="205"/>
      <c r="B30" s="1381" t="s">
        <v>1721</v>
      </c>
      <c r="C30" s="1381"/>
      <c r="D30" s="1381"/>
      <c r="E30" s="1381"/>
      <c r="F30" s="1381"/>
      <c r="G30" s="1381"/>
      <c r="H30" s="1381"/>
      <c r="I30" s="1381"/>
      <c r="J30" s="1381"/>
      <c r="K30" s="421"/>
      <c r="L30" s="205"/>
      <c r="M30" s="205"/>
      <c r="N30" s="205"/>
      <c r="O30" s="205"/>
      <c r="P30" s="205"/>
      <c r="Q30" s="205"/>
      <c r="R30" s="205"/>
      <c r="S30" s="205"/>
      <c r="T30" s="205"/>
      <c r="U30" s="205"/>
      <c r="V30" s="205"/>
      <c r="W30" s="205"/>
      <c r="X30" s="205"/>
      <c r="Y30" s="205"/>
      <c r="Z30" s="205"/>
      <c r="AA30" s="205"/>
      <c r="AB30" s="205"/>
    </row>
    <row r="31" spans="1:58" s="237" customFormat="1" ht="5.25" customHeight="1" outlineLevel="1" x14ac:dyDescent="0.25">
      <c r="A31" s="205"/>
      <c r="B31" s="1381"/>
      <c r="C31" s="1381"/>
      <c r="D31" s="1381"/>
      <c r="E31" s="1381"/>
      <c r="F31" s="1381"/>
      <c r="G31" s="1381"/>
      <c r="H31" s="1381"/>
      <c r="I31" s="1381"/>
      <c r="J31" s="1381"/>
      <c r="K31" s="421"/>
      <c r="L31" s="205"/>
      <c r="M31" s="205"/>
      <c r="N31" s="205"/>
      <c r="O31" s="205"/>
      <c r="P31" s="205"/>
      <c r="Q31" s="205"/>
      <c r="R31" s="205"/>
      <c r="S31" s="205"/>
      <c r="T31" s="205"/>
      <c r="U31" s="205"/>
      <c r="V31" s="205"/>
      <c r="W31" s="205"/>
      <c r="X31" s="205"/>
      <c r="Y31" s="205"/>
      <c r="Z31" s="205"/>
      <c r="AA31" s="205"/>
      <c r="AB31" s="205"/>
    </row>
    <row r="32" spans="1:58" s="237" customFormat="1" ht="20.25" customHeight="1" outlineLevel="1" x14ac:dyDescent="0.25">
      <c r="A32" s="205"/>
      <c r="B32" s="422" t="s">
        <v>1722</v>
      </c>
      <c r="C32" s="205"/>
      <c r="D32" s="205"/>
      <c r="E32" s="205"/>
      <c r="F32" s="205"/>
      <c r="G32" s="205"/>
      <c r="H32" s="205"/>
      <c r="I32" s="205"/>
      <c r="J32" s="205"/>
      <c r="K32" s="205"/>
      <c r="L32" s="205"/>
      <c r="M32" s="205"/>
      <c r="N32" s="205"/>
      <c r="O32" s="205"/>
      <c r="P32" s="205"/>
      <c r="Q32" s="205"/>
      <c r="R32" s="205"/>
      <c r="S32" s="205"/>
      <c r="T32" s="205"/>
      <c r="U32" s="205"/>
      <c r="V32" s="205"/>
      <c r="W32" s="205"/>
      <c r="X32" s="205"/>
      <c r="Y32" s="205"/>
      <c r="Z32" s="205"/>
      <c r="AA32" s="205"/>
      <c r="AB32" s="205"/>
    </row>
    <row r="33" spans="1:28" s="237" customFormat="1" ht="15" customHeight="1" outlineLevel="1" x14ac:dyDescent="0.25">
      <c r="A33" s="205"/>
      <c r="B33" s="206" t="s">
        <v>1723</v>
      </c>
      <c r="C33" s="205"/>
      <c r="D33" s="205"/>
      <c r="E33" s="205"/>
      <c r="F33" s="205"/>
      <c r="G33" s="205"/>
      <c r="H33" s="205"/>
      <c r="I33" s="205"/>
      <c r="J33" s="205"/>
      <c r="K33" s="205"/>
      <c r="L33" s="205"/>
      <c r="M33" s="205"/>
      <c r="N33" s="205"/>
      <c r="O33" s="205"/>
      <c r="P33" s="205"/>
      <c r="Q33" s="205"/>
      <c r="R33" s="205"/>
      <c r="S33" s="205"/>
      <c r="T33" s="205"/>
      <c r="U33" s="205"/>
      <c r="V33" s="205"/>
      <c r="W33" s="205"/>
      <c r="X33" s="205"/>
      <c r="Y33" s="205"/>
      <c r="Z33" s="205"/>
      <c r="AA33" s="205"/>
      <c r="AB33" s="205"/>
    </row>
    <row r="34" spans="1:28" s="237" customFormat="1" ht="15" customHeight="1" outlineLevel="1" x14ac:dyDescent="0.25">
      <c r="A34" s="205"/>
      <c r="B34" s="422"/>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row>
    <row r="35" spans="1:28" s="237" customFormat="1" ht="15" customHeight="1" outlineLevel="1" x14ac:dyDescent="0.25">
      <c r="A35" s="363"/>
      <c r="B35" s="423" t="s">
        <v>1724</v>
      </c>
      <c r="C35" s="373"/>
      <c r="D35" s="442"/>
      <c r="E35" s="442"/>
      <c r="F35" s="373"/>
      <c r="G35" s="373"/>
      <c r="H35" s="373"/>
      <c r="I35" s="373"/>
      <c r="J35" s="373"/>
      <c r="K35" s="373"/>
      <c r="L35" s="373"/>
      <c r="M35" s="373"/>
      <c r="N35" s="373"/>
      <c r="O35" s="373"/>
      <c r="P35" s="373"/>
      <c r="Q35" s="373"/>
      <c r="R35" s="373"/>
      <c r="S35" s="373"/>
      <c r="T35" s="373"/>
      <c r="U35" s="373"/>
      <c r="V35" s="363"/>
      <c r="W35" s="373"/>
      <c r="X35" s="373"/>
      <c r="Z35" s="373"/>
      <c r="AA35" s="373"/>
      <c r="AB35" s="373"/>
    </row>
    <row r="36" spans="1:28" s="237" customFormat="1" ht="15" customHeight="1" outlineLevel="1" x14ac:dyDescent="0.25">
      <c r="A36" s="363"/>
      <c r="B36" s="388"/>
      <c r="C36" s="373"/>
      <c r="D36" s="442"/>
      <c r="E36" s="442"/>
      <c r="F36" s="373"/>
      <c r="G36" s="373"/>
      <c r="H36" s="373"/>
      <c r="I36" s="373"/>
      <c r="J36" s="373"/>
      <c r="K36" s="373"/>
      <c r="L36" s="373"/>
      <c r="M36" s="373"/>
      <c r="N36" s="373"/>
      <c r="O36" s="373"/>
      <c r="P36" s="373"/>
      <c r="Q36" s="373"/>
      <c r="R36" s="373"/>
      <c r="S36" s="373"/>
      <c r="T36" s="373"/>
      <c r="U36" s="373"/>
      <c r="V36" s="363"/>
      <c r="W36" s="373"/>
      <c r="X36" s="373"/>
      <c r="Z36" s="373"/>
      <c r="AA36" s="373"/>
      <c r="AB36" s="373"/>
    </row>
    <row r="37" spans="1:28" s="237" customFormat="1" ht="15" customHeight="1" outlineLevel="1" x14ac:dyDescent="0.25">
      <c r="A37" s="363"/>
      <c r="B37" s="423" t="s">
        <v>1725</v>
      </c>
      <c r="C37" s="217"/>
      <c r="D37" s="424"/>
      <c r="E37" s="424"/>
      <c r="F37" s="373"/>
      <c r="G37" s="373"/>
      <c r="H37" s="373"/>
      <c r="I37" s="373"/>
      <c r="J37" s="373"/>
      <c r="K37" s="373"/>
      <c r="L37" s="373"/>
      <c r="M37" s="373"/>
      <c r="N37" s="373"/>
      <c r="O37" s="373"/>
      <c r="P37" s="373"/>
      <c r="Q37" s="373"/>
      <c r="R37" s="373"/>
      <c r="S37" s="363"/>
      <c r="T37" s="363"/>
      <c r="U37" s="363"/>
      <c r="V37" s="363"/>
      <c r="W37" s="363"/>
      <c r="X37" s="363"/>
      <c r="Y37" s="363"/>
      <c r="Z37" s="363"/>
      <c r="AA37" s="363"/>
      <c r="AB37" s="363"/>
    </row>
    <row r="38" spans="1:28" s="237" customFormat="1" ht="15" customHeight="1" outlineLevel="1" x14ac:dyDescent="0.25">
      <c r="A38" s="363"/>
      <c r="B38" s="1267" t="s">
        <v>1531</v>
      </c>
      <c r="C38" s="1267" t="s">
        <v>66</v>
      </c>
      <c r="D38" s="1267" t="s">
        <v>255</v>
      </c>
      <c r="E38" s="1267"/>
      <c r="F38" s="1249" t="s">
        <v>13</v>
      </c>
      <c r="G38" s="1269" t="s">
        <v>96</v>
      </c>
      <c r="H38" s="1267" t="s">
        <v>588</v>
      </c>
      <c r="I38" s="1267"/>
      <c r="J38" s="1267"/>
      <c r="K38" s="1249" t="s">
        <v>1408</v>
      </c>
      <c r="L38" s="1249" t="s">
        <v>1409</v>
      </c>
      <c r="M38" s="1249" t="s">
        <v>1410</v>
      </c>
      <c r="N38" s="1249" t="s">
        <v>1411</v>
      </c>
    </row>
    <row r="39" spans="1:28" s="237" customFormat="1" ht="15" customHeight="1" outlineLevel="1" x14ac:dyDescent="0.25">
      <c r="A39" s="363"/>
      <c r="B39" s="1267"/>
      <c r="C39" s="1267"/>
      <c r="D39" s="1267"/>
      <c r="E39" s="1267"/>
      <c r="F39" s="1266"/>
      <c r="G39" s="1270"/>
      <c r="H39" s="1267"/>
      <c r="I39" s="1267"/>
      <c r="J39" s="1267"/>
      <c r="K39" s="1266"/>
      <c r="L39" s="1266"/>
      <c r="M39" s="1266"/>
      <c r="N39" s="1266"/>
    </row>
    <row r="40" spans="1:28" s="237" customFormat="1" ht="30" customHeight="1" outlineLevel="1" x14ac:dyDescent="0.25">
      <c r="A40" s="363"/>
      <c r="B40" s="1267"/>
      <c r="C40" s="1267"/>
      <c r="D40" s="1267"/>
      <c r="E40" s="1267"/>
      <c r="F40" s="1250"/>
      <c r="G40" s="1271"/>
      <c r="H40" s="1146" t="s">
        <v>1857</v>
      </c>
      <c r="I40" s="1146" t="s">
        <v>1858</v>
      </c>
      <c r="J40" s="1146" t="s">
        <v>1859</v>
      </c>
      <c r="K40" s="1250"/>
      <c r="L40" s="1250"/>
      <c r="M40" s="1250"/>
      <c r="N40" s="1250"/>
    </row>
    <row r="41" spans="1:28" s="237" customFormat="1" ht="15" customHeight="1" outlineLevel="1" x14ac:dyDescent="0.25">
      <c r="A41" s="427" t="s">
        <v>606</v>
      </c>
      <c r="B41" s="444" t="s">
        <v>587</v>
      </c>
      <c r="C41" s="445" t="s">
        <v>2066</v>
      </c>
      <c r="D41" s="1272" t="s">
        <v>1728</v>
      </c>
      <c r="E41" s="1272"/>
      <c r="F41" s="446">
        <v>1000</v>
      </c>
      <c r="G41" s="447" t="s">
        <v>581</v>
      </c>
      <c r="H41" s="1108">
        <v>2.27</v>
      </c>
      <c r="I41" s="1109">
        <v>0</v>
      </c>
      <c r="J41" s="1109">
        <v>0</v>
      </c>
      <c r="K41" s="432">
        <v>2.27</v>
      </c>
      <c r="L41" s="1108">
        <v>0</v>
      </c>
      <c r="M41" s="1108">
        <v>0</v>
      </c>
      <c r="N41" s="433">
        <v>2.27</v>
      </c>
    </row>
    <row r="42" spans="1:28" s="237" customFormat="1" ht="15" customHeight="1" outlineLevel="1" x14ac:dyDescent="0.25">
      <c r="A42" s="363"/>
      <c r="B42" s="1145"/>
      <c r="C42" s="1145"/>
      <c r="D42" s="1268"/>
      <c r="E42" s="1268"/>
      <c r="F42" s="438"/>
      <c r="G42" s="1147" t="str">
        <f>IF(D42="","",VLOOKUP(D42,'Fatores de Emissão'!$C$82:$D$104,2,FALSE))</f>
        <v/>
      </c>
      <c r="H42" s="439" t="str">
        <f>IF(OR(D42="",D42="-"),"",VLOOKUP(D42,'Fatores de Emissão'!$C$82:$J$97,6,FALSE))</f>
        <v/>
      </c>
      <c r="I42" s="439" t="str">
        <f>IF(OR(D42="",D42="-"),"",VLOOKUP(D42,'Fatores de Emissão'!$C$82:$J$97,7,FALSE))</f>
        <v/>
      </c>
      <c r="J42" s="439" t="str">
        <f>IF(OR(D42="",D42="-"),"",VLOOKUP(D42,'Fatores de Emissão'!$C$82:$J$97,8,FALSE))</f>
        <v/>
      </c>
      <c r="K42" s="439" t="str">
        <f>IF(D42="","",IF(F42="",0,H42*$F42/1000))</f>
        <v/>
      </c>
      <c r="L42" s="439" t="str">
        <f>IF(D42="","",IF(F42="",0,I42*$F42/1000))</f>
        <v/>
      </c>
      <c r="M42" s="439" t="str">
        <f>IF(D42="","",IF(F42="",0,J42*$F42/1000))</f>
        <v/>
      </c>
      <c r="N42" s="441" t="str">
        <f t="shared" ref="N42:N91" si="0">IF(ISERR(K42*gwp_CO2+L42*gwp_CH4+M42*gwp_N2O),"",K42*gwp_CO2+L42*gwp_CH4+M42*gwp_N2O)</f>
        <v/>
      </c>
    </row>
    <row r="43" spans="1:28" s="237" customFormat="1" ht="15" customHeight="1" outlineLevel="1" x14ac:dyDescent="0.25">
      <c r="A43" s="363"/>
      <c r="B43" s="1145"/>
      <c r="C43" s="1145"/>
      <c r="D43" s="1268"/>
      <c r="E43" s="1268"/>
      <c r="F43" s="438"/>
      <c r="G43" s="1147" t="str">
        <f>IF(D43="","",VLOOKUP(D43,'Fatores de Emissão'!$C$82:$D$104,2,FALSE))</f>
        <v/>
      </c>
      <c r="H43" s="439" t="str">
        <f>IF(OR(D43="",D43="-"),"",VLOOKUP(D43,'Fatores de Emissão'!$C$82:$J$97,6,FALSE))</f>
        <v/>
      </c>
      <c r="I43" s="439" t="str">
        <f>IF(OR(D43="",D43="-"),"",VLOOKUP(D43,'Fatores de Emissão'!$C$82:$J$97,7,FALSE))</f>
        <v/>
      </c>
      <c r="J43" s="439" t="str">
        <f>IF(OR(D43="",D43="-"),"",VLOOKUP(D43,'Fatores de Emissão'!$C$82:$J$97,8,FALSE))</f>
        <v/>
      </c>
      <c r="K43" s="439" t="str">
        <f t="shared" ref="K43:K91" si="1">IF(D43="","",IF(F43="",0,H43*$F43/1000))</f>
        <v/>
      </c>
      <c r="L43" s="439" t="str">
        <f t="shared" ref="L43:L91" si="2">IF(D43="","",IF(F43="",0,I43*$F43/1000))</f>
        <v/>
      </c>
      <c r="M43" s="439" t="str">
        <f t="shared" ref="M43:M91" si="3">IF(D43="","",IF(F43="",0,J43*$F43/1000))</f>
        <v/>
      </c>
      <c r="N43" s="441" t="str">
        <f t="shared" si="0"/>
        <v/>
      </c>
    </row>
    <row r="44" spans="1:28" s="237" customFormat="1" ht="15" customHeight="1" outlineLevel="1" x14ac:dyDescent="0.25">
      <c r="A44" s="363"/>
      <c r="B44" s="1145"/>
      <c r="C44" s="1145"/>
      <c r="D44" s="1268"/>
      <c r="E44" s="1268"/>
      <c r="F44" s="438"/>
      <c r="G44" s="1147" t="str">
        <f>IF(D44="","",VLOOKUP(D44,'Fatores de Emissão'!$C$82:$D$104,2,FALSE))</f>
        <v/>
      </c>
      <c r="H44" s="439" t="str">
        <f>IF(OR(D44="",D44="-"),"",VLOOKUP(D44,'Fatores de Emissão'!$C$82:$J$97,6,FALSE))</f>
        <v/>
      </c>
      <c r="I44" s="439" t="str">
        <f>IF(OR(D44="",D44="-"),"",VLOOKUP(D44,'Fatores de Emissão'!$C$82:$J$97,7,FALSE))</f>
        <v/>
      </c>
      <c r="J44" s="439" t="str">
        <f>IF(OR(D44="",D44="-"),"",VLOOKUP(D44,'Fatores de Emissão'!$C$82:$J$97,8,FALSE))</f>
        <v/>
      </c>
      <c r="K44" s="439" t="str">
        <f t="shared" si="1"/>
        <v/>
      </c>
      <c r="L44" s="439" t="str">
        <f t="shared" si="2"/>
        <v/>
      </c>
      <c r="M44" s="439" t="str">
        <f t="shared" si="3"/>
        <v/>
      </c>
      <c r="N44" s="441" t="str">
        <f t="shared" si="0"/>
        <v/>
      </c>
    </row>
    <row r="45" spans="1:28" s="237" customFormat="1" ht="15" customHeight="1" outlineLevel="1" x14ac:dyDescent="0.25">
      <c r="A45" s="363"/>
      <c r="B45" s="1145"/>
      <c r="C45" s="1145"/>
      <c r="D45" s="1268"/>
      <c r="E45" s="1268"/>
      <c r="F45" s="438"/>
      <c r="G45" s="1147" t="str">
        <f>IF(D45="","",VLOOKUP(D45,'Fatores de Emissão'!$C$82:$D$104,2,FALSE))</f>
        <v/>
      </c>
      <c r="H45" s="439" t="str">
        <f>IF(OR(D45="",D45="-"),"",VLOOKUP(D45,'Fatores de Emissão'!$C$82:$J$97,6,FALSE))</f>
        <v/>
      </c>
      <c r="I45" s="439" t="str">
        <f>IF(OR(D45="",D45="-"),"",VLOOKUP(D45,'Fatores de Emissão'!$C$82:$J$97,7,FALSE))</f>
        <v/>
      </c>
      <c r="J45" s="439" t="str">
        <f>IF(OR(D45="",D45="-"),"",VLOOKUP(D45,'Fatores de Emissão'!$C$82:$J$97,8,FALSE))</f>
        <v/>
      </c>
      <c r="K45" s="439" t="str">
        <f t="shared" si="1"/>
        <v/>
      </c>
      <c r="L45" s="439" t="str">
        <f t="shared" si="2"/>
        <v/>
      </c>
      <c r="M45" s="439" t="str">
        <f t="shared" si="3"/>
        <v/>
      </c>
      <c r="N45" s="441" t="str">
        <f t="shared" si="0"/>
        <v/>
      </c>
    </row>
    <row r="46" spans="1:28" s="237" customFormat="1" ht="15" customHeight="1" outlineLevel="1" x14ac:dyDescent="0.25">
      <c r="A46" s="363"/>
      <c r="B46" s="1145"/>
      <c r="C46" s="1145"/>
      <c r="D46" s="1268"/>
      <c r="E46" s="1268"/>
      <c r="F46" s="438"/>
      <c r="G46" s="1147" t="str">
        <f>IF(D46="","",VLOOKUP(D46,'Fatores de Emissão'!$C$82:$D$104,2,FALSE))</f>
        <v/>
      </c>
      <c r="H46" s="439" t="str">
        <f>IF(OR(D46="",D46="-"),"",VLOOKUP(D46,'Fatores de Emissão'!$C$82:$J$97,6,FALSE))</f>
        <v/>
      </c>
      <c r="I46" s="439" t="str">
        <f>IF(OR(D46="",D46="-"),"",VLOOKUP(D46,'Fatores de Emissão'!$C$82:$J$97,7,FALSE))</f>
        <v/>
      </c>
      <c r="J46" s="439" t="str">
        <f>IF(OR(D46="",D46="-"),"",VLOOKUP(D46,'Fatores de Emissão'!$C$82:$J$97,8,FALSE))</f>
        <v/>
      </c>
      <c r="K46" s="439" t="str">
        <f t="shared" si="1"/>
        <v/>
      </c>
      <c r="L46" s="439" t="str">
        <f t="shared" si="2"/>
        <v/>
      </c>
      <c r="M46" s="439" t="str">
        <f t="shared" si="3"/>
        <v/>
      </c>
      <c r="N46" s="441" t="str">
        <f t="shared" si="0"/>
        <v/>
      </c>
    </row>
    <row r="47" spans="1:28" s="237" customFormat="1" ht="15" customHeight="1" outlineLevel="1" x14ac:dyDescent="0.25">
      <c r="A47" s="363"/>
      <c r="B47" s="1145"/>
      <c r="C47" s="1145"/>
      <c r="D47" s="1268"/>
      <c r="E47" s="1268"/>
      <c r="F47" s="438"/>
      <c r="G47" s="1147" t="str">
        <f>IF(D47="","",VLOOKUP(D47,'Fatores de Emissão'!$C$82:$D$104,2,FALSE))</f>
        <v/>
      </c>
      <c r="H47" s="439" t="str">
        <f>IF(OR(D47="",D47="-"),"",VLOOKUP(D47,'Fatores de Emissão'!$C$82:$J$97,6,FALSE))</f>
        <v/>
      </c>
      <c r="I47" s="439" t="str">
        <f>IF(OR(D47="",D47="-"),"",VLOOKUP(D47,'Fatores de Emissão'!$C$82:$J$97,7,FALSE))</f>
        <v/>
      </c>
      <c r="J47" s="439" t="str">
        <f>IF(OR(D47="",D47="-"),"",VLOOKUP(D47,'Fatores de Emissão'!$C$82:$J$97,8,FALSE))</f>
        <v/>
      </c>
      <c r="K47" s="439" t="str">
        <f t="shared" si="1"/>
        <v/>
      </c>
      <c r="L47" s="439" t="str">
        <f t="shared" si="2"/>
        <v/>
      </c>
      <c r="M47" s="439" t="str">
        <f t="shared" si="3"/>
        <v/>
      </c>
      <c r="N47" s="441" t="str">
        <f t="shared" si="0"/>
        <v/>
      </c>
    </row>
    <row r="48" spans="1:28" s="237" customFormat="1" ht="15" customHeight="1" outlineLevel="1" x14ac:dyDescent="0.25">
      <c r="A48" s="363"/>
      <c r="B48" s="1145"/>
      <c r="C48" s="1145"/>
      <c r="D48" s="1268"/>
      <c r="E48" s="1268"/>
      <c r="F48" s="438"/>
      <c r="G48" s="1147" t="str">
        <f>IF(D48="","",VLOOKUP(D48,'Fatores de Emissão'!$C$82:$D$104,2,FALSE))</f>
        <v/>
      </c>
      <c r="H48" s="439" t="str">
        <f>IF(OR(D48="",D48="-"),"",VLOOKUP(D48,'Fatores de Emissão'!$C$82:$J$97,6,FALSE))</f>
        <v/>
      </c>
      <c r="I48" s="439" t="str">
        <f>IF(OR(D48="",D48="-"),"",VLOOKUP(D48,'Fatores de Emissão'!$C$82:$J$97,7,FALSE))</f>
        <v/>
      </c>
      <c r="J48" s="439" t="str">
        <f>IF(OR(D48="",D48="-"),"",VLOOKUP(D48,'Fatores de Emissão'!$C$82:$J$97,8,FALSE))</f>
        <v/>
      </c>
      <c r="K48" s="439" t="str">
        <f t="shared" si="1"/>
        <v/>
      </c>
      <c r="L48" s="439" t="str">
        <f t="shared" si="2"/>
        <v/>
      </c>
      <c r="M48" s="439" t="str">
        <f t="shared" si="3"/>
        <v/>
      </c>
      <c r="N48" s="441" t="str">
        <f t="shared" si="0"/>
        <v/>
      </c>
    </row>
    <row r="49" spans="1:14" s="237" customFormat="1" ht="15" customHeight="1" outlineLevel="1" x14ac:dyDescent="0.25">
      <c r="A49" s="363"/>
      <c r="B49" s="1145"/>
      <c r="C49" s="1145"/>
      <c r="D49" s="1268"/>
      <c r="E49" s="1268"/>
      <c r="F49" s="438"/>
      <c r="G49" s="1147" t="str">
        <f>IF(D49="","",VLOOKUP(D49,'Fatores de Emissão'!$C$82:$D$104,2,FALSE))</f>
        <v/>
      </c>
      <c r="H49" s="439" t="str">
        <f>IF(OR(D49="",D49="-"),"",VLOOKUP(D49,'Fatores de Emissão'!$C$82:$J$97,6,FALSE))</f>
        <v/>
      </c>
      <c r="I49" s="439" t="str">
        <f>IF(OR(D49="",D49="-"),"",VLOOKUP(D49,'Fatores de Emissão'!$C$82:$J$97,7,FALSE))</f>
        <v/>
      </c>
      <c r="J49" s="439" t="str">
        <f>IF(OR(D49="",D49="-"),"",VLOOKUP(D49,'Fatores de Emissão'!$C$82:$J$97,8,FALSE))</f>
        <v/>
      </c>
      <c r="K49" s="439" t="str">
        <f t="shared" si="1"/>
        <v/>
      </c>
      <c r="L49" s="439" t="str">
        <f t="shared" si="2"/>
        <v/>
      </c>
      <c r="M49" s="439" t="str">
        <f t="shared" si="3"/>
        <v/>
      </c>
      <c r="N49" s="441" t="str">
        <f t="shared" si="0"/>
        <v/>
      </c>
    </row>
    <row r="50" spans="1:14" s="237" customFormat="1" ht="15" customHeight="1" outlineLevel="1" x14ac:dyDescent="0.25">
      <c r="A50" s="363"/>
      <c r="B50" s="1145"/>
      <c r="C50" s="1145"/>
      <c r="D50" s="1268"/>
      <c r="E50" s="1268"/>
      <c r="F50" s="438"/>
      <c r="G50" s="1147" t="str">
        <f>IF(D50="","",VLOOKUP(D50,'Fatores de Emissão'!$C$82:$D$104,2,FALSE))</f>
        <v/>
      </c>
      <c r="H50" s="439" t="str">
        <f>IF(OR(D50="",D50="-"),"",VLOOKUP(D50,'Fatores de Emissão'!$C$82:$J$97,6,FALSE))</f>
        <v/>
      </c>
      <c r="I50" s="439" t="str">
        <f>IF(OR(D50="",D50="-"),"",VLOOKUP(D50,'Fatores de Emissão'!$C$82:$J$97,7,FALSE))</f>
        <v/>
      </c>
      <c r="J50" s="439" t="str">
        <f>IF(OR(D50="",D50="-"),"",VLOOKUP(D50,'Fatores de Emissão'!$C$82:$J$97,8,FALSE))</f>
        <v/>
      </c>
      <c r="K50" s="439" t="str">
        <f t="shared" si="1"/>
        <v/>
      </c>
      <c r="L50" s="439" t="str">
        <f t="shared" si="2"/>
        <v/>
      </c>
      <c r="M50" s="439" t="str">
        <f t="shared" si="3"/>
        <v/>
      </c>
      <c r="N50" s="441" t="str">
        <f t="shared" si="0"/>
        <v/>
      </c>
    </row>
    <row r="51" spans="1:14" s="237" customFormat="1" ht="15" customHeight="1" outlineLevel="1" x14ac:dyDescent="0.25">
      <c r="A51" s="363"/>
      <c r="B51" s="1145"/>
      <c r="C51" s="1145"/>
      <c r="D51" s="1268"/>
      <c r="E51" s="1268"/>
      <c r="F51" s="438"/>
      <c r="G51" s="1147" t="str">
        <f>IF(D51="","",VLOOKUP(D51,'Fatores de Emissão'!$C$82:$D$104,2,FALSE))</f>
        <v/>
      </c>
      <c r="H51" s="439" t="str">
        <f>IF(OR(D51="",D51="-"),"",VLOOKUP(D51,'Fatores de Emissão'!$C$82:$J$97,6,FALSE))</f>
        <v/>
      </c>
      <c r="I51" s="439" t="str">
        <f>IF(OR(D51="",D51="-"),"",VLOOKUP(D51,'Fatores de Emissão'!$C$82:$J$97,7,FALSE))</f>
        <v/>
      </c>
      <c r="J51" s="439" t="str">
        <f>IF(OR(D51="",D51="-"),"",VLOOKUP(D51,'Fatores de Emissão'!$C$82:$J$97,8,FALSE))</f>
        <v/>
      </c>
      <c r="K51" s="439" t="str">
        <f t="shared" si="1"/>
        <v/>
      </c>
      <c r="L51" s="439" t="str">
        <f t="shared" si="2"/>
        <v/>
      </c>
      <c r="M51" s="439" t="str">
        <f t="shared" si="3"/>
        <v/>
      </c>
      <c r="N51" s="441" t="str">
        <f t="shared" si="0"/>
        <v/>
      </c>
    </row>
    <row r="52" spans="1:14" s="237" customFormat="1" ht="15" customHeight="1" outlineLevel="2" x14ac:dyDescent="0.25">
      <c r="A52" s="363"/>
      <c r="B52" s="1145"/>
      <c r="C52" s="1145"/>
      <c r="D52" s="1268"/>
      <c r="E52" s="1268"/>
      <c r="F52" s="437"/>
      <c r="G52" s="1147" t="str">
        <f>IF(D52="","",VLOOKUP(D52,'Fatores de Emissão'!$C$82:$D$104,2,FALSE))</f>
        <v/>
      </c>
      <c r="H52" s="439" t="str">
        <f>IF(OR(D52="",D52="-"),"",VLOOKUP(D52,'Fatores de Emissão'!$C$82:$J$97,6,FALSE))</f>
        <v/>
      </c>
      <c r="I52" s="439" t="str">
        <f>IF(OR(D52="",D52="-"),"",VLOOKUP(D52,'Fatores de Emissão'!$C$82:$J$97,7,FALSE))</f>
        <v/>
      </c>
      <c r="J52" s="439" t="str">
        <f>IF(OR(D52="",D52="-"),"",VLOOKUP(D52,'Fatores de Emissão'!$C$82:$J$97,8,FALSE))</f>
        <v/>
      </c>
      <c r="K52" s="439" t="str">
        <f t="shared" si="1"/>
        <v/>
      </c>
      <c r="L52" s="439" t="str">
        <f t="shared" si="2"/>
        <v/>
      </c>
      <c r="M52" s="439" t="str">
        <f t="shared" si="3"/>
        <v/>
      </c>
      <c r="N52" s="441" t="str">
        <f t="shared" si="0"/>
        <v/>
      </c>
    </row>
    <row r="53" spans="1:14" s="237" customFormat="1" ht="15" customHeight="1" outlineLevel="2" x14ac:dyDescent="0.25">
      <c r="A53" s="363"/>
      <c r="B53" s="1145"/>
      <c r="C53" s="1145"/>
      <c r="D53" s="1268"/>
      <c r="E53" s="1268"/>
      <c r="F53" s="437"/>
      <c r="G53" s="1147" t="str">
        <f>IF(D53="","",VLOOKUP(D53,'Fatores de Emissão'!$C$82:$D$104,2,FALSE))</f>
        <v/>
      </c>
      <c r="H53" s="439" t="str">
        <f>IF(OR(D53="",D53="-"),"",VLOOKUP(D53,'Fatores de Emissão'!$C$82:$J$97,6,FALSE))</f>
        <v/>
      </c>
      <c r="I53" s="439" t="str">
        <f>IF(OR(D53="",D53="-"),"",VLOOKUP(D53,'Fatores de Emissão'!$C$82:$J$97,7,FALSE))</f>
        <v/>
      </c>
      <c r="J53" s="439" t="str">
        <f>IF(OR(D53="",D53="-"),"",VLOOKUP(D53,'Fatores de Emissão'!$C$82:$J$97,8,FALSE))</f>
        <v/>
      </c>
      <c r="K53" s="439" t="str">
        <f t="shared" si="1"/>
        <v/>
      </c>
      <c r="L53" s="439" t="str">
        <f t="shared" si="2"/>
        <v/>
      </c>
      <c r="M53" s="439" t="str">
        <f t="shared" si="3"/>
        <v/>
      </c>
      <c r="N53" s="441" t="str">
        <f t="shared" si="0"/>
        <v/>
      </c>
    </row>
    <row r="54" spans="1:14" s="237" customFormat="1" ht="15" customHeight="1" outlineLevel="2" x14ac:dyDescent="0.25">
      <c r="A54" s="363"/>
      <c r="B54" s="1145"/>
      <c r="C54" s="1145"/>
      <c r="D54" s="1268"/>
      <c r="E54" s="1268"/>
      <c r="F54" s="437"/>
      <c r="G54" s="1147" t="str">
        <f>IF(D54="","",VLOOKUP(D54,'Fatores de Emissão'!$C$82:$D$104,2,FALSE))</f>
        <v/>
      </c>
      <c r="H54" s="439" t="str">
        <f>IF(OR(D54="",D54="-"),"",VLOOKUP(D54,'Fatores de Emissão'!$C$82:$J$97,6,FALSE))</f>
        <v/>
      </c>
      <c r="I54" s="439" t="str">
        <f>IF(OR(D54="",D54="-"),"",VLOOKUP(D54,'Fatores de Emissão'!$C$82:$J$97,7,FALSE))</f>
        <v/>
      </c>
      <c r="J54" s="439" t="str">
        <f>IF(OR(D54="",D54="-"),"",VLOOKUP(D54,'Fatores de Emissão'!$C$82:$J$97,8,FALSE))</f>
        <v/>
      </c>
      <c r="K54" s="439" t="str">
        <f t="shared" si="1"/>
        <v/>
      </c>
      <c r="L54" s="439" t="str">
        <f t="shared" si="2"/>
        <v/>
      </c>
      <c r="M54" s="439" t="str">
        <f t="shared" si="3"/>
        <v/>
      </c>
      <c r="N54" s="441" t="str">
        <f t="shared" si="0"/>
        <v/>
      </c>
    </row>
    <row r="55" spans="1:14" s="237" customFormat="1" ht="15" customHeight="1" outlineLevel="2" x14ac:dyDescent="0.25">
      <c r="A55" s="363"/>
      <c r="B55" s="1145"/>
      <c r="C55" s="1145"/>
      <c r="D55" s="1268"/>
      <c r="E55" s="1268"/>
      <c r="F55" s="437"/>
      <c r="G55" s="1147" t="str">
        <f>IF(D55="","",VLOOKUP(D55,'Fatores de Emissão'!$C$82:$D$104,2,FALSE))</f>
        <v/>
      </c>
      <c r="H55" s="439" t="str">
        <f>IF(OR(D55="",D55="-"),"",VLOOKUP(D55,'Fatores de Emissão'!$C$82:$J$97,6,FALSE))</f>
        <v/>
      </c>
      <c r="I55" s="439" t="str">
        <f>IF(OR(D55="",D55="-"),"",VLOOKUP(D55,'Fatores de Emissão'!$C$82:$J$97,7,FALSE))</f>
        <v/>
      </c>
      <c r="J55" s="439" t="str">
        <f>IF(OR(D55="",D55="-"),"",VLOOKUP(D55,'Fatores de Emissão'!$C$82:$J$97,8,FALSE))</f>
        <v/>
      </c>
      <c r="K55" s="439" t="str">
        <f t="shared" si="1"/>
        <v/>
      </c>
      <c r="L55" s="439" t="str">
        <f t="shared" si="2"/>
        <v/>
      </c>
      <c r="M55" s="439" t="str">
        <f t="shared" si="3"/>
        <v/>
      </c>
      <c r="N55" s="441" t="str">
        <f t="shared" si="0"/>
        <v/>
      </c>
    </row>
    <row r="56" spans="1:14" s="237" customFormat="1" ht="15" customHeight="1" outlineLevel="2" x14ac:dyDescent="0.25">
      <c r="A56" s="363"/>
      <c r="B56" s="1145"/>
      <c r="C56" s="1145"/>
      <c r="D56" s="1268"/>
      <c r="E56" s="1268"/>
      <c r="F56" s="437"/>
      <c r="G56" s="1147" t="str">
        <f>IF(D56="","",VLOOKUP(D56,'Fatores de Emissão'!$C$82:$D$104,2,FALSE))</f>
        <v/>
      </c>
      <c r="H56" s="439" t="str">
        <f>IF(OR(D56="",D56="-"),"",VLOOKUP(D56,'Fatores de Emissão'!$C$82:$J$97,6,FALSE))</f>
        <v/>
      </c>
      <c r="I56" s="439" t="str">
        <f>IF(OR(D56="",D56="-"),"",VLOOKUP(D56,'Fatores de Emissão'!$C$82:$J$97,7,FALSE))</f>
        <v/>
      </c>
      <c r="J56" s="439" t="str">
        <f>IF(OR(D56="",D56="-"),"",VLOOKUP(D56,'Fatores de Emissão'!$C$82:$J$97,8,FALSE))</f>
        <v/>
      </c>
      <c r="K56" s="439" t="str">
        <f t="shared" si="1"/>
        <v/>
      </c>
      <c r="L56" s="439" t="str">
        <f t="shared" si="2"/>
        <v/>
      </c>
      <c r="M56" s="439" t="str">
        <f t="shared" si="3"/>
        <v/>
      </c>
      <c r="N56" s="441" t="str">
        <f t="shared" si="0"/>
        <v/>
      </c>
    </row>
    <row r="57" spans="1:14" s="237" customFormat="1" ht="15" customHeight="1" outlineLevel="2" x14ac:dyDescent="0.25">
      <c r="A57" s="363"/>
      <c r="B57" s="1145"/>
      <c r="C57" s="1145"/>
      <c r="D57" s="1268"/>
      <c r="E57" s="1268"/>
      <c r="F57" s="437"/>
      <c r="G57" s="1147" t="str">
        <f>IF(D57="","",VLOOKUP(D57,'Fatores de Emissão'!$C$82:$D$104,2,FALSE))</f>
        <v/>
      </c>
      <c r="H57" s="439" t="str">
        <f>IF(OR(D57="",D57="-"),"",VLOOKUP(D57,'Fatores de Emissão'!$C$82:$J$97,6,FALSE))</f>
        <v/>
      </c>
      <c r="I57" s="439" t="str">
        <f>IF(OR(D57="",D57="-"),"",VLOOKUP(D57,'Fatores de Emissão'!$C$82:$J$97,7,FALSE))</f>
        <v/>
      </c>
      <c r="J57" s="439" t="str">
        <f>IF(OR(D57="",D57="-"),"",VLOOKUP(D57,'Fatores de Emissão'!$C$82:$J$97,8,FALSE))</f>
        <v/>
      </c>
      <c r="K57" s="439" t="str">
        <f t="shared" si="1"/>
        <v/>
      </c>
      <c r="L57" s="439" t="str">
        <f t="shared" si="2"/>
        <v/>
      </c>
      <c r="M57" s="439" t="str">
        <f t="shared" si="3"/>
        <v/>
      </c>
      <c r="N57" s="441" t="str">
        <f t="shared" si="0"/>
        <v/>
      </c>
    </row>
    <row r="58" spans="1:14" s="237" customFormat="1" ht="15" customHeight="1" outlineLevel="2" x14ac:dyDescent="0.25">
      <c r="A58" s="363"/>
      <c r="B58" s="1145"/>
      <c r="C58" s="1145"/>
      <c r="D58" s="1268"/>
      <c r="E58" s="1268"/>
      <c r="F58" s="437"/>
      <c r="G58" s="1147" t="str">
        <f>IF(D58="","",VLOOKUP(D58,'Fatores de Emissão'!$C$82:$D$104,2,FALSE))</f>
        <v/>
      </c>
      <c r="H58" s="439" t="str">
        <f>IF(OR(D58="",D58="-"),"",VLOOKUP(D58,'Fatores de Emissão'!$C$82:$J$97,6,FALSE))</f>
        <v/>
      </c>
      <c r="I58" s="439" t="str">
        <f>IF(OR(D58="",D58="-"),"",VLOOKUP(D58,'Fatores de Emissão'!$C$82:$J$97,7,FALSE))</f>
        <v/>
      </c>
      <c r="J58" s="439" t="str">
        <f>IF(OR(D58="",D58="-"),"",VLOOKUP(D58,'Fatores de Emissão'!$C$82:$J$97,8,FALSE))</f>
        <v/>
      </c>
      <c r="K58" s="439" t="str">
        <f t="shared" si="1"/>
        <v/>
      </c>
      <c r="L58" s="439" t="str">
        <f t="shared" si="2"/>
        <v/>
      </c>
      <c r="M58" s="439" t="str">
        <f t="shared" si="3"/>
        <v/>
      </c>
      <c r="N58" s="441" t="str">
        <f t="shared" si="0"/>
        <v/>
      </c>
    </row>
    <row r="59" spans="1:14" s="237" customFormat="1" ht="15" customHeight="1" outlineLevel="2" x14ac:dyDescent="0.25">
      <c r="A59" s="363"/>
      <c r="B59" s="1145"/>
      <c r="C59" s="1145"/>
      <c r="D59" s="1268"/>
      <c r="E59" s="1268"/>
      <c r="F59" s="437"/>
      <c r="G59" s="1147" t="str">
        <f>IF(D59="","",VLOOKUP(D59,'Fatores de Emissão'!$C$82:$D$104,2,FALSE))</f>
        <v/>
      </c>
      <c r="H59" s="439" t="str">
        <f>IF(OR(D59="",D59="-"),"",VLOOKUP(D59,'Fatores de Emissão'!$C$82:$J$97,6,FALSE))</f>
        <v/>
      </c>
      <c r="I59" s="439" t="str">
        <f>IF(OR(D59="",D59="-"),"",VLOOKUP(D59,'Fatores de Emissão'!$C$82:$J$97,7,FALSE))</f>
        <v/>
      </c>
      <c r="J59" s="439" t="str">
        <f>IF(OR(D59="",D59="-"),"",VLOOKUP(D59,'Fatores de Emissão'!$C$82:$J$97,8,FALSE))</f>
        <v/>
      </c>
      <c r="K59" s="439" t="str">
        <f t="shared" si="1"/>
        <v/>
      </c>
      <c r="L59" s="439" t="str">
        <f t="shared" si="2"/>
        <v/>
      </c>
      <c r="M59" s="439" t="str">
        <f t="shared" si="3"/>
        <v/>
      </c>
      <c r="N59" s="441" t="str">
        <f t="shared" si="0"/>
        <v/>
      </c>
    </row>
    <row r="60" spans="1:14" s="237" customFormat="1" ht="15" customHeight="1" outlineLevel="2" x14ac:dyDescent="0.25">
      <c r="A60" s="363"/>
      <c r="B60" s="1145"/>
      <c r="C60" s="1145"/>
      <c r="D60" s="1268"/>
      <c r="E60" s="1268"/>
      <c r="F60" s="437"/>
      <c r="G60" s="1147" t="str">
        <f>IF(D60="","",VLOOKUP(D60,'Fatores de Emissão'!$C$82:$D$104,2,FALSE))</f>
        <v/>
      </c>
      <c r="H60" s="439" t="str">
        <f>IF(OR(D60="",D60="-"),"",VLOOKUP(D60,'Fatores de Emissão'!$C$82:$J$97,6,FALSE))</f>
        <v/>
      </c>
      <c r="I60" s="439" t="str">
        <f>IF(OR(D60="",D60="-"),"",VLOOKUP(D60,'Fatores de Emissão'!$C$82:$J$97,7,FALSE))</f>
        <v/>
      </c>
      <c r="J60" s="439" t="str">
        <f>IF(OR(D60="",D60="-"),"",VLOOKUP(D60,'Fatores de Emissão'!$C$82:$J$97,8,FALSE))</f>
        <v/>
      </c>
      <c r="K60" s="439" t="str">
        <f t="shared" si="1"/>
        <v/>
      </c>
      <c r="L60" s="439" t="str">
        <f t="shared" si="2"/>
        <v/>
      </c>
      <c r="M60" s="439" t="str">
        <f t="shared" si="3"/>
        <v/>
      </c>
      <c r="N60" s="441" t="str">
        <f t="shared" si="0"/>
        <v/>
      </c>
    </row>
    <row r="61" spans="1:14" s="237" customFormat="1" ht="15" customHeight="1" outlineLevel="2" x14ac:dyDescent="0.25">
      <c r="A61" s="363"/>
      <c r="B61" s="1145"/>
      <c r="C61" s="1145"/>
      <c r="D61" s="1268"/>
      <c r="E61" s="1268"/>
      <c r="F61" s="437"/>
      <c r="G61" s="1147" t="str">
        <f>IF(D61="","",VLOOKUP(D61,'Fatores de Emissão'!$C$82:$D$104,2,FALSE))</f>
        <v/>
      </c>
      <c r="H61" s="439" t="str">
        <f>IF(OR(D61="",D61="-"),"",VLOOKUP(D61,'Fatores de Emissão'!$C$82:$J$97,6,FALSE))</f>
        <v/>
      </c>
      <c r="I61" s="439" t="str">
        <f>IF(OR(D61="",D61="-"),"",VLOOKUP(D61,'Fatores de Emissão'!$C$82:$J$97,7,FALSE))</f>
        <v/>
      </c>
      <c r="J61" s="439" t="str">
        <f>IF(OR(D61="",D61="-"),"",VLOOKUP(D61,'Fatores de Emissão'!$C$82:$J$97,8,FALSE))</f>
        <v/>
      </c>
      <c r="K61" s="439" t="str">
        <f t="shared" si="1"/>
        <v/>
      </c>
      <c r="L61" s="439" t="str">
        <f t="shared" si="2"/>
        <v/>
      </c>
      <c r="M61" s="439" t="str">
        <f t="shared" si="3"/>
        <v/>
      </c>
      <c r="N61" s="441" t="str">
        <f t="shared" si="0"/>
        <v/>
      </c>
    </row>
    <row r="62" spans="1:14" s="237" customFormat="1" ht="15" customHeight="1" outlineLevel="2" x14ac:dyDescent="0.25">
      <c r="A62" s="363"/>
      <c r="B62" s="1145"/>
      <c r="C62" s="1145"/>
      <c r="D62" s="1268"/>
      <c r="E62" s="1268"/>
      <c r="F62" s="437"/>
      <c r="G62" s="1147" t="str">
        <f>IF(D62="","",VLOOKUP(D62,'Fatores de Emissão'!$C$82:$D$104,2,FALSE))</f>
        <v/>
      </c>
      <c r="H62" s="439" t="str">
        <f>IF(OR(D62="",D62="-"),"",VLOOKUP(D62,'Fatores de Emissão'!$C$82:$J$97,6,FALSE))</f>
        <v/>
      </c>
      <c r="I62" s="439" t="str">
        <f>IF(OR(D62="",D62="-"),"",VLOOKUP(D62,'Fatores de Emissão'!$C$82:$J$97,7,FALSE))</f>
        <v/>
      </c>
      <c r="J62" s="439" t="str">
        <f>IF(OR(D62="",D62="-"),"",VLOOKUP(D62,'Fatores de Emissão'!$C$82:$J$97,8,FALSE))</f>
        <v/>
      </c>
      <c r="K62" s="439" t="str">
        <f t="shared" si="1"/>
        <v/>
      </c>
      <c r="L62" s="439" t="str">
        <f t="shared" si="2"/>
        <v/>
      </c>
      <c r="M62" s="439" t="str">
        <f t="shared" si="3"/>
        <v/>
      </c>
      <c r="N62" s="441" t="str">
        <f t="shared" si="0"/>
        <v/>
      </c>
    </row>
    <row r="63" spans="1:14" s="237" customFormat="1" ht="15" customHeight="1" outlineLevel="2" x14ac:dyDescent="0.25">
      <c r="A63" s="363"/>
      <c r="B63" s="1145"/>
      <c r="C63" s="1145"/>
      <c r="D63" s="1268"/>
      <c r="E63" s="1268"/>
      <c r="F63" s="437"/>
      <c r="G63" s="1147" t="str">
        <f>IF(D63="","",VLOOKUP(D63,'Fatores de Emissão'!$C$82:$D$104,2,FALSE))</f>
        <v/>
      </c>
      <c r="H63" s="439" t="str">
        <f>IF(OR(D63="",D63="-"),"",VLOOKUP(D63,'Fatores de Emissão'!$C$82:$J$97,6,FALSE))</f>
        <v/>
      </c>
      <c r="I63" s="439" t="str">
        <f>IF(OR(D63="",D63="-"),"",VLOOKUP(D63,'Fatores de Emissão'!$C$82:$J$97,7,FALSE))</f>
        <v/>
      </c>
      <c r="J63" s="439" t="str">
        <f>IF(OR(D63="",D63="-"),"",VLOOKUP(D63,'Fatores de Emissão'!$C$82:$J$97,8,FALSE))</f>
        <v/>
      </c>
      <c r="K63" s="439" t="str">
        <f t="shared" si="1"/>
        <v/>
      </c>
      <c r="L63" s="439" t="str">
        <f t="shared" si="2"/>
        <v/>
      </c>
      <c r="M63" s="439" t="str">
        <f t="shared" si="3"/>
        <v/>
      </c>
      <c r="N63" s="441" t="str">
        <f t="shared" si="0"/>
        <v/>
      </c>
    </row>
    <row r="64" spans="1:14" s="237" customFormat="1" ht="15" customHeight="1" outlineLevel="2" x14ac:dyDescent="0.25">
      <c r="A64" s="363"/>
      <c r="B64" s="1145"/>
      <c r="C64" s="1145"/>
      <c r="D64" s="1268"/>
      <c r="E64" s="1268"/>
      <c r="F64" s="437"/>
      <c r="G64" s="1147" t="str">
        <f>IF(D64="","",VLOOKUP(D64,'Fatores de Emissão'!$C$82:$D$104,2,FALSE))</f>
        <v/>
      </c>
      <c r="H64" s="439" t="str">
        <f>IF(OR(D64="",D64="-"),"",VLOOKUP(D64,'Fatores de Emissão'!$C$82:$J$97,6,FALSE))</f>
        <v/>
      </c>
      <c r="I64" s="439" t="str">
        <f>IF(OR(D64="",D64="-"),"",VLOOKUP(D64,'Fatores de Emissão'!$C$82:$J$97,7,FALSE))</f>
        <v/>
      </c>
      <c r="J64" s="439" t="str">
        <f>IF(OR(D64="",D64="-"),"",VLOOKUP(D64,'Fatores de Emissão'!$C$82:$J$97,8,FALSE))</f>
        <v/>
      </c>
      <c r="K64" s="439" t="str">
        <f t="shared" si="1"/>
        <v/>
      </c>
      <c r="L64" s="439" t="str">
        <f t="shared" si="2"/>
        <v/>
      </c>
      <c r="M64" s="439" t="str">
        <f t="shared" si="3"/>
        <v/>
      </c>
      <c r="N64" s="441" t="str">
        <f t="shared" si="0"/>
        <v/>
      </c>
    </row>
    <row r="65" spans="1:14" s="237" customFormat="1" ht="15" customHeight="1" outlineLevel="2" x14ac:dyDescent="0.25">
      <c r="A65" s="363"/>
      <c r="B65" s="1145"/>
      <c r="C65" s="1145"/>
      <c r="D65" s="1268"/>
      <c r="E65" s="1268"/>
      <c r="F65" s="437"/>
      <c r="G65" s="1147" t="str">
        <f>IF(D65="","",VLOOKUP(D65,'Fatores de Emissão'!$C$82:$D$104,2,FALSE))</f>
        <v/>
      </c>
      <c r="H65" s="439" t="str">
        <f>IF(OR(D65="",D65="-"),"",VLOOKUP(D65,'Fatores de Emissão'!$C$82:$J$97,6,FALSE))</f>
        <v/>
      </c>
      <c r="I65" s="439" t="str">
        <f>IF(OR(D65="",D65="-"),"",VLOOKUP(D65,'Fatores de Emissão'!$C$82:$J$97,7,FALSE))</f>
        <v/>
      </c>
      <c r="J65" s="439" t="str">
        <f>IF(OR(D65="",D65="-"),"",VLOOKUP(D65,'Fatores de Emissão'!$C$82:$J$97,8,FALSE))</f>
        <v/>
      </c>
      <c r="K65" s="439" t="str">
        <f t="shared" si="1"/>
        <v/>
      </c>
      <c r="L65" s="439" t="str">
        <f t="shared" si="2"/>
        <v/>
      </c>
      <c r="M65" s="439" t="str">
        <f t="shared" si="3"/>
        <v/>
      </c>
      <c r="N65" s="441" t="str">
        <f t="shared" si="0"/>
        <v/>
      </c>
    </row>
    <row r="66" spans="1:14" s="237" customFormat="1" ht="15" customHeight="1" outlineLevel="2" x14ac:dyDescent="0.25">
      <c r="A66" s="363"/>
      <c r="B66" s="1145"/>
      <c r="C66" s="1145"/>
      <c r="D66" s="1268"/>
      <c r="E66" s="1268"/>
      <c r="F66" s="437"/>
      <c r="G66" s="1147" t="str">
        <f>IF(D66="","",VLOOKUP(D66,'Fatores de Emissão'!$C$82:$D$104,2,FALSE))</f>
        <v/>
      </c>
      <c r="H66" s="439" t="str">
        <f>IF(OR(D66="",D66="-"),"",VLOOKUP(D66,'Fatores de Emissão'!$C$82:$J$97,6,FALSE))</f>
        <v/>
      </c>
      <c r="I66" s="439" t="str">
        <f>IF(OR(D66="",D66="-"),"",VLOOKUP(D66,'Fatores de Emissão'!$C$82:$J$97,7,FALSE))</f>
        <v/>
      </c>
      <c r="J66" s="439" t="str">
        <f>IF(OR(D66="",D66="-"),"",VLOOKUP(D66,'Fatores de Emissão'!$C$82:$J$97,8,FALSE))</f>
        <v/>
      </c>
      <c r="K66" s="439" t="str">
        <f t="shared" si="1"/>
        <v/>
      </c>
      <c r="L66" s="439" t="str">
        <f t="shared" si="2"/>
        <v/>
      </c>
      <c r="M66" s="439" t="str">
        <f t="shared" si="3"/>
        <v/>
      </c>
      <c r="N66" s="441" t="str">
        <f t="shared" si="0"/>
        <v/>
      </c>
    </row>
    <row r="67" spans="1:14" s="237" customFormat="1" ht="15" customHeight="1" outlineLevel="2" x14ac:dyDescent="0.25">
      <c r="A67" s="363"/>
      <c r="B67" s="1145"/>
      <c r="C67" s="1145"/>
      <c r="D67" s="1268"/>
      <c r="E67" s="1268"/>
      <c r="F67" s="437"/>
      <c r="G67" s="1147" t="str">
        <f>IF(D67="","",VLOOKUP(D67,'Fatores de Emissão'!$C$82:$D$104,2,FALSE))</f>
        <v/>
      </c>
      <c r="H67" s="439" t="str">
        <f>IF(OR(D67="",D67="-"),"",VLOOKUP(D67,'Fatores de Emissão'!$C$82:$J$97,6,FALSE))</f>
        <v/>
      </c>
      <c r="I67" s="439" t="str">
        <f>IF(OR(D67="",D67="-"),"",VLOOKUP(D67,'Fatores de Emissão'!$C$82:$J$97,7,FALSE))</f>
        <v/>
      </c>
      <c r="J67" s="439" t="str">
        <f>IF(OR(D67="",D67="-"),"",VLOOKUP(D67,'Fatores de Emissão'!$C$82:$J$97,8,FALSE))</f>
        <v/>
      </c>
      <c r="K67" s="439" t="str">
        <f t="shared" si="1"/>
        <v/>
      </c>
      <c r="L67" s="439" t="str">
        <f t="shared" si="2"/>
        <v/>
      </c>
      <c r="M67" s="439" t="str">
        <f t="shared" si="3"/>
        <v/>
      </c>
      <c r="N67" s="441" t="str">
        <f t="shared" si="0"/>
        <v/>
      </c>
    </row>
    <row r="68" spans="1:14" s="237" customFormat="1" ht="15" customHeight="1" outlineLevel="2" x14ac:dyDescent="0.25">
      <c r="A68" s="363"/>
      <c r="B68" s="1145"/>
      <c r="C68" s="1145"/>
      <c r="D68" s="1268"/>
      <c r="E68" s="1268"/>
      <c r="F68" s="437"/>
      <c r="G68" s="1147" t="str">
        <f>IF(D68="","",VLOOKUP(D68,'Fatores de Emissão'!$C$82:$D$104,2,FALSE))</f>
        <v/>
      </c>
      <c r="H68" s="439" t="str">
        <f>IF(OR(D68="",D68="-"),"",VLOOKUP(D68,'Fatores de Emissão'!$C$82:$J$97,6,FALSE))</f>
        <v/>
      </c>
      <c r="I68" s="439" t="str">
        <f>IF(OR(D68="",D68="-"),"",VLOOKUP(D68,'Fatores de Emissão'!$C$82:$J$97,7,FALSE))</f>
        <v/>
      </c>
      <c r="J68" s="439" t="str">
        <f>IF(OR(D68="",D68="-"),"",VLOOKUP(D68,'Fatores de Emissão'!$C$82:$J$97,8,FALSE))</f>
        <v/>
      </c>
      <c r="K68" s="439" t="str">
        <f t="shared" si="1"/>
        <v/>
      </c>
      <c r="L68" s="439" t="str">
        <f t="shared" si="2"/>
        <v/>
      </c>
      <c r="M68" s="439" t="str">
        <f t="shared" si="3"/>
        <v/>
      </c>
      <c r="N68" s="441" t="str">
        <f t="shared" si="0"/>
        <v/>
      </c>
    </row>
    <row r="69" spans="1:14" s="237" customFormat="1" ht="15" customHeight="1" outlineLevel="2" x14ac:dyDescent="0.25">
      <c r="A69" s="363"/>
      <c r="B69" s="1145"/>
      <c r="C69" s="1145"/>
      <c r="D69" s="1268"/>
      <c r="E69" s="1268"/>
      <c r="F69" s="437"/>
      <c r="G69" s="1147" t="str">
        <f>IF(D69="","",VLOOKUP(D69,'Fatores de Emissão'!$C$82:$D$104,2,FALSE))</f>
        <v/>
      </c>
      <c r="H69" s="439" t="str">
        <f>IF(OR(D69="",D69="-"),"",VLOOKUP(D69,'Fatores de Emissão'!$C$82:$J$97,6,FALSE))</f>
        <v/>
      </c>
      <c r="I69" s="439" t="str">
        <f>IF(OR(D69="",D69="-"),"",VLOOKUP(D69,'Fatores de Emissão'!$C$82:$J$97,7,FALSE))</f>
        <v/>
      </c>
      <c r="J69" s="439" t="str">
        <f>IF(OR(D69="",D69="-"),"",VLOOKUP(D69,'Fatores de Emissão'!$C$82:$J$97,8,FALSE))</f>
        <v/>
      </c>
      <c r="K69" s="439" t="str">
        <f t="shared" si="1"/>
        <v/>
      </c>
      <c r="L69" s="439" t="str">
        <f t="shared" si="2"/>
        <v/>
      </c>
      <c r="M69" s="439" t="str">
        <f t="shared" si="3"/>
        <v/>
      </c>
      <c r="N69" s="441" t="str">
        <f t="shared" si="0"/>
        <v/>
      </c>
    </row>
    <row r="70" spans="1:14" s="237" customFormat="1" ht="15" customHeight="1" outlineLevel="2" x14ac:dyDescent="0.25">
      <c r="A70" s="363"/>
      <c r="B70" s="1145"/>
      <c r="C70" s="1145"/>
      <c r="D70" s="1268"/>
      <c r="E70" s="1268"/>
      <c r="F70" s="437"/>
      <c r="G70" s="1147" t="str">
        <f>IF(D70="","",VLOOKUP(D70,'Fatores de Emissão'!$C$82:$D$104,2,FALSE))</f>
        <v/>
      </c>
      <c r="H70" s="439" t="str">
        <f>IF(OR(D70="",D70="-"),"",VLOOKUP(D70,'Fatores de Emissão'!$C$82:$J$97,6,FALSE))</f>
        <v/>
      </c>
      <c r="I70" s="439" t="str">
        <f>IF(OR(D70="",D70="-"),"",VLOOKUP(D70,'Fatores de Emissão'!$C$82:$J$97,7,FALSE))</f>
        <v/>
      </c>
      <c r="J70" s="439" t="str">
        <f>IF(OR(D70="",D70="-"),"",VLOOKUP(D70,'Fatores de Emissão'!$C$82:$J$97,8,FALSE))</f>
        <v/>
      </c>
      <c r="K70" s="439" t="str">
        <f t="shared" si="1"/>
        <v/>
      </c>
      <c r="L70" s="439" t="str">
        <f t="shared" si="2"/>
        <v/>
      </c>
      <c r="M70" s="439" t="str">
        <f t="shared" si="3"/>
        <v/>
      </c>
      <c r="N70" s="441" t="str">
        <f t="shared" si="0"/>
        <v/>
      </c>
    </row>
    <row r="71" spans="1:14" s="237" customFormat="1" ht="15" customHeight="1" outlineLevel="2" x14ac:dyDescent="0.25">
      <c r="A71" s="363"/>
      <c r="B71" s="1145"/>
      <c r="C71" s="1145"/>
      <c r="D71" s="1268"/>
      <c r="E71" s="1268"/>
      <c r="F71" s="437"/>
      <c r="G71" s="1147" t="str">
        <f>IF(D71="","",VLOOKUP(D71,'Fatores de Emissão'!$C$82:$D$104,2,FALSE))</f>
        <v/>
      </c>
      <c r="H71" s="439" t="str">
        <f>IF(OR(D71="",D71="-"),"",VLOOKUP(D71,'Fatores de Emissão'!$C$82:$J$97,6,FALSE))</f>
        <v/>
      </c>
      <c r="I71" s="439" t="str">
        <f>IF(OR(D71="",D71="-"),"",VLOOKUP(D71,'Fatores de Emissão'!$C$82:$J$97,7,FALSE))</f>
        <v/>
      </c>
      <c r="J71" s="439" t="str">
        <f>IF(OR(D71="",D71="-"),"",VLOOKUP(D71,'Fatores de Emissão'!$C$82:$J$97,8,FALSE))</f>
        <v/>
      </c>
      <c r="K71" s="439" t="str">
        <f t="shared" si="1"/>
        <v/>
      </c>
      <c r="L71" s="439" t="str">
        <f t="shared" si="2"/>
        <v/>
      </c>
      <c r="M71" s="439" t="str">
        <f t="shared" si="3"/>
        <v/>
      </c>
      <c r="N71" s="441" t="str">
        <f t="shared" si="0"/>
        <v/>
      </c>
    </row>
    <row r="72" spans="1:14" s="237" customFormat="1" ht="15" customHeight="1" outlineLevel="2" x14ac:dyDescent="0.25">
      <c r="A72" s="363"/>
      <c r="B72" s="1145"/>
      <c r="C72" s="1145"/>
      <c r="D72" s="1268"/>
      <c r="E72" s="1268"/>
      <c r="F72" s="437"/>
      <c r="G72" s="1147" t="str">
        <f>IF(D72="","",VLOOKUP(D72,'Fatores de Emissão'!$C$82:$D$104,2,FALSE))</f>
        <v/>
      </c>
      <c r="H72" s="439" t="str">
        <f>IF(OR(D72="",D72="-"),"",VLOOKUP(D72,'Fatores de Emissão'!$C$82:$J$97,6,FALSE))</f>
        <v/>
      </c>
      <c r="I72" s="439" t="str">
        <f>IF(OR(D72="",D72="-"),"",VLOOKUP(D72,'Fatores de Emissão'!$C$82:$J$97,7,FALSE))</f>
        <v/>
      </c>
      <c r="J72" s="439" t="str">
        <f>IF(OR(D72="",D72="-"),"",VLOOKUP(D72,'Fatores de Emissão'!$C$82:$J$97,8,FALSE))</f>
        <v/>
      </c>
      <c r="K72" s="439" t="str">
        <f t="shared" si="1"/>
        <v/>
      </c>
      <c r="L72" s="439" t="str">
        <f t="shared" si="2"/>
        <v/>
      </c>
      <c r="M72" s="439" t="str">
        <f t="shared" si="3"/>
        <v/>
      </c>
      <c r="N72" s="441" t="str">
        <f t="shared" si="0"/>
        <v/>
      </c>
    </row>
    <row r="73" spans="1:14" s="237" customFormat="1" ht="15" customHeight="1" outlineLevel="2" x14ac:dyDescent="0.25">
      <c r="A73" s="363"/>
      <c r="B73" s="1145"/>
      <c r="C73" s="1145"/>
      <c r="D73" s="1268"/>
      <c r="E73" s="1268"/>
      <c r="F73" s="437"/>
      <c r="G73" s="1147" t="str">
        <f>IF(D73="","",VLOOKUP(D73,'Fatores de Emissão'!$C$82:$D$104,2,FALSE))</f>
        <v/>
      </c>
      <c r="H73" s="439" t="str">
        <f>IF(OR(D73="",D73="-"),"",VLOOKUP(D73,'Fatores de Emissão'!$C$82:$J$97,6,FALSE))</f>
        <v/>
      </c>
      <c r="I73" s="439" t="str">
        <f>IF(OR(D73="",D73="-"),"",VLOOKUP(D73,'Fatores de Emissão'!$C$82:$J$97,7,FALSE))</f>
        <v/>
      </c>
      <c r="J73" s="439" t="str">
        <f>IF(OR(D73="",D73="-"),"",VLOOKUP(D73,'Fatores de Emissão'!$C$82:$J$97,8,FALSE))</f>
        <v/>
      </c>
      <c r="K73" s="439" t="str">
        <f t="shared" si="1"/>
        <v/>
      </c>
      <c r="L73" s="439" t="str">
        <f t="shared" si="2"/>
        <v/>
      </c>
      <c r="M73" s="439" t="str">
        <f t="shared" si="3"/>
        <v/>
      </c>
      <c r="N73" s="441" t="str">
        <f t="shared" si="0"/>
        <v/>
      </c>
    </row>
    <row r="74" spans="1:14" s="237" customFormat="1" ht="15" customHeight="1" outlineLevel="2" x14ac:dyDescent="0.25">
      <c r="A74" s="363"/>
      <c r="B74" s="1145"/>
      <c r="C74" s="1145"/>
      <c r="D74" s="1268"/>
      <c r="E74" s="1268"/>
      <c r="F74" s="437"/>
      <c r="G74" s="1147" t="str">
        <f>IF(D74="","",VLOOKUP(D74,'Fatores de Emissão'!$C$82:$D$104,2,FALSE))</f>
        <v/>
      </c>
      <c r="H74" s="439" t="str">
        <f>IF(OR(D74="",D74="-"),"",VLOOKUP(D74,'Fatores de Emissão'!$C$82:$J$97,6,FALSE))</f>
        <v/>
      </c>
      <c r="I74" s="439" t="str">
        <f>IF(OR(D74="",D74="-"),"",VLOOKUP(D74,'Fatores de Emissão'!$C$82:$J$97,7,FALSE))</f>
        <v/>
      </c>
      <c r="J74" s="439" t="str">
        <f>IF(OR(D74="",D74="-"),"",VLOOKUP(D74,'Fatores de Emissão'!$C$82:$J$97,8,FALSE))</f>
        <v/>
      </c>
      <c r="K74" s="439" t="str">
        <f t="shared" si="1"/>
        <v/>
      </c>
      <c r="L74" s="439" t="str">
        <f t="shared" si="2"/>
        <v/>
      </c>
      <c r="M74" s="439" t="str">
        <f t="shared" si="3"/>
        <v/>
      </c>
      <c r="N74" s="441" t="str">
        <f t="shared" si="0"/>
        <v/>
      </c>
    </row>
    <row r="75" spans="1:14" s="237" customFormat="1" ht="15" customHeight="1" outlineLevel="2" x14ac:dyDescent="0.25">
      <c r="A75" s="363"/>
      <c r="B75" s="1145"/>
      <c r="C75" s="1145"/>
      <c r="D75" s="1268"/>
      <c r="E75" s="1268"/>
      <c r="F75" s="437"/>
      <c r="G75" s="1147" t="str">
        <f>IF(D75="","",VLOOKUP(D75,'Fatores de Emissão'!$C$82:$D$104,2,FALSE))</f>
        <v/>
      </c>
      <c r="H75" s="439" t="str">
        <f>IF(OR(D75="",D75="-"),"",VLOOKUP(D75,'Fatores de Emissão'!$C$82:$J$97,6,FALSE))</f>
        <v/>
      </c>
      <c r="I75" s="439" t="str">
        <f>IF(OR(D75="",D75="-"),"",VLOOKUP(D75,'Fatores de Emissão'!$C$82:$J$97,7,FALSE))</f>
        <v/>
      </c>
      <c r="J75" s="439" t="str">
        <f>IF(OR(D75="",D75="-"),"",VLOOKUP(D75,'Fatores de Emissão'!$C$82:$J$97,8,FALSE))</f>
        <v/>
      </c>
      <c r="K75" s="439" t="str">
        <f t="shared" si="1"/>
        <v/>
      </c>
      <c r="L75" s="439" t="str">
        <f t="shared" si="2"/>
        <v/>
      </c>
      <c r="M75" s="439" t="str">
        <f t="shared" si="3"/>
        <v/>
      </c>
      <c r="N75" s="441" t="str">
        <f t="shared" si="0"/>
        <v/>
      </c>
    </row>
    <row r="76" spans="1:14" s="237" customFormat="1" ht="15" customHeight="1" outlineLevel="2" x14ac:dyDescent="0.25">
      <c r="A76" s="363"/>
      <c r="B76" s="1145"/>
      <c r="C76" s="1145"/>
      <c r="D76" s="1268"/>
      <c r="E76" s="1268"/>
      <c r="F76" s="437"/>
      <c r="G76" s="1147" t="str">
        <f>IF(D76="","",VLOOKUP(D76,'Fatores de Emissão'!$C$82:$D$104,2,FALSE))</f>
        <v/>
      </c>
      <c r="H76" s="439" t="str">
        <f>IF(OR(D76="",D76="-"),"",VLOOKUP(D76,'Fatores de Emissão'!$C$82:$J$97,6,FALSE))</f>
        <v/>
      </c>
      <c r="I76" s="439" t="str">
        <f>IF(OR(D76="",D76="-"),"",VLOOKUP(D76,'Fatores de Emissão'!$C$82:$J$97,7,FALSE))</f>
        <v/>
      </c>
      <c r="J76" s="439" t="str">
        <f>IF(OR(D76="",D76="-"),"",VLOOKUP(D76,'Fatores de Emissão'!$C$82:$J$97,8,FALSE))</f>
        <v/>
      </c>
      <c r="K76" s="439" t="str">
        <f t="shared" si="1"/>
        <v/>
      </c>
      <c r="L76" s="439" t="str">
        <f t="shared" si="2"/>
        <v/>
      </c>
      <c r="M76" s="439" t="str">
        <f t="shared" si="3"/>
        <v/>
      </c>
      <c r="N76" s="441" t="str">
        <f t="shared" si="0"/>
        <v/>
      </c>
    </row>
    <row r="77" spans="1:14" s="237" customFormat="1" ht="15" customHeight="1" outlineLevel="2" x14ac:dyDescent="0.25">
      <c r="A77" s="363"/>
      <c r="B77" s="1145"/>
      <c r="C77" s="1145"/>
      <c r="D77" s="1268"/>
      <c r="E77" s="1268"/>
      <c r="F77" s="437"/>
      <c r="G77" s="1147" t="str">
        <f>IF(D77="","",VLOOKUP(D77,'Fatores de Emissão'!$C$82:$D$104,2,FALSE))</f>
        <v/>
      </c>
      <c r="H77" s="439" t="str">
        <f>IF(OR(D77="",D77="-"),"",VLOOKUP(D77,'Fatores de Emissão'!$C$82:$J$97,6,FALSE))</f>
        <v/>
      </c>
      <c r="I77" s="439" t="str">
        <f>IF(OR(D77="",D77="-"),"",VLOOKUP(D77,'Fatores de Emissão'!$C$82:$J$97,7,FALSE))</f>
        <v/>
      </c>
      <c r="J77" s="439" t="str">
        <f>IF(OR(D77="",D77="-"),"",VLOOKUP(D77,'Fatores de Emissão'!$C$82:$J$97,8,FALSE))</f>
        <v/>
      </c>
      <c r="K77" s="439" t="str">
        <f t="shared" si="1"/>
        <v/>
      </c>
      <c r="L77" s="439" t="str">
        <f t="shared" si="2"/>
        <v/>
      </c>
      <c r="M77" s="439" t="str">
        <f t="shared" si="3"/>
        <v/>
      </c>
      <c r="N77" s="441" t="str">
        <f t="shared" si="0"/>
        <v/>
      </c>
    </row>
    <row r="78" spans="1:14" s="237" customFormat="1" ht="15" customHeight="1" outlineLevel="2" x14ac:dyDescent="0.25">
      <c r="A78" s="363"/>
      <c r="B78" s="1145"/>
      <c r="C78" s="1145"/>
      <c r="D78" s="1268"/>
      <c r="E78" s="1268"/>
      <c r="F78" s="437"/>
      <c r="G78" s="1147" t="str">
        <f>IF(D78="","",VLOOKUP(D78,'Fatores de Emissão'!$C$82:$D$104,2,FALSE))</f>
        <v/>
      </c>
      <c r="H78" s="439" t="str">
        <f>IF(OR(D78="",D78="-"),"",VLOOKUP(D78,'Fatores de Emissão'!$C$82:$J$97,6,FALSE))</f>
        <v/>
      </c>
      <c r="I78" s="439" t="str">
        <f>IF(OR(D78="",D78="-"),"",VLOOKUP(D78,'Fatores de Emissão'!$C$82:$J$97,7,FALSE))</f>
        <v/>
      </c>
      <c r="J78" s="439" t="str">
        <f>IF(OR(D78="",D78="-"),"",VLOOKUP(D78,'Fatores de Emissão'!$C$82:$J$97,8,FALSE))</f>
        <v/>
      </c>
      <c r="K78" s="439" t="str">
        <f t="shared" si="1"/>
        <v/>
      </c>
      <c r="L78" s="439" t="str">
        <f t="shared" si="2"/>
        <v/>
      </c>
      <c r="M78" s="439" t="str">
        <f t="shared" si="3"/>
        <v/>
      </c>
      <c r="N78" s="441" t="str">
        <f t="shared" si="0"/>
        <v/>
      </c>
    </row>
    <row r="79" spans="1:14" s="237" customFormat="1" ht="15" customHeight="1" outlineLevel="2" x14ac:dyDescent="0.25">
      <c r="A79" s="363"/>
      <c r="B79" s="1145"/>
      <c r="C79" s="1145"/>
      <c r="D79" s="1268"/>
      <c r="E79" s="1268"/>
      <c r="F79" s="437"/>
      <c r="G79" s="1147" t="str">
        <f>IF(D79="","",VLOOKUP(D79,'Fatores de Emissão'!$C$82:$D$104,2,FALSE))</f>
        <v/>
      </c>
      <c r="H79" s="439" t="str">
        <f>IF(OR(D79="",D79="-"),"",VLOOKUP(D79,'Fatores de Emissão'!$C$82:$J$97,6,FALSE))</f>
        <v/>
      </c>
      <c r="I79" s="439" t="str">
        <f>IF(OR(D79="",D79="-"),"",VLOOKUP(D79,'Fatores de Emissão'!$C$82:$J$97,7,FALSE))</f>
        <v/>
      </c>
      <c r="J79" s="439" t="str">
        <f>IF(OR(D79="",D79="-"),"",VLOOKUP(D79,'Fatores de Emissão'!$C$82:$J$97,8,FALSE))</f>
        <v/>
      </c>
      <c r="K79" s="439" t="str">
        <f t="shared" si="1"/>
        <v/>
      </c>
      <c r="L79" s="439" t="str">
        <f t="shared" si="2"/>
        <v/>
      </c>
      <c r="M79" s="439" t="str">
        <f t="shared" si="3"/>
        <v/>
      </c>
      <c r="N79" s="441" t="str">
        <f t="shared" si="0"/>
        <v/>
      </c>
    </row>
    <row r="80" spans="1:14" s="237" customFormat="1" ht="15" customHeight="1" outlineLevel="2" x14ac:dyDescent="0.25">
      <c r="A80" s="363"/>
      <c r="B80" s="1145"/>
      <c r="C80" s="1145"/>
      <c r="D80" s="1268"/>
      <c r="E80" s="1268"/>
      <c r="F80" s="437"/>
      <c r="G80" s="1147" t="str">
        <f>IF(D80="","",VLOOKUP(D80,'Fatores de Emissão'!$C$82:$D$104,2,FALSE))</f>
        <v/>
      </c>
      <c r="H80" s="439" t="str">
        <f>IF(OR(D80="",D80="-"),"",VLOOKUP(D80,'Fatores de Emissão'!$C$82:$J$97,6,FALSE))</f>
        <v/>
      </c>
      <c r="I80" s="439" t="str">
        <f>IF(OR(D80="",D80="-"),"",VLOOKUP(D80,'Fatores de Emissão'!$C$82:$J$97,7,FALSE))</f>
        <v/>
      </c>
      <c r="J80" s="439" t="str">
        <f>IF(OR(D80="",D80="-"),"",VLOOKUP(D80,'Fatores de Emissão'!$C$82:$J$97,8,FALSE))</f>
        <v/>
      </c>
      <c r="K80" s="439" t="str">
        <f t="shared" si="1"/>
        <v/>
      </c>
      <c r="L80" s="439" t="str">
        <f t="shared" si="2"/>
        <v/>
      </c>
      <c r="M80" s="439" t="str">
        <f t="shared" si="3"/>
        <v/>
      </c>
      <c r="N80" s="441" t="str">
        <f t="shared" si="0"/>
        <v/>
      </c>
    </row>
    <row r="81" spans="1:28" s="237" customFormat="1" ht="15" customHeight="1" outlineLevel="2" x14ac:dyDescent="0.25">
      <c r="A81" s="363"/>
      <c r="B81" s="1145"/>
      <c r="C81" s="1145"/>
      <c r="D81" s="1268"/>
      <c r="E81" s="1268"/>
      <c r="F81" s="437"/>
      <c r="G81" s="1147" t="str">
        <f>IF(D81="","",VLOOKUP(D81,'Fatores de Emissão'!$C$82:$D$104,2,FALSE))</f>
        <v/>
      </c>
      <c r="H81" s="439" t="str">
        <f>IF(OR(D81="",D81="-"),"",VLOOKUP(D81,'Fatores de Emissão'!$C$82:$J$97,6,FALSE))</f>
        <v/>
      </c>
      <c r="I81" s="439" t="str">
        <f>IF(OR(D81="",D81="-"),"",VLOOKUP(D81,'Fatores de Emissão'!$C$82:$J$97,7,FALSE))</f>
        <v/>
      </c>
      <c r="J81" s="439" t="str">
        <f>IF(OR(D81="",D81="-"),"",VLOOKUP(D81,'Fatores de Emissão'!$C$82:$J$97,8,FALSE))</f>
        <v/>
      </c>
      <c r="K81" s="439" t="str">
        <f t="shared" si="1"/>
        <v/>
      </c>
      <c r="L81" s="439" t="str">
        <f t="shared" si="2"/>
        <v/>
      </c>
      <c r="M81" s="439" t="str">
        <f t="shared" si="3"/>
        <v/>
      </c>
      <c r="N81" s="441" t="str">
        <f t="shared" si="0"/>
        <v/>
      </c>
    </row>
    <row r="82" spans="1:28" s="237" customFormat="1" ht="15" customHeight="1" outlineLevel="2" x14ac:dyDescent="0.25">
      <c r="A82" s="363"/>
      <c r="B82" s="1145"/>
      <c r="C82" s="1145"/>
      <c r="D82" s="1268"/>
      <c r="E82" s="1268"/>
      <c r="F82" s="437"/>
      <c r="G82" s="1147" t="str">
        <f>IF(D82="","",VLOOKUP(D82,'Fatores de Emissão'!$C$82:$D$104,2,FALSE))</f>
        <v/>
      </c>
      <c r="H82" s="439" t="str">
        <f>IF(OR(D82="",D82="-"),"",VLOOKUP(D82,'Fatores de Emissão'!$C$82:$J$97,6,FALSE))</f>
        <v/>
      </c>
      <c r="I82" s="439" t="str">
        <f>IF(OR(D82="",D82="-"),"",VLOOKUP(D82,'Fatores de Emissão'!$C$82:$J$97,7,FALSE))</f>
        <v/>
      </c>
      <c r="J82" s="439" t="str">
        <f>IF(OR(D82="",D82="-"),"",VLOOKUP(D82,'Fatores de Emissão'!$C$82:$J$97,8,FALSE))</f>
        <v/>
      </c>
      <c r="K82" s="439" t="str">
        <f t="shared" si="1"/>
        <v/>
      </c>
      <c r="L82" s="439" t="str">
        <f t="shared" si="2"/>
        <v/>
      </c>
      <c r="M82" s="439" t="str">
        <f t="shared" si="3"/>
        <v/>
      </c>
      <c r="N82" s="441" t="str">
        <f t="shared" si="0"/>
        <v/>
      </c>
    </row>
    <row r="83" spans="1:28" s="237" customFormat="1" ht="15" customHeight="1" outlineLevel="2" x14ac:dyDescent="0.25">
      <c r="A83" s="363"/>
      <c r="B83" s="1145"/>
      <c r="C83" s="1145"/>
      <c r="D83" s="1268"/>
      <c r="E83" s="1268"/>
      <c r="F83" s="437"/>
      <c r="G83" s="1147" t="str">
        <f>IF(D83="","",VLOOKUP(D83,'Fatores de Emissão'!$C$82:$D$104,2,FALSE))</f>
        <v/>
      </c>
      <c r="H83" s="439" t="str">
        <f>IF(OR(D83="",D83="-"),"",VLOOKUP(D83,'Fatores de Emissão'!$C$82:$J$97,6,FALSE))</f>
        <v/>
      </c>
      <c r="I83" s="439" t="str">
        <f>IF(OR(D83="",D83="-"),"",VLOOKUP(D83,'Fatores de Emissão'!$C$82:$J$97,7,FALSE))</f>
        <v/>
      </c>
      <c r="J83" s="439" t="str">
        <f>IF(OR(D83="",D83="-"),"",VLOOKUP(D83,'Fatores de Emissão'!$C$82:$J$97,8,FALSE))</f>
        <v/>
      </c>
      <c r="K83" s="439" t="str">
        <f t="shared" si="1"/>
        <v/>
      </c>
      <c r="L83" s="439" t="str">
        <f t="shared" si="2"/>
        <v/>
      </c>
      <c r="M83" s="439" t="str">
        <f t="shared" si="3"/>
        <v/>
      </c>
      <c r="N83" s="441" t="str">
        <f t="shared" si="0"/>
        <v/>
      </c>
    </row>
    <row r="84" spans="1:28" s="237" customFormat="1" ht="15" customHeight="1" outlineLevel="2" x14ac:dyDescent="0.25">
      <c r="A84" s="363"/>
      <c r="B84" s="1145"/>
      <c r="C84" s="1145"/>
      <c r="D84" s="1268"/>
      <c r="E84" s="1268"/>
      <c r="F84" s="437"/>
      <c r="G84" s="1147" t="str">
        <f>IF(D84="","",VLOOKUP(D84,'Fatores de Emissão'!$C$82:$D$104,2,FALSE))</f>
        <v/>
      </c>
      <c r="H84" s="439" t="str">
        <f>IF(OR(D84="",D84="-"),"",VLOOKUP(D84,'Fatores de Emissão'!$C$82:$J$97,6,FALSE))</f>
        <v/>
      </c>
      <c r="I84" s="439" t="str">
        <f>IF(OR(D84="",D84="-"),"",VLOOKUP(D84,'Fatores de Emissão'!$C$82:$J$97,7,FALSE))</f>
        <v/>
      </c>
      <c r="J84" s="439" t="str">
        <f>IF(OR(D84="",D84="-"),"",VLOOKUP(D84,'Fatores de Emissão'!$C$82:$J$97,8,FALSE))</f>
        <v/>
      </c>
      <c r="K84" s="439" t="str">
        <f t="shared" si="1"/>
        <v/>
      </c>
      <c r="L84" s="439" t="str">
        <f t="shared" si="2"/>
        <v/>
      </c>
      <c r="M84" s="439" t="str">
        <f t="shared" si="3"/>
        <v/>
      </c>
      <c r="N84" s="441" t="str">
        <f t="shared" si="0"/>
        <v/>
      </c>
    </row>
    <row r="85" spans="1:28" s="237" customFormat="1" ht="15" customHeight="1" outlineLevel="2" x14ac:dyDescent="0.25">
      <c r="A85" s="363"/>
      <c r="B85" s="1145"/>
      <c r="C85" s="1145"/>
      <c r="D85" s="1268"/>
      <c r="E85" s="1268"/>
      <c r="F85" s="437"/>
      <c r="G85" s="1147" t="str">
        <f>IF(D85="","",VLOOKUP(D85,'Fatores de Emissão'!$C$82:$D$104,2,FALSE))</f>
        <v/>
      </c>
      <c r="H85" s="439" t="str">
        <f>IF(OR(D85="",D85="-"),"",VLOOKUP(D85,'Fatores de Emissão'!$C$82:$J$97,6,FALSE))</f>
        <v/>
      </c>
      <c r="I85" s="439" t="str">
        <f>IF(OR(D85="",D85="-"),"",VLOOKUP(D85,'Fatores de Emissão'!$C$82:$J$97,7,FALSE))</f>
        <v/>
      </c>
      <c r="J85" s="439" t="str">
        <f>IF(OR(D85="",D85="-"),"",VLOOKUP(D85,'Fatores de Emissão'!$C$82:$J$97,8,FALSE))</f>
        <v/>
      </c>
      <c r="K85" s="439" t="str">
        <f t="shared" si="1"/>
        <v/>
      </c>
      <c r="L85" s="439" t="str">
        <f t="shared" si="2"/>
        <v/>
      </c>
      <c r="M85" s="439" t="str">
        <f t="shared" si="3"/>
        <v/>
      </c>
      <c r="N85" s="441" t="str">
        <f t="shared" si="0"/>
        <v/>
      </c>
    </row>
    <row r="86" spans="1:28" s="237" customFormat="1" ht="15" customHeight="1" outlineLevel="2" x14ac:dyDescent="0.25">
      <c r="A86" s="363"/>
      <c r="B86" s="1145"/>
      <c r="C86" s="1145"/>
      <c r="D86" s="1268"/>
      <c r="E86" s="1268"/>
      <c r="F86" s="437"/>
      <c r="G86" s="1147" t="str">
        <f>IF(D86="","",VLOOKUP(D86,'Fatores de Emissão'!$C$82:$D$104,2,FALSE))</f>
        <v/>
      </c>
      <c r="H86" s="439" t="str">
        <f>IF(OR(D86="",D86="-"),"",VLOOKUP(D86,'Fatores de Emissão'!$C$82:$J$97,6,FALSE))</f>
        <v/>
      </c>
      <c r="I86" s="439" t="str">
        <f>IF(OR(D86="",D86="-"),"",VLOOKUP(D86,'Fatores de Emissão'!$C$82:$J$97,7,FALSE))</f>
        <v/>
      </c>
      <c r="J86" s="439" t="str">
        <f>IF(OR(D86="",D86="-"),"",VLOOKUP(D86,'Fatores de Emissão'!$C$82:$J$97,8,FALSE))</f>
        <v/>
      </c>
      <c r="K86" s="439" t="str">
        <f t="shared" si="1"/>
        <v/>
      </c>
      <c r="L86" s="439" t="str">
        <f t="shared" si="2"/>
        <v/>
      </c>
      <c r="M86" s="439" t="str">
        <f t="shared" si="3"/>
        <v/>
      </c>
      <c r="N86" s="441" t="str">
        <f t="shared" si="0"/>
        <v/>
      </c>
    </row>
    <row r="87" spans="1:28" s="237" customFormat="1" ht="15" customHeight="1" outlineLevel="2" x14ac:dyDescent="0.25">
      <c r="A87" s="363"/>
      <c r="B87" s="1145"/>
      <c r="C87" s="1145"/>
      <c r="D87" s="1268"/>
      <c r="E87" s="1268"/>
      <c r="F87" s="437"/>
      <c r="G87" s="1147" t="str">
        <f>IF(D87="","",VLOOKUP(D87,'Fatores de Emissão'!$C$82:$D$104,2,FALSE))</f>
        <v/>
      </c>
      <c r="H87" s="439" t="str">
        <f>IF(OR(D87="",D87="-"),"",VLOOKUP(D87,'Fatores de Emissão'!$C$82:$J$97,6,FALSE))</f>
        <v/>
      </c>
      <c r="I87" s="439" t="str">
        <f>IF(OR(D87="",D87="-"),"",VLOOKUP(D87,'Fatores de Emissão'!$C$82:$J$97,7,FALSE))</f>
        <v/>
      </c>
      <c r="J87" s="439" t="str">
        <f>IF(OR(D87="",D87="-"),"",VLOOKUP(D87,'Fatores de Emissão'!$C$82:$J$97,8,FALSE))</f>
        <v/>
      </c>
      <c r="K87" s="439" t="str">
        <f t="shared" si="1"/>
        <v/>
      </c>
      <c r="L87" s="439" t="str">
        <f t="shared" si="2"/>
        <v/>
      </c>
      <c r="M87" s="439" t="str">
        <f t="shared" si="3"/>
        <v/>
      </c>
      <c r="N87" s="441" t="str">
        <f t="shared" si="0"/>
        <v/>
      </c>
    </row>
    <row r="88" spans="1:28" s="237" customFormat="1" ht="15" customHeight="1" outlineLevel="2" x14ac:dyDescent="0.25">
      <c r="A88" s="363"/>
      <c r="B88" s="1145"/>
      <c r="C88" s="1145"/>
      <c r="D88" s="1268"/>
      <c r="E88" s="1268"/>
      <c r="F88" s="437"/>
      <c r="G88" s="1147" t="str">
        <f>IF(D88="","",VLOOKUP(D88,'Fatores de Emissão'!$C$82:$D$104,2,FALSE))</f>
        <v/>
      </c>
      <c r="H88" s="439" t="str">
        <f>IF(OR(D88="",D88="-"),"",VLOOKUP(D88,'Fatores de Emissão'!$C$82:$J$97,6,FALSE))</f>
        <v/>
      </c>
      <c r="I88" s="439" t="str">
        <f>IF(OR(D88="",D88="-"),"",VLOOKUP(D88,'Fatores de Emissão'!$C$82:$J$97,7,FALSE))</f>
        <v/>
      </c>
      <c r="J88" s="439" t="str">
        <f>IF(OR(D88="",D88="-"),"",VLOOKUP(D88,'Fatores de Emissão'!$C$82:$J$97,8,FALSE))</f>
        <v/>
      </c>
      <c r="K88" s="439" t="str">
        <f t="shared" si="1"/>
        <v/>
      </c>
      <c r="L88" s="439" t="str">
        <f t="shared" si="2"/>
        <v/>
      </c>
      <c r="M88" s="439" t="str">
        <f t="shared" si="3"/>
        <v/>
      </c>
      <c r="N88" s="441" t="str">
        <f t="shared" si="0"/>
        <v/>
      </c>
    </row>
    <row r="89" spans="1:28" s="237" customFormat="1" ht="15" customHeight="1" outlineLevel="2" x14ac:dyDescent="0.25">
      <c r="A89" s="363"/>
      <c r="B89" s="1145"/>
      <c r="C89" s="1145"/>
      <c r="D89" s="1268"/>
      <c r="E89" s="1268"/>
      <c r="F89" s="437"/>
      <c r="G89" s="1147" t="str">
        <f>IF(D89="","",VLOOKUP(D89,'Fatores de Emissão'!$C$82:$D$104,2,FALSE))</f>
        <v/>
      </c>
      <c r="H89" s="439" t="str">
        <f>IF(OR(D89="",D89="-"),"",VLOOKUP(D89,'Fatores de Emissão'!$C$82:$J$97,6,FALSE))</f>
        <v/>
      </c>
      <c r="I89" s="439" t="str">
        <f>IF(OR(D89="",D89="-"),"",VLOOKUP(D89,'Fatores de Emissão'!$C$82:$J$97,7,FALSE))</f>
        <v/>
      </c>
      <c r="J89" s="439" t="str">
        <f>IF(OR(D89="",D89="-"),"",VLOOKUP(D89,'Fatores de Emissão'!$C$82:$J$97,8,FALSE))</f>
        <v/>
      </c>
      <c r="K89" s="439" t="str">
        <f t="shared" si="1"/>
        <v/>
      </c>
      <c r="L89" s="439" t="str">
        <f t="shared" si="2"/>
        <v/>
      </c>
      <c r="M89" s="439" t="str">
        <f t="shared" si="3"/>
        <v/>
      </c>
      <c r="N89" s="441" t="str">
        <f t="shared" si="0"/>
        <v/>
      </c>
    </row>
    <row r="90" spans="1:28" s="237" customFormat="1" ht="15" customHeight="1" outlineLevel="2" x14ac:dyDescent="0.25">
      <c r="A90" s="363"/>
      <c r="B90" s="1145"/>
      <c r="C90" s="1145"/>
      <c r="D90" s="1268"/>
      <c r="E90" s="1268"/>
      <c r="F90" s="437"/>
      <c r="G90" s="1147" t="str">
        <f>IF(D90="","",VLOOKUP(D90,'Fatores de Emissão'!$C$82:$D$104,2,FALSE))</f>
        <v/>
      </c>
      <c r="H90" s="439" t="str">
        <f>IF(OR(D90="",D90="-"),"",VLOOKUP(D90,'Fatores de Emissão'!$C$82:$J$97,6,FALSE))</f>
        <v/>
      </c>
      <c r="I90" s="439" t="str">
        <f>IF(OR(D90="",D90="-"),"",VLOOKUP(D90,'Fatores de Emissão'!$C$82:$J$97,7,FALSE))</f>
        <v/>
      </c>
      <c r="J90" s="439" t="str">
        <f>IF(OR(D90="",D90="-"),"",VLOOKUP(D90,'Fatores de Emissão'!$C$82:$J$97,8,FALSE))</f>
        <v/>
      </c>
      <c r="K90" s="439" t="str">
        <f t="shared" si="1"/>
        <v/>
      </c>
      <c r="L90" s="439" t="str">
        <f t="shared" si="2"/>
        <v/>
      </c>
      <c r="M90" s="439" t="str">
        <f t="shared" si="3"/>
        <v/>
      </c>
      <c r="N90" s="441" t="str">
        <f t="shared" si="0"/>
        <v/>
      </c>
    </row>
    <row r="91" spans="1:28" s="237" customFormat="1" ht="15" customHeight="1" outlineLevel="2" x14ac:dyDescent="0.25">
      <c r="A91" s="363"/>
      <c r="B91" s="1145"/>
      <c r="C91" s="1145"/>
      <c r="D91" s="1268"/>
      <c r="E91" s="1268"/>
      <c r="F91" s="437"/>
      <c r="G91" s="1147" t="str">
        <f>IF(D91="","",VLOOKUP(D91,'Fatores de Emissão'!$C$82:$D$104,2,FALSE))</f>
        <v/>
      </c>
      <c r="H91" s="439" t="str">
        <f>IF(OR(D91="",D91="-"),"",VLOOKUP(D91,'Fatores de Emissão'!$C$82:$J$97,6,FALSE))</f>
        <v/>
      </c>
      <c r="I91" s="439" t="str">
        <f>IF(OR(D91="",D91="-"),"",VLOOKUP(D91,'Fatores de Emissão'!$C$82:$J$97,7,FALSE))</f>
        <v/>
      </c>
      <c r="J91" s="439" t="str">
        <f>IF(OR(D91="",D91="-"),"",VLOOKUP(D91,'Fatores de Emissão'!$C$82:$J$97,8,FALSE))</f>
        <v/>
      </c>
      <c r="K91" s="439" t="str">
        <f t="shared" si="1"/>
        <v/>
      </c>
      <c r="L91" s="439" t="str">
        <f t="shared" si="2"/>
        <v/>
      </c>
      <c r="M91" s="439" t="str">
        <f t="shared" si="3"/>
        <v/>
      </c>
      <c r="N91" s="441" t="str">
        <f t="shared" si="0"/>
        <v/>
      </c>
    </row>
    <row r="92" spans="1:28" s="237" customFormat="1" ht="15" customHeight="1" outlineLevel="1" x14ac:dyDescent="0.25">
      <c r="A92" s="363"/>
      <c r="B92" s="388"/>
      <c r="C92" s="373"/>
      <c r="D92" s="442"/>
      <c r="E92" s="442"/>
      <c r="F92" s="373"/>
      <c r="G92" s="373"/>
      <c r="H92" s="1243" t="s">
        <v>78</v>
      </c>
      <c r="I92" s="1243"/>
      <c r="J92" s="1243"/>
      <c r="K92" s="443">
        <f>SUM(K42:K91)</f>
        <v>0</v>
      </c>
      <c r="L92" s="443">
        <f>SUM(L42:L91)</f>
        <v>0</v>
      </c>
      <c r="M92" s="443">
        <f>SUM(M42:M91)</f>
        <v>0</v>
      </c>
      <c r="N92" s="443">
        <f>SUM(N42:N91)</f>
        <v>0</v>
      </c>
      <c r="O92" s="373"/>
      <c r="P92" s="373"/>
      <c r="Q92" s="373"/>
      <c r="R92" s="373"/>
      <c r="AA92" s="373"/>
      <c r="AB92" s="373"/>
    </row>
    <row r="93" spans="1:28" s="237" customFormat="1" ht="15" customHeight="1" outlineLevel="1" x14ac:dyDescent="0.25">
      <c r="A93" s="363"/>
      <c r="B93" s="388"/>
      <c r="C93" s="373"/>
      <c r="D93" s="442"/>
      <c r="E93" s="442"/>
      <c r="F93" s="373"/>
      <c r="G93" s="373"/>
      <c r="H93" s="373"/>
      <c r="I93" s="373"/>
      <c r="J93" s="373"/>
      <c r="K93" s="373"/>
      <c r="L93" s="373"/>
      <c r="M93" s="373"/>
      <c r="N93" s="373"/>
      <c r="O93" s="373"/>
      <c r="P93" s="373"/>
      <c r="Q93" s="373"/>
      <c r="R93" s="373"/>
      <c r="S93" s="373"/>
      <c r="T93" s="373"/>
      <c r="U93" s="373"/>
      <c r="V93" s="363"/>
      <c r="W93" s="373"/>
      <c r="X93" s="373"/>
      <c r="Z93" s="373"/>
      <c r="AA93" s="373"/>
      <c r="AB93" s="373"/>
    </row>
    <row r="94" spans="1:28" s="237" customFormat="1" ht="15" customHeight="1" outlineLevel="1" x14ac:dyDescent="0.25">
      <c r="A94" s="363"/>
      <c r="B94" s="423" t="s">
        <v>1740</v>
      </c>
      <c r="C94" s="217"/>
      <c r="D94" s="442"/>
      <c r="E94" s="442"/>
      <c r="F94" s="373"/>
      <c r="G94" s="373"/>
      <c r="H94" s="373"/>
      <c r="I94" s="373"/>
      <c r="K94" s="373"/>
      <c r="L94" s="373"/>
      <c r="M94" s="373"/>
      <c r="N94" s="373"/>
      <c r="O94" s="373"/>
      <c r="P94" s="373"/>
      <c r="Q94" s="373"/>
      <c r="R94" s="373"/>
      <c r="AB94" s="373"/>
    </row>
    <row r="95" spans="1:28" s="237" customFormat="1" ht="15" customHeight="1" outlineLevel="1" x14ac:dyDescent="0.25">
      <c r="A95" s="363"/>
      <c r="B95" s="206" t="s">
        <v>1865</v>
      </c>
      <c r="C95" s="217"/>
      <c r="D95" s="442"/>
      <c r="E95" s="442"/>
      <c r="F95" s="373"/>
      <c r="G95" s="373"/>
      <c r="H95" s="373"/>
      <c r="I95" s="373"/>
      <c r="K95" s="373"/>
      <c r="L95" s="373"/>
      <c r="M95" s="373"/>
      <c r="N95" s="373"/>
      <c r="O95" s="373"/>
      <c r="P95" s="373"/>
      <c r="Q95" s="373"/>
      <c r="R95" s="373"/>
      <c r="S95" s="373"/>
      <c r="T95" s="373"/>
      <c r="U95" s="373"/>
      <c r="V95" s="363"/>
      <c r="W95" s="373"/>
      <c r="X95" s="373"/>
      <c r="Y95" s="373"/>
      <c r="Z95" s="373"/>
      <c r="AA95" s="373"/>
      <c r="AB95" s="373"/>
    </row>
    <row r="96" spans="1:28" s="237" customFormat="1" ht="15" customHeight="1" outlineLevel="1" x14ac:dyDescent="0.25">
      <c r="A96" s="363"/>
      <c r="B96" s="448" t="s">
        <v>1866</v>
      </c>
      <c r="C96" s="217"/>
      <c r="D96" s="442"/>
      <c r="E96" s="442"/>
      <c r="F96" s="373"/>
      <c r="G96" s="373"/>
      <c r="H96" s="373"/>
      <c r="I96" s="373"/>
      <c r="K96" s="373"/>
      <c r="L96" s="373"/>
      <c r="M96" s="373"/>
      <c r="N96" s="373"/>
      <c r="O96" s="373"/>
      <c r="P96" s="373"/>
      <c r="Q96" s="373"/>
      <c r="R96" s="373"/>
      <c r="S96" s="373"/>
      <c r="T96" s="373"/>
      <c r="U96" s="373"/>
      <c r="V96" s="363"/>
      <c r="W96" s="373"/>
      <c r="X96" s="373"/>
      <c r="Y96" s="373"/>
      <c r="Z96" s="373"/>
      <c r="AA96" s="373"/>
      <c r="AB96" s="373"/>
    </row>
    <row r="97" spans="1:28" s="237" customFormat="1" ht="15" customHeight="1" outlineLevel="1" x14ac:dyDescent="0.25">
      <c r="A97" s="363"/>
      <c r="B97" s="448" t="s">
        <v>2137</v>
      </c>
      <c r="C97" s="217"/>
      <c r="D97" s="442"/>
      <c r="E97" s="442"/>
      <c r="F97" s="373"/>
      <c r="G97" s="373"/>
      <c r="H97" s="373"/>
      <c r="I97" s="373"/>
      <c r="K97" s="373"/>
      <c r="L97" s="373"/>
      <c r="M97" s="373"/>
      <c r="N97" s="373"/>
      <c r="O97" s="373"/>
      <c r="P97" s="373"/>
      <c r="Q97" s="373"/>
      <c r="R97" s="373"/>
      <c r="S97" s="373"/>
      <c r="T97" s="373"/>
      <c r="U97" s="373"/>
      <c r="V97" s="363"/>
      <c r="W97" s="373"/>
      <c r="X97" s="373"/>
      <c r="Y97" s="373"/>
      <c r="Z97" s="373"/>
      <c r="AA97" s="373"/>
      <c r="AB97" s="373"/>
    </row>
    <row r="98" spans="1:28" s="237" customFormat="1" ht="15" customHeight="1" outlineLevel="1" x14ac:dyDescent="0.25">
      <c r="A98" s="363"/>
      <c r="B98" s="449"/>
      <c r="C98" s="217"/>
      <c r="D98" s="442"/>
      <c r="E98" s="442"/>
      <c r="F98" s="373"/>
      <c r="G98" s="373"/>
      <c r="H98" s="373"/>
      <c r="I98" s="373"/>
      <c r="K98" s="373"/>
      <c r="L98" s="373"/>
      <c r="M98" s="373"/>
      <c r="N98" s="373"/>
      <c r="O98" s="373"/>
      <c r="P98" s="373"/>
      <c r="Q98" s="373"/>
      <c r="R98" s="373"/>
      <c r="S98" s="373"/>
      <c r="T98" s="373"/>
      <c r="U98" s="1106"/>
      <c r="V98" s="363"/>
      <c r="W98" s="373"/>
      <c r="X98" s="373"/>
      <c r="Y98" s="373"/>
      <c r="Z98" s="373"/>
      <c r="AA98" s="373"/>
      <c r="AB98" s="373"/>
    </row>
    <row r="99" spans="1:28" s="237" customFormat="1" ht="15" customHeight="1" outlineLevel="1" x14ac:dyDescent="0.25">
      <c r="A99" s="363"/>
      <c r="B99" s="423" t="s">
        <v>1741</v>
      </c>
      <c r="C99" s="217"/>
      <c r="D99" s="424"/>
      <c r="E99" s="424"/>
      <c r="F99" s="373"/>
      <c r="G99" s="373"/>
      <c r="H99" s="373"/>
      <c r="I99" s="373"/>
      <c r="J99" s="373"/>
      <c r="K99" s="373"/>
      <c r="L99" s="373"/>
      <c r="M99" s="373"/>
      <c r="N99" s="373"/>
      <c r="O99" s="373"/>
      <c r="P99" s="373"/>
      <c r="Q99" s="373"/>
      <c r="R99" s="373"/>
      <c r="S99" s="363"/>
      <c r="T99" s="363"/>
      <c r="U99" s="363"/>
      <c r="V99" s="363"/>
      <c r="W99" s="363"/>
      <c r="X99" s="363"/>
      <c r="Y99" s="363"/>
      <c r="Z99" s="363"/>
      <c r="AA99" s="363"/>
      <c r="AB99" s="363"/>
    </row>
    <row r="100" spans="1:28" s="237" customFormat="1" ht="15" customHeight="1" outlineLevel="1" x14ac:dyDescent="0.25">
      <c r="A100" s="363"/>
      <c r="B100" s="1267" t="s">
        <v>1860</v>
      </c>
      <c r="C100" s="1267" t="s">
        <v>1868</v>
      </c>
      <c r="D100" s="1267" t="s">
        <v>1870</v>
      </c>
      <c r="E100" s="1249" t="s">
        <v>1743</v>
      </c>
      <c r="F100" s="1249" t="s">
        <v>1742</v>
      </c>
      <c r="G100" s="1249" t="s">
        <v>1862</v>
      </c>
      <c r="H100" s="1284" t="s">
        <v>586</v>
      </c>
      <c r="I100" s="1285"/>
      <c r="J100" s="1255"/>
      <c r="K100" s="1249" t="s">
        <v>1408</v>
      </c>
      <c r="L100" s="1249" t="s">
        <v>1409</v>
      </c>
      <c r="M100" s="1249" t="s">
        <v>1410</v>
      </c>
      <c r="N100" s="1249" t="s">
        <v>1411</v>
      </c>
      <c r="O100" s="1267" t="s">
        <v>1412</v>
      </c>
    </row>
    <row r="101" spans="1:28" s="237" customFormat="1" ht="15" customHeight="1" outlineLevel="1" x14ac:dyDescent="0.25">
      <c r="A101" s="363"/>
      <c r="B101" s="1267"/>
      <c r="C101" s="1267"/>
      <c r="D101" s="1267"/>
      <c r="E101" s="1266"/>
      <c r="F101" s="1266"/>
      <c r="G101" s="1266"/>
      <c r="H101" s="1286"/>
      <c r="I101" s="1287"/>
      <c r="J101" s="1256"/>
      <c r="K101" s="1266"/>
      <c r="L101" s="1266"/>
      <c r="M101" s="1266"/>
      <c r="N101" s="1266"/>
      <c r="O101" s="1267"/>
    </row>
    <row r="102" spans="1:28" s="237" customFormat="1" ht="32.25" customHeight="1" outlineLevel="1" x14ac:dyDescent="0.25">
      <c r="A102" s="363"/>
      <c r="B102" s="1267"/>
      <c r="C102" s="1267"/>
      <c r="D102" s="1267"/>
      <c r="E102" s="1250"/>
      <c r="F102" s="1250"/>
      <c r="G102" s="1250"/>
      <c r="H102" s="1146" t="s">
        <v>1394</v>
      </c>
      <c r="I102" s="1146" t="s">
        <v>1863</v>
      </c>
      <c r="J102" s="1146" t="s">
        <v>1864</v>
      </c>
      <c r="K102" s="1250"/>
      <c r="L102" s="1250"/>
      <c r="M102" s="1250"/>
      <c r="N102" s="1250"/>
      <c r="O102" s="1267"/>
    </row>
    <row r="103" spans="1:28" s="237" customFormat="1" ht="15" customHeight="1" outlineLevel="1" x14ac:dyDescent="0.25">
      <c r="A103" s="427" t="s">
        <v>606</v>
      </c>
      <c r="B103" s="444" t="s">
        <v>607</v>
      </c>
      <c r="C103" s="445" t="s">
        <v>2138</v>
      </c>
      <c r="D103" s="445" t="s">
        <v>1601</v>
      </c>
      <c r="E103" s="446">
        <v>1000</v>
      </c>
      <c r="F103" s="438"/>
      <c r="G103" s="446" t="s">
        <v>1544</v>
      </c>
      <c r="H103" s="429">
        <v>2.2120000000000002</v>
      </c>
      <c r="I103" s="430">
        <v>5.6020000000000006E-4</v>
      </c>
      <c r="J103" s="431">
        <v>5.6020000000000009E-5</v>
      </c>
      <c r="K103" s="432">
        <v>0</v>
      </c>
      <c r="L103" s="430">
        <v>3.8259999999999995E-3</v>
      </c>
      <c r="M103" s="430">
        <v>3.8259999999999998E-4</v>
      </c>
      <c r="N103" s="433">
        <v>0.20966479999999998</v>
      </c>
      <c r="O103" s="434">
        <v>9.9508782577650816</v>
      </c>
    </row>
    <row r="104" spans="1:28" s="237" customFormat="1" ht="15" customHeight="1" outlineLevel="1" x14ac:dyDescent="0.25">
      <c r="A104" s="363"/>
      <c r="B104" s="1145"/>
      <c r="C104" s="436"/>
      <c r="D104" s="436"/>
      <c r="E104" s="438"/>
      <c r="F104" s="438"/>
      <c r="G104" s="1020" t="str">
        <f>IF(OR(D104="",D104="-"),"",VLOOKUP(D104,'Fatores de Emissão'!E114:K173,3,FALSE))</f>
        <v/>
      </c>
      <c r="H104" s="450" t="str">
        <f>IF(OR($D104="",$D104="-"),"",VLOOKUP($D104,'Fatores de Emissão'!$E$114:$K$173,2,FALSE))</f>
        <v/>
      </c>
      <c r="I104" s="450" t="str">
        <f>IF(OR($D104="",$D104="-"),"",VLOOKUP($D104,'Fatores de Emissão'!$E$114:$K$173,4,FALSE))</f>
        <v/>
      </c>
      <c r="J104" s="450" t="str">
        <f>IF(OR($D104="",$D104="-"),"",VLOOKUP($D104,'Fatores de Emissão'!$E$114:$K$173,6,FALSE))</f>
        <v/>
      </c>
      <c r="K104" s="450" t="str">
        <f>IF($D104="","",IF($G104="kg/km",H104*$E104/1000,IF($G104="kg/p.km",$E104*$F104*H104/1000,$E104*#REF!*H104/1000)))</f>
        <v/>
      </c>
      <c r="L104" s="450" t="str">
        <f>IF($D104="","",IF($G104="kg/km",I104*$E104/1000,IF($G104="kg/p.km",$E104*$F104*I104/1000,$E104*#REF!*I104/1000)))</f>
        <v/>
      </c>
      <c r="M104" s="450" t="str">
        <f>IF($D104="","",IF($G104="kg/km",J104*$E104/1000,IF($G104="kg/p.km",$E104*$F104*J104/1000,$E104*#REF!*J104/1000)))</f>
        <v/>
      </c>
      <c r="N104" s="451" t="str">
        <f>IFERROR(K104*gwp_CO2+L104*gwp_CH4+M104*gwp_N2O,"")</f>
        <v/>
      </c>
      <c r="O104" s="452"/>
    </row>
    <row r="105" spans="1:28" s="237" customFormat="1" ht="15" customHeight="1" outlineLevel="1" x14ac:dyDescent="0.25">
      <c r="A105" s="363"/>
      <c r="B105" s="1145"/>
      <c r="C105" s="436"/>
      <c r="D105" s="436"/>
      <c r="E105" s="438"/>
      <c r="F105" s="438"/>
      <c r="G105" s="1020" t="str">
        <f>IF(OR(D105="",D105="-"),"",VLOOKUP(D105,'Fatores de Emissão'!E116:K174,3,FALSE))</f>
        <v/>
      </c>
      <c r="H105" s="450" t="str">
        <f>IF(OR($D105="",$D105="-"),"",VLOOKUP($D105,'Fatores de Emissão'!$E$114:$K$173,2,FALSE))</f>
        <v/>
      </c>
      <c r="I105" s="450" t="str">
        <f>IF(OR($D105="",$D105="-"),"",VLOOKUP($D105,'Fatores de Emissão'!$E$114:$K$173,4,FALSE))</f>
        <v/>
      </c>
      <c r="J105" s="450" t="str">
        <f>IF(OR($D105="",$D105="-"),"",VLOOKUP($D105,'Fatores de Emissão'!$E$114:$K$173,6,FALSE))</f>
        <v/>
      </c>
      <c r="K105" s="450" t="str">
        <f>IF($D105="","",IF($G105="kg/km",H105*$E105/1000,IF($G105="kg/p.km",$E105*$F105*H105/1000,$E105*#REF!*H105/1000)))</f>
        <v/>
      </c>
      <c r="L105" s="450" t="str">
        <f>IF($D105="","",IF($G105="kg/km",I105*$E105/1000,IF($G105="kg/p.km",$E105*$F105*I105/1000,$E105*#REF!*I105/1000)))</f>
        <v/>
      </c>
      <c r="M105" s="450" t="str">
        <f>IF($D105="","",IF($G105="kg/km",J105*$E105/1000,IF($G105="kg/p.km",$E105*$F105*J105/1000,$E105*#REF!*J105/1000)))</f>
        <v/>
      </c>
      <c r="N105" s="451" t="str">
        <f t="shared" ref="N105:N153" si="4">IFERROR(K105*gwp_CO2+L105*gwp_CH4+M105*gwp_N2O,"")</f>
        <v/>
      </c>
      <c r="O105" s="452"/>
    </row>
    <row r="106" spans="1:28" s="237" customFormat="1" ht="15" customHeight="1" outlineLevel="1" x14ac:dyDescent="0.25">
      <c r="A106" s="363"/>
      <c r="B106" s="1145"/>
      <c r="C106" s="436"/>
      <c r="D106" s="436"/>
      <c r="E106" s="438"/>
      <c r="F106" s="438"/>
      <c r="G106" s="1020" t="str">
        <f>IF(OR(D106="",D106="-"),"",VLOOKUP(D106,'Fatores de Emissão'!E117:K174,3,FALSE))</f>
        <v/>
      </c>
      <c r="H106" s="450" t="str">
        <f>IF(OR($D106="",$D106="-"),"",VLOOKUP($D106,'Fatores de Emissão'!$E$114:$K$173,2,FALSE))</f>
        <v/>
      </c>
      <c r="I106" s="450" t="str">
        <f>IF(OR($D106="",$D106="-"),"",VLOOKUP($D106,'Fatores de Emissão'!$E$114:$K$173,4,FALSE))</f>
        <v/>
      </c>
      <c r="J106" s="450" t="str">
        <f>IF(OR($D106="",$D106="-"),"",VLOOKUP($D106,'Fatores de Emissão'!$E$114:$K$173,6,FALSE))</f>
        <v/>
      </c>
      <c r="K106" s="450" t="str">
        <f>IF($D106="","",IF($G106="kg/km",H106*$E106/1000,IF($G106="kg/p.km",$E106*$F106*H106/1000,$E106*#REF!*H106/1000)))</f>
        <v/>
      </c>
      <c r="L106" s="450" t="str">
        <f>IF($D106="","",IF($G106="kg/km",I106*$E106/1000,IF($G106="kg/p.km",$E106*$F106*I106/1000,$E106*#REF!*I106/1000)))</f>
        <v/>
      </c>
      <c r="M106" s="450" t="str">
        <f>IF($D106="","",IF($G106="kg/km",J106*$E106/1000,IF($G106="kg/p.km",$E106*$F106*J106/1000,$E106*#REF!*J106/1000)))</f>
        <v/>
      </c>
      <c r="N106" s="451" t="str">
        <f t="shared" si="4"/>
        <v/>
      </c>
      <c r="O106" s="452"/>
    </row>
    <row r="107" spans="1:28" s="237" customFormat="1" ht="15" customHeight="1" outlineLevel="1" x14ac:dyDescent="0.25">
      <c r="A107" s="363"/>
      <c r="B107" s="1145"/>
      <c r="C107" s="436"/>
      <c r="D107" s="436"/>
      <c r="E107" s="438"/>
      <c r="F107" s="438"/>
      <c r="G107" s="1020" t="str">
        <f>IF(OR(D107="",D107="-"),"",VLOOKUP(D107,'Fatores de Emissão'!E118:K174,3,FALSE))</f>
        <v/>
      </c>
      <c r="H107" s="450" t="str">
        <f>IF(OR($D107="",$D107="-"),"",VLOOKUP($D107,'Fatores de Emissão'!$E$114:$K$173,2,FALSE))</f>
        <v/>
      </c>
      <c r="I107" s="450" t="str">
        <f>IF(OR($D107="",$D107="-"),"",VLOOKUP($D107,'Fatores de Emissão'!$E$114:$K$173,4,FALSE))</f>
        <v/>
      </c>
      <c r="J107" s="450" t="str">
        <f>IF(OR($D107="",$D107="-"),"",VLOOKUP($D107,'Fatores de Emissão'!$E$114:$K$173,6,FALSE))</f>
        <v/>
      </c>
      <c r="K107" s="450" t="str">
        <f>IF($D107="","",IF($G107="kg/km",H107*$E107/1000,IF($G107="kg/p.km",$E107*$F107*H107/1000,$E107*#REF!*H107/1000)))</f>
        <v/>
      </c>
      <c r="L107" s="450" t="str">
        <f>IF($D107="","",IF($G107="kg/km",I107*$E107/1000,IF($G107="kg/p.km",$E107*$F107*I107/1000,$E107*#REF!*I107/1000)))</f>
        <v/>
      </c>
      <c r="M107" s="450" t="str">
        <f>IF($D107="","",IF($G107="kg/km",J107*$E107/1000,IF($G107="kg/p.km",$E107*$F107*J107/1000,$E107*#REF!*J107/1000)))</f>
        <v/>
      </c>
      <c r="N107" s="451" t="str">
        <f t="shared" si="4"/>
        <v/>
      </c>
      <c r="O107" s="452"/>
    </row>
    <row r="108" spans="1:28" s="237" customFormat="1" ht="15" customHeight="1" outlineLevel="1" x14ac:dyDescent="0.25">
      <c r="A108" s="363"/>
      <c r="B108" s="1145"/>
      <c r="C108" s="436"/>
      <c r="D108" s="436"/>
      <c r="E108" s="438"/>
      <c r="F108" s="438"/>
      <c r="G108" s="1020" t="str">
        <f>IF(OR(D108="",D108="-"),"",VLOOKUP(D108,'Fatores de Emissão'!E119:K174,3,FALSE))</f>
        <v/>
      </c>
      <c r="H108" s="450" t="str">
        <f>IF(OR($D108="",$D108="-"),"",VLOOKUP($D108,'Fatores de Emissão'!$E$114:$K$173,2,FALSE))</f>
        <v/>
      </c>
      <c r="I108" s="450" t="str">
        <f>IF(OR($D108="",$D108="-"),"",VLOOKUP($D108,'Fatores de Emissão'!$E$114:$K$173,4,FALSE))</f>
        <v/>
      </c>
      <c r="J108" s="450" t="str">
        <f>IF(OR($D108="",$D108="-"),"",VLOOKUP($D108,'Fatores de Emissão'!$E$114:$K$173,6,FALSE))</f>
        <v/>
      </c>
      <c r="K108" s="450" t="str">
        <f>IF($D108="","",IF($G108="kg/km",H108*$E108/1000,IF($G108="kg/p.km",$E108*$F108*H108/1000,$E108*#REF!*H108/1000)))</f>
        <v/>
      </c>
      <c r="L108" s="450" t="str">
        <f>IF($D108="","",IF($G108="kg/km",I108*$E108/1000,IF($G108="kg/p.km",$E108*$F108*I108/1000,$E108*#REF!*I108/1000)))</f>
        <v/>
      </c>
      <c r="M108" s="450" t="str">
        <f>IF($D108="","",IF($G108="kg/km",J108*$E108/1000,IF($G108="kg/p.km",$E108*$F108*J108/1000,$E108*#REF!*J108/1000)))</f>
        <v/>
      </c>
      <c r="N108" s="451" t="str">
        <f t="shared" si="4"/>
        <v/>
      </c>
      <c r="O108" s="452"/>
    </row>
    <row r="109" spans="1:28" s="237" customFormat="1" ht="15" customHeight="1" outlineLevel="1" x14ac:dyDescent="0.25">
      <c r="A109" s="363"/>
      <c r="B109" s="1145"/>
      <c r="C109" s="436"/>
      <c r="D109" s="436"/>
      <c r="E109" s="438"/>
      <c r="F109" s="438"/>
      <c r="G109" s="1020" t="str">
        <f>IF(OR(D109="",D109="-"),"",VLOOKUP(D109,'Fatores de Emissão'!E120:K174,3,FALSE))</f>
        <v/>
      </c>
      <c r="H109" s="450" t="str">
        <f>IF(OR($D109="",$D109="-"),"",VLOOKUP($D109,'Fatores de Emissão'!$E$114:$K$173,2,FALSE))</f>
        <v/>
      </c>
      <c r="I109" s="450" t="str">
        <f>IF(OR($D109="",$D109="-"),"",VLOOKUP($D109,'Fatores de Emissão'!$E$114:$K$173,4,FALSE))</f>
        <v/>
      </c>
      <c r="J109" s="450" t="str">
        <f>IF(OR($D109="",$D109="-"),"",VLOOKUP($D109,'Fatores de Emissão'!$E$114:$K$173,6,FALSE))</f>
        <v/>
      </c>
      <c r="K109" s="450" t="str">
        <f>IF($D109="","",IF($G109="kg/km",H109*$E109/1000,IF($G109="kg/p.km",$E109*$F109*H109/1000,$E109*#REF!*H109/1000)))</f>
        <v/>
      </c>
      <c r="L109" s="450" t="str">
        <f>IF($D109="","",IF($G109="kg/km",I109*$E109/1000,IF($G109="kg/p.km",$E109*$F109*I109/1000,$E109*#REF!*I109/1000)))</f>
        <v/>
      </c>
      <c r="M109" s="450" t="str">
        <f>IF($D109="","",IF($G109="kg/km",J109*$E109/1000,IF($G109="kg/p.km",$E109*$F109*J109/1000,$E109*#REF!*J109/1000)))</f>
        <v/>
      </c>
      <c r="N109" s="451" t="str">
        <f t="shared" si="4"/>
        <v/>
      </c>
      <c r="O109" s="452"/>
    </row>
    <row r="110" spans="1:28" s="237" customFormat="1" ht="15" customHeight="1" outlineLevel="1" x14ac:dyDescent="0.25">
      <c r="A110" s="363"/>
      <c r="B110" s="1145"/>
      <c r="C110" s="436"/>
      <c r="D110" s="436"/>
      <c r="E110" s="438"/>
      <c r="F110" s="438"/>
      <c r="G110" s="1020" t="str">
        <f>IF(OR(D110="",D110="-"),"",VLOOKUP(D110,'Fatores de Emissão'!E121:K174,3,FALSE))</f>
        <v/>
      </c>
      <c r="H110" s="450" t="str">
        <f>IF(OR($D110="",$D110="-"),"",VLOOKUP($D110,'Fatores de Emissão'!$E$114:$K$173,2,FALSE))</f>
        <v/>
      </c>
      <c r="I110" s="450" t="str">
        <f>IF(OR($D110="",$D110="-"),"",VLOOKUP($D110,'Fatores de Emissão'!$E$114:$K$173,4,FALSE))</f>
        <v/>
      </c>
      <c r="J110" s="450" t="str">
        <f>IF(OR($D110="",$D110="-"),"",VLOOKUP($D110,'Fatores de Emissão'!$E$114:$K$173,6,FALSE))</f>
        <v/>
      </c>
      <c r="K110" s="450" t="str">
        <f>IF($D110="","",IF($G110="kg/km",H110*$E110/1000,IF($G110="kg/p.km",$E110*$F110*H110/1000,$E110*#REF!*H110/1000)))</f>
        <v/>
      </c>
      <c r="L110" s="450" t="str">
        <f>IF($D110="","",IF($G110="kg/km",I110*$E110/1000,IF($G110="kg/p.km",$E110*$F110*I110/1000,$E110*#REF!*I110/1000)))</f>
        <v/>
      </c>
      <c r="M110" s="450" t="str">
        <f>IF($D110="","",IF($G110="kg/km",J110*$E110/1000,IF($G110="kg/p.km",$E110*$F110*J110/1000,$E110*#REF!*J110/1000)))</f>
        <v/>
      </c>
      <c r="N110" s="451" t="str">
        <f t="shared" si="4"/>
        <v/>
      </c>
      <c r="O110" s="452"/>
    </row>
    <row r="111" spans="1:28" s="237" customFormat="1" ht="15" customHeight="1" outlineLevel="1" x14ac:dyDescent="0.25">
      <c r="A111" s="363"/>
      <c r="B111" s="1145"/>
      <c r="C111" s="436"/>
      <c r="D111" s="436"/>
      <c r="E111" s="438"/>
      <c r="F111" s="438"/>
      <c r="G111" s="1020" t="str">
        <f>IF(OR(D111="",D111="-"),"",VLOOKUP(D111,'Fatores de Emissão'!E122:K174,3,FALSE))</f>
        <v/>
      </c>
      <c r="H111" s="450" t="str">
        <f>IF(OR($D111="",$D111="-"),"",VLOOKUP($D111,'Fatores de Emissão'!$E$114:$K$173,2,FALSE))</f>
        <v/>
      </c>
      <c r="I111" s="450" t="str">
        <f>IF(OR($D111="",$D111="-"),"",VLOOKUP($D111,'Fatores de Emissão'!$E$114:$K$173,4,FALSE))</f>
        <v/>
      </c>
      <c r="J111" s="450" t="str">
        <f>IF(OR($D111="",$D111="-"),"",VLOOKUP($D111,'Fatores de Emissão'!$E$114:$K$173,6,FALSE))</f>
        <v/>
      </c>
      <c r="K111" s="450" t="str">
        <f>IF($D111="","",IF($G111="kg/km",H111*$E111/1000,IF($G111="kg/p.km",$E111*$F111*H111/1000,$E111*#REF!*H111/1000)))</f>
        <v/>
      </c>
      <c r="L111" s="450" t="str">
        <f>IF($D111="","",IF($G111="kg/km",I111*$E111/1000,IF($G111="kg/p.km",$E111*$F111*I111/1000,$E111*#REF!*I111/1000)))</f>
        <v/>
      </c>
      <c r="M111" s="450" t="str">
        <f>IF($D111="","",IF($G111="kg/km",J111*$E111/1000,IF($G111="kg/p.km",$E111*$F111*J111/1000,$E111*#REF!*J111/1000)))</f>
        <v/>
      </c>
      <c r="N111" s="451" t="str">
        <f t="shared" si="4"/>
        <v/>
      </c>
      <c r="O111" s="452"/>
    </row>
    <row r="112" spans="1:28" s="237" customFormat="1" ht="15" customHeight="1" outlineLevel="1" x14ac:dyDescent="0.25">
      <c r="A112" s="363"/>
      <c r="B112" s="1145"/>
      <c r="C112" s="436"/>
      <c r="D112" s="436"/>
      <c r="E112" s="438"/>
      <c r="F112" s="438"/>
      <c r="G112" s="1020" t="str">
        <f>IF(OR(D112="",D112="-"),"",VLOOKUP(D112,'Fatores de Emissão'!E123:K174,3,FALSE))</f>
        <v/>
      </c>
      <c r="H112" s="450" t="str">
        <f>IF(OR($D112="",$D112="-"),"",VLOOKUP($D112,'Fatores de Emissão'!$E$114:$K$173,2,FALSE))</f>
        <v/>
      </c>
      <c r="I112" s="450" t="str">
        <f>IF(OR($D112="",$D112="-"),"",VLOOKUP($D112,'Fatores de Emissão'!$E$114:$K$173,4,FALSE))</f>
        <v/>
      </c>
      <c r="J112" s="450" t="str">
        <f>IF(OR($D112="",$D112="-"),"",VLOOKUP($D112,'Fatores de Emissão'!$E$114:$K$173,6,FALSE))</f>
        <v/>
      </c>
      <c r="K112" s="450" t="str">
        <f>IF($D112="","",IF($G112="kg/km",H112*$E112/1000,IF($G112="kg/p.km",$E112*$F112*H112/1000,$E112*#REF!*H112/1000)))</f>
        <v/>
      </c>
      <c r="L112" s="450" t="str">
        <f>IF($D112="","",IF($G112="kg/km",I112*$E112/1000,IF($G112="kg/p.km",$E112*$F112*I112/1000,$E112*#REF!*I112/1000)))</f>
        <v/>
      </c>
      <c r="M112" s="450" t="str">
        <f>IF($D112="","",IF($G112="kg/km",J112*$E112/1000,IF($G112="kg/p.km",$E112*$F112*J112/1000,$E112*#REF!*J112/1000)))</f>
        <v/>
      </c>
      <c r="N112" s="451" t="str">
        <f t="shared" si="4"/>
        <v/>
      </c>
      <c r="O112" s="452"/>
    </row>
    <row r="113" spans="1:15" s="237" customFormat="1" ht="15" customHeight="1" outlineLevel="1" collapsed="1" x14ac:dyDescent="0.25">
      <c r="A113" s="363"/>
      <c r="B113" s="1145"/>
      <c r="C113" s="436"/>
      <c r="D113" s="436"/>
      <c r="E113" s="438"/>
      <c r="F113" s="438"/>
      <c r="G113" s="1020" t="str">
        <f>IF(OR(D113="",D113="-"),"",VLOOKUP(D113,'Fatores de Emissão'!E124:K174,3,FALSE))</f>
        <v/>
      </c>
      <c r="H113" s="450" t="str">
        <f>IF(OR($D113="",$D113="-"),"",VLOOKUP($D113,'Fatores de Emissão'!$E$114:$K$173,2,FALSE))</f>
        <v/>
      </c>
      <c r="I113" s="450" t="str">
        <f>IF(OR($D113="",$D113="-"),"",VLOOKUP($D113,'Fatores de Emissão'!$E$114:$K$173,4,FALSE))</f>
        <v/>
      </c>
      <c r="J113" s="450" t="str">
        <f>IF(OR($D113="",$D113="-"),"",VLOOKUP($D113,'Fatores de Emissão'!$E$114:$K$173,6,FALSE))</f>
        <v/>
      </c>
      <c r="K113" s="450" t="str">
        <f>IF($D113="","",IF($G113="kg/km",H113*$E113/1000,IF($G113="kg/p.km",$E113*$F113*H113/1000,$E113*#REF!*H113/1000)))</f>
        <v/>
      </c>
      <c r="L113" s="450" t="str">
        <f>IF($D113="","",IF($G113="kg/km",I113*$E113/1000,IF($G113="kg/p.km",$E113*$F113*I113/1000,$E113*#REF!*I113/1000)))</f>
        <v/>
      </c>
      <c r="M113" s="450" t="str">
        <f>IF($D113="","",IF($G113="kg/km",J113*$E113/1000,IF($G113="kg/p.km",$E113*$F113*J113/1000,$E113*#REF!*J113/1000)))</f>
        <v/>
      </c>
      <c r="N113" s="451" t="str">
        <f t="shared" si="4"/>
        <v/>
      </c>
      <c r="O113" s="452"/>
    </row>
    <row r="114" spans="1:15" s="237" customFormat="1" ht="15" hidden="1" customHeight="1" outlineLevel="2" x14ac:dyDescent="0.25">
      <c r="A114" s="363"/>
      <c r="B114" s="1145"/>
      <c r="C114" s="436"/>
      <c r="D114" s="436"/>
      <c r="E114" s="438"/>
      <c r="F114" s="438"/>
      <c r="G114" s="1020" t="str">
        <f>IF(OR(D114="",D114="-"),"",VLOOKUP(D114,'Fatores de Emissão'!E125:K174,3,FALSE))</f>
        <v/>
      </c>
      <c r="H114" s="450" t="str">
        <f>IF(OR($D114="",$D114="-"),"",VLOOKUP($D114,'Fatores de Emissão'!$E$114:$K$173,2,FALSE))</f>
        <v/>
      </c>
      <c r="I114" s="450" t="str">
        <f>IF(OR($D114="",$D114="-"),"",VLOOKUP($D114,'Fatores de Emissão'!$E$114:$K$173,4,FALSE))</f>
        <v/>
      </c>
      <c r="J114" s="450" t="str">
        <f>IF(OR($D114="",$D114="-"),"",VLOOKUP($D114,'Fatores de Emissão'!$E$114:$K$173,6,FALSE))</f>
        <v/>
      </c>
      <c r="K114" s="450" t="str">
        <f>IF($D114="","",IF($G114="kg/km",H114*$E114/1000,IF($G114="kg/p.km",$E114*$F114*H114/1000,$E114*#REF!*H114/1000)))</f>
        <v/>
      </c>
      <c r="L114" s="450" t="str">
        <f>IF($D114="","",IF($G114="kg/km",I114*$E114/1000,IF($G114="kg/p.km",$E114*$F114*I114/1000,$E114*#REF!*I114/1000)))</f>
        <v/>
      </c>
      <c r="M114" s="450" t="str">
        <f>IF($D114="","",IF($G114="kg/km",J114*$E114/1000,IF($G114="kg/p.km",$E114*$F114*J114/1000,$E114*#REF!*J114/1000)))</f>
        <v/>
      </c>
      <c r="N114" s="451" t="str">
        <f t="shared" si="4"/>
        <v/>
      </c>
      <c r="O114" s="440"/>
    </row>
    <row r="115" spans="1:15" s="237" customFormat="1" ht="15" hidden="1" customHeight="1" outlineLevel="2" x14ac:dyDescent="0.25">
      <c r="A115" s="363"/>
      <c r="B115" s="1145"/>
      <c r="C115" s="436"/>
      <c r="D115" s="436"/>
      <c r="E115" s="438"/>
      <c r="F115" s="438"/>
      <c r="G115" s="1020" t="str">
        <f>IF(OR(D115="",D115="-"),"",VLOOKUP(D115,'Fatores de Emissão'!E126:K174,3,FALSE))</f>
        <v/>
      </c>
      <c r="H115" s="450" t="str">
        <f>IF(OR($D115="",$D115="-"),"",VLOOKUP($D115,'Fatores de Emissão'!$E$114:$K$173,2,FALSE))</f>
        <v/>
      </c>
      <c r="I115" s="450" t="str">
        <f>IF(OR($D115="",$D115="-"),"",VLOOKUP($D115,'Fatores de Emissão'!$E$114:$K$173,4,FALSE))</f>
        <v/>
      </c>
      <c r="J115" s="450" t="str">
        <f>IF(OR($D115="",$D115="-"),"",VLOOKUP($D115,'Fatores de Emissão'!$E$114:$K$173,6,FALSE))</f>
        <v/>
      </c>
      <c r="K115" s="450" t="str">
        <f>IF($D115="","",IF($G115="kg/km",H115*$E115/1000,IF($G115="kg/p.km",$E115*$F115*H115/1000,$E115*#REF!*H115/1000)))</f>
        <v/>
      </c>
      <c r="L115" s="450" t="str">
        <f>IF($D115="","",IF($G115="kg/km",I115*$E115/1000,IF($G115="kg/p.km",$E115*$F115*I115/1000,$E115*#REF!*I115/1000)))</f>
        <v/>
      </c>
      <c r="M115" s="450" t="str">
        <f>IF($D115="","",IF($G115="kg/km",J115*$E115/1000,IF($G115="kg/p.km",$E115*$F115*J115/1000,$E115*#REF!*J115/1000)))</f>
        <v/>
      </c>
      <c r="N115" s="451" t="str">
        <f t="shared" si="4"/>
        <v/>
      </c>
      <c r="O115" s="440"/>
    </row>
    <row r="116" spans="1:15" s="237" customFormat="1" ht="15" hidden="1" customHeight="1" outlineLevel="2" x14ac:dyDescent="0.25">
      <c r="A116" s="363"/>
      <c r="B116" s="1145"/>
      <c r="C116" s="436"/>
      <c r="D116" s="436"/>
      <c r="E116" s="438"/>
      <c r="F116" s="438"/>
      <c r="G116" s="1020" t="str">
        <f>IF(OR(D116="",D116="-"),"",VLOOKUP(D116,'Fatores de Emissão'!E127:K175,3,FALSE))</f>
        <v/>
      </c>
      <c r="H116" s="450" t="str">
        <f>IF(OR($D116="",$D116="-"),"",VLOOKUP($D116,'Fatores de Emissão'!$E$114:$K$173,2,FALSE))</f>
        <v/>
      </c>
      <c r="I116" s="450" t="str">
        <f>IF(OR($D116="",$D116="-"),"",VLOOKUP($D116,'Fatores de Emissão'!$E$114:$K$173,4,FALSE))</f>
        <v/>
      </c>
      <c r="J116" s="450" t="str">
        <f>IF(OR($D116="",$D116="-"),"",VLOOKUP($D116,'Fatores de Emissão'!$E$114:$K$173,6,FALSE))</f>
        <v/>
      </c>
      <c r="K116" s="450" t="str">
        <f>IF($D116="","",IF($G116="kg/km",H116*$E116/1000,IF($G116="kg/p.km",$E116*$F116*H116/1000,$E116*#REF!*H116/1000)))</f>
        <v/>
      </c>
      <c r="L116" s="450" t="str">
        <f>IF($D116="","",IF($G116="kg/km",I116*$E116/1000,IF($G116="kg/p.km",$E116*$F116*I116/1000,$E116*#REF!*I116/1000)))</f>
        <v/>
      </c>
      <c r="M116" s="450" t="str">
        <f>IF($D116="","",IF($G116="kg/km",J116*$E116/1000,IF($G116="kg/p.km",$E116*$F116*J116/1000,$E116*#REF!*J116/1000)))</f>
        <v/>
      </c>
      <c r="N116" s="451" t="str">
        <f t="shared" si="4"/>
        <v/>
      </c>
      <c r="O116" s="440"/>
    </row>
    <row r="117" spans="1:15" s="237" customFormat="1" ht="15" hidden="1" customHeight="1" outlineLevel="2" x14ac:dyDescent="0.25">
      <c r="A117" s="363"/>
      <c r="B117" s="1145"/>
      <c r="C117" s="436"/>
      <c r="D117" s="436"/>
      <c r="E117" s="438"/>
      <c r="F117" s="438"/>
      <c r="G117" s="1020" t="str">
        <f>IF(OR(D117="",D117="-"),"",VLOOKUP(D117,'Fatores de Emissão'!E128:K176,3,FALSE))</f>
        <v/>
      </c>
      <c r="H117" s="450" t="str">
        <f>IF(OR($D117="",$D117="-"),"",VLOOKUP($D117,'Fatores de Emissão'!$E$114:$K$173,2,FALSE))</f>
        <v/>
      </c>
      <c r="I117" s="450" t="str">
        <f>IF(OR($D117="",$D117="-"),"",VLOOKUP($D117,'Fatores de Emissão'!$E$114:$K$173,4,FALSE))</f>
        <v/>
      </c>
      <c r="J117" s="450" t="str">
        <f>IF(OR($D117="",$D117="-"),"",VLOOKUP($D117,'Fatores de Emissão'!$E$114:$K$173,6,FALSE))</f>
        <v/>
      </c>
      <c r="K117" s="450" t="str">
        <f>IF($D117="","",IF($G117="kg/km",H117*$E117/1000,IF($G117="kg/p.km",$E117*$F117*H117/1000,$E117*#REF!*H117/1000)))</f>
        <v/>
      </c>
      <c r="L117" s="450" t="str">
        <f>IF($D117="","",IF($G117="kg/km",I117*$E117/1000,IF($G117="kg/p.km",$E117*$F117*I117/1000,$E117*#REF!*I117/1000)))</f>
        <v/>
      </c>
      <c r="M117" s="450" t="str">
        <f>IF($D117="","",IF($G117="kg/km",J117*$E117/1000,IF($G117="kg/p.km",$E117*$F117*J117/1000,$E117*#REF!*J117/1000)))</f>
        <v/>
      </c>
      <c r="N117" s="451" t="str">
        <f t="shared" si="4"/>
        <v/>
      </c>
      <c r="O117" s="440"/>
    </row>
    <row r="118" spans="1:15" s="237" customFormat="1" ht="15" hidden="1" customHeight="1" outlineLevel="2" x14ac:dyDescent="0.25">
      <c r="A118" s="363"/>
      <c r="B118" s="1145"/>
      <c r="C118" s="436"/>
      <c r="D118" s="436"/>
      <c r="E118" s="438"/>
      <c r="F118" s="438"/>
      <c r="G118" s="1020" t="str">
        <f>IF(OR(D118="",D118="-"),"",VLOOKUP(D118,'Fatores de Emissão'!E129:K177,3,FALSE))</f>
        <v/>
      </c>
      <c r="H118" s="450" t="str">
        <f>IF(OR($D118="",$D118="-"),"",VLOOKUP($D118,'Fatores de Emissão'!$E$114:$K$173,2,FALSE))</f>
        <v/>
      </c>
      <c r="I118" s="450" t="str">
        <f>IF(OR($D118="",$D118="-"),"",VLOOKUP($D118,'Fatores de Emissão'!$E$114:$K$173,4,FALSE))</f>
        <v/>
      </c>
      <c r="J118" s="450" t="str">
        <f>IF(OR($D118="",$D118="-"),"",VLOOKUP($D118,'Fatores de Emissão'!$E$114:$K$173,6,FALSE))</f>
        <v/>
      </c>
      <c r="K118" s="450" t="str">
        <f>IF($D118="","",IF($G118="kg/km",H118*$E118/1000,IF($G118="kg/p.km",$E118*$F118*H118/1000,$E118*#REF!*H118/1000)))</f>
        <v/>
      </c>
      <c r="L118" s="450" t="str">
        <f>IF($D118="","",IF($G118="kg/km",I118*$E118/1000,IF($G118="kg/p.km",$E118*$F118*I118/1000,$E118*#REF!*I118/1000)))</f>
        <v/>
      </c>
      <c r="M118" s="450" t="str">
        <f>IF($D118="","",IF($G118="kg/km",J118*$E118/1000,IF($G118="kg/p.km",$E118*$F118*J118/1000,$E118*#REF!*J118/1000)))</f>
        <v/>
      </c>
      <c r="N118" s="451" t="str">
        <f t="shared" si="4"/>
        <v/>
      </c>
      <c r="O118" s="440"/>
    </row>
    <row r="119" spans="1:15" s="237" customFormat="1" ht="15" hidden="1" customHeight="1" outlineLevel="2" x14ac:dyDescent="0.25">
      <c r="A119" s="363"/>
      <c r="B119" s="1145"/>
      <c r="C119" s="436"/>
      <c r="D119" s="436"/>
      <c r="E119" s="438"/>
      <c r="F119" s="438"/>
      <c r="G119" s="1020" t="str">
        <f>IF(OR(D119="",D119="-"),"",VLOOKUP(D119,'Fatores de Emissão'!E130:K178,3,FALSE))</f>
        <v/>
      </c>
      <c r="H119" s="450" t="str">
        <f>IF(OR($D119="",$D119="-"),"",VLOOKUP($D119,'Fatores de Emissão'!$E$114:$K$173,2,FALSE))</f>
        <v/>
      </c>
      <c r="I119" s="450" t="str">
        <f>IF(OR($D119="",$D119="-"),"",VLOOKUP($D119,'Fatores de Emissão'!$E$114:$K$173,4,FALSE))</f>
        <v/>
      </c>
      <c r="J119" s="450" t="str">
        <f>IF(OR($D119="",$D119="-"),"",VLOOKUP($D119,'Fatores de Emissão'!$E$114:$K$173,6,FALSE))</f>
        <v/>
      </c>
      <c r="K119" s="450" t="str">
        <f>IF($D119="","",IF($G119="kg/km",H119*$E119/1000,IF($G119="kg/p.km",$E119*$F119*H119/1000,$E119*#REF!*H119/1000)))</f>
        <v/>
      </c>
      <c r="L119" s="450" t="str">
        <f>IF($D119="","",IF($G119="kg/km",I119*$E119/1000,IF($G119="kg/p.km",$E119*$F119*I119/1000,$E119*#REF!*I119/1000)))</f>
        <v/>
      </c>
      <c r="M119" s="450" t="str">
        <f>IF($D119="","",IF($G119="kg/km",J119*$E119/1000,IF($G119="kg/p.km",$E119*$F119*J119/1000,$E119*#REF!*J119/1000)))</f>
        <v/>
      </c>
      <c r="N119" s="451" t="str">
        <f t="shared" si="4"/>
        <v/>
      </c>
      <c r="O119" s="440"/>
    </row>
    <row r="120" spans="1:15" s="237" customFormat="1" ht="15" hidden="1" customHeight="1" outlineLevel="2" x14ac:dyDescent="0.25">
      <c r="A120" s="363"/>
      <c r="B120" s="1145"/>
      <c r="C120" s="436"/>
      <c r="D120" s="436"/>
      <c r="E120" s="438"/>
      <c r="F120" s="438"/>
      <c r="G120" s="1020" t="str">
        <f>IF(OR(D120="",D120="-"),"",VLOOKUP(D120,'Fatores de Emissão'!E131:K179,3,FALSE))</f>
        <v/>
      </c>
      <c r="H120" s="450" t="str">
        <f>IF(OR($D120="",$D120="-"),"",VLOOKUP($D120,'Fatores de Emissão'!$E$114:$K$173,2,FALSE))</f>
        <v/>
      </c>
      <c r="I120" s="450" t="str">
        <f>IF(OR($D120="",$D120="-"),"",VLOOKUP($D120,'Fatores de Emissão'!$E$114:$K$173,4,FALSE))</f>
        <v/>
      </c>
      <c r="J120" s="450" t="str">
        <f>IF(OR($D120="",$D120="-"),"",VLOOKUP($D120,'Fatores de Emissão'!$E$114:$K$173,6,FALSE))</f>
        <v/>
      </c>
      <c r="K120" s="450" t="str">
        <f>IF($D120="","",IF($G120="kg/km",H120*$E120/1000,IF($G120="kg/p.km",$E120*$F120*H120/1000,$E120*#REF!*H120/1000)))</f>
        <v/>
      </c>
      <c r="L120" s="450" t="str">
        <f>IF($D120="","",IF($G120="kg/km",I120*$E120/1000,IF($G120="kg/p.km",$E120*$F120*I120/1000,$E120*#REF!*I120/1000)))</f>
        <v/>
      </c>
      <c r="M120" s="450" t="str">
        <f>IF($D120="","",IF($G120="kg/km",J120*$E120/1000,IF($G120="kg/p.km",$E120*$F120*J120/1000,$E120*#REF!*J120/1000)))</f>
        <v/>
      </c>
      <c r="N120" s="451" t="str">
        <f t="shared" si="4"/>
        <v/>
      </c>
      <c r="O120" s="440"/>
    </row>
    <row r="121" spans="1:15" s="237" customFormat="1" ht="15" hidden="1" customHeight="1" outlineLevel="2" x14ac:dyDescent="0.25">
      <c r="A121" s="363"/>
      <c r="B121" s="1145"/>
      <c r="C121" s="436"/>
      <c r="D121" s="436"/>
      <c r="E121" s="438"/>
      <c r="F121" s="438"/>
      <c r="G121" s="1020" t="str">
        <f>IF(OR(D121="",D121="-"),"",VLOOKUP(D121,'Fatores de Emissão'!E132:K180,3,FALSE))</f>
        <v/>
      </c>
      <c r="H121" s="450" t="str">
        <f>IF(OR($D121="",$D121="-"),"",VLOOKUP($D121,'Fatores de Emissão'!$E$114:$K$173,2,FALSE))</f>
        <v/>
      </c>
      <c r="I121" s="450" t="str">
        <f>IF(OR($D121="",$D121="-"),"",VLOOKUP($D121,'Fatores de Emissão'!$E$114:$K$173,4,FALSE))</f>
        <v/>
      </c>
      <c r="J121" s="450" t="str">
        <f>IF(OR($D121="",$D121="-"),"",VLOOKUP($D121,'Fatores de Emissão'!$E$114:$K$173,6,FALSE))</f>
        <v/>
      </c>
      <c r="K121" s="450" t="str">
        <f>IF($D121="","",IF($G121="kg/km",H121*$E121/1000,IF($G121="kg/p.km",$E121*$F121*H121/1000,$E121*#REF!*H121/1000)))</f>
        <v/>
      </c>
      <c r="L121" s="450" t="str">
        <f>IF($D121="","",IF($G121="kg/km",I121*$E121/1000,IF($G121="kg/p.km",$E121*$F121*I121/1000,$E121*#REF!*I121/1000)))</f>
        <v/>
      </c>
      <c r="M121" s="450" t="str">
        <f>IF($D121="","",IF($G121="kg/km",J121*$E121/1000,IF($G121="kg/p.km",$E121*$F121*J121/1000,$E121*#REF!*J121/1000)))</f>
        <v/>
      </c>
      <c r="N121" s="451" t="str">
        <f t="shared" si="4"/>
        <v/>
      </c>
      <c r="O121" s="440"/>
    </row>
    <row r="122" spans="1:15" s="237" customFormat="1" ht="15" hidden="1" customHeight="1" outlineLevel="2" x14ac:dyDescent="0.25">
      <c r="A122" s="363"/>
      <c r="B122" s="1145"/>
      <c r="C122" s="436"/>
      <c r="D122" s="436"/>
      <c r="E122" s="438"/>
      <c r="F122" s="438"/>
      <c r="G122" s="1020" t="str">
        <f>IF(OR(D122="",D122="-"),"",VLOOKUP(D122,'Fatores de Emissão'!E133:K181,3,FALSE))</f>
        <v/>
      </c>
      <c r="H122" s="450" t="str">
        <f>IF(OR($D122="",$D122="-"),"",VLOOKUP($D122,'Fatores de Emissão'!$E$114:$K$173,2,FALSE))</f>
        <v/>
      </c>
      <c r="I122" s="450" t="str">
        <f>IF(OR($D122="",$D122="-"),"",VLOOKUP($D122,'Fatores de Emissão'!$E$114:$K$173,4,FALSE))</f>
        <v/>
      </c>
      <c r="J122" s="450" t="str">
        <f>IF(OR($D122="",$D122="-"),"",VLOOKUP($D122,'Fatores de Emissão'!$E$114:$K$173,6,FALSE))</f>
        <v/>
      </c>
      <c r="K122" s="450" t="str">
        <f>IF($D122="","",IF($G122="kg/km",H122*$E122/1000,IF($G122="kg/p.km",$E122*$F122*H122/1000,$E122*#REF!*H122/1000)))</f>
        <v/>
      </c>
      <c r="L122" s="450" t="str">
        <f>IF($D122="","",IF($G122="kg/km",I122*$E122/1000,IF($G122="kg/p.km",$E122*$F122*I122/1000,$E122*#REF!*I122/1000)))</f>
        <v/>
      </c>
      <c r="M122" s="450" t="str">
        <f>IF($D122="","",IF($G122="kg/km",J122*$E122/1000,IF($G122="kg/p.km",$E122*$F122*J122/1000,$E122*#REF!*J122/1000)))</f>
        <v/>
      </c>
      <c r="N122" s="451" t="str">
        <f t="shared" si="4"/>
        <v/>
      </c>
      <c r="O122" s="440"/>
    </row>
    <row r="123" spans="1:15" s="237" customFormat="1" ht="15" hidden="1" customHeight="1" outlineLevel="2" x14ac:dyDescent="0.25">
      <c r="A123" s="363"/>
      <c r="B123" s="1145"/>
      <c r="C123" s="436"/>
      <c r="D123" s="436"/>
      <c r="E123" s="438"/>
      <c r="F123" s="438"/>
      <c r="G123" s="1020" t="str">
        <f>IF(OR(D123="",D123="-"),"",VLOOKUP(D123,'Fatores de Emissão'!E134:K182,3,FALSE))</f>
        <v/>
      </c>
      <c r="H123" s="450" t="str">
        <f>IF(OR($D123="",$D123="-"),"",VLOOKUP($D123,'Fatores de Emissão'!$E$114:$K$173,2,FALSE))</f>
        <v/>
      </c>
      <c r="I123" s="450" t="str">
        <f>IF(OR($D123="",$D123="-"),"",VLOOKUP($D123,'Fatores de Emissão'!$E$114:$K$173,4,FALSE))</f>
        <v/>
      </c>
      <c r="J123" s="450" t="str">
        <f>IF(OR($D123="",$D123="-"),"",VLOOKUP($D123,'Fatores de Emissão'!$E$114:$K$173,6,FALSE))</f>
        <v/>
      </c>
      <c r="K123" s="450" t="str">
        <f>IF($D123="","",IF($G123="kg/km",H123*$E123/1000,IF($G123="kg/p.km",$E123*$F123*H123/1000,$E123*#REF!*H123/1000)))</f>
        <v/>
      </c>
      <c r="L123" s="450" t="str">
        <f>IF($D123="","",IF($G123="kg/km",I123*$E123/1000,IF($G123="kg/p.km",$E123*$F123*I123/1000,$E123*#REF!*I123/1000)))</f>
        <v/>
      </c>
      <c r="M123" s="450" t="str">
        <f>IF($D123="","",IF($G123="kg/km",J123*$E123/1000,IF($G123="kg/p.km",$E123*$F123*J123/1000,$E123*#REF!*J123/1000)))</f>
        <v/>
      </c>
      <c r="N123" s="451" t="str">
        <f t="shared" si="4"/>
        <v/>
      </c>
      <c r="O123" s="440"/>
    </row>
    <row r="124" spans="1:15" s="237" customFormat="1" ht="15" hidden="1" customHeight="1" outlineLevel="2" x14ac:dyDescent="0.25">
      <c r="A124" s="363"/>
      <c r="B124" s="1145"/>
      <c r="C124" s="436"/>
      <c r="D124" s="436"/>
      <c r="E124" s="438"/>
      <c r="F124" s="438"/>
      <c r="G124" s="1020" t="str">
        <f>IF(OR(D124="",D124="-"),"",VLOOKUP(D124,'Fatores de Emissão'!E135:K183,3,FALSE))</f>
        <v/>
      </c>
      <c r="H124" s="450" t="str">
        <f>IF(OR($D124="",$D124="-"),"",VLOOKUP($D124,'Fatores de Emissão'!$E$114:$K$173,2,FALSE))</f>
        <v/>
      </c>
      <c r="I124" s="450" t="str">
        <f>IF(OR($D124="",$D124="-"),"",VLOOKUP($D124,'Fatores de Emissão'!$E$114:$K$173,4,FALSE))</f>
        <v/>
      </c>
      <c r="J124" s="450" t="str">
        <f>IF(OR($D124="",$D124="-"),"",VLOOKUP($D124,'Fatores de Emissão'!$E$114:$K$173,6,FALSE))</f>
        <v/>
      </c>
      <c r="K124" s="450" t="str">
        <f>IF($D124="","",IF($G124="kg/km",H124*$E124/1000,IF($G124="kg/p.km",$E124*$F124*H124/1000,$E124*#REF!*H124/1000)))</f>
        <v/>
      </c>
      <c r="L124" s="450" t="str">
        <f>IF($D124="","",IF($G124="kg/km",I124*$E124/1000,IF($G124="kg/p.km",$E124*$F124*I124/1000,$E124*#REF!*I124/1000)))</f>
        <v/>
      </c>
      <c r="M124" s="450" t="str">
        <f>IF($D124="","",IF($G124="kg/km",J124*$E124/1000,IF($G124="kg/p.km",$E124*$F124*J124/1000,$E124*#REF!*J124/1000)))</f>
        <v/>
      </c>
      <c r="N124" s="451" t="str">
        <f t="shared" si="4"/>
        <v/>
      </c>
      <c r="O124" s="440"/>
    </row>
    <row r="125" spans="1:15" s="237" customFormat="1" ht="15" hidden="1" customHeight="1" outlineLevel="2" x14ac:dyDescent="0.25">
      <c r="A125" s="363"/>
      <c r="B125" s="1145"/>
      <c r="C125" s="436"/>
      <c r="D125" s="436"/>
      <c r="E125" s="438"/>
      <c r="F125" s="438"/>
      <c r="G125" s="1020" t="str">
        <f>IF(OR(D125="",D125="-"),"",VLOOKUP(D125,'Fatores de Emissão'!E136:K184,3,FALSE))</f>
        <v/>
      </c>
      <c r="H125" s="450" t="str">
        <f>IF(OR($D125="",$D125="-"),"",VLOOKUP($D125,'Fatores de Emissão'!$E$114:$K$173,2,FALSE))</f>
        <v/>
      </c>
      <c r="I125" s="450" t="str">
        <f>IF(OR($D125="",$D125="-"),"",VLOOKUP($D125,'Fatores de Emissão'!$E$114:$K$173,4,FALSE))</f>
        <v/>
      </c>
      <c r="J125" s="450" t="str">
        <f>IF(OR($D125="",$D125="-"),"",VLOOKUP($D125,'Fatores de Emissão'!$E$114:$K$173,6,FALSE))</f>
        <v/>
      </c>
      <c r="K125" s="450" t="str">
        <f>IF($D125="","",IF($G125="kg/km",H125*$E125/1000,IF($G125="kg/p.km",$E125*$F125*H125/1000,$E125*#REF!*H125/1000)))</f>
        <v/>
      </c>
      <c r="L125" s="450" t="str">
        <f>IF($D125="","",IF($G125="kg/km",I125*$E125/1000,IF($G125="kg/p.km",$E125*$F125*I125/1000,$E125*#REF!*I125/1000)))</f>
        <v/>
      </c>
      <c r="M125" s="450" t="str">
        <f>IF($D125="","",IF($G125="kg/km",J125*$E125/1000,IF($G125="kg/p.km",$E125*$F125*J125/1000,$E125*#REF!*J125/1000)))</f>
        <v/>
      </c>
      <c r="N125" s="451" t="str">
        <f t="shared" si="4"/>
        <v/>
      </c>
      <c r="O125" s="440"/>
    </row>
    <row r="126" spans="1:15" s="237" customFormat="1" ht="15" hidden="1" customHeight="1" outlineLevel="2" x14ac:dyDescent="0.25">
      <c r="A126" s="363"/>
      <c r="B126" s="1145"/>
      <c r="C126" s="436"/>
      <c r="D126" s="436"/>
      <c r="E126" s="438"/>
      <c r="F126" s="438"/>
      <c r="G126" s="1020" t="str">
        <f>IF(OR(D126="",D126="-"),"",VLOOKUP(D126,'Fatores de Emissão'!E137:K185,3,FALSE))</f>
        <v/>
      </c>
      <c r="H126" s="450" t="str">
        <f>IF(OR($D126="",$D126="-"),"",VLOOKUP($D126,'Fatores de Emissão'!$E$114:$K$173,2,FALSE))</f>
        <v/>
      </c>
      <c r="I126" s="450" t="str">
        <f>IF(OR($D126="",$D126="-"),"",VLOOKUP($D126,'Fatores de Emissão'!$E$114:$K$173,4,FALSE))</f>
        <v/>
      </c>
      <c r="J126" s="450" t="str">
        <f>IF(OR($D126="",$D126="-"),"",VLOOKUP($D126,'Fatores de Emissão'!$E$114:$K$173,6,FALSE))</f>
        <v/>
      </c>
      <c r="K126" s="450" t="str">
        <f>IF($D126="","",IF($G126="kg/km",H126*$E126/1000,IF($G126="kg/p.km",$E126*$F126*H126/1000,$E126*#REF!*H126/1000)))</f>
        <v/>
      </c>
      <c r="L126" s="450" t="str">
        <f>IF($D126="","",IF($G126="kg/km",I126*$E126/1000,IF($G126="kg/p.km",$E126*$F126*I126/1000,$E126*#REF!*I126/1000)))</f>
        <v/>
      </c>
      <c r="M126" s="450" t="str">
        <f>IF($D126="","",IF($G126="kg/km",J126*$E126/1000,IF($G126="kg/p.km",$E126*$F126*J126/1000,$E126*#REF!*J126/1000)))</f>
        <v/>
      </c>
      <c r="N126" s="451" t="str">
        <f t="shared" si="4"/>
        <v/>
      </c>
      <c r="O126" s="440"/>
    </row>
    <row r="127" spans="1:15" s="237" customFormat="1" ht="15" hidden="1" customHeight="1" outlineLevel="2" x14ac:dyDescent="0.25">
      <c r="A127" s="363"/>
      <c r="B127" s="1145"/>
      <c r="C127" s="436"/>
      <c r="D127" s="436"/>
      <c r="E127" s="438"/>
      <c r="F127" s="438"/>
      <c r="G127" s="1020" t="str">
        <f>IF(OR(D127="",D127="-"),"",VLOOKUP(D127,'Fatores de Emissão'!E138:K186,3,FALSE))</f>
        <v/>
      </c>
      <c r="H127" s="450" t="str">
        <f>IF(OR($D127="",$D127="-"),"",VLOOKUP($D127,'Fatores de Emissão'!$E$114:$K$173,2,FALSE))</f>
        <v/>
      </c>
      <c r="I127" s="450" t="str">
        <f>IF(OR($D127="",$D127="-"),"",VLOOKUP($D127,'Fatores de Emissão'!$E$114:$K$173,4,FALSE))</f>
        <v/>
      </c>
      <c r="J127" s="450" t="str">
        <f>IF(OR($D127="",$D127="-"),"",VLOOKUP($D127,'Fatores de Emissão'!$E$114:$K$173,6,FALSE))</f>
        <v/>
      </c>
      <c r="K127" s="450" t="str">
        <f>IF($D127="","",IF($G127="kg/km",H127*$E127/1000,IF($G127="kg/p.km",$E127*$F127*H127/1000,$E127*#REF!*H127/1000)))</f>
        <v/>
      </c>
      <c r="L127" s="450" t="str">
        <f>IF($D127="","",IF($G127="kg/km",I127*$E127/1000,IF($G127="kg/p.km",$E127*$F127*I127/1000,$E127*#REF!*I127/1000)))</f>
        <v/>
      </c>
      <c r="M127" s="450" t="str">
        <f>IF($D127="","",IF($G127="kg/km",J127*$E127/1000,IF($G127="kg/p.km",$E127*$F127*J127/1000,$E127*#REF!*J127/1000)))</f>
        <v/>
      </c>
      <c r="N127" s="451" t="str">
        <f t="shared" si="4"/>
        <v/>
      </c>
      <c r="O127" s="440"/>
    </row>
    <row r="128" spans="1:15" s="237" customFormat="1" ht="15" hidden="1" customHeight="1" outlineLevel="2" x14ac:dyDescent="0.25">
      <c r="A128" s="363"/>
      <c r="B128" s="1145"/>
      <c r="C128" s="436"/>
      <c r="D128" s="436"/>
      <c r="E128" s="438"/>
      <c r="F128" s="438"/>
      <c r="G128" s="1020" t="str">
        <f>IF(OR(D128="",D128="-"),"",VLOOKUP(D128,'Fatores de Emissão'!E139:K187,3,FALSE))</f>
        <v/>
      </c>
      <c r="H128" s="450" t="str">
        <f>IF(OR($D128="",$D128="-"),"",VLOOKUP($D128,'Fatores de Emissão'!$E$114:$K$173,2,FALSE))</f>
        <v/>
      </c>
      <c r="I128" s="450" t="str">
        <f>IF(OR($D128="",$D128="-"),"",VLOOKUP($D128,'Fatores de Emissão'!$E$114:$K$173,4,FALSE))</f>
        <v/>
      </c>
      <c r="J128" s="450" t="str">
        <f>IF(OR($D128="",$D128="-"),"",VLOOKUP($D128,'Fatores de Emissão'!$E$114:$K$173,6,FALSE))</f>
        <v/>
      </c>
      <c r="K128" s="450" t="str">
        <f>IF($D128="","",IF($G128="kg/km",H128*$E128/1000,IF($G128="kg/p.km",$E128*$F128*H128/1000,$E128*#REF!*H128/1000)))</f>
        <v/>
      </c>
      <c r="L128" s="450" t="str">
        <f>IF($D128="","",IF($G128="kg/km",I128*$E128/1000,IF($G128="kg/p.km",$E128*$F128*I128/1000,$E128*#REF!*I128/1000)))</f>
        <v/>
      </c>
      <c r="M128" s="450" t="str">
        <f>IF($D128="","",IF($G128="kg/km",J128*$E128/1000,IF($G128="kg/p.km",$E128*$F128*J128/1000,$E128*#REF!*J128/1000)))</f>
        <v/>
      </c>
      <c r="N128" s="451" t="str">
        <f t="shared" si="4"/>
        <v/>
      </c>
      <c r="O128" s="440"/>
    </row>
    <row r="129" spans="1:15" s="237" customFormat="1" ht="15" hidden="1" customHeight="1" outlineLevel="2" x14ac:dyDescent="0.25">
      <c r="A129" s="363"/>
      <c r="B129" s="1145"/>
      <c r="C129" s="436"/>
      <c r="D129" s="436"/>
      <c r="E129" s="438"/>
      <c r="F129" s="438"/>
      <c r="G129" s="1020" t="str">
        <f>IF(OR(D129="",D129="-"),"",VLOOKUP(D129,'Fatores de Emissão'!E140:K188,3,FALSE))</f>
        <v/>
      </c>
      <c r="H129" s="450" t="str">
        <f>IF(OR($D129="",$D129="-"),"",VLOOKUP($D129,'Fatores de Emissão'!$E$114:$K$173,2,FALSE))</f>
        <v/>
      </c>
      <c r="I129" s="450" t="str">
        <f>IF(OR($D129="",$D129="-"),"",VLOOKUP($D129,'Fatores de Emissão'!$E$114:$K$173,4,FALSE))</f>
        <v/>
      </c>
      <c r="J129" s="450" t="str">
        <f>IF(OR($D129="",$D129="-"),"",VLOOKUP($D129,'Fatores de Emissão'!$E$114:$K$173,6,FALSE))</f>
        <v/>
      </c>
      <c r="K129" s="450" t="str">
        <f>IF($D129="","",IF($G129="kg/km",H129*$E129/1000,IF($G129="kg/p.km",$E129*$F129*H129/1000,$E129*#REF!*H129/1000)))</f>
        <v/>
      </c>
      <c r="L129" s="450" t="str">
        <f>IF($D129="","",IF($G129="kg/km",I129*$E129/1000,IF($G129="kg/p.km",$E129*$F129*I129/1000,$E129*#REF!*I129/1000)))</f>
        <v/>
      </c>
      <c r="M129" s="450" t="str">
        <f>IF($D129="","",IF($G129="kg/km",J129*$E129/1000,IF($G129="kg/p.km",$E129*$F129*J129/1000,$E129*#REF!*J129/1000)))</f>
        <v/>
      </c>
      <c r="N129" s="451" t="str">
        <f t="shared" si="4"/>
        <v/>
      </c>
      <c r="O129" s="440"/>
    </row>
    <row r="130" spans="1:15" s="237" customFormat="1" ht="15" hidden="1" customHeight="1" outlineLevel="2" x14ac:dyDescent="0.25">
      <c r="A130" s="363"/>
      <c r="B130" s="1145"/>
      <c r="C130" s="436"/>
      <c r="D130" s="436"/>
      <c r="E130" s="438"/>
      <c r="F130" s="438"/>
      <c r="G130" s="1020" t="str">
        <f>IF(OR(D130="",D130="-"),"",VLOOKUP(D130,'Fatores de Emissão'!E141:K189,3,FALSE))</f>
        <v/>
      </c>
      <c r="H130" s="450" t="str">
        <f>IF(OR($D130="",$D130="-"),"",VLOOKUP($D130,'Fatores de Emissão'!$E$114:$K$173,2,FALSE))</f>
        <v/>
      </c>
      <c r="I130" s="450" t="str">
        <f>IF(OR($D130="",$D130="-"),"",VLOOKUP($D130,'Fatores de Emissão'!$E$114:$K$173,4,FALSE))</f>
        <v/>
      </c>
      <c r="J130" s="450" t="str">
        <f>IF(OR($D130="",$D130="-"),"",VLOOKUP($D130,'Fatores de Emissão'!$E$114:$K$173,6,FALSE))</f>
        <v/>
      </c>
      <c r="K130" s="450" t="str">
        <f>IF($D130="","",IF($G130="kg/km",H130*$E130/1000,IF($G130="kg/p.km",$E130*$F130*H130/1000,$E130*#REF!*H130/1000)))</f>
        <v/>
      </c>
      <c r="L130" s="450" t="str">
        <f>IF($D130="","",IF($G130="kg/km",I130*$E130/1000,IF($G130="kg/p.km",$E130*$F130*I130/1000,$E130*#REF!*I130/1000)))</f>
        <v/>
      </c>
      <c r="M130" s="450" t="str">
        <f>IF($D130="","",IF($G130="kg/km",J130*$E130/1000,IF($G130="kg/p.km",$E130*$F130*J130/1000,$E130*#REF!*J130/1000)))</f>
        <v/>
      </c>
      <c r="N130" s="451" t="str">
        <f t="shared" si="4"/>
        <v/>
      </c>
      <c r="O130" s="440"/>
    </row>
    <row r="131" spans="1:15" s="237" customFormat="1" ht="15" hidden="1" customHeight="1" outlineLevel="2" x14ac:dyDescent="0.25">
      <c r="A131" s="363"/>
      <c r="B131" s="1145"/>
      <c r="C131" s="436"/>
      <c r="D131" s="436"/>
      <c r="E131" s="438"/>
      <c r="F131" s="438"/>
      <c r="G131" s="1020" t="str">
        <f>IF(OR(D131="",D131="-"),"",VLOOKUP(D131,'Fatores de Emissão'!E142:K190,3,FALSE))</f>
        <v/>
      </c>
      <c r="H131" s="450" t="str">
        <f>IF(OR($D131="",$D131="-"),"",VLOOKUP($D131,'Fatores de Emissão'!$E$114:$K$173,2,FALSE))</f>
        <v/>
      </c>
      <c r="I131" s="450" t="str">
        <f>IF(OR($D131="",$D131="-"),"",VLOOKUP($D131,'Fatores de Emissão'!$E$114:$K$173,4,FALSE))</f>
        <v/>
      </c>
      <c r="J131" s="450" t="str">
        <f>IF(OR($D131="",$D131="-"),"",VLOOKUP($D131,'Fatores de Emissão'!$E$114:$K$173,6,FALSE))</f>
        <v/>
      </c>
      <c r="K131" s="450" t="str">
        <f>IF($D131="","",IF($G131="kg/km",H131*$E131/1000,IF($G131="kg/p.km",$E131*$F131*H131/1000,$E131*#REF!*H131/1000)))</f>
        <v/>
      </c>
      <c r="L131" s="450" t="str">
        <f>IF($D131="","",IF($G131="kg/km",I131*$E131/1000,IF($G131="kg/p.km",$E131*$F131*I131/1000,$E131*#REF!*I131/1000)))</f>
        <v/>
      </c>
      <c r="M131" s="450" t="str">
        <f>IF($D131="","",IF($G131="kg/km",J131*$E131/1000,IF($G131="kg/p.km",$E131*$F131*J131/1000,$E131*#REF!*J131/1000)))</f>
        <v/>
      </c>
      <c r="N131" s="451" t="str">
        <f t="shared" si="4"/>
        <v/>
      </c>
      <c r="O131" s="440"/>
    </row>
    <row r="132" spans="1:15" s="237" customFormat="1" ht="15" hidden="1" customHeight="1" outlineLevel="2" x14ac:dyDescent="0.25">
      <c r="A132" s="363"/>
      <c r="B132" s="1145"/>
      <c r="C132" s="436"/>
      <c r="D132" s="436"/>
      <c r="E132" s="438"/>
      <c r="F132" s="438"/>
      <c r="G132" s="1020" t="str">
        <f>IF(OR(D132="",D132="-"),"",VLOOKUP(D132,'Fatores de Emissão'!E143:K191,3,FALSE))</f>
        <v/>
      </c>
      <c r="H132" s="450" t="str">
        <f>IF(OR($D132="",$D132="-"),"",VLOOKUP($D132,'Fatores de Emissão'!$E$114:$K$173,2,FALSE))</f>
        <v/>
      </c>
      <c r="I132" s="450" t="str">
        <f>IF(OR($D132="",$D132="-"),"",VLOOKUP($D132,'Fatores de Emissão'!$E$114:$K$173,4,FALSE))</f>
        <v/>
      </c>
      <c r="J132" s="450" t="str">
        <f>IF(OR($D132="",$D132="-"),"",VLOOKUP($D132,'Fatores de Emissão'!$E$114:$K$173,6,FALSE))</f>
        <v/>
      </c>
      <c r="K132" s="450" t="str">
        <f>IF($D132="","",IF($G132="kg/km",H132*$E132/1000,IF($G132="kg/p.km",$E132*$F132*H132/1000,$E132*#REF!*H132/1000)))</f>
        <v/>
      </c>
      <c r="L132" s="450" t="str">
        <f>IF($D132="","",IF($G132="kg/km",I132*$E132/1000,IF($G132="kg/p.km",$E132*$F132*I132/1000,$E132*#REF!*I132/1000)))</f>
        <v/>
      </c>
      <c r="M132" s="450" t="str">
        <f>IF($D132="","",IF($G132="kg/km",J132*$E132/1000,IF($G132="kg/p.km",$E132*$F132*J132/1000,$E132*#REF!*J132/1000)))</f>
        <v/>
      </c>
      <c r="N132" s="451" t="str">
        <f t="shared" si="4"/>
        <v/>
      </c>
      <c r="O132" s="440"/>
    </row>
    <row r="133" spans="1:15" s="237" customFormat="1" ht="15" hidden="1" customHeight="1" outlineLevel="2" x14ac:dyDescent="0.25">
      <c r="A133" s="363"/>
      <c r="B133" s="1145"/>
      <c r="C133" s="436"/>
      <c r="D133" s="436"/>
      <c r="E133" s="438"/>
      <c r="F133" s="438"/>
      <c r="G133" s="1020" t="str">
        <f>IF(OR(D133="",D133="-"),"",VLOOKUP(D133,'Fatores de Emissão'!E144:K192,3,FALSE))</f>
        <v/>
      </c>
      <c r="H133" s="450" t="str">
        <f>IF(OR($D133="",$D133="-"),"",VLOOKUP($D133,'Fatores de Emissão'!$E$114:$K$173,2,FALSE))</f>
        <v/>
      </c>
      <c r="I133" s="450" t="str">
        <f>IF(OR($D133="",$D133="-"),"",VLOOKUP($D133,'Fatores de Emissão'!$E$114:$K$173,4,FALSE))</f>
        <v/>
      </c>
      <c r="J133" s="450" t="str">
        <f>IF(OR($D133="",$D133="-"),"",VLOOKUP($D133,'Fatores de Emissão'!$E$114:$K$173,6,FALSE))</f>
        <v/>
      </c>
      <c r="K133" s="450" t="str">
        <f>IF($D133="","",IF($G133="kg/km",H133*$E133/1000,IF($G133="kg/p.km",$E133*$F133*H133/1000,$E133*#REF!*H133/1000)))</f>
        <v/>
      </c>
      <c r="L133" s="450" t="str">
        <f>IF($D133="","",IF($G133="kg/km",I133*$E133/1000,IF($G133="kg/p.km",$E133*$F133*I133/1000,$E133*#REF!*I133/1000)))</f>
        <v/>
      </c>
      <c r="M133" s="450" t="str">
        <f>IF($D133="","",IF($G133="kg/km",J133*$E133/1000,IF($G133="kg/p.km",$E133*$F133*J133/1000,$E133*#REF!*J133/1000)))</f>
        <v/>
      </c>
      <c r="N133" s="451" t="str">
        <f t="shared" si="4"/>
        <v/>
      </c>
      <c r="O133" s="440"/>
    </row>
    <row r="134" spans="1:15" s="237" customFormat="1" ht="15" hidden="1" customHeight="1" outlineLevel="2" x14ac:dyDescent="0.25">
      <c r="A134" s="363"/>
      <c r="B134" s="1145"/>
      <c r="C134" s="436"/>
      <c r="D134" s="436"/>
      <c r="E134" s="438"/>
      <c r="F134" s="438"/>
      <c r="G134" s="1020" t="str">
        <f>IF(OR(D134="",D134="-"),"",VLOOKUP(D134,'Fatores de Emissão'!E145:K193,3,FALSE))</f>
        <v/>
      </c>
      <c r="H134" s="450" t="str">
        <f>IF(OR($D134="",$D134="-"),"",VLOOKUP($D134,'Fatores de Emissão'!$E$114:$K$173,2,FALSE))</f>
        <v/>
      </c>
      <c r="I134" s="450" t="str">
        <f>IF(OR($D134="",$D134="-"),"",VLOOKUP($D134,'Fatores de Emissão'!$E$114:$K$173,4,FALSE))</f>
        <v/>
      </c>
      <c r="J134" s="450" t="str">
        <f>IF(OR($D134="",$D134="-"),"",VLOOKUP($D134,'Fatores de Emissão'!$E$114:$K$173,6,FALSE))</f>
        <v/>
      </c>
      <c r="K134" s="450" t="str">
        <f>IF($D134="","",IF($G134="kg/km",H134*$E134/1000,IF($G134="kg/p.km",$E134*$F134*H134/1000,$E134*#REF!*H134/1000)))</f>
        <v/>
      </c>
      <c r="L134" s="450" t="str">
        <f>IF($D134="","",IF($G134="kg/km",I134*$E134/1000,IF($G134="kg/p.km",$E134*$F134*I134/1000,$E134*#REF!*I134/1000)))</f>
        <v/>
      </c>
      <c r="M134" s="450" t="str">
        <f>IF($D134="","",IF($G134="kg/km",J134*$E134/1000,IF($G134="kg/p.km",$E134*$F134*J134/1000,$E134*#REF!*J134/1000)))</f>
        <v/>
      </c>
      <c r="N134" s="451" t="str">
        <f t="shared" si="4"/>
        <v/>
      </c>
      <c r="O134" s="440"/>
    </row>
    <row r="135" spans="1:15" s="237" customFormat="1" ht="15" hidden="1" customHeight="1" outlineLevel="2" x14ac:dyDescent="0.25">
      <c r="A135" s="363"/>
      <c r="B135" s="1145"/>
      <c r="C135" s="436"/>
      <c r="D135" s="436"/>
      <c r="E135" s="438"/>
      <c r="F135" s="438"/>
      <c r="G135" s="1020" t="str">
        <f>IF(OR(D135="",D135="-"),"",VLOOKUP(D135,'Fatores de Emissão'!E146:K194,3,FALSE))</f>
        <v/>
      </c>
      <c r="H135" s="450" t="str">
        <f>IF(OR($D135="",$D135="-"),"",VLOOKUP($D135,'Fatores de Emissão'!$E$114:$K$173,2,FALSE))</f>
        <v/>
      </c>
      <c r="I135" s="450" t="str">
        <f>IF(OR($D135="",$D135="-"),"",VLOOKUP($D135,'Fatores de Emissão'!$E$114:$K$173,4,FALSE))</f>
        <v/>
      </c>
      <c r="J135" s="450" t="str">
        <f>IF(OR($D135="",$D135="-"),"",VLOOKUP($D135,'Fatores de Emissão'!$E$114:$K$173,6,FALSE))</f>
        <v/>
      </c>
      <c r="K135" s="450" t="str">
        <f>IF($D135="","",IF($G135="kg/km",H135*$E135/1000,IF($G135="kg/p.km",$E135*$F135*H135/1000,$E135*#REF!*H135/1000)))</f>
        <v/>
      </c>
      <c r="L135" s="450" t="str">
        <f>IF($D135="","",IF($G135="kg/km",I135*$E135/1000,IF($G135="kg/p.km",$E135*$F135*I135/1000,$E135*#REF!*I135/1000)))</f>
        <v/>
      </c>
      <c r="M135" s="450" t="str">
        <f>IF($D135="","",IF($G135="kg/km",J135*$E135/1000,IF($G135="kg/p.km",$E135*$F135*J135/1000,$E135*#REF!*J135/1000)))</f>
        <v/>
      </c>
      <c r="N135" s="451" t="str">
        <f t="shared" si="4"/>
        <v/>
      </c>
      <c r="O135" s="440"/>
    </row>
    <row r="136" spans="1:15" s="237" customFormat="1" ht="15" hidden="1" customHeight="1" outlineLevel="2" x14ac:dyDescent="0.25">
      <c r="A136" s="363"/>
      <c r="B136" s="1145"/>
      <c r="C136" s="436"/>
      <c r="D136" s="436"/>
      <c r="E136" s="438"/>
      <c r="F136" s="438"/>
      <c r="G136" s="1020" t="str">
        <f>IF(OR(D136="",D136="-"),"",VLOOKUP(D136,'Fatores de Emissão'!E147:K195,3,FALSE))</f>
        <v/>
      </c>
      <c r="H136" s="450" t="str">
        <f>IF(OR($D136="",$D136="-"),"",VLOOKUP($D136,'Fatores de Emissão'!$E$114:$K$173,2,FALSE))</f>
        <v/>
      </c>
      <c r="I136" s="450" t="str">
        <f>IF(OR($D136="",$D136="-"),"",VLOOKUP($D136,'Fatores de Emissão'!$E$114:$K$173,4,FALSE))</f>
        <v/>
      </c>
      <c r="J136" s="450" t="str">
        <f>IF(OR($D136="",$D136="-"),"",VLOOKUP($D136,'Fatores de Emissão'!$E$114:$K$173,6,FALSE))</f>
        <v/>
      </c>
      <c r="K136" s="450" t="str">
        <f>IF($D136="","",IF($G136="kg/km",H136*$E136/1000,IF($G136="kg/p.km",$E136*$F136*H136/1000,$E136*#REF!*H136/1000)))</f>
        <v/>
      </c>
      <c r="L136" s="450" t="str">
        <f>IF($D136="","",IF($G136="kg/km",I136*$E136/1000,IF($G136="kg/p.km",$E136*$F136*I136/1000,$E136*#REF!*I136/1000)))</f>
        <v/>
      </c>
      <c r="M136" s="450" t="str">
        <f>IF($D136="","",IF($G136="kg/km",J136*$E136/1000,IF($G136="kg/p.km",$E136*$F136*J136/1000,$E136*#REF!*J136/1000)))</f>
        <v/>
      </c>
      <c r="N136" s="451" t="str">
        <f t="shared" si="4"/>
        <v/>
      </c>
      <c r="O136" s="440"/>
    </row>
    <row r="137" spans="1:15" s="237" customFormat="1" ht="15" hidden="1" customHeight="1" outlineLevel="2" x14ac:dyDescent="0.25">
      <c r="A137" s="363"/>
      <c r="B137" s="1145"/>
      <c r="C137" s="436"/>
      <c r="D137" s="436"/>
      <c r="E137" s="438"/>
      <c r="F137" s="438"/>
      <c r="G137" s="1020" t="str">
        <f>IF(OR(D137="",D137="-"),"",VLOOKUP(D137,'Fatores de Emissão'!E148:K196,3,FALSE))</f>
        <v/>
      </c>
      <c r="H137" s="450" t="str">
        <f>IF(OR($D137="",$D137="-"),"",VLOOKUP($D137,'Fatores de Emissão'!$E$114:$K$173,2,FALSE))</f>
        <v/>
      </c>
      <c r="I137" s="450" t="str">
        <f>IF(OR($D137="",$D137="-"),"",VLOOKUP($D137,'Fatores de Emissão'!$E$114:$K$173,4,FALSE))</f>
        <v/>
      </c>
      <c r="J137" s="450" t="str">
        <f>IF(OR($D137="",$D137="-"),"",VLOOKUP($D137,'Fatores de Emissão'!$E$114:$K$173,6,FALSE))</f>
        <v/>
      </c>
      <c r="K137" s="450" t="str">
        <f>IF($D137="","",IF($G137="kg/km",H137*$E137/1000,IF($G137="kg/p.km",$E137*$F137*H137/1000,$E137*#REF!*H137/1000)))</f>
        <v/>
      </c>
      <c r="L137" s="450" t="str">
        <f>IF($D137="","",IF($G137="kg/km",I137*$E137/1000,IF($G137="kg/p.km",$E137*$F137*I137/1000,$E137*#REF!*I137/1000)))</f>
        <v/>
      </c>
      <c r="M137" s="450" t="str">
        <f>IF($D137="","",IF($G137="kg/km",J137*$E137/1000,IF($G137="kg/p.km",$E137*$F137*J137/1000,$E137*#REF!*J137/1000)))</f>
        <v/>
      </c>
      <c r="N137" s="451" t="str">
        <f t="shared" si="4"/>
        <v/>
      </c>
      <c r="O137" s="440"/>
    </row>
    <row r="138" spans="1:15" s="237" customFormat="1" ht="15" hidden="1" customHeight="1" outlineLevel="2" x14ac:dyDescent="0.25">
      <c r="A138" s="363"/>
      <c r="B138" s="1145"/>
      <c r="C138" s="436"/>
      <c r="D138" s="436"/>
      <c r="E138" s="438"/>
      <c r="F138" s="438"/>
      <c r="G138" s="1020" t="str">
        <f>IF(OR(D138="",D138="-"),"",VLOOKUP(D138,'Fatores de Emissão'!E149:K197,3,FALSE))</f>
        <v/>
      </c>
      <c r="H138" s="450" t="str">
        <f>IF(OR($D138="",$D138="-"),"",VLOOKUP($D138,'Fatores de Emissão'!$E$114:$K$173,2,FALSE))</f>
        <v/>
      </c>
      <c r="I138" s="450" t="str">
        <f>IF(OR($D138="",$D138="-"),"",VLOOKUP($D138,'Fatores de Emissão'!$E$114:$K$173,4,FALSE))</f>
        <v/>
      </c>
      <c r="J138" s="450" t="str">
        <f>IF(OR($D138="",$D138="-"),"",VLOOKUP($D138,'Fatores de Emissão'!$E$114:$K$173,6,FALSE))</f>
        <v/>
      </c>
      <c r="K138" s="450" t="str">
        <f>IF($D138="","",IF($G138="kg/km",H138*$E138/1000,IF($G138="kg/p.km",$E138*$F138*H138/1000,$E138*#REF!*H138/1000)))</f>
        <v/>
      </c>
      <c r="L138" s="450" t="str">
        <f>IF($D138="","",IF($G138="kg/km",I138*$E138/1000,IF($G138="kg/p.km",$E138*$F138*I138/1000,$E138*#REF!*I138/1000)))</f>
        <v/>
      </c>
      <c r="M138" s="450" t="str">
        <f>IF($D138="","",IF($G138="kg/km",J138*$E138/1000,IF($G138="kg/p.km",$E138*$F138*J138/1000,$E138*#REF!*J138/1000)))</f>
        <v/>
      </c>
      <c r="N138" s="451" t="str">
        <f t="shared" si="4"/>
        <v/>
      </c>
      <c r="O138" s="440"/>
    </row>
    <row r="139" spans="1:15" s="237" customFormat="1" ht="15" hidden="1" customHeight="1" outlineLevel="2" x14ac:dyDescent="0.25">
      <c r="A139" s="363"/>
      <c r="B139" s="1145"/>
      <c r="C139" s="436"/>
      <c r="D139" s="436"/>
      <c r="E139" s="438"/>
      <c r="F139" s="438"/>
      <c r="G139" s="1020" t="str">
        <f>IF(OR(D139="",D139="-"),"",VLOOKUP(D139,'Fatores de Emissão'!E150:K198,3,FALSE))</f>
        <v/>
      </c>
      <c r="H139" s="450" t="str">
        <f>IF(OR($D139="",$D139="-"),"",VLOOKUP($D139,'Fatores de Emissão'!$E$114:$K$173,2,FALSE))</f>
        <v/>
      </c>
      <c r="I139" s="450" t="str">
        <f>IF(OR($D139="",$D139="-"),"",VLOOKUP($D139,'Fatores de Emissão'!$E$114:$K$173,4,FALSE))</f>
        <v/>
      </c>
      <c r="J139" s="450" t="str">
        <f>IF(OR($D139="",$D139="-"),"",VLOOKUP($D139,'Fatores de Emissão'!$E$114:$K$173,6,FALSE))</f>
        <v/>
      </c>
      <c r="K139" s="450" t="str">
        <f>IF($D139="","",IF($G139="kg/km",H139*$E139/1000,IF($G139="kg/p.km",$E139*$F139*H139/1000,$E139*#REF!*H139/1000)))</f>
        <v/>
      </c>
      <c r="L139" s="450" t="str">
        <f>IF($D139="","",IF($G139="kg/km",I139*$E139/1000,IF($G139="kg/p.km",$E139*$F139*I139/1000,$E139*#REF!*I139/1000)))</f>
        <v/>
      </c>
      <c r="M139" s="450" t="str">
        <f>IF($D139="","",IF($G139="kg/km",J139*$E139/1000,IF($G139="kg/p.km",$E139*$F139*J139/1000,$E139*#REF!*J139/1000)))</f>
        <v/>
      </c>
      <c r="N139" s="451" t="str">
        <f t="shared" si="4"/>
        <v/>
      </c>
      <c r="O139" s="440"/>
    </row>
    <row r="140" spans="1:15" s="237" customFormat="1" ht="15" hidden="1" customHeight="1" outlineLevel="2" x14ac:dyDescent="0.25">
      <c r="A140" s="363"/>
      <c r="B140" s="1145"/>
      <c r="C140" s="436"/>
      <c r="D140" s="436"/>
      <c r="E140" s="438"/>
      <c r="F140" s="438"/>
      <c r="G140" s="1020" t="str">
        <f>IF(OR(D140="",D140="-"),"",VLOOKUP(D140,'Fatores de Emissão'!E151:K199,3,FALSE))</f>
        <v/>
      </c>
      <c r="H140" s="450" t="str">
        <f>IF(OR($D140="",$D140="-"),"",VLOOKUP($D140,'Fatores de Emissão'!$E$114:$K$173,2,FALSE))</f>
        <v/>
      </c>
      <c r="I140" s="450" t="str">
        <f>IF(OR($D140="",$D140="-"),"",VLOOKUP($D140,'Fatores de Emissão'!$E$114:$K$173,4,FALSE))</f>
        <v/>
      </c>
      <c r="J140" s="450" t="str">
        <f>IF(OR($D140="",$D140="-"),"",VLOOKUP($D140,'Fatores de Emissão'!$E$114:$K$173,6,FALSE))</f>
        <v/>
      </c>
      <c r="K140" s="450" t="str">
        <f>IF($D140="","",IF($G140="kg/km",H140*$E140/1000,IF($G140="kg/p.km",$E140*$F140*H140/1000,$E140*#REF!*H140/1000)))</f>
        <v/>
      </c>
      <c r="L140" s="450" t="str">
        <f>IF($D140="","",IF($G140="kg/km",I140*$E140/1000,IF($G140="kg/p.km",$E140*$F140*I140/1000,$E140*#REF!*I140/1000)))</f>
        <v/>
      </c>
      <c r="M140" s="450" t="str">
        <f>IF($D140="","",IF($G140="kg/km",J140*$E140/1000,IF($G140="kg/p.km",$E140*$F140*J140/1000,$E140*#REF!*J140/1000)))</f>
        <v/>
      </c>
      <c r="N140" s="451" t="str">
        <f t="shared" si="4"/>
        <v/>
      </c>
      <c r="O140" s="440"/>
    </row>
    <row r="141" spans="1:15" s="237" customFormat="1" ht="15" hidden="1" customHeight="1" outlineLevel="2" x14ac:dyDescent="0.25">
      <c r="A141" s="363"/>
      <c r="B141" s="1145"/>
      <c r="C141" s="436"/>
      <c r="D141" s="436"/>
      <c r="E141" s="438"/>
      <c r="F141" s="438"/>
      <c r="G141" s="1020" t="str">
        <f>IF(OR(D141="",D141="-"),"",VLOOKUP(D141,'Fatores de Emissão'!E152:K200,3,FALSE))</f>
        <v/>
      </c>
      <c r="H141" s="450" t="str">
        <f>IF(OR($D141="",$D141="-"),"",VLOOKUP($D141,'Fatores de Emissão'!$E$114:$K$173,2,FALSE))</f>
        <v/>
      </c>
      <c r="I141" s="450" t="str">
        <f>IF(OR($D141="",$D141="-"),"",VLOOKUP($D141,'Fatores de Emissão'!$E$114:$K$173,4,FALSE))</f>
        <v/>
      </c>
      <c r="J141" s="450" t="str">
        <f>IF(OR($D141="",$D141="-"),"",VLOOKUP($D141,'Fatores de Emissão'!$E$114:$K$173,6,FALSE))</f>
        <v/>
      </c>
      <c r="K141" s="450" t="str">
        <f>IF($D141="","",IF($G141="kg/km",H141*$E141/1000,IF($G141="kg/p.km",$E141*$F141*H141/1000,$E141*#REF!*H141/1000)))</f>
        <v/>
      </c>
      <c r="L141" s="450" t="str">
        <f>IF($D141="","",IF($G141="kg/km",I141*$E141/1000,IF($G141="kg/p.km",$E141*$F141*I141/1000,$E141*#REF!*I141/1000)))</f>
        <v/>
      </c>
      <c r="M141" s="450" t="str">
        <f>IF($D141="","",IF($G141="kg/km",J141*$E141/1000,IF($G141="kg/p.km",$E141*$F141*J141/1000,$E141*#REF!*J141/1000)))</f>
        <v/>
      </c>
      <c r="N141" s="451" t="str">
        <f t="shared" si="4"/>
        <v/>
      </c>
      <c r="O141" s="440"/>
    </row>
    <row r="142" spans="1:15" s="237" customFormat="1" ht="15" hidden="1" customHeight="1" outlineLevel="2" x14ac:dyDescent="0.25">
      <c r="A142" s="363"/>
      <c r="B142" s="1145"/>
      <c r="C142" s="436"/>
      <c r="D142" s="436"/>
      <c r="E142" s="438"/>
      <c r="F142" s="438"/>
      <c r="G142" s="1020" t="str">
        <f>IF(OR(D142="",D142="-"),"",VLOOKUP(D142,'Fatores de Emissão'!E153:K201,3,FALSE))</f>
        <v/>
      </c>
      <c r="H142" s="450" t="str">
        <f>IF(OR($D142="",$D142="-"),"",VLOOKUP($D142,'Fatores de Emissão'!$E$114:$K$173,2,FALSE))</f>
        <v/>
      </c>
      <c r="I142" s="450" t="str">
        <f>IF(OR($D142="",$D142="-"),"",VLOOKUP($D142,'Fatores de Emissão'!$E$114:$K$173,4,FALSE))</f>
        <v/>
      </c>
      <c r="J142" s="450" t="str">
        <f>IF(OR($D142="",$D142="-"),"",VLOOKUP($D142,'Fatores de Emissão'!$E$114:$K$173,6,FALSE))</f>
        <v/>
      </c>
      <c r="K142" s="450" t="str">
        <f>IF($D142="","",IF($G142="kg/km",H142*$E142/1000,IF($G142="kg/p.km",$E142*$F142*H142/1000,$E142*#REF!*H142/1000)))</f>
        <v/>
      </c>
      <c r="L142" s="450" t="str">
        <f>IF($D142="","",IF($G142="kg/km",I142*$E142/1000,IF($G142="kg/p.km",$E142*$F142*I142/1000,$E142*#REF!*I142/1000)))</f>
        <v/>
      </c>
      <c r="M142" s="450" t="str">
        <f>IF($D142="","",IF($G142="kg/km",J142*$E142/1000,IF($G142="kg/p.km",$E142*$F142*J142/1000,$E142*#REF!*J142/1000)))</f>
        <v/>
      </c>
      <c r="N142" s="451" t="str">
        <f t="shared" si="4"/>
        <v/>
      </c>
      <c r="O142" s="440"/>
    </row>
    <row r="143" spans="1:15" s="237" customFormat="1" ht="15" hidden="1" customHeight="1" outlineLevel="2" x14ac:dyDescent="0.25">
      <c r="A143" s="363"/>
      <c r="B143" s="1145"/>
      <c r="C143" s="436"/>
      <c r="D143" s="436"/>
      <c r="E143" s="438"/>
      <c r="F143" s="438"/>
      <c r="G143" s="1020" t="str">
        <f>IF(OR(D143="",D143="-"),"",VLOOKUP(D143,'Fatores de Emissão'!E154:K202,3,FALSE))</f>
        <v/>
      </c>
      <c r="H143" s="450" t="str">
        <f>IF(OR($D143="",$D143="-"),"",VLOOKUP($D143,'Fatores de Emissão'!$E$114:$K$173,2,FALSE))</f>
        <v/>
      </c>
      <c r="I143" s="450" t="str">
        <f>IF(OR($D143="",$D143="-"),"",VLOOKUP($D143,'Fatores de Emissão'!$E$114:$K$173,4,FALSE))</f>
        <v/>
      </c>
      <c r="J143" s="450" t="str">
        <f>IF(OR($D143="",$D143="-"),"",VLOOKUP($D143,'Fatores de Emissão'!$E$114:$K$173,6,FALSE))</f>
        <v/>
      </c>
      <c r="K143" s="450" t="str">
        <f>IF($D143="","",IF($G143="kg/km",H143*$E143/1000,IF($G143="kg/p.km",$E143*$F143*H143/1000,$E143*#REF!*H143/1000)))</f>
        <v/>
      </c>
      <c r="L143" s="450" t="str">
        <f>IF($D143="","",IF($G143="kg/km",I143*$E143/1000,IF($G143="kg/p.km",$E143*$F143*I143/1000,$E143*#REF!*I143/1000)))</f>
        <v/>
      </c>
      <c r="M143" s="450" t="str">
        <f>IF($D143="","",IF($G143="kg/km",J143*$E143/1000,IF($G143="kg/p.km",$E143*$F143*J143/1000,$E143*#REF!*J143/1000)))</f>
        <v/>
      </c>
      <c r="N143" s="451" t="str">
        <f t="shared" si="4"/>
        <v/>
      </c>
      <c r="O143" s="440"/>
    </row>
    <row r="144" spans="1:15" s="237" customFormat="1" ht="15" hidden="1" customHeight="1" outlineLevel="2" x14ac:dyDescent="0.25">
      <c r="A144" s="363"/>
      <c r="B144" s="1145"/>
      <c r="C144" s="436"/>
      <c r="D144" s="436"/>
      <c r="E144" s="438"/>
      <c r="F144" s="438"/>
      <c r="G144" s="1020" t="str">
        <f>IF(OR(D144="",D144="-"),"",VLOOKUP(D144,'Fatores de Emissão'!E155:K203,3,FALSE))</f>
        <v/>
      </c>
      <c r="H144" s="450" t="str">
        <f>IF(OR($D144="",$D144="-"),"",VLOOKUP($D144,'Fatores de Emissão'!$E$114:$K$173,2,FALSE))</f>
        <v/>
      </c>
      <c r="I144" s="450" t="str">
        <f>IF(OR($D144="",$D144="-"),"",VLOOKUP($D144,'Fatores de Emissão'!$E$114:$K$173,4,FALSE))</f>
        <v/>
      </c>
      <c r="J144" s="450" t="str">
        <f>IF(OR($D144="",$D144="-"),"",VLOOKUP($D144,'Fatores de Emissão'!$E$114:$K$173,6,FALSE))</f>
        <v/>
      </c>
      <c r="K144" s="450" t="str">
        <f>IF($D144="","",IF($G144="kg/km",H144*$E144/1000,IF($G144="kg/p.km",$E144*$F144*H144/1000,$E144*#REF!*H144/1000)))</f>
        <v/>
      </c>
      <c r="L144" s="450" t="str">
        <f>IF($D144="","",IF($G144="kg/km",I144*$E144/1000,IF($G144="kg/p.km",$E144*$F144*I144/1000,$E144*#REF!*I144/1000)))</f>
        <v/>
      </c>
      <c r="M144" s="450" t="str">
        <f>IF($D144="","",IF($G144="kg/km",J144*$E144/1000,IF($G144="kg/p.km",$E144*$F144*J144/1000,$E144*#REF!*J144/1000)))</f>
        <v/>
      </c>
      <c r="N144" s="451" t="str">
        <f t="shared" si="4"/>
        <v/>
      </c>
      <c r="O144" s="440"/>
    </row>
    <row r="145" spans="1:58" s="237" customFormat="1" ht="15" hidden="1" customHeight="1" outlineLevel="2" x14ac:dyDescent="0.25">
      <c r="A145" s="363"/>
      <c r="B145" s="1145"/>
      <c r="C145" s="436"/>
      <c r="D145" s="436"/>
      <c r="E145" s="438"/>
      <c r="F145" s="438"/>
      <c r="G145" s="1020" t="str">
        <f>IF(OR(D145="",D145="-"),"",VLOOKUP(D145,'Fatores de Emissão'!E156:K204,3,FALSE))</f>
        <v/>
      </c>
      <c r="H145" s="450" t="str">
        <f>IF(OR($D145="",$D145="-"),"",VLOOKUP($D145,'Fatores de Emissão'!$E$114:$K$173,2,FALSE))</f>
        <v/>
      </c>
      <c r="I145" s="450" t="str">
        <f>IF(OR($D145="",$D145="-"),"",VLOOKUP($D145,'Fatores de Emissão'!$E$114:$K$173,4,FALSE))</f>
        <v/>
      </c>
      <c r="J145" s="450" t="str">
        <f>IF(OR($D145="",$D145="-"),"",VLOOKUP($D145,'Fatores de Emissão'!$E$114:$K$173,6,FALSE))</f>
        <v/>
      </c>
      <c r="K145" s="450" t="str">
        <f>IF($D145="","",IF($G145="kg/km",H145*$E145/1000,IF($G145="kg/p.km",$E145*$F145*H145/1000,$E145*#REF!*H145/1000)))</f>
        <v/>
      </c>
      <c r="L145" s="450" t="str">
        <f>IF($D145="","",IF($G145="kg/km",I145*$E145/1000,IF($G145="kg/p.km",$E145*$F145*I145/1000,$E145*#REF!*I145/1000)))</f>
        <v/>
      </c>
      <c r="M145" s="450" t="str">
        <f>IF($D145="","",IF($G145="kg/km",J145*$E145/1000,IF($G145="kg/p.km",$E145*$F145*J145/1000,$E145*#REF!*J145/1000)))</f>
        <v/>
      </c>
      <c r="N145" s="451" t="str">
        <f t="shared" si="4"/>
        <v/>
      </c>
      <c r="O145" s="440"/>
    </row>
    <row r="146" spans="1:58" s="237" customFormat="1" ht="15" hidden="1" customHeight="1" outlineLevel="2" x14ac:dyDescent="0.25">
      <c r="A146" s="363"/>
      <c r="B146" s="1145"/>
      <c r="C146" s="436"/>
      <c r="D146" s="436"/>
      <c r="E146" s="438"/>
      <c r="F146" s="438"/>
      <c r="G146" s="1020" t="str">
        <f>IF(OR(D146="",D146="-"),"",VLOOKUP(D146,'Fatores de Emissão'!E157:K205,3,FALSE))</f>
        <v/>
      </c>
      <c r="H146" s="450" t="str">
        <f>IF(OR($D146="",$D146="-"),"",VLOOKUP($D146,'Fatores de Emissão'!$E$114:$K$173,2,FALSE))</f>
        <v/>
      </c>
      <c r="I146" s="450" t="str">
        <f>IF(OR($D146="",$D146="-"),"",VLOOKUP($D146,'Fatores de Emissão'!$E$114:$K$173,4,FALSE))</f>
        <v/>
      </c>
      <c r="J146" s="450" t="str">
        <f>IF(OR($D146="",$D146="-"),"",VLOOKUP($D146,'Fatores de Emissão'!$E$114:$K$173,6,FALSE))</f>
        <v/>
      </c>
      <c r="K146" s="450" t="str">
        <f>IF($D146="","",IF($G146="kg/km",H146*$E146/1000,IF($G146="kg/p.km",$E146*$F146*H146/1000,$E146*#REF!*H146/1000)))</f>
        <v/>
      </c>
      <c r="L146" s="450" t="str">
        <f>IF($D146="","",IF($G146="kg/km",I146*$E146/1000,IF($G146="kg/p.km",$E146*$F146*I146/1000,$E146*#REF!*I146/1000)))</f>
        <v/>
      </c>
      <c r="M146" s="450" t="str">
        <f>IF($D146="","",IF($G146="kg/km",J146*$E146/1000,IF($G146="kg/p.km",$E146*$F146*J146/1000,$E146*#REF!*J146/1000)))</f>
        <v/>
      </c>
      <c r="N146" s="451" t="str">
        <f t="shared" si="4"/>
        <v/>
      </c>
      <c r="O146" s="440"/>
    </row>
    <row r="147" spans="1:58" s="237" customFormat="1" ht="15" hidden="1" customHeight="1" outlineLevel="2" x14ac:dyDescent="0.25">
      <c r="A147" s="363"/>
      <c r="B147" s="1145"/>
      <c r="C147" s="436"/>
      <c r="D147" s="436"/>
      <c r="E147" s="438"/>
      <c r="F147" s="438"/>
      <c r="G147" s="1020" t="str">
        <f>IF(OR(D147="",D147="-"),"",VLOOKUP(D147,'Fatores de Emissão'!E158:K206,3,FALSE))</f>
        <v/>
      </c>
      <c r="H147" s="450" t="str">
        <f>IF(OR($D147="",$D147="-"),"",VLOOKUP($D147,'Fatores de Emissão'!$E$114:$K$173,2,FALSE))</f>
        <v/>
      </c>
      <c r="I147" s="450" t="str">
        <f>IF(OR($D147="",$D147="-"),"",VLOOKUP($D147,'Fatores de Emissão'!$E$114:$K$173,4,FALSE))</f>
        <v/>
      </c>
      <c r="J147" s="450" t="str">
        <f>IF(OR($D147="",$D147="-"),"",VLOOKUP($D147,'Fatores de Emissão'!$E$114:$K$173,6,FALSE))</f>
        <v/>
      </c>
      <c r="K147" s="450" t="str">
        <f>IF($D147="","",IF($G147="kg/km",H147*$E147/1000,IF($G147="kg/p.km",$E147*$F147*H147/1000,$E147*#REF!*H147/1000)))</f>
        <v/>
      </c>
      <c r="L147" s="450" t="str">
        <f>IF($D147="","",IF($G147="kg/km",I147*$E147/1000,IF($G147="kg/p.km",$E147*$F147*I147/1000,$E147*#REF!*I147/1000)))</f>
        <v/>
      </c>
      <c r="M147" s="450" t="str">
        <f>IF($D147="","",IF($G147="kg/km",J147*$E147/1000,IF($G147="kg/p.km",$E147*$F147*J147/1000,$E147*#REF!*J147/1000)))</f>
        <v/>
      </c>
      <c r="N147" s="451" t="str">
        <f t="shared" si="4"/>
        <v/>
      </c>
      <c r="O147" s="440"/>
    </row>
    <row r="148" spans="1:58" s="237" customFormat="1" ht="15" hidden="1" customHeight="1" outlineLevel="2" x14ac:dyDescent="0.25">
      <c r="A148" s="363"/>
      <c r="B148" s="1145"/>
      <c r="C148" s="436"/>
      <c r="D148" s="436"/>
      <c r="E148" s="438"/>
      <c r="F148" s="438"/>
      <c r="G148" s="1020" t="str">
        <f>IF(OR(D148="",D148="-"),"",VLOOKUP(D148,'Fatores de Emissão'!E159:K207,3,FALSE))</f>
        <v/>
      </c>
      <c r="H148" s="450" t="str">
        <f>IF(OR($D148="",$D148="-"),"",VLOOKUP($D148,'Fatores de Emissão'!$E$114:$K$173,2,FALSE))</f>
        <v/>
      </c>
      <c r="I148" s="450" t="str">
        <f>IF(OR($D148="",$D148="-"),"",VLOOKUP($D148,'Fatores de Emissão'!$E$114:$K$173,4,FALSE))</f>
        <v/>
      </c>
      <c r="J148" s="450" t="str">
        <f>IF(OR($D148="",$D148="-"),"",VLOOKUP($D148,'Fatores de Emissão'!$E$114:$K$173,6,FALSE))</f>
        <v/>
      </c>
      <c r="K148" s="450" t="str">
        <f>IF($D148="","",IF($G148="kg/km",H148*$E148/1000,IF($G148="kg/p.km",$E148*$F148*H148/1000,$E148*#REF!*H148/1000)))</f>
        <v/>
      </c>
      <c r="L148" s="450" t="str">
        <f>IF($D148="","",IF($G148="kg/km",I148*$E148/1000,IF($G148="kg/p.km",$E148*$F148*I148/1000,$E148*#REF!*I148/1000)))</f>
        <v/>
      </c>
      <c r="M148" s="450" t="str">
        <f>IF($D148="","",IF($G148="kg/km",J148*$E148/1000,IF($G148="kg/p.km",$E148*$F148*J148/1000,$E148*#REF!*J148/1000)))</f>
        <v/>
      </c>
      <c r="N148" s="451" t="str">
        <f t="shared" si="4"/>
        <v/>
      </c>
      <c r="O148" s="440"/>
    </row>
    <row r="149" spans="1:58" s="237" customFormat="1" ht="15" hidden="1" customHeight="1" outlineLevel="2" x14ac:dyDescent="0.25">
      <c r="A149" s="363"/>
      <c r="B149" s="1145"/>
      <c r="C149" s="436"/>
      <c r="D149" s="436"/>
      <c r="E149" s="438"/>
      <c r="F149" s="438"/>
      <c r="G149" s="1020" t="str">
        <f>IF(OR(D149="",D149="-"),"",VLOOKUP(D149,'Fatores de Emissão'!E160:K208,3,FALSE))</f>
        <v/>
      </c>
      <c r="H149" s="450" t="str">
        <f>IF(OR($D149="",$D149="-"),"",VLOOKUP($D149,'Fatores de Emissão'!$E$114:$K$173,2,FALSE))</f>
        <v/>
      </c>
      <c r="I149" s="450" t="str">
        <f>IF(OR($D149="",$D149="-"),"",VLOOKUP($D149,'Fatores de Emissão'!$E$114:$K$173,4,FALSE))</f>
        <v/>
      </c>
      <c r="J149" s="450" t="str">
        <f>IF(OR($D149="",$D149="-"),"",VLOOKUP($D149,'Fatores de Emissão'!$E$114:$K$173,6,FALSE))</f>
        <v/>
      </c>
      <c r="K149" s="450" t="str">
        <f>IF($D149="","",IF($G149="kg/km",H149*$E149/1000,IF($G149="kg/p.km",$E149*$F149*H149/1000,$E149*#REF!*H149/1000)))</f>
        <v/>
      </c>
      <c r="L149" s="450" t="str">
        <f>IF($D149="","",IF($G149="kg/km",I149*$E149/1000,IF($G149="kg/p.km",$E149*$F149*I149/1000,$E149*#REF!*I149/1000)))</f>
        <v/>
      </c>
      <c r="M149" s="450" t="str">
        <f>IF($D149="","",IF($G149="kg/km",J149*$E149/1000,IF($G149="kg/p.km",$E149*$F149*J149/1000,$E149*#REF!*J149/1000)))</f>
        <v/>
      </c>
      <c r="N149" s="451" t="str">
        <f t="shared" si="4"/>
        <v/>
      </c>
      <c r="O149" s="440"/>
    </row>
    <row r="150" spans="1:58" s="237" customFormat="1" ht="15" hidden="1" customHeight="1" outlineLevel="2" x14ac:dyDescent="0.25">
      <c r="A150" s="363"/>
      <c r="B150" s="1145"/>
      <c r="C150" s="436"/>
      <c r="D150" s="436"/>
      <c r="E150" s="438"/>
      <c r="F150" s="438"/>
      <c r="G150" s="1020" t="str">
        <f>IF(OR(D150="",D150="-"),"",VLOOKUP(D150,'Fatores de Emissão'!E161:K209,3,FALSE))</f>
        <v/>
      </c>
      <c r="H150" s="450" t="str">
        <f>IF(OR($D150="",$D150="-"),"",VLOOKUP($D150,'Fatores de Emissão'!$E$114:$K$173,2,FALSE))</f>
        <v/>
      </c>
      <c r="I150" s="450" t="str">
        <f>IF(OR($D150="",$D150="-"),"",VLOOKUP($D150,'Fatores de Emissão'!$E$114:$K$173,4,FALSE))</f>
        <v/>
      </c>
      <c r="J150" s="450" t="str">
        <f>IF(OR($D150="",$D150="-"),"",VLOOKUP($D150,'Fatores de Emissão'!$E$114:$K$173,6,FALSE))</f>
        <v/>
      </c>
      <c r="K150" s="450" t="str">
        <f>IF($D150="","",IF($G150="kg/km",H150*$E150/1000,IF($G150="kg/p.km",$E150*$F150*H150/1000,$E150*#REF!*H150/1000)))</f>
        <v/>
      </c>
      <c r="L150" s="450" t="str">
        <f>IF($D150="","",IF($G150="kg/km",I150*$E150/1000,IF($G150="kg/p.km",$E150*$F150*I150/1000,$E150*#REF!*I150/1000)))</f>
        <v/>
      </c>
      <c r="M150" s="450" t="str">
        <f>IF($D150="","",IF($G150="kg/km",J150*$E150/1000,IF($G150="kg/p.km",$E150*$F150*J150/1000,$E150*#REF!*J150/1000)))</f>
        <v/>
      </c>
      <c r="N150" s="451" t="str">
        <f t="shared" si="4"/>
        <v/>
      </c>
      <c r="O150" s="440"/>
    </row>
    <row r="151" spans="1:58" s="237" customFormat="1" ht="15" hidden="1" customHeight="1" outlineLevel="2" x14ac:dyDescent="0.25">
      <c r="A151" s="363"/>
      <c r="B151" s="1145"/>
      <c r="C151" s="436"/>
      <c r="D151" s="436"/>
      <c r="E151" s="438"/>
      <c r="F151" s="438"/>
      <c r="G151" s="1020" t="str">
        <f>IF(OR(D151="",D151="-"),"",VLOOKUP(D151,'Fatores de Emissão'!E162:K210,3,FALSE))</f>
        <v/>
      </c>
      <c r="H151" s="450" t="str">
        <f>IF(OR($D151="",$D151="-"),"",VLOOKUP($D151,'Fatores de Emissão'!$E$114:$K$173,2,FALSE))</f>
        <v/>
      </c>
      <c r="I151" s="450" t="str">
        <f>IF(OR($D151="",$D151="-"),"",VLOOKUP($D151,'Fatores de Emissão'!$E$114:$K$173,4,FALSE))</f>
        <v/>
      </c>
      <c r="J151" s="450" t="str">
        <f>IF(OR($D151="",$D151="-"),"",VLOOKUP($D151,'Fatores de Emissão'!$E$114:$K$173,6,FALSE))</f>
        <v/>
      </c>
      <c r="K151" s="450" t="str">
        <f>IF($D151="","",IF($G151="kg/km",H151*$E151/1000,IF($G151="kg/p.km",$E151*$F151*H151/1000,$E151*#REF!*H151/1000)))</f>
        <v/>
      </c>
      <c r="L151" s="450" t="str">
        <f>IF($D151="","",IF($G151="kg/km",I151*$E151/1000,IF($G151="kg/p.km",$E151*$F151*I151/1000,$E151*#REF!*I151/1000)))</f>
        <v/>
      </c>
      <c r="M151" s="450" t="str">
        <f>IF($D151="","",IF($G151="kg/km",J151*$E151/1000,IF($G151="kg/p.km",$E151*$F151*J151/1000,$E151*#REF!*J151/1000)))</f>
        <v/>
      </c>
      <c r="N151" s="451" t="str">
        <f t="shared" si="4"/>
        <v/>
      </c>
      <c r="O151" s="440"/>
    </row>
    <row r="152" spans="1:58" s="237" customFormat="1" ht="15" hidden="1" customHeight="1" outlineLevel="2" x14ac:dyDescent="0.25">
      <c r="A152" s="363"/>
      <c r="B152" s="1145"/>
      <c r="C152" s="436"/>
      <c r="D152" s="436"/>
      <c r="E152" s="438"/>
      <c r="F152" s="438"/>
      <c r="G152" s="1020" t="str">
        <f>IF(OR(D152="",D152="-"),"",VLOOKUP(D152,'Fatores de Emissão'!E163:K211,3,FALSE))</f>
        <v/>
      </c>
      <c r="H152" s="450" t="str">
        <f>IF(OR($D152="",$D152="-"),"",VLOOKUP($D152,'Fatores de Emissão'!$E$114:$K$173,2,FALSE))</f>
        <v/>
      </c>
      <c r="I152" s="450" t="str">
        <f>IF(OR($D152="",$D152="-"),"",VLOOKUP($D152,'Fatores de Emissão'!$E$114:$K$173,4,FALSE))</f>
        <v/>
      </c>
      <c r="J152" s="450" t="str">
        <f>IF(OR($D152="",$D152="-"),"",VLOOKUP($D152,'Fatores de Emissão'!$E$114:$K$173,6,FALSE))</f>
        <v/>
      </c>
      <c r="K152" s="450" t="str">
        <f>IF($D152="","",IF($G152="kg/km",H152*$E152/1000,IF($G152="kg/p.km",$E152*$F152*H152/1000,$E152*#REF!*H152/1000)))</f>
        <v/>
      </c>
      <c r="L152" s="450" t="str">
        <f>IF($D152="","",IF($G152="kg/km",I152*$E152/1000,IF($G152="kg/p.km",$E152*$F152*I152/1000,$E152*#REF!*I152/1000)))</f>
        <v/>
      </c>
      <c r="M152" s="450" t="str">
        <f>IF($D152="","",IF($G152="kg/km",J152*$E152/1000,IF($G152="kg/p.km",$E152*$F152*J152/1000,$E152*#REF!*J152/1000)))</f>
        <v/>
      </c>
      <c r="N152" s="451" t="str">
        <f t="shared" si="4"/>
        <v/>
      </c>
      <c r="O152" s="440"/>
    </row>
    <row r="153" spans="1:58" s="237" customFormat="1" ht="15" hidden="1" customHeight="1" outlineLevel="2" x14ac:dyDescent="0.25">
      <c r="A153" s="363"/>
      <c r="B153" s="1145"/>
      <c r="C153" s="436"/>
      <c r="D153" s="436"/>
      <c r="E153" s="438"/>
      <c r="F153" s="438"/>
      <c r="G153" s="1020" t="str">
        <f>IF(OR(D153="",D153="-"),"",VLOOKUP(D153,'Fatores de Emissão'!E164:K212,3,FALSE))</f>
        <v/>
      </c>
      <c r="H153" s="450" t="str">
        <f>IF(OR($D153="",$D153="-"),"",VLOOKUP($D153,'Fatores de Emissão'!$E$114:$K$173,2,FALSE))</f>
        <v/>
      </c>
      <c r="I153" s="450" t="str">
        <f>IF(OR($D153="",$D153="-"),"",VLOOKUP($D153,'Fatores de Emissão'!$E$114:$K$173,4,FALSE))</f>
        <v/>
      </c>
      <c r="J153" s="450" t="str">
        <f>IF(OR($D153="",$D153="-"),"",VLOOKUP($D153,'Fatores de Emissão'!$E$114:$K$173,6,FALSE))</f>
        <v/>
      </c>
      <c r="K153" s="450" t="str">
        <f>IF($D153="","",IF($G153="kg/km",H153*$E153/1000,IF($G153="kg/p.km",$E153*$F153*H153/1000,$E153*#REF!*H153/1000)))</f>
        <v/>
      </c>
      <c r="L153" s="450" t="str">
        <f>IF($D153="","",IF($G153="kg/km",I153*$E153/1000,IF($G153="kg/p.km",$E153*$F153*I153/1000,$E153*#REF!*I153/1000)))</f>
        <v/>
      </c>
      <c r="M153" s="450" t="str">
        <f>IF($D153="","",IF($G153="kg/km",J153*$E153/1000,IF($G153="kg/p.km",$E153*$F153*J153/1000,$E153*#REF!*J153/1000)))</f>
        <v/>
      </c>
      <c r="N153" s="451" t="str">
        <f t="shared" si="4"/>
        <v/>
      </c>
      <c r="O153" s="440"/>
    </row>
    <row r="154" spans="1:58" s="237" customFormat="1" ht="15" customHeight="1" outlineLevel="1" x14ac:dyDescent="0.25">
      <c r="A154" s="453"/>
      <c r="B154" s="453"/>
      <c r="C154" s="453"/>
      <c r="D154" s="453"/>
      <c r="E154" s="454"/>
      <c r="F154" s="454"/>
      <c r="I154" s="1018" t="s">
        <v>78</v>
      </c>
      <c r="J154" s="1019"/>
      <c r="K154" s="455">
        <f>SUM(K104:K153)</f>
        <v>0</v>
      </c>
      <c r="L154" s="455">
        <f>SUM(L104:L153)</f>
        <v>0</v>
      </c>
      <c r="M154" s="455">
        <f>SUM(M104:M153)</f>
        <v>0</v>
      </c>
      <c r="N154" s="455">
        <f>SUM(N104:N153)</f>
        <v>0</v>
      </c>
      <c r="O154" s="455">
        <f>SUM(O104:O153)</f>
        <v>0</v>
      </c>
    </row>
    <row r="155" spans="1:58" s="237" customFormat="1" ht="15" customHeight="1" collapsed="1" x14ac:dyDescent="0.25">
      <c r="A155" s="363"/>
      <c r="B155" s="388"/>
      <c r="C155" s="442"/>
      <c r="D155" s="442"/>
      <c r="E155" s="442"/>
      <c r="F155" s="363"/>
      <c r="G155" s="363"/>
      <c r="H155" s="363"/>
      <c r="I155" s="363"/>
      <c r="J155" s="363"/>
      <c r="K155" s="363"/>
      <c r="L155" s="363"/>
      <c r="M155" s="363"/>
      <c r="N155" s="363"/>
      <c r="O155" s="363"/>
      <c r="P155" s="363"/>
      <c r="Q155" s="363"/>
      <c r="R155" s="363"/>
      <c r="AI155" s="363"/>
      <c r="AJ155" s="363"/>
      <c r="AK155" s="363"/>
      <c r="AL155" s="363"/>
      <c r="AM155" s="363"/>
      <c r="AO155" s="363"/>
      <c r="AP155" s="363"/>
      <c r="AQ155" s="363"/>
    </row>
    <row r="156" spans="1:58" s="463" customFormat="1" ht="18" customHeight="1" x14ac:dyDescent="0.3">
      <c r="A156" s="458"/>
      <c r="B156" s="358" t="s">
        <v>2132</v>
      </c>
      <c r="C156" s="459"/>
      <c r="D156" s="460"/>
      <c r="E156" s="460"/>
      <c r="F156" s="460"/>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461"/>
      <c r="AO156" s="461"/>
      <c r="AP156" s="461"/>
      <c r="AQ156" s="461"/>
      <c r="AR156" s="461"/>
      <c r="AS156" s="461"/>
      <c r="AT156" s="461"/>
      <c r="AU156" s="461"/>
      <c r="AV156" s="461"/>
      <c r="AW156" s="461"/>
      <c r="AX156" s="461"/>
      <c r="AY156" s="461"/>
      <c r="AZ156" s="461"/>
      <c r="BA156" s="461"/>
      <c r="BB156" s="461"/>
      <c r="BC156" s="461"/>
      <c r="BD156" s="461"/>
      <c r="BE156" s="461"/>
      <c r="BF156" s="462"/>
    </row>
    <row r="157" spans="1:58" ht="15" customHeight="1" outlineLevel="1" x14ac:dyDescent="0.2">
      <c r="A157" s="339"/>
      <c r="B157" s="342"/>
      <c r="C157" s="416"/>
      <c r="D157" s="416"/>
      <c r="E157" s="416"/>
      <c r="F157" s="339"/>
      <c r="G157" s="339"/>
      <c r="H157" s="339"/>
      <c r="I157" s="339"/>
      <c r="J157" s="339"/>
      <c r="K157" s="339"/>
      <c r="L157" s="339"/>
      <c r="M157" s="339"/>
      <c r="N157" s="339"/>
      <c r="O157" s="339"/>
      <c r="P157" s="339"/>
      <c r="Q157" s="339"/>
      <c r="R157" s="339"/>
      <c r="AI157" s="339"/>
      <c r="AJ157" s="339"/>
      <c r="AK157" s="339"/>
      <c r="AL157" s="339"/>
      <c r="AM157" s="339"/>
      <c r="AO157" s="339"/>
      <c r="AP157" s="339"/>
      <c r="AQ157" s="339"/>
    </row>
    <row r="158" spans="1:58" ht="15" customHeight="1" outlineLevel="1" x14ac:dyDescent="0.2">
      <c r="A158" s="339"/>
      <c r="B158" s="469" t="s">
        <v>124</v>
      </c>
      <c r="C158" s="416"/>
      <c r="D158" s="416"/>
      <c r="E158" s="416"/>
      <c r="F158" s="339"/>
      <c r="G158" s="339"/>
      <c r="H158" s="339"/>
      <c r="I158" s="339"/>
      <c r="J158" s="339"/>
      <c r="K158" s="339"/>
      <c r="L158" s="339"/>
      <c r="M158" s="339"/>
      <c r="N158" s="339"/>
      <c r="O158" s="339"/>
      <c r="P158" s="339"/>
      <c r="Q158" s="339"/>
      <c r="R158" s="339"/>
      <c r="AI158" s="339"/>
      <c r="AJ158" s="339"/>
      <c r="AK158" s="339"/>
      <c r="AL158" s="339"/>
      <c r="AM158" s="339"/>
      <c r="AO158" s="339"/>
      <c r="AP158" s="339"/>
      <c r="AQ158" s="339"/>
    </row>
    <row r="159" spans="1:58" s="237" customFormat="1" ht="15" customHeight="1" outlineLevel="1" x14ac:dyDescent="0.25">
      <c r="A159" s="363"/>
      <c r="B159" s="449" t="s">
        <v>2147</v>
      </c>
      <c r="C159" s="442"/>
      <c r="D159" s="442"/>
      <c r="E159" s="442"/>
      <c r="F159" s="363"/>
      <c r="G159" s="363"/>
      <c r="H159" s="363"/>
      <c r="I159" s="363"/>
      <c r="J159" s="363"/>
      <c r="K159" s="363"/>
      <c r="L159" s="363"/>
      <c r="M159" s="363"/>
      <c r="N159" s="363"/>
      <c r="O159" s="363"/>
      <c r="P159" s="363"/>
      <c r="Q159" s="363"/>
      <c r="R159" s="363"/>
      <c r="AI159" s="363"/>
      <c r="AJ159" s="363"/>
      <c r="AK159" s="363"/>
      <c r="AL159" s="363"/>
      <c r="AM159" s="363"/>
      <c r="AO159" s="363"/>
      <c r="AP159" s="363"/>
      <c r="AQ159" s="363"/>
    </row>
    <row r="160" spans="1:58" s="237" customFormat="1" ht="15" customHeight="1" outlineLevel="1" x14ac:dyDescent="0.25">
      <c r="A160" s="363"/>
      <c r="B160" s="470" t="s">
        <v>1880</v>
      </c>
      <c r="C160" s="442"/>
      <c r="D160" s="442"/>
      <c r="E160" s="442"/>
      <c r="F160" s="363"/>
      <c r="G160" s="363"/>
      <c r="H160" s="363"/>
      <c r="I160" s="363"/>
      <c r="J160" s="363"/>
      <c r="K160" s="363"/>
      <c r="L160" s="363"/>
      <c r="M160" s="363"/>
      <c r="N160" s="363"/>
      <c r="O160" s="363"/>
      <c r="P160" s="363"/>
      <c r="Q160" s="363"/>
      <c r="R160" s="363"/>
      <c r="AI160" s="363"/>
      <c r="AJ160" s="363"/>
      <c r="AK160" s="363"/>
      <c r="AL160" s="363"/>
      <c r="AM160" s="363"/>
      <c r="AO160" s="363"/>
      <c r="AP160" s="363"/>
      <c r="AQ160" s="363"/>
    </row>
    <row r="161" spans="1:43" s="237" customFormat="1" ht="15" customHeight="1" outlineLevel="1" x14ac:dyDescent="0.25">
      <c r="A161" s="363"/>
      <c r="B161" s="917" t="s">
        <v>2133</v>
      </c>
      <c r="C161" s="442"/>
      <c r="D161" s="442"/>
      <c r="E161" s="442"/>
      <c r="F161" s="363"/>
      <c r="G161" s="363"/>
      <c r="H161" s="363"/>
      <c r="I161" s="363"/>
      <c r="J161" s="363"/>
      <c r="K161" s="363"/>
      <c r="L161" s="363"/>
      <c r="M161" s="363"/>
      <c r="N161" s="363"/>
      <c r="O161" s="363"/>
      <c r="P161" s="363"/>
      <c r="Q161" s="363"/>
      <c r="R161" s="363"/>
      <c r="AI161" s="363"/>
      <c r="AJ161" s="363"/>
      <c r="AK161" s="363"/>
      <c r="AL161" s="363"/>
      <c r="AM161" s="363"/>
      <c r="AO161" s="363"/>
      <c r="AP161" s="363"/>
      <c r="AQ161" s="363"/>
    </row>
    <row r="162" spans="1:43" s="237" customFormat="1" ht="15" customHeight="1" outlineLevel="1" x14ac:dyDescent="0.25">
      <c r="A162" s="363"/>
      <c r="B162" s="206" t="s">
        <v>2128</v>
      </c>
      <c r="C162" s="442"/>
      <c r="D162" s="442"/>
      <c r="E162" s="442"/>
      <c r="F162" s="363"/>
      <c r="G162" s="363"/>
      <c r="H162" s="363"/>
      <c r="I162" s="363"/>
      <c r="J162" s="363"/>
      <c r="K162" s="363"/>
      <c r="L162" s="363"/>
      <c r="M162" s="363"/>
      <c r="N162" s="363"/>
      <c r="O162" s="363"/>
      <c r="P162" s="363"/>
      <c r="Q162" s="363"/>
      <c r="R162" s="363"/>
      <c r="AI162" s="363"/>
      <c r="AJ162" s="363"/>
      <c r="AK162" s="363"/>
      <c r="AL162" s="363"/>
      <c r="AM162" s="363"/>
      <c r="AO162" s="363"/>
      <c r="AP162" s="363"/>
      <c r="AQ162" s="363"/>
    </row>
    <row r="163" spans="1:43" s="237" customFormat="1" ht="15" customHeight="1" outlineLevel="1" x14ac:dyDescent="0.25">
      <c r="A163" s="363"/>
      <c r="B163" s="206" t="s">
        <v>2148</v>
      </c>
      <c r="C163" s="442"/>
      <c r="D163" s="442"/>
      <c r="E163" s="442"/>
      <c r="F163" s="363"/>
      <c r="G163" s="363"/>
      <c r="H163" s="363"/>
      <c r="I163" s="363"/>
      <c r="J163" s="363"/>
      <c r="K163" s="363"/>
      <c r="L163" s="363"/>
      <c r="M163" s="363"/>
      <c r="N163" s="363"/>
      <c r="O163" s="363"/>
      <c r="P163" s="363"/>
      <c r="Q163" s="363"/>
      <c r="R163" s="363"/>
      <c r="AI163" s="363"/>
      <c r="AJ163" s="363"/>
      <c r="AK163" s="363"/>
      <c r="AL163" s="363"/>
      <c r="AM163" s="363"/>
      <c r="AO163" s="363"/>
      <c r="AP163" s="363"/>
      <c r="AQ163" s="363"/>
    </row>
    <row r="164" spans="1:43" s="237" customFormat="1" ht="15" customHeight="1" outlineLevel="1" x14ac:dyDescent="0.25">
      <c r="A164" s="363"/>
      <c r="B164" s="206"/>
      <c r="C164" s="442"/>
      <c r="D164" s="442"/>
      <c r="E164" s="442"/>
      <c r="F164" s="363"/>
      <c r="G164" s="363"/>
      <c r="H164" s="363"/>
      <c r="I164" s="363"/>
      <c r="J164" s="363"/>
      <c r="K164" s="363"/>
      <c r="L164" s="363"/>
      <c r="M164" s="363"/>
      <c r="N164" s="363"/>
      <c r="O164" s="363"/>
      <c r="P164" s="363"/>
      <c r="Q164" s="363"/>
      <c r="R164" s="363"/>
      <c r="AI164" s="363"/>
      <c r="AJ164" s="363"/>
      <c r="AK164" s="363"/>
      <c r="AL164" s="363"/>
      <c r="AM164" s="363"/>
      <c r="AO164" s="363"/>
      <c r="AP164" s="363"/>
      <c r="AQ164" s="363"/>
    </row>
    <row r="165" spans="1:43" s="237" customFormat="1" ht="15" customHeight="1" outlineLevel="1" x14ac:dyDescent="0.25">
      <c r="A165" s="363"/>
      <c r="B165" s="468" t="s">
        <v>1876</v>
      </c>
      <c r="C165" s="442"/>
      <c r="D165" s="442"/>
      <c r="E165" s="442"/>
      <c r="F165" s="363"/>
      <c r="G165" s="363"/>
      <c r="H165" s="363"/>
      <c r="I165" s="363"/>
      <c r="J165" s="363"/>
      <c r="K165" s="363"/>
      <c r="L165" s="363"/>
      <c r="M165" s="363"/>
      <c r="N165" s="363"/>
      <c r="O165" s="363"/>
      <c r="P165" s="363"/>
      <c r="Q165" s="363"/>
      <c r="R165" s="363"/>
      <c r="AI165" s="363"/>
      <c r="AJ165" s="363"/>
      <c r="AK165" s="363"/>
      <c r="AL165" s="363"/>
      <c r="AM165" s="363"/>
      <c r="AO165" s="363"/>
      <c r="AP165" s="363"/>
      <c r="AQ165" s="363"/>
    </row>
    <row r="166" spans="1:43" s="237" customFormat="1" ht="15" customHeight="1" outlineLevel="1" x14ac:dyDescent="0.25">
      <c r="A166" s="363"/>
      <c r="B166" s="1267" t="s">
        <v>1860</v>
      </c>
      <c r="C166" s="1267" t="s">
        <v>1868</v>
      </c>
      <c r="D166" s="1267" t="s">
        <v>1870</v>
      </c>
      <c r="E166" s="1267"/>
      <c r="F166" s="1249" t="s">
        <v>1743</v>
      </c>
      <c r="G166" s="1249" t="s">
        <v>1742</v>
      </c>
      <c r="H166" s="1249" t="s">
        <v>1862</v>
      </c>
      <c r="I166" s="1267" t="s">
        <v>588</v>
      </c>
      <c r="J166" s="1267"/>
      <c r="K166" s="1267"/>
      <c r="L166" s="1249" t="s">
        <v>1408</v>
      </c>
      <c r="M166" s="1249" t="s">
        <v>1409</v>
      </c>
      <c r="N166" s="1249" t="s">
        <v>1410</v>
      </c>
      <c r="O166" s="1249" t="s">
        <v>1411</v>
      </c>
      <c r="P166" s="1267" t="s">
        <v>1530</v>
      </c>
    </row>
    <row r="167" spans="1:43" s="237" customFormat="1" ht="15" customHeight="1" outlineLevel="1" x14ac:dyDescent="0.25">
      <c r="A167" s="363"/>
      <c r="B167" s="1267"/>
      <c r="C167" s="1267"/>
      <c r="D167" s="1267"/>
      <c r="E167" s="1267"/>
      <c r="F167" s="1266"/>
      <c r="G167" s="1266"/>
      <c r="H167" s="1266"/>
      <c r="I167" s="1267"/>
      <c r="J167" s="1267"/>
      <c r="K167" s="1267"/>
      <c r="L167" s="1266"/>
      <c r="M167" s="1266"/>
      <c r="N167" s="1266"/>
      <c r="O167" s="1266"/>
      <c r="P167" s="1267"/>
    </row>
    <row r="168" spans="1:43" s="237" customFormat="1" ht="17.25" customHeight="1" outlineLevel="1" x14ac:dyDescent="0.25">
      <c r="A168" s="363"/>
      <c r="B168" s="1267"/>
      <c r="C168" s="1267"/>
      <c r="D168" s="1267"/>
      <c r="E168" s="1267"/>
      <c r="F168" s="1250"/>
      <c r="G168" s="1250"/>
      <c r="H168" s="1250"/>
      <c r="I168" s="1146" t="s">
        <v>1394</v>
      </c>
      <c r="J168" s="1146" t="s">
        <v>1863</v>
      </c>
      <c r="K168" s="1146" t="s">
        <v>1864</v>
      </c>
      <c r="L168" s="1250"/>
      <c r="M168" s="1250"/>
      <c r="N168" s="1250"/>
      <c r="O168" s="1250"/>
      <c r="P168" s="1267"/>
    </row>
    <row r="169" spans="1:43" s="237" customFormat="1" ht="15" customHeight="1" outlineLevel="1" x14ac:dyDescent="0.25">
      <c r="A169" s="427"/>
      <c r="B169" s="444" t="s">
        <v>2134</v>
      </c>
      <c r="C169" s="1107" t="s">
        <v>2135</v>
      </c>
      <c r="D169" s="1272" t="s">
        <v>1871</v>
      </c>
      <c r="E169" s="1272"/>
      <c r="F169" s="446">
        <v>1000</v>
      </c>
      <c r="G169" s="446">
        <v>1</v>
      </c>
      <c r="H169" s="447" t="s">
        <v>1539</v>
      </c>
      <c r="I169" s="1108">
        <v>0.05</v>
      </c>
      <c r="J169" s="1109">
        <v>1.3853116368000001E-4</v>
      </c>
      <c r="K169" s="1109">
        <v>1.3853116368000001E-4</v>
      </c>
      <c r="L169" s="474">
        <v>0.05</v>
      </c>
      <c r="M169" s="474">
        <v>1.0795609539072E-3</v>
      </c>
      <c r="N169" s="474">
        <v>9.5547362723135993E-4</v>
      </c>
      <c r="O169" s="475">
        <v>0.05</v>
      </c>
      <c r="P169" s="476">
        <v>0</v>
      </c>
      <c r="Q169" s="477" t="s">
        <v>266</v>
      </c>
    </row>
    <row r="170" spans="1:43" s="237" customFormat="1" ht="15" customHeight="1" outlineLevel="1" x14ac:dyDescent="0.25">
      <c r="A170" s="363"/>
      <c r="B170" s="1145"/>
      <c r="C170" s="1145" t="s">
        <v>2272</v>
      </c>
      <c r="D170" s="1268" t="s">
        <v>1675</v>
      </c>
      <c r="E170" s="1268"/>
      <c r="F170" s="438">
        <v>2</v>
      </c>
      <c r="G170" s="438">
        <v>3</v>
      </c>
      <c r="H170" s="1020" t="str">
        <f>IF(OR(D170="",D170="-"),"",VLOOKUP(D170,'Fatores de Emissão'!$E$181:$K$184,3,FALSE))</f>
        <v>kg/p.km</v>
      </c>
      <c r="I170" s="1110">
        <f>IF(OR(D170="",D170="-"),"",VLOOKUP(D170,'Fatores de Emissão'!$E$181:$K$184,2,FALSE))</f>
        <v>7.4140000000000011E-2</v>
      </c>
      <c r="J170" s="1110">
        <f>IF(OR(D170="",D170="-"),"",VLOOKUP(D170,'Fatores de Emissão'!$E$181:$K$184,4,FALSE))</f>
        <v>1.9E-6</v>
      </c>
      <c r="K170" s="1110">
        <f>IF(OR(D170="",D170="-"),"",VLOOKUP(D170,'Fatores de Emissão'!$E$181:$K$184,6,FALSE))</f>
        <v>1.3999999999999999E-6</v>
      </c>
      <c r="L170" s="478">
        <f>IF($D170="","",IF($H170="kg/km",$F170*I170/1000,IF($H170="kg/p.km",$F170*$G170*I170/1000,$F170*#REF!*I170/1000)))</f>
        <v>4.4484000000000006E-4</v>
      </c>
      <c r="M170" s="478">
        <f>IF($D170="","",IF($H170="kg/km",$F170*J170/1000,IF($H170="kg/p.km",$F170*$G170*J170/1000,$F170*#REF!*J170/1000)))</f>
        <v>1.14E-8</v>
      </c>
      <c r="N170" s="478">
        <f>IF($D170="","",IF($H170="kg/km",$F170*K170/1000,IF($H170="kg/p.km",$F170*$G170*K170/1000,$F170*#REF!*K170/1000)))</f>
        <v>8.3999999999999991E-9</v>
      </c>
      <c r="O170" s="479">
        <f t="shared" ref="O170:O219" si="5">IF(ISERR(L170*gwp_CO2+M170*gwp_CH4+N170*gwp_N2O),"",L170*gwp_CO2+M170*gwp_CH4+N170*gwp_N2O)</f>
        <v>4.4762820000000006E-4</v>
      </c>
      <c r="P170" s="480"/>
    </row>
    <row r="171" spans="1:43" s="237" customFormat="1" ht="15" customHeight="1" outlineLevel="1" x14ac:dyDescent="0.25">
      <c r="A171" s="363"/>
      <c r="B171" s="1145"/>
      <c r="C171" s="1145"/>
      <c r="D171" s="1268"/>
      <c r="E171" s="1268"/>
      <c r="F171" s="438"/>
      <c r="G171" s="438"/>
      <c r="H171" s="1020" t="str">
        <f>IF(OR(D171="",D171="-"),"",VLOOKUP(D171,'Fatores de Emissão'!$E$181:$K$184,3,FALSE))</f>
        <v/>
      </c>
      <c r="I171" s="1110" t="str">
        <f>IF(OR(D171="",D171="-"),"",VLOOKUP(D171,'Fatores de Emissão'!$E$181:$K$184,2,FALSE))</f>
        <v/>
      </c>
      <c r="J171" s="1110" t="str">
        <f>IF(OR(D171="",D171="-"),"",VLOOKUP(D171,'Fatores de Emissão'!$E$181:$K$184,4,FALSE))</f>
        <v/>
      </c>
      <c r="K171" s="1110" t="str">
        <f>IF(OR(D171="",D171="-"),"",VLOOKUP(D171,'Fatores de Emissão'!$E$181:$K$184,6,FALSE))</f>
        <v/>
      </c>
      <c r="L171" s="478" t="str">
        <f>IF($D171="","",IF($H171="kg/km",$F171*I171/1000,IF($H171="kg/p.km",$F171*$G171*I171/1000,$F171*#REF!*I171/1000)))</f>
        <v/>
      </c>
      <c r="M171" s="478" t="str">
        <f>IF($D171="","",IF($H171="kg/km",$F171*J171/1000,IF($H171="kg/p.km",$F171*$G171*J171/1000,$F171*#REF!*J171/1000)))</f>
        <v/>
      </c>
      <c r="N171" s="478" t="str">
        <f>IF($D171="","",IF($H171="kg/km",$F171*K171/1000,IF($H171="kg/p.km",$F171*$G171*K171/1000,$F171*#REF!*K171/1000)))</f>
        <v/>
      </c>
      <c r="O171" s="479" t="str">
        <f t="shared" si="5"/>
        <v/>
      </c>
      <c r="P171" s="480"/>
    </row>
    <row r="172" spans="1:43" s="237" customFormat="1" ht="15" customHeight="1" outlineLevel="1" x14ac:dyDescent="0.25">
      <c r="A172" s="363"/>
      <c r="B172" s="1145"/>
      <c r="C172" s="1145"/>
      <c r="D172" s="1268"/>
      <c r="E172" s="1268"/>
      <c r="F172" s="438"/>
      <c r="G172" s="438"/>
      <c r="H172" s="1020" t="str">
        <f>IF(OR(D172="",D172="-"),"",VLOOKUP(D172,'Fatores de Emissão'!$E$181:$K$184,3,FALSE))</f>
        <v/>
      </c>
      <c r="I172" s="478" t="str">
        <f>IF(OR(D172="",D172="-"),"",VLOOKUP(D172,'Fatores de Emissão'!$E$181:$K$184,2,FALSE))</f>
        <v/>
      </c>
      <c r="J172" s="478" t="str">
        <f>IF(OR(D172="",D172="-"),"",VLOOKUP(D172,'Fatores de Emissão'!$E$181:$K$184,4,FALSE))</f>
        <v/>
      </c>
      <c r="K172" s="478" t="str">
        <f>IF(OR(D172="",D172="-"),"",VLOOKUP(D172,'Fatores de Emissão'!$E$181:$K$184,6,FALSE))</f>
        <v/>
      </c>
      <c r="L172" s="478" t="str">
        <f>IF($D172="","",IF($H172="kg/km",$F172*I172/1000,IF($H172="kg/p.km",$F172*$G172*I172/1000,$F172*#REF!*I172/1000)))</f>
        <v/>
      </c>
      <c r="M172" s="478" t="str">
        <f>IF($D172="","",IF($H172="kg/km",$F172*J172/1000,IF($H172="kg/p.km",$F172*$G172*J172/1000,$F172*#REF!*J172/1000)))</f>
        <v/>
      </c>
      <c r="N172" s="478" t="str">
        <f>IF($D172="","",IF($H172="kg/km",$F172*K172/1000,IF($H172="kg/p.km",$F172*$G172*K172/1000,$F172*#REF!*K172/1000)))</f>
        <v/>
      </c>
      <c r="O172" s="479" t="str">
        <f t="shared" si="5"/>
        <v/>
      </c>
      <c r="P172" s="480"/>
    </row>
    <row r="173" spans="1:43" s="237" customFormat="1" ht="15" customHeight="1" outlineLevel="1" x14ac:dyDescent="0.25">
      <c r="A173" s="363"/>
      <c r="B173" s="1145"/>
      <c r="C173" s="1145"/>
      <c r="D173" s="1268"/>
      <c r="E173" s="1268"/>
      <c r="F173" s="438"/>
      <c r="G173" s="438"/>
      <c r="H173" s="1020" t="str">
        <f>IF(OR(D173="",D173="-"),"",VLOOKUP(D173,'Fatores de Emissão'!$E$181:$K$184,3,FALSE))</f>
        <v/>
      </c>
      <c r="I173" s="478" t="str">
        <f>IF(OR(D173="",D173="-"),"",VLOOKUP(D173,'Fatores de Emissão'!$E$181:$K$184,2,FALSE))</f>
        <v/>
      </c>
      <c r="J173" s="478" t="str">
        <f>IF(OR(D173="",D173="-"),"",VLOOKUP(D173,'Fatores de Emissão'!$E$181:$K$184,4,FALSE))</f>
        <v/>
      </c>
      <c r="K173" s="478" t="str">
        <f>IF(OR(D173="",D173="-"),"",VLOOKUP(D173,'Fatores de Emissão'!$E$181:$K$184,6,FALSE))</f>
        <v/>
      </c>
      <c r="L173" s="478" t="str">
        <f>IF($D173="","",IF($H173="kg/km",$F173*I173/1000,IF($H173="kg/p.km",$F173*$G173*I173/1000,$F173*#REF!*I173/1000)))</f>
        <v/>
      </c>
      <c r="M173" s="478" t="str">
        <f>IF($D173="","",IF($H173="kg/km",$F173*J173/1000,IF($H173="kg/p.km",$F173*$G173*J173/1000,$F173*#REF!*J173/1000)))</f>
        <v/>
      </c>
      <c r="N173" s="478" t="str">
        <f>IF($D173="","",IF($H173="kg/km",$F173*K173/1000,IF($H173="kg/p.km",$F173*$G173*K173/1000,$F173*#REF!*K173/1000)))</f>
        <v/>
      </c>
      <c r="O173" s="479" t="str">
        <f t="shared" si="5"/>
        <v/>
      </c>
      <c r="P173" s="480"/>
    </row>
    <row r="174" spans="1:43" s="237" customFormat="1" ht="15" customHeight="1" outlineLevel="1" x14ac:dyDescent="0.25">
      <c r="A174" s="363"/>
      <c r="B174" s="1145"/>
      <c r="C174" s="1145"/>
      <c r="D174" s="1268"/>
      <c r="E174" s="1268"/>
      <c r="F174" s="438"/>
      <c r="G174" s="438"/>
      <c r="H174" s="1020" t="str">
        <f>IF(OR(D174="",D174="-"),"",VLOOKUP(D174,'Fatores de Emissão'!$E$181:$K$184,3,FALSE))</f>
        <v/>
      </c>
      <c r="I174" s="478" t="str">
        <f>IF(OR(D174="",D174="-"),"",VLOOKUP(D174,'Fatores de Emissão'!$E$181:$K$184,2,FALSE))</f>
        <v/>
      </c>
      <c r="J174" s="478" t="str">
        <f>IF(OR(D174="",D174="-"),"",VLOOKUP(D174,'Fatores de Emissão'!$E$181:$K$184,4,FALSE))</f>
        <v/>
      </c>
      <c r="K174" s="478" t="str">
        <f>IF(OR(D174="",D174="-"),"",VLOOKUP(D174,'Fatores de Emissão'!$E$181:$K$184,6,FALSE))</f>
        <v/>
      </c>
      <c r="L174" s="478" t="str">
        <f>IF($D174="","",IF($H174="kg/km",$F174*I174/1000,IF($H174="kg/p.km",$F174*$G174*I174/1000,$F174*#REF!*I174/1000)))</f>
        <v/>
      </c>
      <c r="M174" s="478" t="str">
        <f>IF($D174="","",IF($H174="kg/km",$F174*J174/1000,IF($H174="kg/p.km",$F174*$G174*J174/1000,$F174*#REF!*J174/1000)))</f>
        <v/>
      </c>
      <c r="N174" s="478" t="str">
        <f>IF($D174="","",IF($H174="kg/km",$F174*K174/1000,IF($H174="kg/p.km",$F174*$G174*K174/1000,$F174*#REF!*K174/1000)))</f>
        <v/>
      </c>
      <c r="O174" s="479" t="str">
        <f t="shared" si="5"/>
        <v/>
      </c>
      <c r="P174" s="480"/>
    </row>
    <row r="175" spans="1:43" s="237" customFormat="1" ht="15" customHeight="1" outlineLevel="1" x14ac:dyDescent="0.25">
      <c r="A175" s="363"/>
      <c r="B175" s="1145"/>
      <c r="C175" s="1145"/>
      <c r="D175" s="1268"/>
      <c r="E175" s="1268"/>
      <c r="F175" s="438"/>
      <c r="G175" s="438"/>
      <c r="H175" s="1020" t="str">
        <f>IF(OR(D175="",D175="-"),"",VLOOKUP(D175,'Fatores de Emissão'!$E$181:$K$184,3,FALSE))</f>
        <v/>
      </c>
      <c r="I175" s="478" t="str">
        <f>IF(OR(D175="",D175="-"),"",VLOOKUP(D175,'Fatores de Emissão'!$E$181:$K$184,2,FALSE))</f>
        <v/>
      </c>
      <c r="J175" s="478" t="str">
        <f>IF(OR(D175="",D175="-"),"",VLOOKUP(D175,'Fatores de Emissão'!$E$181:$K$184,4,FALSE))</f>
        <v/>
      </c>
      <c r="K175" s="478" t="str">
        <f>IF(OR(D175="",D175="-"),"",VLOOKUP(D175,'Fatores de Emissão'!$E$181:$K$184,6,FALSE))</f>
        <v/>
      </c>
      <c r="L175" s="478" t="str">
        <f>IF($D175="","",IF($H175="kg/km",$F175*I175/1000,IF($H175="kg/p.km",$F175*$G175*I175/1000,$F175*#REF!*I175/1000)))</f>
        <v/>
      </c>
      <c r="M175" s="478" t="str">
        <f>IF($D175="","",IF($H175="kg/km",$F175*J175/1000,IF($H175="kg/p.km",$F175*$G175*J175/1000,$F175*#REF!*J175/1000)))</f>
        <v/>
      </c>
      <c r="N175" s="478" t="str">
        <f>IF($D175="","",IF($H175="kg/km",$F175*K175/1000,IF($H175="kg/p.km",$F175*$G175*K175/1000,$F175*#REF!*K175/1000)))</f>
        <v/>
      </c>
      <c r="O175" s="479" t="str">
        <f t="shared" si="5"/>
        <v/>
      </c>
      <c r="P175" s="480"/>
    </row>
    <row r="176" spans="1:43" s="237" customFormat="1" ht="15" customHeight="1" outlineLevel="1" x14ac:dyDescent="0.25">
      <c r="A176" s="363"/>
      <c r="B176" s="1145"/>
      <c r="C176" s="1145"/>
      <c r="D176" s="1268"/>
      <c r="E176" s="1268"/>
      <c r="F176" s="438"/>
      <c r="G176" s="438"/>
      <c r="H176" s="1020" t="str">
        <f>IF(OR(D176="",D176="-"),"",VLOOKUP(D176,'Fatores de Emissão'!$E$181:$K$184,3,FALSE))</f>
        <v/>
      </c>
      <c r="I176" s="478" t="str">
        <f>IF(OR(D176="",D176="-"),"",VLOOKUP(D176,'Fatores de Emissão'!$E$181:$K$184,2,FALSE))</f>
        <v/>
      </c>
      <c r="J176" s="478" t="str">
        <f>IF(OR(D176="",D176="-"),"",VLOOKUP(D176,'Fatores de Emissão'!$E$181:$K$184,4,FALSE))</f>
        <v/>
      </c>
      <c r="K176" s="478" t="str">
        <f>IF(OR(D176="",D176="-"),"",VLOOKUP(D176,'Fatores de Emissão'!$E$181:$K$184,6,FALSE))</f>
        <v/>
      </c>
      <c r="L176" s="478" t="str">
        <f>IF($D176="","",IF($H176="kg/km",$F176*I176/1000,IF($H176="kg/p.km",$F176*$G176*I176/1000,$F176*#REF!*I176/1000)))</f>
        <v/>
      </c>
      <c r="M176" s="478" t="str">
        <f>IF($D176="","",IF($H176="kg/km",$F176*J176/1000,IF($H176="kg/p.km",$F176*$G176*J176/1000,$F176*#REF!*J176/1000)))</f>
        <v/>
      </c>
      <c r="N176" s="478" t="str">
        <f>IF($D176="","",IF($H176="kg/km",$F176*K176/1000,IF($H176="kg/p.km",$F176*$G176*K176/1000,$F176*#REF!*K176/1000)))</f>
        <v/>
      </c>
      <c r="O176" s="479" t="str">
        <f t="shared" si="5"/>
        <v/>
      </c>
      <c r="P176" s="480"/>
    </row>
    <row r="177" spans="1:16" s="237" customFormat="1" ht="15" customHeight="1" outlineLevel="1" x14ac:dyDescent="0.25">
      <c r="A177" s="363"/>
      <c r="B177" s="1145"/>
      <c r="C177" s="1145"/>
      <c r="D177" s="1268"/>
      <c r="E177" s="1268"/>
      <c r="F177" s="438"/>
      <c r="G177" s="438"/>
      <c r="H177" s="1020" t="str">
        <f>IF(OR(D177="",D177="-"),"",VLOOKUP(D177,'Fatores de Emissão'!$E$181:$K$184,3,FALSE))</f>
        <v/>
      </c>
      <c r="I177" s="478" t="str">
        <f>IF(OR(D177="",D177="-"),"",VLOOKUP(D177,'Fatores de Emissão'!$E$181:$K$184,2,FALSE))</f>
        <v/>
      </c>
      <c r="J177" s="478" t="str">
        <f>IF(OR(D177="",D177="-"),"",VLOOKUP(D177,'Fatores de Emissão'!$E$181:$K$184,4,FALSE))</f>
        <v/>
      </c>
      <c r="K177" s="478" t="str">
        <f>IF(OR(D177="",D177="-"),"",VLOOKUP(D177,'Fatores de Emissão'!$E$181:$K$184,6,FALSE))</f>
        <v/>
      </c>
      <c r="L177" s="478" t="str">
        <f>IF($D177="","",IF($H177="kg/km",$F177*I177/1000,IF($H177="kg/p.km",$F177*$G177*I177/1000,$F177*#REF!*I177/1000)))</f>
        <v/>
      </c>
      <c r="M177" s="478" t="str">
        <f>IF($D177="","",IF($H177="kg/km",$F177*J177/1000,IF($H177="kg/p.km",$F177*$G177*J177/1000,$F177*#REF!*J177/1000)))</f>
        <v/>
      </c>
      <c r="N177" s="478" t="str">
        <f>IF($D177="","",IF($H177="kg/km",$F177*K177/1000,IF($H177="kg/p.km",$F177*$G177*K177/1000,$F177*#REF!*K177/1000)))</f>
        <v/>
      </c>
      <c r="O177" s="479" t="str">
        <f t="shared" si="5"/>
        <v/>
      </c>
      <c r="P177" s="480"/>
    </row>
    <row r="178" spans="1:16" s="237" customFormat="1" ht="15" customHeight="1" outlineLevel="1" x14ac:dyDescent="0.25">
      <c r="A178" s="363"/>
      <c r="B178" s="1145"/>
      <c r="C178" s="1145"/>
      <c r="D178" s="1268"/>
      <c r="E178" s="1268"/>
      <c r="F178" s="438"/>
      <c r="G178" s="438"/>
      <c r="H178" s="1020" t="str">
        <f>IF(OR(D178="",D178="-"),"",VLOOKUP(D178,'Fatores de Emissão'!$E$181:$K$184,3,FALSE))</f>
        <v/>
      </c>
      <c r="I178" s="478" t="str">
        <f>IF(OR(D178="",D178="-"),"",VLOOKUP(D178,'Fatores de Emissão'!$E$181:$K$184,2,FALSE))</f>
        <v/>
      </c>
      <c r="J178" s="478" t="str">
        <f>IF(OR(D178="",D178="-"),"",VLOOKUP(D178,'Fatores de Emissão'!$E$181:$K$184,4,FALSE))</f>
        <v/>
      </c>
      <c r="K178" s="478" t="str">
        <f>IF(OR(D178="",D178="-"),"",VLOOKUP(D178,'Fatores de Emissão'!$E$181:$K$184,6,FALSE))</f>
        <v/>
      </c>
      <c r="L178" s="478" t="str">
        <f>IF($D178="","",IF($H178="kg/km",$F178*I178/1000,IF($H178="kg/p.km",$F178*$G178*I178/1000,$F178*#REF!*I178/1000)))</f>
        <v/>
      </c>
      <c r="M178" s="478" t="str">
        <f>IF($D178="","",IF($H178="kg/km",$F178*J178/1000,IF($H178="kg/p.km",$F178*$G178*J178/1000,$F178*#REF!*J178/1000)))</f>
        <v/>
      </c>
      <c r="N178" s="478" t="str">
        <f>IF($D178="","",IF($H178="kg/km",$F178*K178/1000,IF($H178="kg/p.km",$F178*$G178*K178/1000,$F178*#REF!*K178/1000)))</f>
        <v/>
      </c>
      <c r="O178" s="479" t="str">
        <f t="shared" si="5"/>
        <v/>
      </c>
      <c r="P178" s="480"/>
    </row>
    <row r="179" spans="1:16" s="237" customFormat="1" ht="15" customHeight="1" outlineLevel="1" collapsed="1" x14ac:dyDescent="0.25">
      <c r="A179" s="363"/>
      <c r="B179" s="1145"/>
      <c r="C179" s="1145"/>
      <c r="D179" s="1268"/>
      <c r="E179" s="1268"/>
      <c r="F179" s="438"/>
      <c r="G179" s="438"/>
      <c r="H179" s="1020" t="str">
        <f>IF(OR(D179="",D179="-"),"",VLOOKUP(D179,'Fatores de Emissão'!$E$181:$K$184,3,FALSE))</f>
        <v/>
      </c>
      <c r="I179" s="478" t="str">
        <f>IF(OR(D179="",D179="-"),"",VLOOKUP(D179,'Fatores de Emissão'!$E$181:$K$184,2,FALSE))</f>
        <v/>
      </c>
      <c r="J179" s="478" t="str">
        <f>IF(OR(D179="",D179="-"),"",VLOOKUP(D179,'Fatores de Emissão'!$E$181:$K$184,4,FALSE))</f>
        <v/>
      </c>
      <c r="K179" s="478" t="str">
        <f>IF(OR(D179="",D179="-"),"",VLOOKUP(D179,'Fatores de Emissão'!$E$181:$K$184,6,FALSE))</f>
        <v/>
      </c>
      <c r="L179" s="478" t="str">
        <f>IF($D179="","",IF($H179="kg/km",$F179*I179/1000,IF($H179="kg/p.km",$F179*$G179*I179/1000,$F179*#REF!*I179/1000)))</f>
        <v/>
      </c>
      <c r="M179" s="478" t="str">
        <f>IF($D179="","",IF($H179="kg/km",$F179*J179/1000,IF($H179="kg/p.km",$F179*$G179*J179/1000,$F179*#REF!*J179/1000)))</f>
        <v/>
      </c>
      <c r="N179" s="478" t="str">
        <f>IF($D179="","",IF($H179="kg/km",$F179*K179/1000,IF($H179="kg/p.km",$F179*$G179*K179/1000,$F179*#REF!*K179/1000)))</f>
        <v/>
      </c>
      <c r="O179" s="479" t="str">
        <f t="shared" si="5"/>
        <v/>
      </c>
      <c r="P179" s="480"/>
    </row>
    <row r="180" spans="1:16" s="237" customFormat="1" ht="15" hidden="1" customHeight="1" outlineLevel="2" x14ac:dyDescent="0.25">
      <c r="A180" s="363"/>
      <c r="B180" s="1145"/>
      <c r="C180" s="1145"/>
      <c r="D180" s="1268"/>
      <c r="E180" s="1268"/>
      <c r="F180" s="438"/>
      <c r="G180" s="438"/>
      <c r="H180" s="1020" t="str">
        <f>IF(OR(D180="",D180="-"),"",VLOOKUP(D180,'Fatores de Emissão'!$E$181:$K$184,3,FALSE))</f>
        <v/>
      </c>
      <c r="I180" s="478" t="str">
        <f>IF(OR(D180="",D180="-"),"",VLOOKUP(D180,'Fatores de Emissão'!$E$181:$K$184,2,FALSE))</f>
        <v/>
      </c>
      <c r="J180" s="478" t="str">
        <f>IF(OR(D180="",D180="-"),"",VLOOKUP(D180,'Fatores de Emissão'!$E$181:$K$184,4,FALSE))</f>
        <v/>
      </c>
      <c r="K180" s="478" t="str">
        <f>IF(OR(D180="",D180="-"),"",VLOOKUP(D180,'Fatores de Emissão'!$E$181:$K$184,6,FALSE))</f>
        <v/>
      </c>
      <c r="L180" s="478" t="str">
        <f>IF($D180="","",IF($H180="kg/km",$F180*I180/1000,IF($H180="kg/p.km",$F180*$G180*I180/1000,$F180*#REF!*I180/1000)))</f>
        <v/>
      </c>
      <c r="M180" s="478" t="str">
        <f>IF($D180="","",IF($H180="kg/km",$F180*J180/1000,IF($H180="kg/p.km",$F180*$G180*J180/1000,$F180*#REF!*J180/1000)))</f>
        <v/>
      </c>
      <c r="N180" s="478" t="str">
        <f>IF($D180="","",IF($H180="kg/km",$F180*K180/1000,IF($H180="kg/p.km",$F180*$G180*K180/1000,$F180*#REF!*K180/1000)))</f>
        <v/>
      </c>
      <c r="O180" s="479" t="str">
        <f t="shared" si="5"/>
        <v/>
      </c>
      <c r="P180" s="480"/>
    </row>
    <row r="181" spans="1:16" s="237" customFormat="1" ht="15" hidden="1" customHeight="1" outlineLevel="2" x14ac:dyDescent="0.25">
      <c r="A181" s="363"/>
      <c r="B181" s="1145"/>
      <c r="C181" s="1145"/>
      <c r="D181" s="1268"/>
      <c r="E181" s="1268"/>
      <c r="F181" s="438"/>
      <c r="G181" s="438"/>
      <c r="H181" s="1020" t="str">
        <f>IF(OR(D181="",D181="-"),"",VLOOKUP(D181,'Fatores de Emissão'!$E$181:$K$184,3,FALSE))</f>
        <v/>
      </c>
      <c r="I181" s="478" t="str">
        <f>IF(OR(D181="",D181="-"),"",VLOOKUP(D181,'Fatores de Emissão'!$E$181:$K$184,2,FALSE))</f>
        <v/>
      </c>
      <c r="J181" s="478" t="str">
        <f>IF(OR(D181="",D181="-"),"",VLOOKUP(D181,'Fatores de Emissão'!$E$181:$K$184,4,FALSE))</f>
        <v/>
      </c>
      <c r="K181" s="478" t="str">
        <f>IF(OR(D181="",D181="-"),"",VLOOKUP(D181,'Fatores de Emissão'!$E$181:$K$184,6,FALSE))</f>
        <v/>
      </c>
      <c r="L181" s="478" t="str">
        <f>IF($D181="","",IF($H181="kg/km",$F181*I181/1000,IF($H181="kg/p.km",$F181*$G181*I181/1000,$F181*#REF!*I181/1000)))</f>
        <v/>
      </c>
      <c r="M181" s="478" t="str">
        <f>IF($D181="","",IF($H181="kg/km",$F181*J181/1000,IF($H181="kg/p.km",$F181*$G181*J181/1000,$F181*#REF!*J181/1000)))</f>
        <v/>
      </c>
      <c r="N181" s="478" t="str">
        <f>IF($D181="","",IF($H181="kg/km",$F181*K181/1000,IF($H181="kg/p.km",$F181*$G181*K181/1000,$F181*#REF!*K181/1000)))</f>
        <v/>
      </c>
      <c r="O181" s="479" t="str">
        <f t="shared" si="5"/>
        <v/>
      </c>
      <c r="P181" s="480"/>
    </row>
    <row r="182" spans="1:16" s="237" customFormat="1" ht="15" hidden="1" customHeight="1" outlineLevel="2" x14ac:dyDescent="0.25">
      <c r="A182" s="363"/>
      <c r="B182" s="1145"/>
      <c r="C182" s="1145"/>
      <c r="D182" s="1268"/>
      <c r="E182" s="1268"/>
      <c r="F182" s="438"/>
      <c r="G182" s="438"/>
      <c r="H182" s="1020" t="str">
        <f>IF(OR(D182="",D182="-"),"",VLOOKUP(D182,'Fatores de Emissão'!$E$181:$K$184,3,FALSE))</f>
        <v/>
      </c>
      <c r="I182" s="478" t="str">
        <f>IF(OR(D182="",D182="-"),"",VLOOKUP(D182,'Fatores de Emissão'!$E$181:$K$184,2,FALSE))</f>
        <v/>
      </c>
      <c r="J182" s="478" t="str">
        <f>IF(OR(D182="",D182="-"),"",VLOOKUP(D182,'Fatores de Emissão'!$E$181:$K$184,4,FALSE))</f>
        <v/>
      </c>
      <c r="K182" s="478" t="str">
        <f>IF(OR(D182="",D182="-"),"",VLOOKUP(D182,'Fatores de Emissão'!$E$181:$K$184,6,FALSE))</f>
        <v/>
      </c>
      <c r="L182" s="478" t="str">
        <f>IF($D182="","",IF($H182="kg/km",$F182*I182/1000,IF($H182="kg/p.km",$F182*$G182*I182/1000,$F182*#REF!*I182/1000)))</f>
        <v/>
      </c>
      <c r="M182" s="478" t="str">
        <f>IF($D182="","",IF($H182="kg/km",$F182*J182/1000,IF($H182="kg/p.km",$F182*$G182*J182/1000,$F182*#REF!*J182/1000)))</f>
        <v/>
      </c>
      <c r="N182" s="478" t="str">
        <f>IF($D182="","",IF($H182="kg/km",$F182*K182/1000,IF($H182="kg/p.km",$F182*$G182*K182/1000,$F182*#REF!*K182/1000)))</f>
        <v/>
      </c>
      <c r="O182" s="479" t="str">
        <f t="shared" si="5"/>
        <v/>
      </c>
      <c r="P182" s="480"/>
    </row>
    <row r="183" spans="1:16" s="237" customFormat="1" ht="15" hidden="1" customHeight="1" outlineLevel="2" x14ac:dyDescent="0.25">
      <c r="A183" s="363"/>
      <c r="B183" s="1145"/>
      <c r="C183" s="1145"/>
      <c r="D183" s="1268"/>
      <c r="E183" s="1268"/>
      <c r="F183" s="438"/>
      <c r="G183" s="438"/>
      <c r="H183" s="1020" t="str">
        <f>IF(OR(D183="",D183="-"),"",VLOOKUP(D183,'Fatores de Emissão'!$E$181:$K$184,3,FALSE))</f>
        <v/>
      </c>
      <c r="I183" s="478" t="str">
        <f>IF(OR(D183="",D183="-"),"",VLOOKUP(D183,'Fatores de Emissão'!$E$181:$K$184,2,FALSE))</f>
        <v/>
      </c>
      <c r="J183" s="478" t="str">
        <f>IF(OR(D183="",D183="-"),"",VLOOKUP(D183,'Fatores de Emissão'!$E$181:$K$184,4,FALSE))</f>
        <v/>
      </c>
      <c r="K183" s="478" t="str">
        <f>IF(OR(D183="",D183="-"),"",VLOOKUP(D183,'Fatores de Emissão'!$E$181:$K$184,6,FALSE))</f>
        <v/>
      </c>
      <c r="L183" s="478" t="str">
        <f>IF($D183="","",IF($H183="kg/km",$F183*I183/1000,IF($H183="kg/p.km",$F183*$G183*I183/1000,$F183*#REF!*I183/1000)))</f>
        <v/>
      </c>
      <c r="M183" s="478" t="str">
        <f>IF($D183="","",IF($H183="kg/km",$F183*J183/1000,IF($H183="kg/p.km",$F183*$G183*J183/1000,$F183*#REF!*J183/1000)))</f>
        <v/>
      </c>
      <c r="N183" s="478" t="str">
        <f>IF($D183="","",IF($H183="kg/km",$F183*K183/1000,IF($H183="kg/p.km",$F183*$G183*K183/1000,$F183*#REF!*K183/1000)))</f>
        <v/>
      </c>
      <c r="O183" s="479" t="str">
        <f t="shared" si="5"/>
        <v/>
      </c>
      <c r="P183" s="480"/>
    </row>
    <row r="184" spans="1:16" s="237" customFormat="1" ht="15" hidden="1" customHeight="1" outlineLevel="2" x14ac:dyDescent="0.25">
      <c r="A184" s="363"/>
      <c r="B184" s="1145"/>
      <c r="C184" s="1145"/>
      <c r="D184" s="1268"/>
      <c r="E184" s="1268"/>
      <c r="F184" s="438"/>
      <c r="G184" s="438"/>
      <c r="H184" s="1020" t="str">
        <f>IF(OR(D184="",D184="-"),"",VLOOKUP(D184,'Fatores de Emissão'!$E$181:$K$184,3,FALSE))</f>
        <v/>
      </c>
      <c r="I184" s="478" t="str">
        <f>IF(OR(D184="",D184="-"),"",VLOOKUP(D184,'Fatores de Emissão'!$E$181:$K$184,2,FALSE))</f>
        <v/>
      </c>
      <c r="J184" s="478" t="str">
        <f>IF(OR(D184="",D184="-"),"",VLOOKUP(D184,'Fatores de Emissão'!$E$181:$K$184,4,FALSE))</f>
        <v/>
      </c>
      <c r="K184" s="478" t="str">
        <f>IF(OR(D184="",D184="-"),"",VLOOKUP(D184,'Fatores de Emissão'!$E$181:$K$184,6,FALSE))</f>
        <v/>
      </c>
      <c r="L184" s="478" t="str">
        <f>IF($D184="","",IF($H184="kg/km",$F184*I184/1000,IF($H184="kg/p.km",$F184*$G184*I184/1000,$F184*#REF!*I184/1000)))</f>
        <v/>
      </c>
      <c r="M184" s="478" t="str">
        <f>IF($D184="","",IF($H184="kg/km",$F184*J184/1000,IF($H184="kg/p.km",$F184*$G184*J184/1000,$F184*#REF!*J184/1000)))</f>
        <v/>
      </c>
      <c r="N184" s="478" t="str">
        <f>IF($D184="","",IF($H184="kg/km",$F184*K184/1000,IF($H184="kg/p.km",$F184*$G184*K184/1000,$F184*#REF!*K184/1000)))</f>
        <v/>
      </c>
      <c r="O184" s="479" t="str">
        <f t="shared" si="5"/>
        <v/>
      </c>
      <c r="P184" s="480"/>
    </row>
    <row r="185" spans="1:16" s="237" customFormat="1" ht="15" hidden="1" customHeight="1" outlineLevel="2" x14ac:dyDescent="0.25">
      <c r="A185" s="363"/>
      <c r="B185" s="1145"/>
      <c r="C185" s="1145"/>
      <c r="D185" s="1268"/>
      <c r="E185" s="1268"/>
      <c r="F185" s="438"/>
      <c r="G185" s="438"/>
      <c r="H185" s="1020" t="str">
        <f>IF(OR(D185="",D185="-"),"",VLOOKUP(D185,'Fatores de Emissão'!$E$181:$K$184,3,FALSE))</f>
        <v/>
      </c>
      <c r="I185" s="478" t="str">
        <f>IF(OR(D185="",D185="-"),"",VLOOKUP(D185,'Fatores de Emissão'!$E$181:$K$184,2,FALSE))</f>
        <v/>
      </c>
      <c r="J185" s="478" t="str">
        <f>IF(OR(D185="",D185="-"),"",VLOOKUP(D185,'Fatores de Emissão'!$E$181:$K$184,4,FALSE))</f>
        <v/>
      </c>
      <c r="K185" s="478" t="str">
        <f>IF(OR(D185="",D185="-"),"",VLOOKUP(D185,'Fatores de Emissão'!$E$181:$K$184,6,FALSE))</f>
        <v/>
      </c>
      <c r="L185" s="478" t="str">
        <f>IF($D185="","",IF($H185="kg/km",$F185*I185/1000,IF($H185="kg/p.km",$F185*$G185*I185/1000,$F185*#REF!*I185/1000)))</f>
        <v/>
      </c>
      <c r="M185" s="478" t="str">
        <f>IF($D185="","",IF($H185="kg/km",$F185*J185/1000,IF($H185="kg/p.km",$F185*$G185*J185/1000,$F185*#REF!*J185/1000)))</f>
        <v/>
      </c>
      <c r="N185" s="478" t="str">
        <f>IF($D185="","",IF($H185="kg/km",$F185*K185/1000,IF($H185="kg/p.km",$F185*$G185*K185/1000,$F185*#REF!*K185/1000)))</f>
        <v/>
      </c>
      <c r="O185" s="479" t="str">
        <f t="shared" si="5"/>
        <v/>
      </c>
      <c r="P185" s="480"/>
    </row>
    <row r="186" spans="1:16" s="237" customFormat="1" ht="15" hidden="1" customHeight="1" outlineLevel="2" x14ac:dyDescent="0.25">
      <c r="A186" s="363"/>
      <c r="B186" s="1145"/>
      <c r="C186" s="1145"/>
      <c r="D186" s="1268"/>
      <c r="E186" s="1268"/>
      <c r="F186" s="438"/>
      <c r="G186" s="438"/>
      <c r="H186" s="1020" t="str">
        <f>IF(OR(D186="",D186="-"),"",VLOOKUP(D186,'Fatores de Emissão'!$E$181:$K$184,3,FALSE))</f>
        <v/>
      </c>
      <c r="I186" s="478" t="str">
        <f>IF(OR(D186="",D186="-"),"",VLOOKUP(D186,'Fatores de Emissão'!$E$181:$K$184,2,FALSE))</f>
        <v/>
      </c>
      <c r="J186" s="478" t="str">
        <f>IF(OR(D186="",D186="-"),"",VLOOKUP(D186,'Fatores de Emissão'!$E$181:$K$184,4,FALSE))</f>
        <v/>
      </c>
      <c r="K186" s="478" t="str">
        <f>IF(OR(D186="",D186="-"),"",VLOOKUP(D186,'Fatores de Emissão'!$E$181:$K$184,6,FALSE))</f>
        <v/>
      </c>
      <c r="L186" s="478" t="str">
        <f>IF($D186="","",IF($H186="kg/km",$F186*I186/1000,IF($H186="kg/p.km",$F186*$G186*I186/1000,$F186*#REF!*I186/1000)))</f>
        <v/>
      </c>
      <c r="M186" s="478" t="str">
        <f>IF($D186="","",IF($H186="kg/km",$F186*J186/1000,IF($H186="kg/p.km",$F186*$G186*J186/1000,$F186*#REF!*J186/1000)))</f>
        <v/>
      </c>
      <c r="N186" s="478" t="str">
        <f>IF($D186="","",IF($H186="kg/km",$F186*K186/1000,IF($H186="kg/p.km",$F186*$G186*K186/1000,$F186*#REF!*K186/1000)))</f>
        <v/>
      </c>
      <c r="O186" s="479" t="str">
        <f t="shared" si="5"/>
        <v/>
      </c>
      <c r="P186" s="480"/>
    </row>
    <row r="187" spans="1:16" s="237" customFormat="1" ht="15" hidden="1" customHeight="1" outlineLevel="2" x14ac:dyDescent="0.25">
      <c r="A187" s="363"/>
      <c r="B187" s="1145"/>
      <c r="C187" s="1145"/>
      <c r="D187" s="1268"/>
      <c r="E187" s="1268"/>
      <c r="F187" s="438"/>
      <c r="G187" s="438"/>
      <c r="H187" s="1020" t="str">
        <f>IF(OR(D187="",D187="-"),"",VLOOKUP(D187,'Fatores de Emissão'!$E$181:$K$184,3,FALSE))</f>
        <v/>
      </c>
      <c r="I187" s="478" t="str">
        <f>IF(OR(D187="",D187="-"),"",VLOOKUP(D187,'Fatores de Emissão'!$E$181:$K$184,2,FALSE))</f>
        <v/>
      </c>
      <c r="J187" s="478" t="str">
        <f>IF(OR(D187="",D187="-"),"",VLOOKUP(D187,'Fatores de Emissão'!$E$181:$K$184,4,FALSE))</f>
        <v/>
      </c>
      <c r="K187" s="478" t="str">
        <f>IF(OR(D187="",D187="-"),"",VLOOKUP(D187,'Fatores de Emissão'!$E$181:$K$184,6,FALSE))</f>
        <v/>
      </c>
      <c r="L187" s="478" t="str">
        <f>IF($D187="","",IF($H187="kg/km",$F187*I187/1000,IF($H187="kg/p.km",$F187*$G187*I187/1000,$F187*#REF!*I187/1000)))</f>
        <v/>
      </c>
      <c r="M187" s="478" t="str">
        <f>IF($D187="","",IF($H187="kg/km",$F187*J187/1000,IF($H187="kg/p.km",$F187*$G187*J187/1000,$F187*#REF!*J187/1000)))</f>
        <v/>
      </c>
      <c r="N187" s="478" t="str">
        <f>IF($D187="","",IF($H187="kg/km",$F187*K187/1000,IF($H187="kg/p.km",$F187*$G187*K187/1000,$F187*#REF!*K187/1000)))</f>
        <v/>
      </c>
      <c r="O187" s="479" t="str">
        <f t="shared" si="5"/>
        <v/>
      </c>
      <c r="P187" s="480"/>
    </row>
    <row r="188" spans="1:16" s="237" customFormat="1" ht="15" hidden="1" customHeight="1" outlineLevel="2" x14ac:dyDescent="0.25">
      <c r="A188" s="363"/>
      <c r="B188" s="1145"/>
      <c r="C188" s="1145"/>
      <c r="D188" s="1268"/>
      <c r="E188" s="1268"/>
      <c r="F188" s="438"/>
      <c r="G188" s="438"/>
      <c r="H188" s="1020" t="str">
        <f>IF(OR(D188="",D188="-"),"",VLOOKUP(D188,'Fatores de Emissão'!$E$181:$K$184,3,FALSE))</f>
        <v/>
      </c>
      <c r="I188" s="478" t="str">
        <f>IF(OR(D188="",D188="-"),"",VLOOKUP(D188,'Fatores de Emissão'!$E$181:$K$184,2,FALSE))</f>
        <v/>
      </c>
      <c r="J188" s="478" t="str">
        <f>IF(OR(D188="",D188="-"),"",VLOOKUP(D188,'Fatores de Emissão'!$E$181:$K$184,4,FALSE))</f>
        <v/>
      </c>
      <c r="K188" s="478" t="str">
        <f>IF(OR(D188="",D188="-"),"",VLOOKUP(D188,'Fatores de Emissão'!$E$181:$K$184,6,FALSE))</f>
        <v/>
      </c>
      <c r="L188" s="478" t="str">
        <f>IF($D188="","",IF($H188="kg/km",$F188*I188/1000,IF($H188="kg/p.km",$F188*$G188*I188/1000,$F188*#REF!*I188/1000)))</f>
        <v/>
      </c>
      <c r="M188" s="478" t="str">
        <f>IF($D188="","",IF($H188="kg/km",$F188*J188/1000,IF($H188="kg/p.km",$F188*$G188*J188/1000,$F188*#REF!*J188/1000)))</f>
        <v/>
      </c>
      <c r="N188" s="478" t="str">
        <f>IF($D188="","",IF($H188="kg/km",$F188*K188/1000,IF($H188="kg/p.km",$F188*$G188*K188/1000,$F188*#REF!*K188/1000)))</f>
        <v/>
      </c>
      <c r="O188" s="479" t="str">
        <f t="shared" si="5"/>
        <v/>
      </c>
      <c r="P188" s="480"/>
    </row>
    <row r="189" spans="1:16" s="237" customFormat="1" ht="15" hidden="1" customHeight="1" outlineLevel="2" x14ac:dyDescent="0.25">
      <c r="A189" s="363"/>
      <c r="B189" s="1145"/>
      <c r="C189" s="1145"/>
      <c r="D189" s="1268"/>
      <c r="E189" s="1268"/>
      <c r="F189" s="438"/>
      <c r="G189" s="438"/>
      <c r="H189" s="1020" t="str">
        <f>IF(OR(D189="",D189="-"),"",VLOOKUP(D189,'Fatores de Emissão'!$E$181:$K$184,3,FALSE))</f>
        <v/>
      </c>
      <c r="I189" s="478" t="str">
        <f>IF(OR(D189="",D189="-"),"",VLOOKUP(D189,'Fatores de Emissão'!$E$181:$K$184,2,FALSE))</f>
        <v/>
      </c>
      <c r="J189" s="478" t="str">
        <f>IF(OR(D189="",D189="-"),"",VLOOKUP(D189,'Fatores de Emissão'!$E$181:$K$184,4,FALSE))</f>
        <v/>
      </c>
      <c r="K189" s="478" t="str">
        <f>IF(OR(D189="",D189="-"),"",VLOOKUP(D189,'Fatores de Emissão'!$E$181:$K$184,6,FALSE))</f>
        <v/>
      </c>
      <c r="L189" s="478" t="str">
        <f>IF($D189="","",IF($H189="kg/km",$F189*I189/1000,IF($H189="kg/p.km",$F189*$G189*I189/1000,$F189*#REF!*I189/1000)))</f>
        <v/>
      </c>
      <c r="M189" s="478" t="str">
        <f>IF($D189="","",IF($H189="kg/km",$F189*J189/1000,IF($H189="kg/p.km",$F189*$G189*J189/1000,$F189*#REF!*J189/1000)))</f>
        <v/>
      </c>
      <c r="N189" s="478" t="str">
        <f>IF($D189="","",IF($H189="kg/km",$F189*K189/1000,IF($H189="kg/p.km",$F189*$G189*K189/1000,$F189*#REF!*K189/1000)))</f>
        <v/>
      </c>
      <c r="O189" s="479" t="str">
        <f t="shared" si="5"/>
        <v/>
      </c>
      <c r="P189" s="480"/>
    </row>
    <row r="190" spans="1:16" s="237" customFormat="1" ht="15" hidden="1" customHeight="1" outlineLevel="2" x14ac:dyDescent="0.25">
      <c r="A190" s="363"/>
      <c r="B190" s="1145"/>
      <c r="C190" s="1145"/>
      <c r="D190" s="1268"/>
      <c r="E190" s="1268"/>
      <c r="F190" s="438"/>
      <c r="G190" s="438"/>
      <c r="H190" s="1020" t="str">
        <f>IF(OR(D190="",D190="-"),"",VLOOKUP(D190,'Fatores de Emissão'!$E$181:$K$184,3,FALSE))</f>
        <v/>
      </c>
      <c r="I190" s="478" t="str">
        <f>IF(OR(D190="",D190="-"),"",VLOOKUP(D190,'Fatores de Emissão'!$E$181:$K$184,2,FALSE))</f>
        <v/>
      </c>
      <c r="J190" s="478" t="str">
        <f>IF(OR(D190="",D190="-"),"",VLOOKUP(D190,'Fatores de Emissão'!$E$181:$K$184,4,FALSE))</f>
        <v/>
      </c>
      <c r="K190" s="478" t="str">
        <f>IF(OR(D190="",D190="-"),"",VLOOKUP(D190,'Fatores de Emissão'!$E$181:$K$184,6,FALSE))</f>
        <v/>
      </c>
      <c r="L190" s="478" t="str">
        <f>IF($D190="","",IF($H190="kg/km",$F190*I190/1000,IF($H190="kg/p.km",$F190*$G190*I190/1000,$F190*#REF!*I190/1000)))</f>
        <v/>
      </c>
      <c r="M190" s="478" t="str">
        <f>IF($D190="","",IF($H190="kg/km",$F190*J190/1000,IF($H190="kg/p.km",$F190*$G190*J190/1000,$F190*#REF!*J190/1000)))</f>
        <v/>
      </c>
      <c r="N190" s="478" t="str">
        <f>IF($D190="","",IF($H190="kg/km",$F190*K190/1000,IF($H190="kg/p.km",$F190*$G190*K190/1000,$F190*#REF!*K190/1000)))</f>
        <v/>
      </c>
      <c r="O190" s="479" t="str">
        <f t="shared" si="5"/>
        <v/>
      </c>
      <c r="P190" s="480"/>
    </row>
    <row r="191" spans="1:16" s="237" customFormat="1" ht="15" hidden="1" customHeight="1" outlineLevel="2" x14ac:dyDescent="0.25">
      <c r="A191" s="363"/>
      <c r="B191" s="1145"/>
      <c r="C191" s="1145"/>
      <c r="D191" s="1268"/>
      <c r="E191" s="1268"/>
      <c r="F191" s="438"/>
      <c r="G191" s="438"/>
      <c r="H191" s="1020" t="str">
        <f>IF(OR(D191="",D191="-"),"",VLOOKUP(D191,'Fatores de Emissão'!$E$181:$K$184,3,FALSE))</f>
        <v/>
      </c>
      <c r="I191" s="478" t="str">
        <f>IF(OR(D191="",D191="-"),"",VLOOKUP(D191,'Fatores de Emissão'!$E$181:$K$184,2,FALSE))</f>
        <v/>
      </c>
      <c r="J191" s="478" t="str">
        <f>IF(OR(D191="",D191="-"),"",VLOOKUP(D191,'Fatores de Emissão'!$E$181:$K$184,4,FALSE))</f>
        <v/>
      </c>
      <c r="K191" s="478" t="str">
        <f>IF(OR(D191="",D191="-"),"",VLOOKUP(D191,'Fatores de Emissão'!$E$181:$K$184,6,FALSE))</f>
        <v/>
      </c>
      <c r="L191" s="478" t="str">
        <f>IF($D191="","",IF($H191="kg/km",$F191*I191/1000,IF($H191="kg/p.km",$F191*$G191*I191/1000,$F191*#REF!*I191/1000)))</f>
        <v/>
      </c>
      <c r="M191" s="478" t="str">
        <f>IF($D191="","",IF($H191="kg/km",$F191*J191/1000,IF($H191="kg/p.km",$F191*$G191*J191/1000,$F191*#REF!*J191/1000)))</f>
        <v/>
      </c>
      <c r="N191" s="478" t="str">
        <f>IF($D191="","",IF($H191="kg/km",$F191*K191/1000,IF($H191="kg/p.km",$F191*$G191*K191/1000,$F191*#REF!*K191/1000)))</f>
        <v/>
      </c>
      <c r="O191" s="479" t="str">
        <f t="shared" si="5"/>
        <v/>
      </c>
      <c r="P191" s="480"/>
    </row>
    <row r="192" spans="1:16" s="237" customFormat="1" ht="15" hidden="1" customHeight="1" outlineLevel="2" x14ac:dyDescent="0.25">
      <c r="A192" s="363"/>
      <c r="B192" s="1145"/>
      <c r="C192" s="1145"/>
      <c r="D192" s="1268"/>
      <c r="E192" s="1268"/>
      <c r="F192" s="438"/>
      <c r="G192" s="438"/>
      <c r="H192" s="1020" t="str">
        <f>IF(OR(D192="",D192="-"),"",VLOOKUP(D192,'Fatores de Emissão'!$E$181:$K$184,3,FALSE))</f>
        <v/>
      </c>
      <c r="I192" s="478" t="str">
        <f>IF(OR(D192="",D192="-"),"",VLOOKUP(D192,'Fatores de Emissão'!$E$181:$K$184,2,FALSE))</f>
        <v/>
      </c>
      <c r="J192" s="478" t="str">
        <f>IF(OR(D192="",D192="-"),"",VLOOKUP(D192,'Fatores de Emissão'!$E$181:$K$184,4,FALSE))</f>
        <v/>
      </c>
      <c r="K192" s="478" t="str">
        <f>IF(OR(D192="",D192="-"),"",VLOOKUP(D192,'Fatores de Emissão'!$E$181:$K$184,6,FALSE))</f>
        <v/>
      </c>
      <c r="L192" s="478" t="str">
        <f>IF($D192="","",IF($H192="kg/km",$F192*I192/1000,IF($H192="kg/p.km",$F192*$G192*I192/1000,$F192*#REF!*I192/1000)))</f>
        <v/>
      </c>
      <c r="M192" s="478" t="str">
        <f>IF($D192="","",IF($H192="kg/km",$F192*J192/1000,IF($H192="kg/p.km",$F192*$G192*J192/1000,$F192*#REF!*J192/1000)))</f>
        <v/>
      </c>
      <c r="N192" s="478" t="str">
        <f>IF($D192="","",IF($H192="kg/km",$F192*K192/1000,IF($H192="kg/p.km",$F192*$G192*K192/1000,$F192*#REF!*K192/1000)))</f>
        <v/>
      </c>
      <c r="O192" s="479" t="str">
        <f t="shared" si="5"/>
        <v/>
      </c>
      <c r="P192" s="480"/>
    </row>
    <row r="193" spans="1:16" s="237" customFormat="1" ht="15" hidden="1" customHeight="1" outlineLevel="2" x14ac:dyDescent="0.25">
      <c r="A193" s="363"/>
      <c r="B193" s="1145"/>
      <c r="C193" s="1145"/>
      <c r="D193" s="1268"/>
      <c r="E193" s="1268"/>
      <c r="F193" s="438"/>
      <c r="G193" s="438"/>
      <c r="H193" s="1020" t="str">
        <f>IF(OR(D193="",D193="-"),"",VLOOKUP(D193,'Fatores de Emissão'!$E$181:$K$184,3,FALSE))</f>
        <v/>
      </c>
      <c r="I193" s="478" t="str">
        <f>IF(OR(D193="",D193="-"),"",VLOOKUP(D193,'Fatores de Emissão'!$E$181:$K$184,2,FALSE))</f>
        <v/>
      </c>
      <c r="J193" s="478" t="str">
        <f>IF(OR(D193="",D193="-"),"",VLOOKUP(D193,'Fatores de Emissão'!$E$181:$K$184,4,FALSE))</f>
        <v/>
      </c>
      <c r="K193" s="478" t="str">
        <f>IF(OR(D193="",D193="-"),"",VLOOKUP(D193,'Fatores de Emissão'!$E$181:$K$184,6,FALSE))</f>
        <v/>
      </c>
      <c r="L193" s="478" t="str">
        <f>IF($D193="","",IF($H193="kg/km",$F193*I193/1000,IF($H193="kg/p.km",$F193*$G193*I193/1000,$F193*#REF!*I193/1000)))</f>
        <v/>
      </c>
      <c r="M193" s="478" t="str">
        <f>IF($D193="","",IF($H193="kg/km",$F193*J193/1000,IF($H193="kg/p.km",$F193*$G193*J193/1000,$F193*#REF!*J193/1000)))</f>
        <v/>
      </c>
      <c r="N193" s="478" t="str">
        <f>IF($D193="","",IF($H193="kg/km",$F193*K193/1000,IF($H193="kg/p.km",$F193*$G193*K193/1000,$F193*#REF!*K193/1000)))</f>
        <v/>
      </c>
      <c r="O193" s="479" t="str">
        <f t="shared" si="5"/>
        <v/>
      </c>
      <c r="P193" s="480"/>
    </row>
    <row r="194" spans="1:16" s="237" customFormat="1" ht="15" hidden="1" customHeight="1" outlineLevel="2" x14ac:dyDescent="0.25">
      <c r="A194" s="363"/>
      <c r="B194" s="1145"/>
      <c r="C194" s="1145"/>
      <c r="D194" s="1268"/>
      <c r="E194" s="1268"/>
      <c r="F194" s="438"/>
      <c r="G194" s="438"/>
      <c r="H194" s="1020" t="str">
        <f>IF(OR(D194="",D194="-"),"",VLOOKUP(D194,'Fatores de Emissão'!$E$181:$K$184,3,FALSE))</f>
        <v/>
      </c>
      <c r="I194" s="478" t="str">
        <f>IF(OR(D194="",D194="-"),"",VLOOKUP(D194,'Fatores de Emissão'!$E$181:$K$184,2,FALSE))</f>
        <v/>
      </c>
      <c r="J194" s="478" t="str">
        <f>IF(OR(D194="",D194="-"),"",VLOOKUP(D194,'Fatores de Emissão'!$E$181:$K$184,4,FALSE))</f>
        <v/>
      </c>
      <c r="K194" s="478" t="str">
        <f>IF(OR(D194="",D194="-"),"",VLOOKUP(D194,'Fatores de Emissão'!$E$181:$K$184,6,FALSE))</f>
        <v/>
      </c>
      <c r="L194" s="478" t="str">
        <f>IF($D194="","",IF($H194="kg/km",$F194*I194/1000,IF($H194="kg/p.km",$F194*$G194*I194/1000,$F194*#REF!*I194/1000)))</f>
        <v/>
      </c>
      <c r="M194" s="478" t="str">
        <f>IF($D194="","",IF($H194="kg/km",$F194*J194/1000,IF($H194="kg/p.km",$F194*$G194*J194/1000,$F194*#REF!*J194/1000)))</f>
        <v/>
      </c>
      <c r="N194" s="478" t="str">
        <f>IF($D194="","",IF($H194="kg/km",$F194*K194/1000,IF($H194="kg/p.km",$F194*$G194*K194/1000,$F194*#REF!*K194/1000)))</f>
        <v/>
      </c>
      <c r="O194" s="479" t="str">
        <f t="shared" si="5"/>
        <v/>
      </c>
      <c r="P194" s="480"/>
    </row>
    <row r="195" spans="1:16" s="237" customFormat="1" ht="15" hidden="1" customHeight="1" outlineLevel="2" x14ac:dyDescent="0.25">
      <c r="A195" s="363"/>
      <c r="B195" s="1145"/>
      <c r="C195" s="1145"/>
      <c r="D195" s="1268"/>
      <c r="E195" s="1268"/>
      <c r="F195" s="438"/>
      <c r="G195" s="438"/>
      <c r="H195" s="1020" t="str">
        <f>IF(OR(D195="",D195="-"),"",VLOOKUP(D195,'Fatores de Emissão'!$E$181:$K$184,3,FALSE))</f>
        <v/>
      </c>
      <c r="I195" s="478" t="str">
        <f>IF(OR(D195="",D195="-"),"",VLOOKUP(D195,'Fatores de Emissão'!$E$181:$K$184,2,FALSE))</f>
        <v/>
      </c>
      <c r="J195" s="478" t="str">
        <f>IF(OR(D195="",D195="-"),"",VLOOKUP(D195,'Fatores de Emissão'!$E$181:$K$184,4,FALSE))</f>
        <v/>
      </c>
      <c r="K195" s="478" t="str">
        <f>IF(OR(D195="",D195="-"),"",VLOOKUP(D195,'Fatores de Emissão'!$E$181:$K$184,6,FALSE))</f>
        <v/>
      </c>
      <c r="L195" s="478" t="str">
        <f>IF($D195="","",IF($H195="kg/km",$F195*I195/1000,IF($H195="kg/p.km",$F195*$G195*I195/1000,$F195*#REF!*I195/1000)))</f>
        <v/>
      </c>
      <c r="M195" s="478" t="str">
        <f>IF($D195="","",IF($H195="kg/km",$F195*J195/1000,IF($H195="kg/p.km",$F195*$G195*J195/1000,$F195*#REF!*J195/1000)))</f>
        <v/>
      </c>
      <c r="N195" s="478" t="str">
        <f>IF($D195="","",IF($H195="kg/km",$F195*K195/1000,IF($H195="kg/p.km",$F195*$G195*K195/1000,$F195*#REF!*K195/1000)))</f>
        <v/>
      </c>
      <c r="O195" s="479" t="str">
        <f t="shared" si="5"/>
        <v/>
      </c>
      <c r="P195" s="480"/>
    </row>
    <row r="196" spans="1:16" s="237" customFormat="1" ht="15" hidden="1" customHeight="1" outlineLevel="2" x14ac:dyDescent="0.25">
      <c r="A196" s="363"/>
      <c r="B196" s="1145"/>
      <c r="C196" s="1145"/>
      <c r="D196" s="1268"/>
      <c r="E196" s="1268"/>
      <c r="F196" s="438"/>
      <c r="G196" s="438"/>
      <c r="H196" s="1020" t="str">
        <f>IF(OR(D196="",D196="-"),"",VLOOKUP(D196,'Fatores de Emissão'!$E$181:$K$184,3,FALSE))</f>
        <v/>
      </c>
      <c r="I196" s="478" t="str">
        <f>IF(OR(D196="",D196="-"),"",VLOOKUP(D196,'Fatores de Emissão'!$E$181:$K$184,2,FALSE))</f>
        <v/>
      </c>
      <c r="J196" s="478" t="str">
        <f>IF(OR(D196="",D196="-"),"",VLOOKUP(D196,'Fatores de Emissão'!$E$181:$K$184,4,FALSE))</f>
        <v/>
      </c>
      <c r="K196" s="478" t="str">
        <f>IF(OR(D196="",D196="-"),"",VLOOKUP(D196,'Fatores de Emissão'!$E$181:$K$184,6,FALSE))</f>
        <v/>
      </c>
      <c r="L196" s="478" t="str">
        <f>IF($D196="","",IF($H196="kg/km",$F196*I196/1000,IF($H196="kg/p.km",$F196*$G196*I196/1000,$F196*#REF!*I196/1000)))</f>
        <v/>
      </c>
      <c r="M196" s="478" t="str">
        <f>IF($D196="","",IF($H196="kg/km",$F196*J196/1000,IF($H196="kg/p.km",$F196*$G196*J196/1000,$F196*#REF!*J196/1000)))</f>
        <v/>
      </c>
      <c r="N196" s="478" t="str">
        <f>IF($D196="","",IF($H196="kg/km",$F196*K196/1000,IF($H196="kg/p.km",$F196*$G196*K196/1000,$F196*#REF!*K196/1000)))</f>
        <v/>
      </c>
      <c r="O196" s="479" t="str">
        <f t="shared" si="5"/>
        <v/>
      </c>
      <c r="P196" s="480"/>
    </row>
    <row r="197" spans="1:16" s="237" customFormat="1" ht="15" hidden="1" customHeight="1" outlineLevel="2" x14ac:dyDescent="0.25">
      <c r="A197" s="363"/>
      <c r="B197" s="1145"/>
      <c r="C197" s="1145"/>
      <c r="D197" s="1268"/>
      <c r="E197" s="1268"/>
      <c r="F197" s="438"/>
      <c r="G197" s="438"/>
      <c r="H197" s="1020" t="str">
        <f>IF(OR(D197="",D197="-"),"",VLOOKUP(D197,'Fatores de Emissão'!$E$181:$K$184,3,FALSE))</f>
        <v/>
      </c>
      <c r="I197" s="478" t="str">
        <f>IF(OR(D197="",D197="-"),"",VLOOKUP(D197,'Fatores de Emissão'!$E$181:$K$184,2,FALSE))</f>
        <v/>
      </c>
      <c r="J197" s="478" t="str">
        <f>IF(OR(D197="",D197="-"),"",VLOOKUP(D197,'Fatores de Emissão'!$E$181:$K$184,4,FALSE))</f>
        <v/>
      </c>
      <c r="K197" s="478" t="str">
        <f>IF(OR(D197="",D197="-"),"",VLOOKUP(D197,'Fatores de Emissão'!$E$181:$K$184,6,FALSE))</f>
        <v/>
      </c>
      <c r="L197" s="478" t="str">
        <f>IF($D197="","",IF($H197="kg/km",$F197*I197/1000,IF($H197="kg/p.km",$F197*$G197*I197/1000,$F197*#REF!*I197/1000)))</f>
        <v/>
      </c>
      <c r="M197" s="478" t="str">
        <f>IF($D197="","",IF($H197="kg/km",$F197*J197/1000,IF($H197="kg/p.km",$F197*$G197*J197/1000,$F197*#REF!*J197/1000)))</f>
        <v/>
      </c>
      <c r="N197" s="478" t="str">
        <f>IF($D197="","",IF($H197="kg/km",$F197*K197/1000,IF($H197="kg/p.km",$F197*$G197*K197/1000,$F197*#REF!*K197/1000)))</f>
        <v/>
      </c>
      <c r="O197" s="479" t="str">
        <f t="shared" si="5"/>
        <v/>
      </c>
      <c r="P197" s="480"/>
    </row>
    <row r="198" spans="1:16" s="237" customFormat="1" ht="15" hidden="1" customHeight="1" outlineLevel="2" x14ac:dyDescent="0.25">
      <c r="A198" s="363"/>
      <c r="B198" s="1145"/>
      <c r="C198" s="1145"/>
      <c r="D198" s="1268"/>
      <c r="E198" s="1268"/>
      <c r="F198" s="438"/>
      <c r="G198" s="438"/>
      <c r="H198" s="1020" t="str">
        <f>IF(OR(D198="",D198="-"),"",VLOOKUP(D198,'Fatores de Emissão'!$E$181:$K$184,3,FALSE))</f>
        <v/>
      </c>
      <c r="I198" s="478" t="str">
        <f>IF(OR(D198="",D198="-"),"",VLOOKUP(D198,'Fatores de Emissão'!$E$181:$K$184,2,FALSE))</f>
        <v/>
      </c>
      <c r="J198" s="478" t="str">
        <f>IF(OR(D198="",D198="-"),"",VLOOKUP(D198,'Fatores de Emissão'!$E$181:$K$184,4,FALSE))</f>
        <v/>
      </c>
      <c r="K198" s="478" t="str">
        <f>IF(OR(D198="",D198="-"),"",VLOOKUP(D198,'Fatores de Emissão'!$E$181:$K$184,6,FALSE))</f>
        <v/>
      </c>
      <c r="L198" s="478" t="str">
        <f>IF($D198="","",IF($H198="kg/km",$F198*I198/1000,IF($H198="kg/p.km",$F198*$G198*I198/1000,$F198*#REF!*I198/1000)))</f>
        <v/>
      </c>
      <c r="M198" s="478" t="str">
        <f>IF($D198="","",IF($H198="kg/km",$F198*J198/1000,IF($H198="kg/p.km",$F198*$G198*J198/1000,$F198*#REF!*J198/1000)))</f>
        <v/>
      </c>
      <c r="N198" s="478" t="str">
        <f>IF($D198="","",IF($H198="kg/km",$F198*K198/1000,IF($H198="kg/p.km",$F198*$G198*K198/1000,$F198*#REF!*K198/1000)))</f>
        <v/>
      </c>
      <c r="O198" s="479" t="str">
        <f t="shared" si="5"/>
        <v/>
      </c>
      <c r="P198" s="480"/>
    </row>
    <row r="199" spans="1:16" s="237" customFormat="1" ht="15" hidden="1" customHeight="1" outlineLevel="2" x14ac:dyDescent="0.25">
      <c r="A199" s="363"/>
      <c r="B199" s="1145"/>
      <c r="C199" s="1145"/>
      <c r="D199" s="1268"/>
      <c r="E199" s="1268"/>
      <c r="F199" s="438"/>
      <c r="G199" s="438"/>
      <c r="H199" s="1020" t="str">
        <f>IF(OR(D199="",D199="-"),"",VLOOKUP(D199,'Fatores de Emissão'!$E$181:$K$184,3,FALSE))</f>
        <v/>
      </c>
      <c r="I199" s="478" t="str">
        <f>IF(OR(D199="",D199="-"),"",VLOOKUP(D199,'Fatores de Emissão'!$E$181:$K$184,2,FALSE))</f>
        <v/>
      </c>
      <c r="J199" s="478" t="str">
        <f>IF(OR(D199="",D199="-"),"",VLOOKUP(D199,'Fatores de Emissão'!$E$181:$K$184,4,FALSE))</f>
        <v/>
      </c>
      <c r="K199" s="478" t="str">
        <f>IF(OR(D199="",D199="-"),"",VLOOKUP(D199,'Fatores de Emissão'!$E$181:$K$184,6,FALSE))</f>
        <v/>
      </c>
      <c r="L199" s="478" t="str">
        <f>IF($D199="","",IF($H199="kg/km",$F199*I199/1000,IF($H199="kg/p.km",$F199*$G199*I199/1000,$F199*#REF!*I199/1000)))</f>
        <v/>
      </c>
      <c r="M199" s="478" t="str">
        <f>IF($D199="","",IF($H199="kg/km",$F199*J199/1000,IF($H199="kg/p.km",$F199*$G199*J199/1000,$F199*#REF!*J199/1000)))</f>
        <v/>
      </c>
      <c r="N199" s="478" t="str">
        <f>IF($D199="","",IF($H199="kg/km",$F199*K199/1000,IF($H199="kg/p.km",$F199*$G199*K199/1000,$F199*#REF!*K199/1000)))</f>
        <v/>
      </c>
      <c r="O199" s="479" t="str">
        <f t="shared" si="5"/>
        <v/>
      </c>
      <c r="P199" s="480"/>
    </row>
    <row r="200" spans="1:16" s="237" customFormat="1" ht="15" hidden="1" customHeight="1" outlineLevel="2" x14ac:dyDescent="0.25">
      <c r="A200" s="363"/>
      <c r="B200" s="1145"/>
      <c r="C200" s="1145"/>
      <c r="D200" s="1268"/>
      <c r="E200" s="1268"/>
      <c r="F200" s="438"/>
      <c r="G200" s="438"/>
      <c r="H200" s="1020" t="str">
        <f>IF(OR(D200="",D200="-"),"",VLOOKUP(D200,'Fatores de Emissão'!$E$181:$K$184,3,FALSE))</f>
        <v/>
      </c>
      <c r="I200" s="478" t="str">
        <f>IF(OR(D200="",D200="-"),"",VLOOKUP(D200,'Fatores de Emissão'!$E$181:$K$184,2,FALSE))</f>
        <v/>
      </c>
      <c r="J200" s="478" t="str">
        <f>IF(OR(D200="",D200="-"),"",VLOOKUP(D200,'Fatores de Emissão'!$E$181:$K$184,4,FALSE))</f>
        <v/>
      </c>
      <c r="K200" s="478" t="str">
        <f>IF(OR(D200="",D200="-"),"",VLOOKUP(D200,'Fatores de Emissão'!$E$181:$K$184,6,FALSE))</f>
        <v/>
      </c>
      <c r="L200" s="478" t="str">
        <f>IF($D200="","",IF($H200="kg/km",$F200*I200/1000,IF($H200="kg/p.km",$F200*$G200*I200/1000,$F200*#REF!*I200/1000)))</f>
        <v/>
      </c>
      <c r="M200" s="478" t="str">
        <f>IF($D200="","",IF($H200="kg/km",$F200*J200/1000,IF($H200="kg/p.km",$F200*$G200*J200/1000,$F200*#REF!*J200/1000)))</f>
        <v/>
      </c>
      <c r="N200" s="478" t="str">
        <f>IF($D200="","",IF($H200="kg/km",$F200*K200/1000,IF($H200="kg/p.km",$F200*$G200*K200/1000,$F200*#REF!*K200/1000)))</f>
        <v/>
      </c>
      <c r="O200" s="479" t="str">
        <f t="shared" si="5"/>
        <v/>
      </c>
      <c r="P200" s="480"/>
    </row>
    <row r="201" spans="1:16" s="237" customFormat="1" ht="15" hidden="1" customHeight="1" outlineLevel="2" x14ac:dyDescent="0.25">
      <c r="A201" s="363"/>
      <c r="B201" s="1145"/>
      <c r="C201" s="1145"/>
      <c r="D201" s="1268"/>
      <c r="E201" s="1268"/>
      <c r="F201" s="438"/>
      <c r="G201" s="438"/>
      <c r="H201" s="1020" t="str">
        <f>IF(OR(D201="",D201="-"),"",VLOOKUP(D201,'Fatores de Emissão'!$E$181:$K$184,3,FALSE))</f>
        <v/>
      </c>
      <c r="I201" s="478" t="str">
        <f>IF(OR(D201="",D201="-"),"",VLOOKUP(D201,'Fatores de Emissão'!$E$181:$K$184,2,FALSE))</f>
        <v/>
      </c>
      <c r="J201" s="478" t="str">
        <f>IF(OR(D201="",D201="-"),"",VLOOKUP(D201,'Fatores de Emissão'!$E$181:$K$184,4,FALSE))</f>
        <v/>
      </c>
      <c r="K201" s="478" t="str">
        <f>IF(OR(D201="",D201="-"),"",VLOOKUP(D201,'Fatores de Emissão'!$E$181:$K$184,6,FALSE))</f>
        <v/>
      </c>
      <c r="L201" s="478" t="str">
        <f>IF($D201="","",IF($H201="kg/km",$F201*I201/1000,IF($H201="kg/p.km",$F201*$G201*I201/1000,$F201*#REF!*I201/1000)))</f>
        <v/>
      </c>
      <c r="M201" s="478" t="str">
        <f>IF($D201="","",IF($H201="kg/km",$F201*J201/1000,IF($H201="kg/p.km",$F201*$G201*J201/1000,$F201*#REF!*J201/1000)))</f>
        <v/>
      </c>
      <c r="N201" s="478" t="str">
        <f>IF($D201="","",IF($H201="kg/km",$F201*K201/1000,IF($H201="kg/p.km",$F201*$G201*K201/1000,$F201*#REF!*K201/1000)))</f>
        <v/>
      </c>
      <c r="O201" s="479" t="str">
        <f t="shared" si="5"/>
        <v/>
      </c>
      <c r="P201" s="480"/>
    </row>
    <row r="202" spans="1:16" s="237" customFormat="1" ht="15" hidden="1" customHeight="1" outlineLevel="2" x14ac:dyDescent="0.25">
      <c r="A202" s="363"/>
      <c r="B202" s="1145"/>
      <c r="C202" s="1145"/>
      <c r="D202" s="1268"/>
      <c r="E202" s="1268"/>
      <c r="F202" s="438"/>
      <c r="G202" s="438"/>
      <c r="H202" s="1020" t="str">
        <f>IF(OR(D202="",D202="-"),"",VLOOKUP(D202,'Fatores de Emissão'!$E$181:$K$184,3,FALSE))</f>
        <v/>
      </c>
      <c r="I202" s="478" t="str">
        <f>IF(OR(D202="",D202="-"),"",VLOOKUP(D202,'Fatores de Emissão'!$E$181:$K$184,2,FALSE))</f>
        <v/>
      </c>
      <c r="J202" s="478" t="str">
        <f>IF(OR(D202="",D202="-"),"",VLOOKUP(D202,'Fatores de Emissão'!$E$181:$K$184,4,FALSE))</f>
        <v/>
      </c>
      <c r="K202" s="478" t="str">
        <f>IF(OR(D202="",D202="-"),"",VLOOKUP(D202,'Fatores de Emissão'!$E$181:$K$184,6,FALSE))</f>
        <v/>
      </c>
      <c r="L202" s="478" t="str">
        <f>IF($D202="","",IF($H202="kg/km",$F202*I202/1000,IF($H202="kg/p.km",$F202*$G202*I202/1000,$F202*#REF!*I202/1000)))</f>
        <v/>
      </c>
      <c r="M202" s="478" t="str">
        <f>IF($D202="","",IF($H202="kg/km",$F202*J202/1000,IF($H202="kg/p.km",$F202*$G202*J202/1000,$F202*#REF!*J202/1000)))</f>
        <v/>
      </c>
      <c r="N202" s="478" t="str">
        <f>IF($D202="","",IF($H202="kg/km",$F202*K202/1000,IF($H202="kg/p.km",$F202*$G202*K202/1000,$F202*#REF!*K202/1000)))</f>
        <v/>
      </c>
      <c r="O202" s="479" t="str">
        <f t="shared" si="5"/>
        <v/>
      </c>
      <c r="P202" s="480"/>
    </row>
    <row r="203" spans="1:16" s="237" customFormat="1" ht="15" hidden="1" customHeight="1" outlineLevel="2" x14ac:dyDescent="0.25">
      <c r="A203" s="363"/>
      <c r="B203" s="1145"/>
      <c r="C203" s="1145"/>
      <c r="D203" s="1268"/>
      <c r="E203" s="1268"/>
      <c r="F203" s="438"/>
      <c r="G203" s="438"/>
      <c r="H203" s="1020" t="str">
        <f>IF(OR(D203="",D203="-"),"",VLOOKUP(D203,'Fatores de Emissão'!$E$181:$K$184,3,FALSE))</f>
        <v/>
      </c>
      <c r="I203" s="478" t="str">
        <f>IF(OR(D203="",D203="-"),"",VLOOKUP(D203,'Fatores de Emissão'!$E$181:$K$184,2,FALSE))</f>
        <v/>
      </c>
      <c r="J203" s="478" t="str">
        <f>IF(OR(D203="",D203="-"),"",VLOOKUP(D203,'Fatores de Emissão'!$E$181:$K$184,4,FALSE))</f>
        <v/>
      </c>
      <c r="K203" s="478" t="str">
        <f>IF(OR(D203="",D203="-"),"",VLOOKUP(D203,'Fatores de Emissão'!$E$181:$K$184,6,FALSE))</f>
        <v/>
      </c>
      <c r="L203" s="478" t="str">
        <f>IF($D203="","",IF($H203="kg/km",$F203*I203/1000,IF($H203="kg/p.km",$F203*$G203*I203/1000,$F203*#REF!*I203/1000)))</f>
        <v/>
      </c>
      <c r="M203" s="478" t="str">
        <f>IF($D203="","",IF($H203="kg/km",$F203*J203/1000,IF($H203="kg/p.km",$F203*$G203*J203/1000,$F203*#REF!*J203/1000)))</f>
        <v/>
      </c>
      <c r="N203" s="478" t="str">
        <f>IF($D203="","",IF($H203="kg/km",$F203*K203/1000,IF($H203="kg/p.km",$F203*$G203*K203/1000,$F203*#REF!*K203/1000)))</f>
        <v/>
      </c>
      <c r="O203" s="479" t="str">
        <f t="shared" si="5"/>
        <v/>
      </c>
      <c r="P203" s="480"/>
    </row>
    <row r="204" spans="1:16" s="237" customFormat="1" ht="15" hidden="1" customHeight="1" outlineLevel="2" x14ac:dyDescent="0.25">
      <c r="A204" s="363"/>
      <c r="B204" s="1145"/>
      <c r="C204" s="1145"/>
      <c r="D204" s="1268"/>
      <c r="E204" s="1268"/>
      <c r="F204" s="438"/>
      <c r="G204" s="438"/>
      <c r="H204" s="1020" t="str">
        <f>IF(OR(D204="",D204="-"),"",VLOOKUP(D204,'Fatores de Emissão'!$E$181:$K$184,3,FALSE))</f>
        <v/>
      </c>
      <c r="I204" s="478" t="str">
        <f>IF(OR(D204="",D204="-"),"",VLOOKUP(D204,'Fatores de Emissão'!$E$181:$K$184,2,FALSE))</f>
        <v/>
      </c>
      <c r="J204" s="478" t="str">
        <f>IF(OR(D204="",D204="-"),"",VLOOKUP(D204,'Fatores de Emissão'!$E$181:$K$184,4,FALSE))</f>
        <v/>
      </c>
      <c r="K204" s="478" t="str">
        <f>IF(OR(D204="",D204="-"),"",VLOOKUP(D204,'Fatores de Emissão'!$E$181:$K$184,6,FALSE))</f>
        <v/>
      </c>
      <c r="L204" s="478" t="str">
        <f>IF($D204="","",IF($H204="kg/km",$F204*I204/1000,IF($H204="kg/p.km",$F204*$G204*I204/1000,$F204*#REF!*I204/1000)))</f>
        <v/>
      </c>
      <c r="M204" s="478" t="str">
        <f>IF($D204="","",IF($H204="kg/km",$F204*J204/1000,IF($H204="kg/p.km",$F204*$G204*J204/1000,$F204*#REF!*J204/1000)))</f>
        <v/>
      </c>
      <c r="N204" s="478" t="str">
        <f>IF($D204="","",IF($H204="kg/km",$F204*K204/1000,IF($H204="kg/p.km",$F204*$G204*K204/1000,$F204*#REF!*K204/1000)))</f>
        <v/>
      </c>
      <c r="O204" s="479" t="str">
        <f t="shared" si="5"/>
        <v/>
      </c>
      <c r="P204" s="480"/>
    </row>
    <row r="205" spans="1:16" s="237" customFormat="1" ht="15" hidden="1" customHeight="1" outlineLevel="2" x14ac:dyDescent="0.25">
      <c r="A205" s="363"/>
      <c r="B205" s="1145"/>
      <c r="C205" s="1145"/>
      <c r="D205" s="1268"/>
      <c r="E205" s="1268"/>
      <c r="F205" s="438"/>
      <c r="G205" s="438"/>
      <c r="H205" s="1020" t="str">
        <f>IF(OR(D205="",D205="-"),"",VLOOKUP(D205,'Fatores de Emissão'!$E$181:$K$184,3,FALSE))</f>
        <v/>
      </c>
      <c r="I205" s="478" t="str">
        <f>IF(OR(D205="",D205="-"),"",VLOOKUP(D205,'Fatores de Emissão'!$E$181:$K$184,2,FALSE))</f>
        <v/>
      </c>
      <c r="J205" s="478" t="str">
        <f>IF(OR(D205="",D205="-"),"",VLOOKUP(D205,'Fatores de Emissão'!$E$181:$K$184,4,FALSE))</f>
        <v/>
      </c>
      <c r="K205" s="478" t="str">
        <f>IF(OR(D205="",D205="-"),"",VLOOKUP(D205,'Fatores de Emissão'!$E$181:$K$184,6,FALSE))</f>
        <v/>
      </c>
      <c r="L205" s="478" t="str">
        <f>IF($D205="","",IF($H205="kg/km",$F205*I205/1000,IF($H205="kg/p.km",$F205*$G205*I205/1000,$F205*#REF!*I205/1000)))</f>
        <v/>
      </c>
      <c r="M205" s="478" t="str">
        <f>IF($D205="","",IF($H205="kg/km",$F205*J205/1000,IF($H205="kg/p.km",$F205*$G205*J205/1000,$F205*#REF!*J205/1000)))</f>
        <v/>
      </c>
      <c r="N205" s="478" t="str">
        <f>IF($D205="","",IF($H205="kg/km",$F205*K205/1000,IF($H205="kg/p.km",$F205*$G205*K205/1000,$F205*#REF!*K205/1000)))</f>
        <v/>
      </c>
      <c r="O205" s="479" t="str">
        <f t="shared" si="5"/>
        <v/>
      </c>
      <c r="P205" s="480"/>
    </row>
    <row r="206" spans="1:16" s="237" customFormat="1" ht="15" hidden="1" customHeight="1" outlineLevel="2" x14ac:dyDescent="0.25">
      <c r="A206" s="363"/>
      <c r="B206" s="1145"/>
      <c r="C206" s="1145"/>
      <c r="D206" s="1268"/>
      <c r="E206" s="1268"/>
      <c r="F206" s="438"/>
      <c r="G206" s="438"/>
      <c r="H206" s="1020" t="str">
        <f>IF(OR(D206="",D206="-"),"",VLOOKUP(D206,'Fatores de Emissão'!$E$181:$K$184,3,FALSE))</f>
        <v/>
      </c>
      <c r="I206" s="478" t="str">
        <f>IF(OR(D206="",D206="-"),"",VLOOKUP(D206,'Fatores de Emissão'!$E$181:$K$184,2,FALSE))</f>
        <v/>
      </c>
      <c r="J206" s="478" t="str">
        <f>IF(OR(D206="",D206="-"),"",VLOOKUP(D206,'Fatores de Emissão'!$E$181:$K$184,4,FALSE))</f>
        <v/>
      </c>
      <c r="K206" s="478" t="str">
        <f>IF(OR(D206="",D206="-"),"",VLOOKUP(D206,'Fatores de Emissão'!$E$181:$K$184,6,FALSE))</f>
        <v/>
      </c>
      <c r="L206" s="478" t="str">
        <f>IF($D206="","",IF($H206="kg/km",$F206*I206/1000,IF($H206="kg/p.km",$F206*$G206*I206/1000,$F206*#REF!*I206/1000)))</f>
        <v/>
      </c>
      <c r="M206" s="478" t="str">
        <f>IF($D206="","",IF($H206="kg/km",$F206*J206/1000,IF($H206="kg/p.km",$F206*$G206*J206/1000,$F206*#REF!*J206/1000)))</f>
        <v/>
      </c>
      <c r="N206" s="478" t="str">
        <f>IF($D206="","",IF($H206="kg/km",$F206*K206/1000,IF($H206="kg/p.km",$F206*$G206*K206/1000,$F206*#REF!*K206/1000)))</f>
        <v/>
      </c>
      <c r="O206" s="479" t="str">
        <f t="shared" si="5"/>
        <v/>
      </c>
      <c r="P206" s="480"/>
    </row>
    <row r="207" spans="1:16" s="237" customFormat="1" ht="15" hidden="1" customHeight="1" outlineLevel="2" x14ac:dyDescent="0.25">
      <c r="A207" s="363"/>
      <c r="B207" s="1145"/>
      <c r="C207" s="1145"/>
      <c r="D207" s="1268"/>
      <c r="E207" s="1268"/>
      <c r="F207" s="438"/>
      <c r="G207" s="438"/>
      <c r="H207" s="1020" t="str">
        <f>IF(OR(D207="",D207="-"),"",VLOOKUP(D207,'Fatores de Emissão'!$E$181:$K$184,3,FALSE))</f>
        <v/>
      </c>
      <c r="I207" s="478" t="str">
        <f>IF(OR(D207="",D207="-"),"",VLOOKUP(D207,'Fatores de Emissão'!$E$181:$K$184,2,FALSE))</f>
        <v/>
      </c>
      <c r="J207" s="478" t="str">
        <f>IF(OR(D207="",D207="-"),"",VLOOKUP(D207,'Fatores de Emissão'!$E$181:$K$184,4,FALSE))</f>
        <v/>
      </c>
      <c r="K207" s="478" t="str">
        <f>IF(OR(D207="",D207="-"),"",VLOOKUP(D207,'Fatores de Emissão'!$E$181:$K$184,6,FALSE))</f>
        <v/>
      </c>
      <c r="L207" s="478" t="str">
        <f>IF($D207="","",IF($H207="kg/km",$F207*I207/1000,IF($H207="kg/p.km",$F207*$G207*I207/1000,$F207*#REF!*I207/1000)))</f>
        <v/>
      </c>
      <c r="M207" s="478" t="str">
        <f>IF($D207="","",IF($H207="kg/km",$F207*J207/1000,IF($H207="kg/p.km",$F207*$G207*J207/1000,$F207*#REF!*J207/1000)))</f>
        <v/>
      </c>
      <c r="N207" s="478" t="str">
        <f>IF($D207="","",IF($H207="kg/km",$F207*K207/1000,IF($H207="kg/p.km",$F207*$G207*K207/1000,$F207*#REF!*K207/1000)))</f>
        <v/>
      </c>
      <c r="O207" s="479" t="str">
        <f t="shared" si="5"/>
        <v/>
      </c>
      <c r="P207" s="480"/>
    </row>
    <row r="208" spans="1:16" s="237" customFormat="1" ht="15" hidden="1" customHeight="1" outlineLevel="2" x14ac:dyDescent="0.25">
      <c r="A208" s="363"/>
      <c r="B208" s="1145"/>
      <c r="C208" s="1145"/>
      <c r="D208" s="1268"/>
      <c r="E208" s="1268"/>
      <c r="F208" s="438"/>
      <c r="G208" s="438"/>
      <c r="H208" s="1020" t="str">
        <f>IF(OR(D208="",D208="-"),"",VLOOKUP(D208,'Fatores de Emissão'!$E$181:$K$184,3,FALSE))</f>
        <v/>
      </c>
      <c r="I208" s="478" t="str">
        <f>IF(OR(D208="",D208="-"),"",VLOOKUP(D208,'Fatores de Emissão'!$E$181:$K$184,2,FALSE))</f>
        <v/>
      </c>
      <c r="J208" s="478" t="str">
        <f>IF(OR(D208="",D208="-"),"",VLOOKUP(D208,'Fatores de Emissão'!$E$181:$K$184,4,FALSE))</f>
        <v/>
      </c>
      <c r="K208" s="478" t="str">
        <f>IF(OR(D208="",D208="-"),"",VLOOKUP(D208,'Fatores de Emissão'!$E$181:$K$184,6,FALSE))</f>
        <v/>
      </c>
      <c r="L208" s="478" t="str">
        <f>IF($D208="","",IF($H208="kg/km",$F208*I208/1000,IF($H208="kg/p.km",$F208*$G208*I208/1000,$F208*#REF!*I208/1000)))</f>
        <v/>
      </c>
      <c r="M208" s="478" t="str">
        <f>IF($D208="","",IF($H208="kg/km",$F208*J208/1000,IF($H208="kg/p.km",$F208*$G208*J208/1000,$F208*#REF!*J208/1000)))</f>
        <v/>
      </c>
      <c r="N208" s="478" t="str">
        <f>IF($D208="","",IF($H208="kg/km",$F208*K208/1000,IF($H208="kg/p.km",$F208*$G208*K208/1000,$F208*#REF!*K208/1000)))</f>
        <v/>
      </c>
      <c r="O208" s="479" t="str">
        <f t="shared" si="5"/>
        <v/>
      </c>
      <c r="P208" s="480"/>
    </row>
    <row r="209" spans="1:58" s="237" customFormat="1" ht="15" hidden="1" customHeight="1" outlineLevel="2" x14ac:dyDescent="0.25">
      <c r="A209" s="363"/>
      <c r="B209" s="1145"/>
      <c r="C209" s="1145"/>
      <c r="D209" s="1268"/>
      <c r="E209" s="1268"/>
      <c r="F209" s="438"/>
      <c r="G209" s="438"/>
      <c r="H209" s="1020" t="str">
        <f>IF(OR(D209="",D209="-"),"",VLOOKUP(D209,'Fatores de Emissão'!$E$181:$K$184,3,FALSE))</f>
        <v/>
      </c>
      <c r="I209" s="478" t="str">
        <f>IF(OR(D209="",D209="-"),"",VLOOKUP(D209,'Fatores de Emissão'!$E$181:$K$184,2,FALSE))</f>
        <v/>
      </c>
      <c r="J209" s="478" t="str">
        <f>IF(OR(D209="",D209="-"),"",VLOOKUP(D209,'Fatores de Emissão'!$E$181:$K$184,4,FALSE))</f>
        <v/>
      </c>
      <c r="K209" s="478" t="str">
        <f>IF(OR(D209="",D209="-"),"",VLOOKUP(D209,'Fatores de Emissão'!$E$181:$K$184,6,FALSE))</f>
        <v/>
      </c>
      <c r="L209" s="478" t="str">
        <f>IF($D209="","",IF($H209="kg/km",$F209*I209/1000,IF($H209="kg/p.km",$F209*$G209*I209/1000,$F209*#REF!*I209/1000)))</f>
        <v/>
      </c>
      <c r="M209" s="478" t="str">
        <f>IF($D209="","",IF($H209="kg/km",$F209*J209/1000,IF($H209="kg/p.km",$F209*$G209*J209/1000,$F209*#REF!*J209/1000)))</f>
        <v/>
      </c>
      <c r="N209" s="478" t="str">
        <f>IF($D209="","",IF($H209="kg/km",$F209*K209/1000,IF($H209="kg/p.km",$F209*$G209*K209/1000,$F209*#REF!*K209/1000)))</f>
        <v/>
      </c>
      <c r="O209" s="479" t="str">
        <f t="shared" si="5"/>
        <v/>
      </c>
      <c r="P209" s="480"/>
    </row>
    <row r="210" spans="1:58" s="237" customFormat="1" ht="15" hidden="1" customHeight="1" outlineLevel="2" x14ac:dyDescent="0.25">
      <c r="A210" s="363"/>
      <c r="B210" s="1145"/>
      <c r="C210" s="1145"/>
      <c r="D210" s="1268"/>
      <c r="E210" s="1268"/>
      <c r="F210" s="438"/>
      <c r="G210" s="438"/>
      <c r="H210" s="1020" t="str">
        <f>IF(OR(D210="",D210="-"),"",VLOOKUP(D210,'Fatores de Emissão'!$E$181:$K$184,3,FALSE))</f>
        <v/>
      </c>
      <c r="I210" s="478" t="str">
        <f>IF(OR(D210="",D210="-"),"",VLOOKUP(D210,'Fatores de Emissão'!$E$181:$K$184,2,FALSE))</f>
        <v/>
      </c>
      <c r="J210" s="478" t="str">
        <f>IF(OR(D210="",D210="-"),"",VLOOKUP(D210,'Fatores de Emissão'!$E$181:$K$184,4,FALSE))</f>
        <v/>
      </c>
      <c r="K210" s="478" t="str">
        <f>IF(OR(D210="",D210="-"),"",VLOOKUP(D210,'Fatores de Emissão'!$E$181:$K$184,6,FALSE))</f>
        <v/>
      </c>
      <c r="L210" s="478" t="str">
        <f>IF($D210="","",IF($H210="kg/km",$F210*I210/1000,IF($H210="kg/p.km",$F210*$G210*I210/1000,$F210*#REF!*I210/1000)))</f>
        <v/>
      </c>
      <c r="M210" s="478" t="str">
        <f>IF($D210="","",IF($H210="kg/km",$F210*J210/1000,IF($H210="kg/p.km",$F210*$G210*J210/1000,$F210*#REF!*J210/1000)))</f>
        <v/>
      </c>
      <c r="N210" s="478" t="str">
        <f>IF($D210="","",IF($H210="kg/km",$F210*K210/1000,IF($H210="kg/p.km",$F210*$G210*K210/1000,$F210*#REF!*K210/1000)))</f>
        <v/>
      </c>
      <c r="O210" s="479" t="str">
        <f t="shared" si="5"/>
        <v/>
      </c>
      <c r="P210" s="480"/>
    </row>
    <row r="211" spans="1:58" s="237" customFormat="1" ht="15" hidden="1" customHeight="1" outlineLevel="2" x14ac:dyDescent="0.25">
      <c r="A211" s="363"/>
      <c r="B211" s="1145"/>
      <c r="C211" s="1145"/>
      <c r="D211" s="1268"/>
      <c r="E211" s="1268"/>
      <c r="F211" s="438"/>
      <c r="G211" s="438"/>
      <c r="H211" s="1020" t="str">
        <f>IF(OR(D211="",D211="-"),"",VLOOKUP(D211,'Fatores de Emissão'!$E$181:$K$184,3,FALSE))</f>
        <v/>
      </c>
      <c r="I211" s="478" t="str">
        <f>IF(OR(D211="",D211="-"),"",VLOOKUP(D211,'Fatores de Emissão'!$E$181:$K$184,2,FALSE))</f>
        <v/>
      </c>
      <c r="J211" s="478" t="str">
        <f>IF(OR(D211="",D211="-"),"",VLOOKUP(D211,'Fatores de Emissão'!$E$181:$K$184,4,FALSE))</f>
        <v/>
      </c>
      <c r="K211" s="478" t="str">
        <f>IF(OR(D211="",D211="-"),"",VLOOKUP(D211,'Fatores de Emissão'!$E$181:$K$184,6,FALSE))</f>
        <v/>
      </c>
      <c r="L211" s="478" t="str">
        <f>IF($D211="","",IF($H211="kg/km",$F211*I211/1000,IF($H211="kg/p.km",$F211*$G211*I211/1000,$F211*#REF!*I211/1000)))</f>
        <v/>
      </c>
      <c r="M211" s="478" t="str">
        <f>IF($D211="","",IF($H211="kg/km",$F211*J211/1000,IF($H211="kg/p.km",$F211*$G211*J211/1000,$F211*#REF!*J211/1000)))</f>
        <v/>
      </c>
      <c r="N211" s="478" t="str">
        <f>IF($D211="","",IF($H211="kg/km",$F211*K211/1000,IF($H211="kg/p.km",$F211*$G211*K211/1000,$F211*#REF!*K211/1000)))</f>
        <v/>
      </c>
      <c r="O211" s="479" t="str">
        <f t="shared" si="5"/>
        <v/>
      </c>
      <c r="P211" s="480"/>
    </row>
    <row r="212" spans="1:58" s="237" customFormat="1" ht="15" hidden="1" customHeight="1" outlineLevel="2" x14ac:dyDescent="0.25">
      <c r="A212" s="363"/>
      <c r="B212" s="1145"/>
      <c r="C212" s="1145"/>
      <c r="D212" s="1268"/>
      <c r="E212" s="1268"/>
      <c r="F212" s="438"/>
      <c r="G212" s="438"/>
      <c r="H212" s="1020" t="str">
        <f>IF(OR(D212="",D212="-"),"",VLOOKUP(D212,'Fatores de Emissão'!$E$181:$K$184,3,FALSE))</f>
        <v/>
      </c>
      <c r="I212" s="478" t="str">
        <f>IF(OR(D212="",D212="-"),"",VLOOKUP(D212,'Fatores de Emissão'!$E$181:$K$184,2,FALSE))</f>
        <v/>
      </c>
      <c r="J212" s="478" t="str">
        <f>IF(OR(D212="",D212="-"),"",VLOOKUP(D212,'Fatores de Emissão'!$E$181:$K$184,4,FALSE))</f>
        <v/>
      </c>
      <c r="K212" s="478" t="str">
        <f>IF(OR(D212="",D212="-"),"",VLOOKUP(D212,'Fatores de Emissão'!$E$181:$K$184,6,FALSE))</f>
        <v/>
      </c>
      <c r="L212" s="478" t="str">
        <f>IF($D212="","",IF($H212="kg/km",$F212*I212/1000,IF($H212="kg/p.km",$F212*$G212*I212/1000,$F212*#REF!*I212/1000)))</f>
        <v/>
      </c>
      <c r="M212" s="478" t="str">
        <f>IF($D212="","",IF($H212="kg/km",$F212*J212/1000,IF($H212="kg/p.km",$F212*$G212*J212/1000,$F212*#REF!*J212/1000)))</f>
        <v/>
      </c>
      <c r="N212" s="478" t="str">
        <f>IF($D212="","",IF($H212="kg/km",$F212*K212/1000,IF($H212="kg/p.km",$F212*$G212*K212/1000,$F212*#REF!*K212/1000)))</f>
        <v/>
      </c>
      <c r="O212" s="479" t="str">
        <f t="shared" si="5"/>
        <v/>
      </c>
      <c r="P212" s="480"/>
    </row>
    <row r="213" spans="1:58" s="237" customFormat="1" ht="15" hidden="1" customHeight="1" outlineLevel="2" x14ac:dyDescent="0.25">
      <c r="A213" s="363"/>
      <c r="B213" s="1145"/>
      <c r="C213" s="1145"/>
      <c r="D213" s="1268"/>
      <c r="E213" s="1268"/>
      <c r="F213" s="438"/>
      <c r="G213" s="438"/>
      <c r="H213" s="1020" t="str">
        <f>IF(OR(D213="",D213="-"),"",VLOOKUP(D213,'Fatores de Emissão'!$E$181:$K$184,3,FALSE))</f>
        <v/>
      </c>
      <c r="I213" s="478" t="str">
        <f>IF(OR(D213="",D213="-"),"",VLOOKUP(D213,'Fatores de Emissão'!$E$181:$K$184,2,FALSE))</f>
        <v/>
      </c>
      <c r="J213" s="478" t="str">
        <f>IF(OR(D213="",D213="-"),"",VLOOKUP(D213,'Fatores de Emissão'!$E$181:$K$184,4,FALSE))</f>
        <v/>
      </c>
      <c r="K213" s="478" t="str">
        <f>IF(OR(D213="",D213="-"),"",VLOOKUP(D213,'Fatores de Emissão'!$E$181:$K$184,6,FALSE))</f>
        <v/>
      </c>
      <c r="L213" s="478" t="str">
        <f>IF($D213="","",IF($H213="kg/km",$F213*I213/1000,IF($H213="kg/p.km",$F213*$G213*I213/1000,$F213*#REF!*I213/1000)))</f>
        <v/>
      </c>
      <c r="M213" s="478" t="str">
        <f>IF($D213="","",IF($H213="kg/km",$F213*J213/1000,IF($H213="kg/p.km",$F213*$G213*J213/1000,$F213*#REF!*J213/1000)))</f>
        <v/>
      </c>
      <c r="N213" s="478" t="str">
        <f>IF($D213="","",IF($H213="kg/km",$F213*K213/1000,IF($H213="kg/p.km",$F213*$G213*K213/1000,$F213*#REF!*K213/1000)))</f>
        <v/>
      </c>
      <c r="O213" s="479" t="str">
        <f t="shared" si="5"/>
        <v/>
      </c>
      <c r="P213" s="480"/>
    </row>
    <row r="214" spans="1:58" s="237" customFormat="1" ht="15" hidden="1" customHeight="1" outlineLevel="2" x14ac:dyDescent="0.25">
      <c r="A214" s="363"/>
      <c r="B214" s="1145"/>
      <c r="C214" s="1145"/>
      <c r="D214" s="1268"/>
      <c r="E214" s="1268"/>
      <c r="F214" s="438"/>
      <c r="G214" s="438"/>
      <c r="H214" s="1020" t="str">
        <f>IF(OR(D214="",D214="-"),"",VLOOKUP(D214,'Fatores de Emissão'!$E$181:$K$184,3,FALSE))</f>
        <v/>
      </c>
      <c r="I214" s="478" t="str">
        <f>IF(OR(D214="",D214="-"),"",VLOOKUP(D214,'Fatores de Emissão'!$E$181:$K$184,2,FALSE))</f>
        <v/>
      </c>
      <c r="J214" s="478" t="str">
        <f>IF(OR(D214="",D214="-"),"",VLOOKUP(D214,'Fatores de Emissão'!$E$181:$K$184,4,FALSE))</f>
        <v/>
      </c>
      <c r="K214" s="478" t="str">
        <f>IF(OR(D214="",D214="-"),"",VLOOKUP(D214,'Fatores de Emissão'!$E$181:$K$184,6,FALSE))</f>
        <v/>
      </c>
      <c r="L214" s="478" t="str">
        <f>IF($D214="","",IF($H214="kg/km",$F214*I214/1000,IF($H214="kg/p.km",$F214*$G214*I214/1000,$F214*#REF!*I214/1000)))</f>
        <v/>
      </c>
      <c r="M214" s="478" t="str">
        <f>IF($D214="","",IF($H214="kg/km",$F214*J214/1000,IF($H214="kg/p.km",$F214*$G214*J214/1000,$F214*#REF!*J214/1000)))</f>
        <v/>
      </c>
      <c r="N214" s="478" t="str">
        <f>IF($D214="","",IF($H214="kg/km",$F214*K214/1000,IF($H214="kg/p.km",$F214*$G214*K214/1000,$F214*#REF!*K214/1000)))</f>
        <v/>
      </c>
      <c r="O214" s="479" t="str">
        <f t="shared" si="5"/>
        <v/>
      </c>
      <c r="P214" s="480"/>
    </row>
    <row r="215" spans="1:58" s="237" customFormat="1" ht="15" hidden="1" customHeight="1" outlineLevel="2" x14ac:dyDescent="0.25">
      <c r="A215" s="363"/>
      <c r="B215" s="1145"/>
      <c r="C215" s="1145"/>
      <c r="D215" s="1268"/>
      <c r="E215" s="1268"/>
      <c r="F215" s="438"/>
      <c r="G215" s="438"/>
      <c r="H215" s="1020" t="str">
        <f>IF(OR(D215="",D215="-"),"",VLOOKUP(D215,'Fatores de Emissão'!$E$181:$K$184,3,FALSE))</f>
        <v/>
      </c>
      <c r="I215" s="478" t="str">
        <f>IF(OR(D215="",D215="-"),"",VLOOKUP(D215,'Fatores de Emissão'!$E$181:$K$184,2,FALSE))</f>
        <v/>
      </c>
      <c r="J215" s="478" t="str">
        <f>IF(OR(D215="",D215="-"),"",VLOOKUP(D215,'Fatores de Emissão'!$E$181:$K$184,4,FALSE))</f>
        <v/>
      </c>
      <c r="K215" s="478" t="str">
        <f>IF(OR(D215="",D215="-"),"",VLOOKUP(D215,'Fatores de Emissão'!$E$181:$K$184,6,FALSE))</f>
        <v/>
      </c>
      <c r="L215" s="478" t="str">
        <f>IF($D215="","",IF($H215="kg/km",$F215*I215/1000,IF($H215="kg/p.km",$F215*$G215*I215/1000,$F215*#REF!*I215/1000)))</f>
        <v/>
      </c>
      <c r="M215" s="478" t="str">
        <f>IF($D215="","",IF($H215="kg/km",$F215*J215/1000,IF($H215="kg/p.km",$F215*$G215*J215/1000,$F215*#REF!*J215/1000)))</f>
        <v/>
      </c>
      <c r="N215" s="478" t="str">
        <f>IF($D215="","",IF($H215="kg/km",$F215*K215/1000,IF($H215="kg/p.km",$F215*$G215*K215/1000,$F215*#REF!*K215/1000)))</f>
        <v/>
      </c>
      <c r="O215" s="479" t="str">
        <f t="shared" si="5"/>
        <v/>
      </c>
      <c r="P215" s="480"/>
    </row>
    <row r="216" spans="1:58" s="237" customFormat="1" ht="15" hidden="1" customHeight="1" outlineLevel="2" x14ac:dyDescent="0.25">
      <c r="A216" s="363"/>
      <c r="B216" s="1145"/>
      <c r="C216" s="1145"/>
      <c r="D216" s="1268"/>
      <c r="E216" s="1268"/>
      <c r="F216" s="438"/>
      <c r="G216" s="438"/>
      <c r="H216" s="1020" t="str">
        <f>IF(OR(D216="",D216="-"),"",VLOOKUP(D216,'Fatores de Emissão'!$E$181:$K$184,3,FALSE))</f>
        <v/>
      </c>
      <c r="I216" s="478" t="str">
        <f>IF(OR(D216="",D216="-"),"",VLOOKUP(D216,'Fatores de Emissão'!$E$181:$K$184,2,FALSE))</f>
        <v/>
      </c>
      <c r="J216" s="478" t="str">
        <f>IF(OR(D216="",D216="-"),"",VLOOKUP(D216,'Fatores de Emissão'!$E$181:$K$184,4,FALSE))</f>
        <v/>
      </c>
      <c r="K216" s="478" t="str">
        <f>IF(OR(D216="",D216="-"),"",VLOOKUP(D216,'Fatores de Emissão'!$E$181:$K$184,6,FALSE))</f>
        <v/>
      </c>
      <c r="L216" s="478" t="str">
        <f>IF($D216="","",IF($H216="kg/km",$F216*I216/1000,IF($H216="kg/p.km",$F216*$G216*I216/1000,$F216*#REF!*I216/1000)))</f>
        <v/>
      </c>
      <c r="M216" s="478" t="str">
        <f>IF($D216="","",IF($H216="kg/km",$F216*J216/1000,IF($H216="kg/p.km",$F216*$G216*J216/1000,$F216*#REF!*J216/1000)))</f>
        <v/>
      </c>
      <c r="N216" s="478" t="str">
        <f>IF($D216="","",IF($H216="kg/km",$F216*K216/1000,IF($H216="kg/p.km",$F216*$G216*K216/1000,$F216*#REF!*K216/1000)))</f>
        <v/>
      </c>
      <c r="O216" s="479" t="str">
        <f t="shared" si="5"/>
        <v/>
      </c>
      <c r="P216" s="480"/>
    </row>
    <row r="217" spans="1:58" s="237" customFormat="1" ht="15" hidden="1" customHeight="1" outlineLevel="2" x14ac:dyDescent="0.25">
      <c r="A217" s="363"/>
      <c r="B217" s="1145"/>
      <c r="C217" s="1145"/>
      <c r="D217" s="1268"/>
      <c r="E217" s="1268"/>
      <c r="F217" s="438"/>
      <c r="G217" s="438"/>
      <c r="H217" s="1020" t="str">
        <f>IF(OR(D217="",D217="-"),"",VLOOKUP(D217,'Fatores de Emissão'!$E$181:$K$184,3,FALSE))</f>
        <v/>
      </c>
      <c r="I217" s="478" t="str">
        <f>IF(OR(D217="",D217="-"),"",VLOOKUP(D217,'Fatores de Emissão'!$E$181:$K$184,2,FALSE))</f>
        <v/>
      </c>
      <c r="J217" s="478" t="str">
        <f>IF(OR(D217="",D217="-"),"",VLOOKUP(D217,'Fatores de Emissão'!$E$181:$K$184,4,FALSE))</f>
        <v/>
      </c>
      <c r="K217" s="478" t="str">
        <f>IF(OR(D217="",D217="-"),"",VLOOKUP(D217,'Fatores de Emissão'!$E$181:$K$184,6,FALSE))</f>
        <v/>
      </c>
      <c r="L217" s="478" t="str">
        <f>IF($D217="","",IF($H217="kg/km",$F217*I217/1000,IF($H217="kg/p.km",$F217*$G217*I217/1000,$F217*#REF!*I217/1000)))</f>
        <v/>
      </c>
      <c r="M217" s="478" t="str">
        <f>IF($D217="","",IF($H217="kg/km",$F217*J217/1000,IF($H217="kg/p.km",$F217*$G217*J217/1000,$F217*#REF!*J217/1000)))</f>
        <v/>
      </c>
      <c r="N217" s="478" t="str">
        <f>IF($D217="","",IF($H217="kg/km",$F217*K217/1000,IF($H217="kg/p.km",$F217*$G217*K217/1000,$F217*#REF!*K217/1000)))</f>
        <v/>
      </c>
      <c r="O217" s="479" t="str">
        <f t="shared" si="5"/>
        <v/>
      </c>
      <c r="P217" s="480"/>
    </row>
    <row r="218" spans="1:58" s="237" customFormat="1" ht="15" hidden="1" customHeight="1" outlineLevel="2" x14ac:dyDescent="0.25">
      <c r="A218" s="363"/>
      <c r="B218" s="1145"/>
      <c r="C218" s="1145"/>
      <c r="D218" s="1268"/>
      <c r="E218" s="1268"/>
      <c r="F218" s="438"/>
      <c r="G218" s="438"/>
      <c r="H218" s="1020" t="str">
        <f>IF(OR(D218="",D218="-"),"",VLOOKUP(D218,'Fatores de Emissão'!$E$181:$K$184,3,FALSE))</f>
        <v/>
      </c>
      <c r="I218" s="478" t="str">
        <f>IF(OR(D218="",D218="-"),"",VLOOKUP(D218,'Fatores de Emissão'!$E$181:$K$184,2,FALSE))</f>
        <v/>
      </c>
      <c r="J218" s="478" t="str">
        <f>IF(OR(D218="",D218="-"),"",VLOOKUP(D218,'Fatores de Emissão'!$E$181:$K$184,4,FALSE))</f>
        <v/>
      </c>
      <c r="K218" s="478" t="str">
        <f>IF(OR(D218="",D218="-"),"",VLOOKUP(D218,'Fatores de Emissão'!$E$181:$K$184,6,FALSE))</f>
        <v/>
      </c>
      <c r="L218" s="478" t="str">
        <f>IF($D218="","",IF($H218="kg/km",$F218*I218/1000,IF($H218="kg/p.km",$F218*$G218*I218/1000,$F218*#REF!*I218/1000)))</f>
        <v/>
      </c>
      <c r="M218" s="478" t="str">
        <f>IF($D218="","",IF($H218="kg/km",$F218*J218/1000,IF($H218="kg/p.km",$F218*$G218*J218/1000,$F218*#REF!*J218/1000)))</f>
        <v/>
      </c>
      <c r="N218" s="478" t="str">
        <f>IF($D218="","",IF($H218="kg/km",$F218*K218/1000,IF($H218="kg/p.km",$F218*$G218*K218/1000,$F218*#REF!*K218/1000)))</f>
        <v/>
      </c>
      <c r="O218" s="479" t="str">
        <f t="shared" si="5"/>
        <v/>
      </c>
      <c r="P218" s="480"/>
    </row>
    <row r="219" spans="1:58" s="237" customFormat="1" ht="15" hidden="1" customHeight="1" outlineLevel="2" x14ac:dyDescent="0.25">
      <c r="A219" s="363"/>
      <c r="B219" s="1145"/>
      <c r="C219" s="1145"/>
      <c r="D219" s="1268"/>
      <c r="E219" s="1268"/>
      <c r="F219" s="438"/>
      <c r="G219" s="438"/>
      <c r="H219" s="1020" t="str">
        <f>IF(OR(D219="",D219="-"),"",VLOOKUP(D219,'Fatores de Emissão'!$E$181:$K$184,3,FALSE))</f>
        <v/>
      </c>
      <c r="I219" s="478" t="str">
        <f>IF(OR(D219="",D219="-"),"",VLOOKUP(D219,'Fatores de Emissão'!$E$181:$K$184,2,FALSE))</f>
        <v/>
      </c>
      <c r="J219" s="478" t="str">
        <f>IF(OR(D219="",D219="-"),"",VLOOKUP(D219,'Fatores de Emissão'!$E$181:$K$184,4,FALSE))</f>
        <v/>
      </c>
      <c r="K219" s="478" t="str">
        <f>IF(OR(D219="",D219="-"),"",VLOOKUP(D219,'Fatores de Emissão'!$E$181:$K$184,6,FALSE))</f>
        <v/>
      </c>
      <c r="L219" s="478" t="str">
        <f>IF($D219="","",IF($H219="kg/km",$F219*I219/1000,IF($H219="kg/p.km",$F219*$G219*I219/1000,$F219*#REF!*I219/1000)))</f>
        <v/>
      </c>
      <c r="M219" s="478" t="str">
        <f>IF($D219="","",IF($H219="kg/km",$F219*J219/1000,IF($H219="kg/p.km",$F219*$G219*J219/1000,$F219*#REF!*J219/1000)))</f>
        <v/>
      </c>
      <c r="N219" s="478" t="str">
        <f>IF($D219="","",IF($H219="kg/km",$F219*K219/1000,IF($H219="kg/p.km",$F219*$G219*K219/1000,$F219*#REF!*K219/1000)))</f>
        <v/>
      </c>
      <c r="O219" s="479" t="str">
        <f t="shared" si="5"/>
        <v/>
      </c>
      <c r="P219" s="480"/>
    </row>
    <row r="220" spans="1:58" s="237" customFormat="1" ht="15" customHeight="1" outlineLevel="1" x14ac:dyDescent="0.25">
      <c r="A220" s="363"/>
      <c r="B220" s="449"/>
      <c r="C220" s="363"/>
      <c r="D220" s="363"/>
      <c r="E220" s="363"/>
      <c r="F220" s="363"/>
      <c r="G220" s="363"/>
      <c r="H220" s="363"/>
      <c r="I220" s="1273" t="s">
        <v>78</v>
      </c>
      <c r="J220" s="1274"/>
      <c r="K220" s="1275"/>
      <c r="L220" s="455">
        <f>SUM(L170:L219)</f>
        <v>4.4484000000000006E-4</v>
      </c>
      <c r="M220" s="455">
        <f>SUM(M170:M219)</f>
        <v>1.14E-8</v>
      </c>
      <c r="N220" s="455">
        <f>SUM(N170:N219)</f>
        <v>8.3999999999999991E-9</v>
      </c>
      <c r="O220" s="455">
        <f>SUM(O170:O219)</f>
        <v>4.4762820000000006E-4</v>
      </c>
      <c r="P220" s="455">
        <f>SUM(P170:P219)</f>
        <v>0</v>
      </c>
    </row>
    <row r="221" spans="1:58" s="237" customFormat="1" ht="15" customHeight="1" x14ac:dyDescent="0.25">
      <c r="A221" s="363"/>
      <c r="B221" s="388"/>
      <c r="C221" s="373"/>
      <c r="D221" s="442"/>
      <c r="E221" s="442"/>
      <c r="F221" s="373"/>
      <c r="G221" s="373"/>
      <c r="H221" s="373"/>
      <c r="I221" s="373"/>
      <c r="J221" s="373"/>
      <c r="K221" s="373"/>
      <c r="L221" s="373"/>
      <c r="M221" s="373"/>
      <c r="N221" s="373"/>
      <c r="O221" s="373"/>
      <c r="P221" s="373"/>
      <c r="Q221" s="373"/>
      <c r="R221" s="373"/>
      <c r="S221" s="373"/>
      <c r="T221" s="373"/>
      <c r="U221" s="373"/>
      <c r="V221" s="363"/>
      <c r="W221" s="373"/>
      <c r="X221" s="373"/>
      <c r="Z221" s="373"/>
      <c r="AA221" s="373"/>
      <c r="AB221" s="373"/>
    </row>
    <row r="222" spans="1:58" s="463" customFormat="1" ht="18" customHeight="1" x14ac:dyDescent="0.3">
      <c r="A222" s="458"/>
      <c r="B222" s="358" t="s">
        <v>2125</v>
      </c>
      <c r="C222" s="459"/>
      <c r="D222" s="460"/>
      <c r="E222" s="460"/>
      <c r="F222" s="460"/>
      <c r="G222" s="461"/>
      <c r="H222" s="461"/>
      <c r="I222" s="461"/>
      <c r="J222" s="461"/>
      <c r="K222" s="461"/>
      <c r="L222" s="461"/>
      <c r="M222" s="461"/>
      <c r="N222" s="461"/>
      <c r="O222" s="461"/>
      <c r="P222" s="461"/>
      <c r="Q222" s="461"/>
      <c r="R222" s="461"/>
      <c r="S222" s="461"/>
      <c r="T222" s="461"/>
      <c r="U222" s="461"/>
      <c r="V222" s="461"/>
      <c r="W222" s="461"/>
      <c r="X222" s="461"/>
      <c r="Y222" s="461"/>
      <c r="Z222" s="461"/>
      <c r="AA222" s="461"/>
      <c r="AB222" s="461"/>
      <c r="AC222" s="461"/>
      <c r="AD222" s="461"/>
      <c r="AE222" s="461"/>
      <c r="AF222" s="461"/>
      <c r="AG222" s="461"/>
      <c r="AH222" s="461"/>
      <c r="AI222" s="461"/>
      <c r="AJ222" s="461"/>
      <c r="AK222" s="461"/>
      <c r="AL222" s="461"/>
      <c r="AM222" s="461"/>
      <c r="AN222" s="461"/>
      <c r="AO222" s="461"/>
      <c r="AP222" s="461"/>
      <c r="AQ222" s="461"/>
      <c r="AR222" s="461"/>
      <c r="AS222" s="461"/>
      <c r="AT222" s="461"/>
      <c r="AU222" s="461"/>
      <c r="AV222" s="461"/>
      <c r="AW222" s="461"/>
      <c r="AX222" s="461"/>
      <c r="AY222" s="461"/>
      <c r="AZ222" s="461"/>
      <c r="BA222" s="461"/>
      <c r="BB222" s="461"/>
      <c r="BC222" s="461"/>
      <c r="BD222" s="461"/>
      <c r="BE222" s="461"/>
      <c r="BF222" s="462"/>
    </row>
    <row r="223" spans="1:58" ht="15" customHeight="1" outlineLevel="1" x14ac:dyDescent="0.2">
      <c r="A223" s="339"/>
      <c r="B223" s="342"/>
      <c r="C223" s="416"/>
      <c r="D223" s="416"/>
      <c r="E223" s="416"/>
      <c r="F223" s="339"/>
      <c r="G223" s="339"/>
      <c r="H223" s="339"/>
      <c r="I223" s="339"/>
      <c r="J223" s="339"/>
      <c r="K223" s="339"/>
      <c r="L223" s="339"/>
      <c r="M223" s="339"/>
      <c r="N223" s="339"/>
      <c r="O223" s="339"/>
      <c r="P223" s="339"/>
      <c r="Q223" s="339"/>
      <c r="R223" s="339"/>
      <c r="AI223" s="339"/>
      <c r="AJ223" s="339"/>
      <c r="AK223" s="339"/>
      <c r="AL223" s="339"/>
      <c r="AM223" s="339"/>
      <c r="AO223" s="339"/>
      <c r="AP223" s="339"/>
      <c r="AQ223" s="339"/>
    </row>
    <row r="224" spans="1:58" ht="15" customHeight="1" outlineLevel="1" x14ac:dyDescent="0.2">
      <c r="A224" s="339"/>
      <c r="B224" s="469" t="s">
        <v>124</v>
      </c>
      <c r="C224" s="416"/>
      <c r="D224" s="416"/>
      <c r="E224" s="416"/>
      <c r="F224" s="339"/>
      <c r="G224" s="339"/>
      <c r="H224" s="339"/>
      <c r="I224" s="339"/>
      <c r="J224" s="339"/>
      <c r="K224" s="339"/>
      <c r="L224" s="339"/>
      <c r="M224" s="339"/>
      <c r="N224" s="339"/>
      <c r="O224" s="339"/>
      <c r="P224" s="339"/>
      <c r="Q224" s="339"/>
      <c r="R224" s="339"/>
      <c r="AI224" s="339"/>
      <c r="AJ224" s="339"/>
      <c r="AK224" s="339"/>
      <c r="AL224" s="339"/>
      <c r="AM224" s="339"/>
      <c r="AO224" s="339"/>
      <c r="AP224" s="339"/>
      <c r="AQ224" s="339"/>
    </row>
    <row r="225" spans="1:59" s="237" customFormat="1" ht="15" customHeight="1" outlineLevel="1" x14ac:dyDescent="0.25">
      <c r="A225" s="363"/>
      <c r="B225" s="449" t="s">
        <v>2126</v>
      </c>
      <c r="C225" s="442"/>
      <c r="D225" s="442"/>
      <c r="E225" s="442"/>
      <c r="F225" s="363"/>
      <c r="G225" s="363"/>
      <c r="H225" s="363"/>
      <c r="I225" s="363"/>
      <c r="J225" s="363"/>
      <c r="K225" s="363"/>
      <c r="L225" s="363"/>
      <c r="M225" s="363"/>
      <c r="N225" s="363"/>
      <c r="O225" s="363"/>
      <c r="P225" s="363"/>
      <c r="Q225" s="363"/>
      <c r="R225" s="363"/>
      <c r="AI225" s="363"/>
      <c r="AJ225" s="363"/>
      <c r="AK225" s="363"/>
      <c r="AL225" s="363"/>
      <c r="AM225" s="363"/>
      <c r="AO225" s="363"/>
      <c r="AP225" s="363"/>
      <c r="AQ225" s="363"/>
    </row>
    <row r="226" spans="1:59" s="237" customFormat="1" ht="15" customHeight="1" outlineLevel="1" x14ac:dyDescent="0.25">
      <c r="A226" s="363"/>
      <c r="B226" s="470" t="s">
        <v>1880</v>
      </c>
      <c r="C226" s="442"/>
      <c r="D226" s="442"/>
      <c r="E226" s="442"/>
      <c r="F226" s="363"/>
      <c r="G226" s="363"/>
      <c r="H226" s="363"/>
      <c r="I226" s="363"/>
      <c r="J226" s="363"/>
      <c r="K226" s="363"/>
      <c r="L226" s="363"/>
      <c r="M226" s="363"/>
      <c r="N226" s="363"/>
      <c r="O226" s="363"/>
      <c r="P226" s="363"/>
      <c r="Q226" s="363"/>
      <c r="R226" s="363"/>
      <c r="AI226" s="363"/>
      <c r="AJ226" s="363"/>
      <c r="AK226" s="363"/>
      <c r="AL226" s="363"/>
      <c r="AM226" s="363"/>
      <c r="AO226" s="363"/>
      <c r="AP226" s="363"/>
      <c r="AQ226" s="363"/>
    </row>
    <row r="227" spans="1:59" s="237" customFormat="1" ht="15" customHeight="1" outlineLevel="1" x14ac:dyDescent="0.25">
      <c r="A227" s="363"/>
      <c r="B227" s="917" t="s">
        <v>2127</v>
      </c>
      <c r="C227" s="442"/>
      <c r="D227" s="442"/>
      <c r="E227" s="442"/>
      <c r="F227" s="363"/>
      <c r="G227" s="363"/>
      <c r="H227" s="363"/>
      <c r="I227" s="363"/>
      <c r="J227" s="363"/>
      <c r="K227" s="363"/>
      <c r="L227" s="363"/>
      <c r="M227" s="363"/>
      <c r="N227" s="363"/>
      <c r="O227" s="363"/>
      <c r="P227" s="363"/>
      <c r="Q227" s="363"/>
      <c r="R227" s="363"/>
      <c r="AI227" s="363"/>
      <c r="AJ227" s="363"/>
      <c r="AK227" s="363"/>
      <c r="AL227" s="363"/>
      <c r="AM227" s="363"/>
      <c r="AO227" s="363"/>
      <c r="AP227" s="363"/>
      <c r="AQ227" s="363"/>
    </row>
    <row r="228" spans="1:59" s="237" customFormat="1" ht="15" customHeight="1" outlineLevel="1" x14ac:dyDescent="0.25">
      <c r="A228" s="363"/>
      <c r="B228" s="470" t="s">
        <v>1881</v>
      </c>
      <c r="C228" s="442"/>
      <c r="D228" s="442"/>
      <c r="E228" s="442"/>
      <c r="F228" s="363"/>
      <c r="G228" s="363"/>
      <c r="H228" s="363"/>
      <c r="I228" s="363"/>
      <c r="J228" s="363"/>
      <c r="K228" s="363"/>
      <c r="L228" s="363"/>
      <c r="M228" s="363"/>
      <c r="N228" s="363"/>
      <c r="O228" s="363"/>
      <c r="P228" s="363"/>
      <c r="Q228" s="363"/>
      <c r="R228" s="363"/>
      <c r="AI228" s="363"/>
      <c r="AJ228" s="363"/>
      <c r="AK228" s="363"/>
      <c r="AL228" s="363"/>
      <c r="AM228" s="363"/>
      <c r="AO228" s="363"/>
      <c r="AP228" s="363"/>
      <c r="AQ228" s="363"/>
    </row>
    <row r="229" spans="1:59" s="237" customFormat="1" ht="15" customHeight="1" outlineLevel="1" x14ac:dyDescent="0.25">
      <c r="A229" s="363"/>
      <c r="B229" s="206" t="s">
        <v>2128</v>
      </c>
      <c r="C229" s="442"/>
      <c r="D229" s="442"/>
      <c r="E229" s="442"/>
      <c r="F229" s="363"/>
      <c r="G229" s="363"/>
      <c r="H229" s="363"/>
      <c r="I229" s="363"/>
      <c r="J229" s="363"/>
      <c r="K229" s="363"/>
      <c r="L229" s="363"/>
      <c r="M229" s="363"/>
      <c r="N229" s="363"/>
      <c r="O229" s="363"/>
      <c r="P229" s="363"/>
      <c r="Q229" s="363"/>
      <c r="R229" s="363"/>
      <c r="AI229" s="363"/>
      <c r="AJ229" s="363"/>
      <c r="AK229" s="363"/>
      <c r="AL229" s="363"/>
      <c r="AM229" s="363"/>
      <c r="AO229" s="363"/>
      <c r="AP229" s="363"/>
      <c r="AQ229" s="363"/>
    </row>
    <row r="230" spans="1:59" s="237" customFormat="1" ht="15" customHeight="1" outlineLevel="1" x14ac:dyDescent="0.25">
      <c r="A230" s="363"/>
      <c r="B230" s="206" t="s">
        <v>2129</v>
      </c>
      <c r="C230" s="442"/>
      <c r="D230" s="442"/>
      <c r="E230" s="442"/>
      <c r="F230" s="363"/>
      <c r="G230" s="363"/>
      <c r="H230" s="363"/>
      <c r="I230" s="363"/>
      <c r="J230" s="363"/>
      <c r="K230" s="363"/>
      <c r="L230" s="363"/>
      <c r="M230" s="363"/>
      <c r="N230" s="363"/>
      <c r="O230" s="363"/>
      <c r="P230" s="363"/>
      <c r="Q230" s="363"/>
      <c r="R230" s="363"/>
      <c r="AI230" s="363"/>
      <c r="AJ230" s="363"/>
      <c r="AK230" s="363"/>
      <c r="AL230" s="363"/>
      <c r="AM230" s="363"/>
      <c r="AO230" s="363"/>
      <c r="AP230" s="363"/>
      <c r="AQ230" s="363"/>
      <c r="BG230" s="433"/>
    </row>
    <row r="231" spans="1:59" s="237" customFormat="1" ht="15" customHeight="1" outlineLevel="1" x14ac:dyDescent="0.25">
      <c r="A231" s="363"/>
      <c r="B231" s="481"/>
      <c r="C231" s="442"/>
      <c r="D231" s="442"/>
      <c r="E231" s="442"/>
      <c r="F231" s="363"/>
      <c r="G231" s="363"/>
      <c r="H231" s="363"/>
      <c r="I231" s="363"/>
      <c r="J231" s="363"/>
      <c r="K231" s="363"/>
      <c r="L231" s="363"/>
      <c r="M231" s="363"/>
      <c r="N231" s="363"/>
      <c r="O231" s="363"/>
      <c r="P231" s="363"/>
      <c r="Q231" s="363"/>
      <c r="R231" s="363"/>
      <c r="AI231" s="363"/>
      <c r="AJ231" s="363"/>
      <c r="AK231" s="363"/>
      <c r="AL231" s="363"/>
      <c r="AM231" s="363"/>
      <c r="AO231" s="363"/>
      <c r="AP231" s="363"/>
      <c r="AQ231" s="363"/>
    </row>
    <row r="232" spans="1:59" s="237" customFormat="1" ht="15" customHeight="1" outlineLevel="1" x14ac:dyDescent="0.25">
      <c r="A232" s="363"/>
      <c r="B232" s="468" t="s">
        <v>1883</v>
      </c>
      <c r="C232" s="442"/>
      <c r="D232" s="442"/>
      <c r="E232" s="442"/>
      <c r="F232" s="363"/>
      <c r="G232" s="363"/>
      <c r="H232" s="363"/>
      <c r="I232" s="363"/>
      <c r="J232" s="363"/>
      <c r="K232" s="363"/>
      <c r="L232" s="363"/>
      <c r="M232" s="363"/>
      <c r="N232" s="363"/>
      <c r="O232" s="363"/>
      <c r="P232" s="363"/>
      <c r="Q232" s="363"/>
      <c r="R232" s="363"/>
      <c r="AI232" s="363"/>
      <c r="AJ232" s="363"/>
      <c r="AK232" s="363"/>
      <c r="AL232" s="363"/>
      <c r="AM232" s="363"/>
      <c r="AO232" s="363"/>
      <c r="AP232" s="363"/>
      <c r="AQ232" s="363"/>
    </row>
    <row r="233" spans="1:59" s="237" customFormat="1" ht="15" customHeight="1" outlineLevel="1" x14ac:dyDescent="0.25">
      <c r="A233" s="363"/>
      <c r="B233" s="1267" t="s">
        <v>2120</v>
      </c>
      <c r="C233" s="1267" t="s">
        <v>1868</v>
      </c>
      <c r="D233" s="1267" t="s">
        <v>1577</v>
      </c>
      <c r="E233" s="1267"/>
      <c r="F233" s="1249" t="s">
        <v>1743</v>
      </c>
      <c r="G233" s="1249" t="s">
        <v>1742</v>
      </c>
      <c r="H233" s="1249" t="s">
        <v>1862</v>
      </c>
      <c r="I233" s="1267" t="s">
        <v>588</v>
      </c>
      <c r="J233" s="1267"/>
      <c r="K233" s="1267"/>
      <c r="L233" s="1249" t="s">
        <v>1408</v>
      </c>
      <c r="M233" s="1249" t="s">
        <v>1409</v>
      </c>
      <c r="N233" s="1249" t="s">
        <v>1410</v>
      </c>
      <c r="O233" s="1249" t="s">
        <v>1411</v>
      </c>
      <c r="P233" s="1267" t="s">
        <v>1530</v>
      </c>
    </row>
    <row r="234" spans="1:59" s="237" customFormat="1" ht="15" customHeight="1" outlineLevel="1" x14ac:dyDescent="0.25">
      <c r="A234" s="363"/>
      <c r="B234" s="1267"/>
      <c r="C234" s="1267"/>
      <c r="D234" s="1267"/>
      <c r="E234" s="1267"/>
      <c r="F234" s="1266"/>
      <c r="G234" s="1266"/>
      <c r="H234" s="1266"/>
      <c r="I234" s="1267"/>
      <c r="J234" s="1267"/>
      <c r="K234" s="1267"/>
      <c r="L234" s="1266"/>
      <c r="M234" s="1266"/>
      <c r="N234" s="1266"/>
      <c r="O234" s="1266"/>
      <c r="P234" s="1267"/>
    </row>
    <row r="235" spans="1:59" s="237" customFormat="1" ht="20.25" customHeight="1" outlineLevel="1" x14ac:dyDescent="0.25">
      <c r="A235" s="363"/>
      <c r="B235" s="1267"/>
      <c r="C235" s="1267"/>
      <c r="D235" s="1267"/>
      <c r="E235" s="1267"/>
      <c r="F235" s="1250"/>
      <c r="G235" s="1250"/>
      <c r="H235" s="1250"/>
      <c r="I235" s="1146" t="s">
        <v>1394</v>
      </c>
      <c r="J235" s="1146" t="s">
        <v>1863</v>
      </c>
      <c r="K235" s="1146" t="s">
        <v>1864</v>
      </c>
      <c r="L235" s="1250"/>
      <c r="M235" s="1250"/>
      <c r="N235" s="1250"/>
      <c r="O235" s="1250"/>
      <c r="P235" s="1267"/>
    </row>
    <row r="236" spans="1:59" s="237" customFormat="1" ht="15" customHeight="1" outlineLevel="1" x14ac:dyDescent="0.25">
      <c r="A236" s="427" t="s">
        <v>606</v>
      </c>
      <c r="B236" s="444" t="s">
        <v>2130</v>
      </c>
      <c r="C236" s="1107" t="s">
        <v>2131</v>
      </c>
      <c r="D236" s="1276" t="s">
        <v>1877</v>
      </c>
      <c r="E236" s="1277"/>
      <c r="F236" s="482">
        <v>1000</v>
      </c>
      <c r="G236" s="482">
        <v>2</v>
      </c>
      <c r="H236" s="483" t="s">
        <v>1539</v>
      </c>
      <c r="I236" s="484">
        <v>0.12</v>
      </c>
      <c r="J236" s="485">
        <v>1.3853116368000001E-4</v>
      </c>
      <c r="K236" s="485">
        <v>1.3853116368000001E-4</v>
      </c>
      <c r="L236" s="486">
        <v>0.23</v>
      </c>
      <c r="M236" s="486">
        <v>8.6962938000119985E-5</v>
      </c>
      <c r="N236" s="486">
        <v>8.6962938000119985E-5</v>
      </c>
      <c r="O236" s="485">
        <v>0.23</v>
      </c>
      <c r="P236" s="486">
        <v>0</v>
      </c>
    </row>
    <row r="237" spans="1:59" s="237" customFormat="1" ht="15" customHeight="1" outlineLevel="1" x14ac:dyDescent="0.25">
      <c r="A237" s="363"/>
      <c r="B237" s="1145"/>
      <c r="C237" s="1145"/>
      <c r="D237" s="1268"/>
      <c r="E237" s="1268"/>
      <c r="F237" s="438"/>
      <c r="G237" s="438"/>
      <c r="H237" s="1020" t="str">
        <f>IF(OR(D237="",D237="-"),"",VLOOKUP(D237,'Fatores de Emissão'!$E$192:$K$201,3,FALSE))</f>
        <v/>
      </c>
      <c r="I237" s="1111" t="str">
        <f>IF(OR(D237="",D237="-"),"",VLOOKUP(D237,'Fatores de Emissão'!$E$192:$K$201,2,FALSE))</f>
        <v/>
      </c>
      <c r="J237" s="1111" t="str">
        <f>IF(OR(D237="",D237="-"),"",VLOOKUP(D237,'Fatores de Emissão'!$E$192:$K$201,4,FALSE))</f>
        <v/>
      </c>
      <c r="K237" s="1111" t="str">
        <f>IF(OR(D237="",D237="-"),"",VLOOKUP(D237,'Fatores de Emissão'!$E$192:$K$201,6,FALSE))</f>
        <v/>
      </c>
      <c r="L237" s="478" t="str">
        <f>IF($D237="","",IF($H237="kg/p.km",$F237*$G237*I237/1000,$F237*#REF!*I237/1000))</f>
        <v/>
      </c>
      <c r="M237" s="478" t="str">
        <f>IF($D237="","",IF($H237="kg/p.km",$F237*$G237*J237/1000,$F237*#REF!*J237/1000))</f>
        <v/>
      </c>
      <c r="N237" s="478" t="str">
        <f>IF($D237="","",IF($H237="kg/p.km",$F237*$G237*K237/1000,$F237*#REF!*K237/1000))</f>
        <v/>
      </c>
      <c r="O237" s="451" t="str">
        <f>IF(ISERR(L237*gwp_CO2+M237*gwp_CH4+N237*gwp_N2O),"",L237*gwp_CO2+M237*gwp_CH4+N237*gwp_N2O)</f>
        <v/>
      </c>
      <c r="P237" s="452"/>
    </row>
    <row r="238" spans="1:59" s="237" customFormat="1" ht="15" customHeight="1" outlineLevel="1" x14ac:dyDescent="0.25">
      <c r="A238" s="363"/>
      <c r="B238" s="1145"/>
      <c r="C238" s="1145"/>
      <c r="D238" s="1268"/>
      <c r="E238" s="1268"/>
      <c r="F238" s="438"/>
      <c r="G238" s="438"/>
      <c r="H238" s="1020" t="str">
        <f>IF(OR(D238="",D238="-"),"",VLOOKUP(D238,'Fatores de Emissão'!$E$192:$K$201,3,FALSE))</f>
        <v/>
      </c>
      <c r="I238" s="1111" t="str">
        <f>IF(OR(D238="",D238="-"),"",VLOOKUP(D238,'Fatores de Emissão'!$E$192:$K$201,2,FALSE))</f>
        <v/>
      </c>
      <c r="J238" s="1111" t="str">
        <f>IF(OR(D238="",D238="-"),"",VLOOKUP(D238,'Fatores de Emissão'!$E$192:$K$201,4,FALSE))</f>
        <v/>
      </c>
      <c r="K238" s="1111" t="str">
        <f>IF(OR(D238="",D238="-"),"",VLOOKUP(D238,'Fatores de Emissão'!$E$192:$K$201,6,FALSE))</f>
        <v/>
      </c>
      <c r="L238" s="478" t="str">
        <f>IF($D238="","",IF($H238="kg/p.km",$F238*$G238*I238/1000,$F238*#REF!*I238/1000))</f>
        <v/>
      </c>
      <c r="M238" s="478" t="str">
        <f>IF($D238="","",IF($H238="kg/p.km",$F238*$G238*J238/1000,$F238*#REF!*J238/1000))</f>
        <v/>
      </c>
      <c r="N238" s="478" t="str">
        <f>IF($D238="","",IF($H238="kg/p.km",$F238*$G238*K238/1000,$F238*#REF!*K238/1000))</f>
        <v/>
      </c>
      <c r="O238" s="451" t="str">
        <f t="shared" ref="O238:O286" si="6">IF(ISERR(L238*gwp_CO2+M238*gwp_CH4+N238*gwp_N2O),"",L238*gwp_CO2+M238*gwp_CH4+N238*gwp_N2O)</f>
        <v/>
      </c>
      <c r="P238" s="452"/>
    </row>
    <row r="239" spans="1:59" s="237" customFormat="1" ht="15" customHeight="1" outlineLevel="1" x14ac:dyDescent="0.25">
      <c r="A239" s="363"/>
      <c r="B239" s="1145"/>
      <c r="C239" s="1145"/>
      <c r="D239" s="1268"/>
      <c r="E239" s="1268"/>
      <c r="F239" s="438"/>
      <c r="G239" s="438"/>
      <c r="H239" s="1020" t="str">
        <f>IF(OR(D239="",D239="-"),"",VLOOKUP(D239,'Fatores de Emissão'!$E$192:$K$201,3,FALSE))</f>
        <v/>
      </c>
      <c r="I239" s="1111" t="str">
        <f>IF(OR(D239="",D239="-"),"",VLOOKUP(D239,'Fatores de Emissão'!$E$192:$K$201,2,FALSE))</f>
        <v/>
      </c>
      <c r="J239" s="1111" t="str">
        <f>IF(OR(D239="",D239="-"),"",VLOOKUP(D239,'Fatores de Emissão'!$E$192:$K$201,4,FALSE))</f>
        <v/>
      </c>
      <c r="K239" s="1111" t="str">
        <f>IF(OR(D239="",D239="-"),"",VLOOKUP(D239,'Fatores de Emissão'!$E$192:$K$201,6,FALSE))</f>
        <v/>
      </c>
      <c r="L239" s="478" t="str">
        <f>IF($D239="","",IF($H239="kg/p.km",$F239*$G239*I239/1000,$F239*#REF!*I239/1000))</f>
        <v/>
      </c>
      <c r="M239" s="478" t="str">
        <f>IF($D239="","",IF($H239="kg/p.km",$F239*$G239*J239/1000,$F239*#REF!*J239/1000))</f>
        <v/>
      </c>
      <c r="N239" s="478" t="str">
        <f>IF($D239="","",IF($H239="kg/p.km",$F239*$G239*K239/1000,$F239*#REF!*K239/1000))</f>
        <v/>
      </c>
      <c r="O239" s="451" t="str">
        <f t="shared" si="6"/>
        <v/>
      </c>
      <c r="P239" s="452"/>
    </row>
    <row r="240" spans="1:59" s="237" customFormat="1" ht="15" customHeight="1" outlineLevel="1" x14ac:dyDescent="0.25">
      <c r="A240" s="363"/>
      <c r="B240" s="1145"/>
      <c r="C240" s="1145"/>
      <c r="D240" s="1268"/>
      <c r="E240" s="1268"/>
      <c r="F240" s="438"/>
      <c r="G240" s="438"/>
      <c r="H240" s="1020" t="str">
        <f>IF(OR(D240="",D240="-"),"",VLOOKUP(D240,'Fatores de Emissão'!$E$192:$K$201,3,FALSE))</f>
        <v/>
      </c>
      <c r="I240" s="1111" t="str">
        <f>IF(OR(D240="",D240="-"),"",VLOOKUP(D240,'Fatores de Emissão'!$E$192:$K$201,2,FALSE))</f>
        <v/>
      </c>
      <c r="J240" s="1111" t="str">
        <f>IF(OR(D240="",D240="-"),"",VLOOKUP(D240,'Fatores de Emissão'!$E$192:$K$201,4,FALSE))</f>
        <v/>
      </c>
      <c r="K240" s="1111" t="str">
        <f>IF(OR(D240="",D240="-"),"",VLOOKUP(D240,'Fatores de Emissão'!$E$192:$K$201,6,FALSE))</f>
        <v/>
      </c>
      <c r="L240" s="478" t="str">
        <f>IF($D240="","",IF($H240="kg/p.km",$F240*$G240*I240/1000,$F240*#REF!*I240/1000))</f>
        <v/>
      </c>
      <c r="M240" s="478" t="str">
        <f>IF($D240="","",IF($H240="kg/p.km",$F240*$G240*J240/1000,$F240*#REF!*J240/1000))</f>
        <v/>
      </c>
      <c r="N240" s="478" t="str">
        <f>IF($D240="","",IF($H240="kg/p.km",$F240*$G240*K240/1000,$F240*#REF!*K240/1000))</f>
        <v/>
      </c>
      <c r="O240" s="451" t="str">
        <f t="shared" si="6"/>
        <v/>
      </c>
      <c r="P240" s="452"/>
    </row>
    <row r="241" spans="1:16" s="237" customFormat="1" ht="15" customHeight="1" outlineLevel="1" x14ac:dyDescent="0.25">
      <c r="A241" s="363"/>
      <c r="B241" s="1145"/>
      <c r="C241" s="1145"/>
      <c r="D241" s="1268"/>
      <c r="E241" s="1268"/>
      <c r="F241" s="438"/>
      <c r="G241" s="438"/>
      <c r="H241" s="1020" t="str">
        <f>IF(OR(D241="",D241="-"),"",VLOOKUP(D241,'Fatores de Emissão'!$E$192:$K$201,3,FALSE))</f>
        <v/>
      </c>
      <c r="I241" s="1111" t="str">
        <f>IF(OR(D241="",D241="-"),"",VLOOKUP(D241,'Fatores de Emissão'!$E$192:$K$201,2,FALSE))</f>
        <v/>
      </c>
      <c r="J241" s="1111" t="str">
        <f>IF(OR(D241="",D241="-"),"",VLOOKUP(D241,'Fatores de Emissão'!$E$192:$K$201,4,FALSE))</f>
        <v/>
      </c>
      <c r="K241" s="1111" t="str">
        <f>IF(OR(D241="",D241="-"),"",VLOOKUP(D241,'Fatores de Emissão'!$E$192:$K$201,6,FALSE))</f>
        <v/>
      </c>
      <c r="L241" s="478" t="str">
        <f>IF($D241="","",IF($H241="kg/p.km",$F241*$G241*I241/1000,$F241*#REF!*I241/1000))</f>
        <v/>
      </c>
      <c r="M241" s="478" t="str">
        <f>IF($D241="","",IF($H241="kg/p.km",$F241*$G241*J241/1000,$F241*#REF!*J241/1000))</f>
        <v/>
      </c>
      <c r="N241" s="478" t="str">
        <f>IF($D241="","",IF($H241="kg/p.km",$F241*$G241*K241/1000,$F241*#REF!*K241/1000))</f>
        <v/>
      </c>
      <c r="O241" s="451" t="str">
        <f t="shared" si="6"/>
        <v/>
      </c>
      <c r="P241" s="452"/>
    </row>
    <row r="242" spans="1:16" s="237" customFormat="1" ht="15" customHeight="1" outlineLevel="1" x14ac:dyDescent="0.25">
      <c r="A242" s="363"/>
      <c r="B242" s="1145"/>
      <c r="C242" s="1145"/>
      <c r="D242" s="1268"/>
      <c r="E242" s="1268"/>
      <c r="F242" s="438"/>
      <c r="G242" s="438"/>
      <c r="H242" s="1020" t="str">
        <f>IF(OR(D242="",D242="-"),"",VLOOKUP(D242,'Fatores de Emissão'!$E$192:$K$201,3,FALSE))</f>
        <v/>
      </c>
      <c r="I242" s="1111" t="str">
        <f>IF(OR(D242="",D242="-"),"",VLOOKUP(D242,'Fatores de Emissão'!$E$192:$K$201,2,FALSE))</f>
        <v/>
      </c>
      <c r="J242" s="1111" t="str">
        <f>IF(OR(D242="",D242="-"),"",VLOOKUP(D242,'Fatores de Emissão'!$E$192:$K$201,4,FALSE))</f>
        <v/>
      </c>
      <c r="K242" s="1111" t="str">
        <f>IF(OR(D242="",D242="-"),"",VLOOKUP(D242,'Fatores de Emissão'!$E$192:$K$201,6,FALSE))</f>
        <v/>
      </c>
      <c r="L242" s="478" t="str">
        <f>IF($D242="","",IF($H242="kg/p.km",$F242*$G242*I242/1000,$F242*#REF!*I242/1000))</f>
        <v/>
      </c>
      <c r="M242" s="478" t="str">
        <f>IF($D242="","",IF($H242="kg/p.km",$F242*$G242*J242/1000,$F242*#REF!*J242/1000))</f>
        <v/>
      </c>
      <c r="N242" s="478" t="str">
        <f>IF($D242="","",IF($H242="kg/p.km",$F242*$G242*K242/1000,$F242*#REF!*K242/1000))</f>
        <v/>
      </c>
      <c r="O242" s="451" t="str">
        <f t="shared" si="6"/>
        <v/>
      </c>
      <c r="P242" s="452"/>
    </row>
    <row r="243" spans="1:16" s="237" customFormat="1" ht="15" customHeight="1" outlineLevel="1" x14ac:dyDescent="0.25">
      <c r="A243" s="363"/>
      <c r="B243" s="1145"/>
      <c r="C243" s="1145"/>
      <c r="D243" s="1268"/>
      <c r="E243" s="1268"/>
      <c r="F243" s="438"/>
      <c r="G243" s="438"/>
      <c r="H243" s="1020" t="str">
        <f>IF(OR(D243="",D243="-"),"",VLOOKUP(D243,'Fatores de Emissão'!$E$192:$K$201,3,FALSE))</f>
        <v/>
      </c>
      <c r="I243" s="1111" t="str">
        <f>IF(OR(D243="",D243="-"),"",VLOOKUP(D243,'Fatores de Emissão'!$E$192:$K$201,2,FALSE))</f>
        <v/>
      </c>
      <c r="J243" s="1111" t="str">
        <f>IF(OR(D243="",D243="-"),"",VLOOKUP(D243,'Fatores de Emissão'!$E$192:$K$201,4,FALSE))</f>
        <v/>
      </c>
      <c r="K243" s="1111" t="str">
        <f>IF(OR(D243="",D243="-"),"",VLOOKUP(D243,'Fatores de Emissão'!$E$192:$K$201,6,FALSE))</f>
        <v/>
      </c>
      <c r="L243" s="478" t="str">
        <f>IF($D243="","",IF($H243="kg/p.km",$F243*$G243*I243/1000,$F243*#REF!*I243/1000))</f>
        <v/>
      </c>
      <c r="M243" s="478" t="str">
        <f>IF($D243="","",IF($H243="kg/p.km",$F243*$G243*J243/1000,$F243*#REF!*J243/1000))</f>
        <v/>
      </c>
      <c r="N243" s="478" t="str">
        <f>IF($D243="","",IF($H243="kg/p.km",$F243*$G243*K243/1000,$F243*#REF!*K243/1000))</f>
        <v/>
      </c>
      <c r="O243" s="451" t="str">
        <f t="shared" si="6"/>
        <v/>
      </c>
      <c r="P243" s="452"/>
    </row>
    <row r="244" spans="1:16" s="237" customFormat="1" ht="15" customHeight="1" outlineLevel="1" x14ac:dyDescent="0.25">
      <c r="A244" s="363"/>
      <c r="B244" s="1145"/>
      <c r="C244" s="1145"/>
      <c r="D244" s="1268"/>
      <c r="E244" s="1268"/>
      <c r="F244" s="438"/>
      <c r="G244" s="438"/>
      <c r="H244" s="1020" t="str">
        <f>IF(OR(D244="",D244="-"),"",VLOOKUP(D244,'Fatores de Emissão'!$E$192:$K$201,3,FALSE))</f>
        <v/>
      </c>
      <c r="I244" s="1111" t="str">
        <f>IF(OR(D244="",D244="-"),"",VLOOKUP(D244,'Fatores de Emissão'!$E$192:$K$201,2,FALSE))</f>
        <v/>
      </c>
      <c r="J244" s="1111" t="str">
        <f>IF(OR(D244="",D244="-"),"",VLOOKUP(D244,'Fatores de Emissão'!$E$192:$K$201,4,FALSE))</f>
        <v/>
      </c>
      <c r="K244" s="1111" t="str">
        <f>IF(OR(D244="",D244="-"),"",VLOOKUP(D244,'Fatores de Emissão'!$E$192:$K$201,6,FALSE))</f>
        <v/>
      </c>
      <c r="L244" s="478" t="str">
        <f>IF($D244="","",IF($H244="kg/p.km",$F244*$G244*I244/1000,$F244*#REF!*I244/1000))</f>
        <v/>
      </c>
      <c r="M244" s="478" t="str">
        <f>IF($D244="","",IF($H244="kg/p.km",$F244*$G244*J244/1000,$F244*#REF!*J244/1000))</f>
        <v/>
      </c>
      <c r="N244" s="478" t="str">
        <f>IF($D244="","",IF($H244="kg/p.km",$F244*$G244*K244/1000,$F244*#REF!*K244/1000))</f>
        <v/>
      </c>
      <c r="O244" s="451" t="str">
        <f t="shared" si="6"/>
        <v/>
      </c>
      <c r="P244" s="452"/>
    </row>
    <row r="245" spans="1:16" s="237" customFormat="1" ht="15" customHeight="1" outlineLevel="1" x14ac:dyDescent="0.25">
      <c r="A245" s="363"/>
      <c r="B245" s="1145"/>
      <c r="C245" s="1145"/>
      <c r="D245" s="1268"/>
      <c r="E245" s="1268"/>
      <c r="F245" s="438"/>
      <c r="G245" s="438"/>
      <c r="H245" s="1020" t="str">
        <f>IF(OR(D245="",D245="-"),"",VLOOKUP(D245,'Fatores de Emissão'!$E$192:$K$201,3,FALSE))</f>
        <v/>
      </c>
      <c r="I245" s="1111" t="str">
        <f>IF(OR(D245="",D245="-"),"",VLOOKUP(D245,'Fatores de Emissão'!$E$192:$K$201,2,FALSE))</f>
        <v/>
      </c>
      <c r="J245" s="1111" t="str">
        <f>IF(OR(D245="",D245="-"),"",VLOOKUP(D245,'Fatores de Emissão'!$E$192:$K$201,4,FALSE))</f>
        <v/>
      </c>
      <c r="K245" s="1111" t="str">
        <f>IF(OR(D245="",D245="-"),"",VLOOKUP(D245,'Fatores de Emissão'!$E$192:$K$201,6,FALSE))</f>
        <v/>
      </c>
      <c r="L245" s="478" t="str">
        <f>IF($D245="","",IF($H245="kg/p.km",$F245*$G245*I245/1000,$F245*#REF!*I245/1000))</f>
        <v/>
      </c>
      <c r="M245" s="478" t="str">
        <f>IF($D245="","",IF($H245="kg/p.km",$F245*$G245*J245/1000,$F245*#REF!*J245/1000))</f>
        <v/>
      </c>
      <c r="N245" s="478" t="str">
        <f>IF($D245="","",IF($H245="kg/p.km",$F245*$G245*K245/1000,$F245*#REF!*K245/1000))</f>
        <v/>
      </c>
      <c r="O245" s="451" t="str">
        <f t="shared" si="6"/>
        <v/>
      </c>
      <c r="P245" s="452"/>
    </row>
    <row r="246" spans="1:16" s="237" customFormat="1" ht="15" customHeight="1" outlineLevel="1" collapsed="1" x14ac:dyDescent="0.25">
      <c r="A246" s="363"/>
      <c r="B246" s="1145"/>
      <c r="C246" s="1145"/>
      <c r="D246" s="1268"/>
      <c r="E246" s="1268"/>
      <c r="F246" s="438"/>
      <c r="G246" s="438"/>
      <c r="H246" s="1020" t="str">
        <f>IF(OR(D246="",D246="-"),"",VLOOKUP(D246,'Fatores de Emissão'!$E$192:$K$201,3,FALSE))</f>
        <v/>
      </c>
      <c r="I246" s="1111" t="str">
        <f>IF(OR(D246="",D246="-"),"",VLOOKUP(D246,'Fatores de Emissão'!$E$192:$K$201,2,FALSE))</f>
        <v/>
      </c>
      <c r="J246" s="1111" t="str">
        <f>IF(OR(D246="",D246="-"),"",VLOOKUP(D246,'Fatores de Emissão'!$E$192:$K$201,4,FALSE))</f>
        <v/>
      </c>
      <c r="K246" s="1111" t="str">
        <f>IF(OR(D246="",D246="-"),"",VLOOKUP(D246,'Fatores de Emissão'!$E$192:$K$201,6,FALSE))</f>
        <v/>
      </c>
      <c r="L246" s="478" t="str">
        <f>IF($D246="","",IF($H246="kg/p.km",$F246*$G246*I246/1000,$F246*#REF!*I246/1000))</f>
        <v/>
      </c>
      <c r="M246" s="478" t="str">
        <f>IF($D246="","",IF($H246="kg/p.km",$F246*$G246*J246/1000,$F246*#REF!*J246/1000))</f>
        <v/>
      </c>
      <c r="N246" s="478" t="str">
        <f>IF($D246="","",IF($H246="kg/p.km",$F246*$G246*K246/1000,$F246*#REF!*K246/1000))</f>
        <v/>
      </c>
      <c r="O246" s="451" t="str">
        <f t="shared" si="6"/>
        <v/>
      </c>
      <c r="P246" s="452"/>
    </row>
    <row r="247" spans="1:16" s="237" customFormat="1" ht="15" hidden="1" customHeight="1" outlineLevel="2" x14ac:dyDescent="0.25">
      <c r="A247" s="363"/>
      <c r="B247" s="1145"/>
      <c r="C247" s="1145"/>
      <c r="D247" s="1268"/>
      <c r="E247" s="1268"/>
      <c r="F247" s="438"/>
      <c r="G247" s="438"/>
      <c r="H247" s="1020" t="str">
        <f>IF(OR(D247="",D247="-"),"",VLOOKUP(D247,'Fatores de Emissão'!$E$192:$K$201,3,FALSE))</f>
        <v/>
      </c>
      <c r="I247" s="1111" t="str">
        <f>IF(OR(D247="",D247="-"),"",VLOOKUP(D247,'Fatores de Emissão'!$E$192:$K$201,2,FALSE))</f>
        <v/>
      </c>
      <c r="J247" s="1111" t="str">
        <f>IF(OR(D247="",D247="-"),"",VLOOKUP(D247,'Fatores de Emissão'!$E$192:$K$201,4,FALSE))</f>
        <v/>
      </c>
      <c r="K247" s="1111" t="str">
        <f>IF(OR(D247="",D247="-"),"",VLOOKUP(D247,'Fatores de Emissão'!$E$192:$K$201,6,FALSE))</f>
        <v/>
      </c>
      <c r="L247" s="478" t="str">
        <f>IF($D247="","",IF($H247="kg/p.km",$F247*$G247*I247/1000,$F247*#REF!*I247/1000))</f>
        <v/>
      </c>
      <c r="M247" s="478" t="str">
        <f>IF($D247="","",IF($H247="kg/p.km",$F247*$G247*J247/1000,$F247*#REF!*J247/1000))</f>
        <v/>
      </c>
      <c r="N247" s="478" t="str">
        <f>IF($D247="","",IF($H247="kg/p.km",$F247*$G247*K247/1000,$F247*#REF!*K247/1000))</f>
        <v/>
      </c>
      <c r="O247" s="451" t="str">
        <f t="shared" si="6"/>
        <v/>
      </c>
      <c r="P247" s="452"/>
    </row>
    <row r="248" spans="1:16" s="237" customFormat="1" ht="15" hidden="1" customHeight="1" outlineLevel="2" x14ac:dyDescent="0.25">
      <c r="A248" s="363"/>
      <c r="B248" s="1145"/>
      <c r="C248" s="1145"/>
      <c r="D248" s="1268"/>
      <c r="E248" s="1268"/>
      <c r="F248" s="438"/>
      <c r="G248" s="438"/>
      <c r="H248" s="1020" t="str">
        <f>IF(OR(D248="",D248="-"),"",VLOOKUP(D248,'Fatores de Emissão'!$E$192:$K$201,3,FALSE))</f>
        <v/>
      </c>
      <c r="I248" s="1111" t="str">
        <f>IF(OR(D248="",D248="-"),"",VLOOKUP(D248,'Fatores de Emissão'!$E$192:$K$201,2,FALSE))</f>
        <v/>
      </c>
      <c r="J248" s="1111" t="str">
        <f>IF(OR(D248="",D248="-"),"",VLOOKUP(D248,'Fatores de Emissão'!$E$192:$K$201,4,FALSE))</f>
        <v/>
      </c>
      <c r="K248" s="1111" t="str">
        <f>IF(OR(D248="",D248="-"),"",VLOOKUP(D248,'Fatores de Emissão'!$E$192:$K$201,6,FALSE))</f>
        <v/>
      </c>
      <c r="L248" s="478" t="str">
        <f>IF($D248="","",IF($H248="kg/p.km",$F248*$G248*I248/1000,$F248*#REF!*I248/1000))</f>
        <v/>
      </c>
      <c r="M248" s="478" t="str">
        <f>IF($D248="","",IF($H248="kg/p.km",$F248*$G248*J248/1000,$F248*#REF!*J248/1000))</f>
        <v/>
      </c>
      <c r="N248" s="478" t="str">
        <f>IF($D248="","",IF($H248="kg/p.km",$F248*$G248*K248/1000,$F248*#REF!*K248/1000))</f>
        <v/>
      </c>
      <c r="O248" s="451" t="str">
        <f t="shared" si="6"/>
        <v/>
      </c>
      <c r="P248" s="452"/>
    </row>
    <row r="249" spans="1:16" s="237" customFormat="1" ht="15" hidden="1" customHeight="1" outlineLevel="2" x14ac:dyDescent="0.25">
      <c r="A249" s="363"/>
      <c r="B249" s="1145"/>
      <c r="C249" s="1145"/>
      <c r="D249" s="1268"/>
      <c r="E249" s="1268"/>
      <c r="F249" s="438"/>
      <c r="G249" s="438"/>
      <c r="H249" s="1020" t="str">
        <f>IF(OR(D249="",D249="-"),"",VLOOKUP(D249,'Fatores de Emissão'!$E$192:$K$201,3,FALSE))</f>
        <v/>
      </c>
      <c r="I249" s="1111" t="str">
        <f>IF(OR(D249="",D249="-"),"",VLOOKUP(D249,'Fatores de Emissão'!$E$192:$K$201,2,FALSE))</f>
        <v/>
      </c>
      <c r="J249" s="1111" t="str">
        <f>IF(OR(D249="",D249="-"),"",VLOOKUP(D249,'Fatores de Emissão'!$E$192:$K$201,4,FALSE))</f>
        <v/>
      </c>
      <c r="K249" s="1111" t="str">
        <f>IF(OR(D249="",D249="-"),"",VLOOKUP(D249,'Fatores de Emissão'!$E$192:$K$201,6,FALSE))</f>
        <v/>
      </c>
      <c r="L249" s="478" t="str">
        <f>IF($D249="","",IF($H249="kg/p.km",$F249*$G249*I249/1000,$F249*#REF!*I249/1000))</f>
        <v/>
      </c>
      <c r="M249" s="478" t="str">
        <f>IF($D249="","",IF($H249="kg/p.km",$F249*$G249*J249/1000,$F249*#REF!*J249/1000))</f>
        <v/>
      </c>
      <c r="N249" s="478" t="str">
        <f>IF($D249="","",IF($H249="kg/p.km",$F249*$G249*K249/1000,$F249*#REF!*K249/1000))</f>
        <v/>
      </c>
      <c r="O249" s="451" t="str">
        <f t="shared" si="6"/>
        <v/>
      </c>
      <c r="P249" s="452"/>
    </row>
    <row r="250" spans="1:16" s="237" customFormat="1" ht="15" hidden="1" customHeight="1" outlineLevel="2" x14ac:dyDescent="0.25">
      <c r="A250" s="363"/>
      <c r="B250" s="1145"/>
      <c r="C250" s="1145"/>
      <c r="D250" s="1268"/>
      <c r="E250" s="1268"/>
      <c r="F250" s="438"/>
      <c r="G250" s="438"/>
      <c r="H250" s="1020" t="str">
        <f>IF(OR(D250="",D250="-"),"",VLOOKUP(D250,'Fatores de Emissão'!$E$192:$K$201,3,FALSE))</f>
        <v/>
      </c>
      <c r="I250" s="1111" t="str">
        <f>IF(OR(D250="",D250="-"),"",VLOOKUP(D250,'Fatores de Emissão'!$E$192:$K$201,2,FALSE))</f>
        <v/>
      </c>
      <c r="J250" s="1111" t="str">
        <f>IF(OR(D250="",D250="-"),"",VLOOKUP(D250,'Fatores de Emissão'!$E$192:$K$201,4,FALSE))</f>
        <v/>
      </c>
      <c r="K250" s="1111" t="str">
        <f>IF(OR(D250="",D250="-"),"",VLOOKUP(D250,'Fatores de Emissão'!$E$192:$K$201,6,FALSE))</f>
        <v/>
      </c>
      <c r="L250" s="478" t="str">
        <f>IF($D250="","",IF($H250="kg/p.km",$F250*$G250*I250/1000,$F250*#REF!*I250/1000))</f>
        <v/>
      </c>
      <c r="M250" s="478" t="str">
        <f>IF($D250="","",IF($H250="kg/p.km",$F250*$G250*J250/1000,$F250*#REF!*J250/1000))</f>
        <v/>
      </c>
      <c r="N250" s="478" t="str">
        <f>IF($D250="","",IF($H250="kg/p.km",$F250*$G250*K250/1000,$F250*#REF!*K250/1000))</f>
        <v/>
      </c>
      <c r="O250" s="451" t="str">
        <f t="shared" si="6"/>
        <v/>
      </c>
      <c r="P250" s="452"/>
    </row>
    <row r="251" spans="1:16" s="237" customFormat="1" ht="15" hidden="1" customHeight="1" outlineLevel="2" x14ac:dyDescent="0.25">
      <c r="A251" s="363"/>
      <c r="B251" s="1145"/>
      <c r="C251" s="1145"/>
      <c r="D251" s="1268"/>
      <c r="E251" s="1268"/>
      <c r="F251" s="438"/>
      <c r="G251" s="438"/>
      <c r="H251" s="1020" t="str">
        <f>IF(OR(D251="",D251="-"),"",VLOOKUP(D251,'Fatores de Emissão'!$E$192:$K$201,3,FALSE))</f>
        <v/>
      </c>
      <c r="I251" s="1111" t="str">
        <f>IF(OR(D251="",D251="-"),"",VLOOKUP(D251,'Fatores de Emissão'!$E$192:$K$201,2,FALSE))</f>
        <v/>
      </c>
      <c r="J251" s="1111" t="str">
        <f>IF(OR(D251="",D251="-"),"",VLOOKUP(D251,'Fatores de Emissão'!$E$192:$K$201,4,FALSE))</f>
        <v/>
      </c>
      <c r="K251" s="1111" t="str">
        <f>IF(OR(D251="",D251="-"),"",VLOOKUP(D251,'Fatores de Emissão'!$E$192:$K$201,6,FALSE))</f>
        <v/>
      </c>
      <c r="L251" s="478" t="str">
        <f>IF($D251="","",IF($H251="kg/p.km",$F251*$G251*I251/1000,$F251*#REF!*I251/1000))</f>
        <v/>
      </c>
      <c r="M251" s="478" t="str">
        <f>IF($D251="","",IF($H251="kg/p.km",$F251*$G251*J251/1000,$F251*#REF!*J251/1000))</f>
        <v/>
      </c>
      <c r="N251" s="478" t="str">
        <f>IF($D251="","",IF($H251="kg/p.km",$F251*$G251*K251/1000,$F251*#REF!*K251/1000))</f>
        <v/>
      </c>
      <c r="O251" s="451" t="str">
        <f t="shared" si="6"/>
        <v/>
      </c>
      <c r="P251" s="452"/>
    </row>
    <row r="252" spans="1:16" s="237" customFormat="1" ht="15" hidden="1" customHeight="1" outlineLevel="2" x14ac:dyDescent="0.25">
      <c r="A252" s="363"/>
      <c r="B252" s="1145"/>
      <c r="C252" s="1145"/>
      <c r="D252" s="1268"/>
      <c r="E252" s="1268"/>
      <c r="F252" s="438"/>
      <c r="G252" s="438"/>
      <c r="H252" s="1020" t="str">
        <f>IF(OR(D252="",D252="-"),"",VLOOKUP(D252,'Fatores de Emissão'!$E$192:$K$201,3,FALSE))</f>
        <v/>
      </c>
      <c r="I252" s="1111" t="str">
        <f>IF(OR(D252="",D252="-"),"",VLOOKUP(D252,'Fatores de Emissão'!$E$192:$K$201,2,FALSE))</f>
        <v/>
      </c>
      <c r="J252" s="1111" t="str">
        <f>IF(OR(D252="",D252="-"),"",VLOOKUP(D252,'Fatores de Emissão'!$E$192:$K$201,4,FALSE))</f>
        <v/>
      </c>
      <c r="K252" s="1111" t="str">
        <f>IF(OR(D252="",D252="-"),"",VLOOKUP(D252,'Fatores de Emissão'!$E$192:$K$201,6,FALSE))</f>
        <v/>
      </c>
      <c r="L252" s="478" t="str">
        <f>IF($D252="","",IF($H252="kg/p.km",$F252*$G252*I252/1000,$F252*#REF!*I252/1000))</f>
        <v/>
      </c>
      <c r="M252" s="478" t="str">
        <f>IF($D252="","",IF($H252="kg/p.km",$F252*$G252*J252/1000,$F252*#REF!*J252/1000))</f>
        <v/>
      </c>
      <c r="N252" s="478" t="str">
        <f>IF($D252="","",IF($H252="kg/p.km",$F252*$G252*K252/1000,$F252*#REF!*K252/1000))</f>
        <v/>
      </c>
      <c r="O252" s="451" t="str">
        <f t="shared" si="6"/>
        <v/>
      </c>
      <c r="P252" s="452"/>
    </row>
    <row r="253" spans="1:16" s="237" customFormat="1" ht="15" hidden="1" customHeight="1" outlineLevel="2" x14ac:dyDescent="0.25">
      <c r="A253" s="363"/>
      <c r="B253" s="1145"/>
      <c r="C253" s="1145"/>
      <c r="D253" s="1268"/>
      <c r="E253" s="1268"/>
      <c r="F253" s="438"/>
      <c r="G253" s="438"/>
      <c r="H253" s="1020" t="str">
        <f>IF(OR(D253="",D253="-"),"",VLOOKUP(D253,'Fatores de Emissão'!$E$192:$K$201,3,FALSE))</f>
        <v/>
      </c>
      <c r="I253" s="1111" t="str">
        <f>IF(OR(D253="",D253="-"),"",VLOOKUP(D253,'Fatores de Emissão'!$E$192:$K$201,2,FALSE))</f>
        <v/>
      </c>
      <c r="J253" s="1111" t="str">
        <f>IF(OR(D253="",D253="-"),"",VLOOKUP(D253,'Fatores de Emissão'!$E$192:$K$201,4,FALSE))</f>
        <v/>
      </c>
      <c r="K253" s="1111" t="str">
        <f>IF(OR(D253="",D253="-"),"",VLOOKUP(D253,'Fatores de Emissão'!$E$192:$K$201,6,FALSE))</f>
        <v/>
      </c>
      <c r="L253" s="478" t="str">
        <f>IF($D253="","",IF($H253="kg/p.km",$F253*$G253*I253/1000,$F253*#REF!*I253/1000))</f>
        <v/>
      </c>
      <c r="M253" s="478" t="str">
        <f>IF($D253="","",IF($H253="kg/p.km",$F253*$G253*J253/1000,$F253*#REF!*J253/1000))</f>
        <v/>
      </c>
      <c r="N253" s="478" t="str">
        <f>IF($D253="","",IF($H253="kg/p.km",$F253*$G253*K253/1000,$F253*#REF!*K253/1000))</f>
        <v/>
      </c>
      <c r="O253" s="451" t="str">
        <f t="shared" si="6"/>
        <v/>
      </c>
      <c r="P253" s="452"/>
    </row>
    <row r="254" spans="1:16" s="237" customFormat="1" ht="15" hidden="1" customHeight="1" outlineLevel="2" x14ac:dyDescent="0.25">
      <c r="A254" s="363"/>
      <c r="B254" s="1145"/>
      <c r="C254" s="1145"/>
      <c r="D254" s="1268"/>
      <c r="E254" s="1268"/>
      <c r="F254" s="438"/>
      <c r="G254" s="438"/>
      <c r="H254" s="1020" t="str">
        <f>IF(OR(D254="",D254="-"),"",VLOOKUP(D254,'Fatores de Emissão'!$E$192:$K$201,3,FALSE))</f>
        <v/>
      </c>
      <c r="I254" s="1111" t="str">
        <f>IF(OR(D254="",D254="-"),"",VLOOKUP(D254,'Fatores de Emissão'!$E$192:$K$201,2,FALSE))</f>
        <v/>
      </c>
      <c r="J254" s="1111" t="str">
        <f>IF(OR(D254="",D254="-"),"",VLOOKUP(D254,'Fatores de Emissão'!$E$192:$K$201,4,FALSE))</f>
        <v/>
      </c>
      <c r="K254" s="1111" t="str">
        <f>IF(OR(D254="",D254="-"),"",VLOOKUP(D254,'Fatores de Emissão'!$E$192:$K$201,6,FALSE))</f>
        <v/>
      </c>
      <c r="L254" s="478" t="str">
        <f>IF($D254="","",IF($H254="kg/p.km",$F254*$G254*I254/1000,$F254*#REF!*I254/1000))</f>
        <v/>
      </c>
      <c r="M254" s="478" t="str">
        <f>IF($D254="","",IF($H254="kg/p.km",$F254*$G254*J254/1000,$F254*#REF!*J254/1000))</f>
        <v/>
      </c>
      <c r="N254" s="478" t="str">
        <f>IF($D254="","",IF($H254="kg/p.km",$F254*$G254*K254/1000,$F254*#REF!*K254/1000))</f>
        <v/>
      </c>
      <c r="O254" s="451" t="str">
        <f t="shared" si="6"/>
        <v/>
      </c>
      <c r="P254" s="452"/>
    </row>
    <row r="255" spans="1:16" s="237" customFormat="1" ht="15" hidden="1" customHeight="1" outlineLevel="2" x14ac:dyDescent="0.25">
      <c r="A255" s="363"/>
      <c r="B255" s="1145"/>
      <c r="C255" s="1145"/>
      <c r="D255" s="1268"/>
      <c r="E255" s="1268"/>
      <c r="F255" s="438"/>
      <c r="G255" s="438"/>
      <c r="H255" s="1020" t="str">
        <f>IF(OR(D255="",D255="-"),"",VLOOKUP(D255,'Fatores de Emissão'!$E$192:$K$201,3,FALSE))</f>
        <v/>
      </c>
      <c r="I255" s="1111" t="str">
        <f>IF(OR(D255="",D255="-"),"",VLOOKUP(D255,'Fatores de Emissão'!$E$192:$K$201,2,FALSE))</f>
        <v/>
      </c>
      <c r="J255" s="1111" t="str">
        <f>IF(OR(D255="",D255="-"),"",VLOOKUP(D255,'Fatores de Emissão'!$E$192:$K$201,4,FALSE))</f>
        <v/>
      </c>
      <c r="K255" s="1111" t="str">
        <f>IF(OR(D255="",D255="-"),"",VLOOKUP(D255,'Fatores de Emissão'!$E$192:$K$201,6,FALSE))</f>
        <v/>
      </c>
      <c r="L255" s="478" t="str">
        <f>IF($D255="","",IF($H255="kg/p.km",$F255*$G255*I255/1000,$F255*#REF!*I255/1000))</f>
        <v/>
      </c>
      <c r="M255" s="478" t="str">
        <f>IF($D255="","",IF($H255="kg/p.km",$F255*$G255*J255/1000,$F255*#REF!*J255/1000))</f>
        <v/>
      </c>
      <c r="N255" s="478" t="str">
        <f>IF($D255="","",IF($H255="kg/p.km",$F255*$G255*K255/1000,$F255*#REF!*K255/1000))</f>
        <v/>
      </c>
      <c r="O255" s="451" t="str">
        <f t="shared" si="6"/>
        <v/>
      </c>
      <c r="P255" s="452"/>
    </row>
    <row r="256" spans="1:16" s="237" customFormat="1" ht="15" hidden="1" customHeight="1" outlineLevel="2" x14ac:dyDescent="0.25">
      <c r="A256" s="363"/>
      <c r="B256" s="1145"/>
      <c r="C256" s="1145"/>
      <c r="D256" s="1268"/>
      <c r="E256" s="1268"/>
      <c r="F256" s="438"/>
      <c r="G256" s="438"/>
      <c r="H256" s="1020" t="str">
        <f>IF(OR(D256="",D256="-"),"",VLOOKUP(D256,'Fatores de Emissão'!$E$192:$K$201,3,FALSE))</f>
        <v/>
      </c>
      <c r="I256" s="1111" t="str">
        <f>IF(OR(D256="",D256="-"),"",VLOOKUP(D256,'Fatores de Emissão'!$E$192:$K$201,2,FALSE))</f>
        <v/>
      </c>
      <c r="J256" s="1111" t="str">
        <f>IF(OR(D256="",D256="-"),"",VLOOKUP(D256,'Fatores de Emissão'!$E$192:$K$201,4,FALSE))</f>
        <v/>
      </c>
      <c r="K256" s="1111" t="str">
        <f>IF(OR(D256="",D256="-"),"",VLOOKUP(D256,'Fatores de Emissão'!$E$192:$K$201,6,FALSE))</f>
        <v/>
      </c>
      <c r="L256" s="478" t="str">
        <f>IF($D256="","",IF($H256="kg/p.km",$F256*$G256*I256/1000,$F256*#REF!*I256/1000))</f>
        <v/>
      </c>
      <c r="M256" s="478" t="str">
        <f>IF($D256="","",IF($H256="kg/p.km",$F256*$G256*J256/1000,$F256*#REF!*J256/1000))</f>
        <v/>
      </c>
      <c r="N256" s="478" t="str">
        <f>IF($D256="","",IF($H256="kg/p.km",$F256*$G256*K256/1000,$F256*#REF!*K256/1000))</f>
        <v/>
      </c>
      <c r="O256" s="451" t="str">
        <f t="shared" si="6"/>
        <v/>
      </c>
      <c r="P256" s="452"/>
    </row>
    <row r="257" spans="1:16" s="237" customFormat="1" ht="15" hidden="1" customHeight="1" outlineLevel="2" x14ac:dyDescent="0.25">
      <c r="A257" s="363"/>
      <c r="B257" s="1145"/>
      <c r="C257" s="1145"/>
      <c r="D257" s="1268"/>
      <c r="E257" s="1268"/>
      <c r="F257" s="438"/>
      <c r="G257" s="438"/>
      <c r="H257" s="1020" t="str">
        <f>IF(OR(D257="",D257="-"),"",VLOOKUP(D257,'Fatores de Emissão'!$E$192:$K$201,3,FALSE))</f>
        <v/>
      </c>
      <c r="I257" s="1111" t="str">
        <f>IF(OR(D257="",D257="-"),"",VLOOKUP(D257,'Fatores de Emissão'!$E$192:$K$201,2,FALSE))</f>
        <v/>
      </c>
      <c r="J257" s="1111" t="str">
        <f>IF(OR(D257="",D257="-"),"",VLOOKUP(D257,'Fatores de Emissão'!$E$192:$K$201,4,FALSE))</f>
        <v/>
      </c>
      <c r="K257" s="1111" t="str">
        <f>IF(OR(D257="",D257="-"),"",VLOOKUP(D257,'Fatores de Emissão'!$E$192:$K$201,6,FALSE))</f>
        <v/>
      </c>
      <c r="L257" s="478" t="str">
        <f>IF($D257="","",IF($H257="kg/p.km",$F257*$G257*I257/1000,$F257*#REF!*I257/1000))</f>
        <v/>
      </c>
      <c r="M257" s="478" t="str">
        <f>IF($D257="","",IF($H257="kg/p.km",$F257*$G257*J257/1000,$F257*#REF!*J257/1000))</f>
        <v/>
      </c>
      <c r="N257" s="478" t="str">
        <f>IF($D257="","",IF($H257="kg/p.km",$F257*$G257*K257/1000,$F257*#REF!*K257/1000))</f>
        <v/>
      </c>
      <c r="O257" s="451" t="str">
        <f t="shared" si="6"/>
        <v/>
      </c>
      <c r="P257" s="452"/>
    </row>
    <row r="258" spans="1:16" s="237" customFormat="1" ht="15" hidden="1" customHeight="1" outlineLevel="2" x14ac:dyDescent="0.25">
      <c r="A258" s="363"/>
      <c r="B258" s="1145"/>
      <c r="C258" s="1145"/>
      <c r="D258" s="1268"/>
      <c r="E258" s="1268"/>
      <c r="F258" s="438"/>
      <c r="G258" s="438"/>
      <c r="H258" s="1020" t="str">
        <f>IF(OR(D258="",D258="-"),"",VLOOKUP(D258,'Fatores de Emissão'!$E$192:$K$201,3,FALSE))</f>
        <v/>
      </c>
      <c r="I258" s="1111" t="str">
        <f>IF(OR(D258="",D258="-"),"",VLOOKUP(D258,'Fatores de Emissão'!$E$192:$K$201,2,FALSE))</f>
        <v/>
      </c>
      <c r="J258" s="1111" t="str">
        <f>IF(OR(D258="",D258="-"),"",VLOOKUP(D258,'Fatores de Emissão'!$E$192:$K$201,4,FALSE))</f>
        <v/>
      </c>
      <c r="K258" s="1111" t="str">
        <f>IF(OR(D258="",D258="-"),"",VLOOKUP(D258,'Fatores de Emissão'!$E$192:$K$201,6,FALSE))</f>
        <v/>
      </c>
      <c r="L258" s="478" t="str">
        <f>IF($D258="","",IF($H258="kg/p.km",$F258*$G258*I258/1000,$F258*#REF!*I258/1000))</f>
        <v/>
      </c>
      <c r="M258" s="478" t="str">
        <f>IF($D258="","",IF($H258="kg/p.km",$F258*$G258*J258/1000,$F258*#REF!*J258/1000))</f>
        <v/>
      </c>
      <c r="N258" s="478" t="str">
        <f>IF($D258="","",IF($H258="kg/p.km",$F258*$G258*K258/1000,$F258*#REF!*K258/1000))</f>
        <v/>
      </c>
      <c r="O258" s="451" t="str">
        <f t="shared" si="6"/>
        <v/>
      </c>
      <c r="P258" s="452"/>
    </row>
    <row r="259" spans="1:16" s="237" customFormat="1" ht="15" hidden="1" customHeight="1" outlineLevel="2" x14ac:dyDescent="0.25">
      <c r="A259" s="363"/>
      <c r="B259" s="1145"/>
      <c r="C259" s="1145"/>
      <c r="D259" s="1268"/>
      <c r="E259" s="1268"/>
      <c r="F259" s="438"/>
      <c r="G259" s="438"/>
      <c r="H259" s="1020" t="str">
        <f>IF(OR(D259="",D259="-"),"",VLOOKUP(D259,'Fatores de Emissão'!$E$192:$K$201,3,FALSE))</f>
        <v/>
      </c>
      <c r="I259" s="1111" t="str">
        <f>IF(OR(D259="",D259="-"),"",VLOOKUP(D259,'Fatores de Emissão'!$E$192:$K$201,2,FALSE))</f>
        <v/>
      </c>
      <c r="J259" s="1111" t="str">
        <f>IF(OR(D259="",D259="-"),"",VLOOKUP(D259,'Fatores de Emissão'!$E$192:$K$201,4,FALSE))</f>
        <v/>
      </c>
      <c r="K259" s="1111" t="str">
        <f>IF(OR(D259="",D259="-"),"",VLOOKUP(D259,'Fatores de Emissão'!$E$192:$K$201,6,FALSE))</f>
        <v/>
      </c>
      <c r="L259" s="478" t="str">
        <f>IF($D259="","",IF($H259="kg/p.km",$F259*$G259*I259/1000,$F259*#REF!*I259/1000))</f>
        <v/>
      </c>
      <c r="M259" s="478" t="str">
        <f>IF($D259="","",IF($H259="kg/p.km",$F259*$G259*J259/1000,$F259*#REF!*J259/1000))</f>
        <v/>
      </c>
      <c r="N259" s="478" t="str">
        <f>IF($D259="","",IF($H259="kg/p.km",$F259*$G259*K259/1000,$F259*#REF!*K259/1000))</f>
        <v/>
      </c>
      <c r="O259" s="451" t="str">
        <f t="shared" si="6"/>
        <v/>
      </c>
      <c r="P259" s="452"/>
    </row>
    <row r="260" spans="1:16" s="237" customFormat="1" ht="15" hidden="1" customHeight="1" outlineLevel="2" x14ac:dyDescent="0.25">
      <c r="A260" s="363"/>
      <c r="B260" s="1145"/>
      <c r="C260" s="1145"/>
      <c r="D260" s="1268"/>
      <c r="E260" s="1268"/>
      <c r="F260" s="438"/>
      <c r="G260" s="438"/>
      <c r="H260" s="1020" t="str">
        <f>IF(OR(D260="",D260="-"),"",VLOOKUP(D260,'Fatores de Emissão'!$E$192:$K$201,3,FALSE))</f>
        <v/>
      </c>
      <c r="I260" s="1111" t="str">
        <f>IF(OR(D260="",D260="-"),"",VLOOKUP(D260,'Fatores de Emissão'!$E$192:$K$201,2,FALSE))</f>
        <v/>
      </c>
      <c r="J260" s="1111" t="str">
        <f>IF(OR(D260="",D260="-"),"",VLOOKUP(D260,'Fatores de Emissão'!$E$192:$K$201,4,FALSE))</f>
        <v/>
      </c>
      <c r="K260" s="1111" t="str">
        <f>IF(OR(D260="",D260="-"),"",VLOOKUP(D260,'Fatores de Emissão'!$E$192:$K$201,6,FALSE))</f>
        <v/>
      </c>
      <c r="L260" s="478" t="str">
        <f>IF($D260="","",IF($H260="kg/p.km",$F260*$G260*I260/1000,$F260*#REF!*I260/1000))</f>
        <v/>
      </c>
      <c r="M260" s="478" t="str">
        <f>IF($D260="","",IF($H260="kg/p.km",$F260*$G260*J260/1000,$F260*#REF!*J260/1000))</f>
        <v/>
      </c>
      <c r="N260" s="478" t="str">
        <f>IF($D260="","",IF($H260="kg/p.km",$F260*$G260*K260/1000,$F260*#REF!*K260/1000))</f>
        <v/>
      </c>
      <c r="O260" s="451" t="str">
        <f t="shared" si="6"/>
        <v/>
      </c>
      <c r="P260" s="452"/>
    </row>
    <row r="261" spans="1:16" s="237" customFormat="1" ht="15" hidden="1" customHeight="1" outlineLevel="2" x14ac:dyDescent="0.25">
      <c r="A261" s="363"/>
      <c r="B261" s="1145"/>
      <c r="C261" s="1145"/>
      <c r="D261" s="1268"/>
      <c r="E261" s="1268"/>
      <c r="F261" s="438"/>
      <c r="G261" s="438"/>
      <c r="H261" s="1020" t="str">
        <f>IF(OR(D261="",D261="-"),"",VLOOKUP(D261,'Fatores de Emissão'!$E$192:$K$201,3,FALSE))</f>
        <v/>
      </c>
      <c r="I261" s="1111" t="str">
        <f>IF(OR(D261="",D261="-"),"",VLOOKUP(D261,'Fatores de Emissão'!$E$192:$K$201,2,FALSE))</f>
        <v/>
      </c>
      <c r="J261" s="1111" t="str">
        <f>IF(OR(D261="",D261="-"),"",VLOOKUP(D261,'Fatores de Emissão'!$E$192:$K$201,4,FALSE))</f>
        <v/>
      </c>
      <c r="K261" s="1111" t="str">
        <f>IF(OR(D261="",D261="-"),"",VLOOKUP(D261,'Fatores de Emissão'!$E$192:$K$201,6,FALSE))</f>
        <v/>
      </c>
      <c r="L261" s="478" t="str">
        <f>IF($D261="","",IF($H261="kg/p.km",$F261*$G261*I261/1000,$F261*#REF!*I261/1000))</f>
        <v/>
      </c>
      <c r="M261" s="478" t="str">
        <f>IF($D261="","",IF($H261="kg/p.km",$F261*$G261*J261/1000,$F261*#REF!*J261/1000))</f>
        <v/>
      </c>
      <c r="N261" s="478" t="str">
        <f>IF($D261="","",IF($H261="kg/p.km",$F261*$G261*K261/1000,$F261*#REF!*K261/1000))</f>
        <v/>
      </c>
      <c r="O261" s="451" t="str">
        <f t="shared" si="6"/>
        <v/>
      </c>
      <c r="P261" s="452"/>
    </row>
    <row r="262" spans="1:16" s="237" customFormat="1" ht="15" hidden="1" customHeight="1" outlineLevel="2" x14ac:dyDescent="0.25">
      <c r="A262" s="363"/>
      <c r="B262" s="1145"/>
      <c r="C262" s="1145"/>
      <c r="D262" s="1268"/>
      <c r="E262" s="1268"/>
      <c r="F262" s="438"/>
      <c r="G262" s="438"/>
      <c r="H262" s="1020" t="str">
        <f>IF(OR(D262="",D262="-"),"",VLOOKUP(D262,'Fatores de Emissão'!$E$192:$K$201,3,FALSE))</f>
        <v/>
      </c>
      <c r="I262" s="1111" t="str">
        <f>IF(OR(D262="",D262="-"),"",VLOOKUP(D262,'Fatores de Emissão'!$E$192:$K$201,2,FALSE))</f>
        <v/>
      </c>
      <c r="J262" s="1111" t="str">
        <f>IF(OR(D262="",D262="-"),"",VLOOKUP(D262,'Fatores de Emissão'!$E$192:$K$201,4,FALSE))</f>
        <v/>
      </c>
      <c r="K262" s="1111" t="str">
        <f>IF(OR(D262="",D262="-"),"",VLOOKUP(D262,'Fatores de Emissão'!$E$192:$K$201,6,FALSE))</f>
        <v/>
      </c>
      <c r="L262" s="478" t="str">
        <f>IF($D262="","",IF($H262="kg/p.km",$F262*$G262*I262/1000,$F262*#REF!*I262/1000))</f>
        <v/>
      </c>
      <c r="M262" s="478" t="str">
        <f>IF($D262="","",IF($H262="kg/p.km",$F262*$G262*J262/1000,$F262*#REF!*J262/1000))</f>
        <v/>
      </c>
      <c r="N262" s="478" t="str">
        <f>IF($D262="","",IF($H262="kg/p.km",$F262*$G262*K262/1000,$F262*#REF!*K262/1000))</f>
        <v/>
      </c>
      <c r="O262" s="451" t="str">
        <f t="shared" si="6"/>
        <v/>
      </c>
      <c r="P262" s="452"/>
    </row>
    <row r="263" spans="1:16" s="237" customFormat="1" ht="15" hidden="1" customHeight="1" outlineLevel="2" x14ac:dyDescent="0.25">
      <c r="A263" s="363"/>
      <c r="B263" s="1145"/>
      <c r="C263" s="1145"/>
      <c r="D263" s="1268"/>
      <c r="E263" s="1268"/>
      <c r="F263" s="438"/>
      <c r="G263" s="438"/>
      <c r="H263" s="1020" t="str">
        <f>IF(OR(D263="",D263="-"),"",VLOOKUP(D263,'Fatores de Emissão'!$E$192:$K$201,3,FALSE))</f>
        <v/>
      </c>
      <c r="I263" s="1111" t="str">
        <f>IF(OR(D263="",D263="-"),"",VLOOKUP(D263,'Fatores de Emissão'!$E$192:$K$201,2,FALSE))</f>
        <v/>
      </c>
      <c r="J263" s="1111" t="str">
        <f>IF(OR(D263="",D263="-"),"",VLOOKUP(D263,'Fatores de Emissão'!$E$192:$K$201,4,FALSE))</f>
        <v/>
      </c>
      <c r="K263" s="1111" t="str">
        <f>IF(OR(D263="",D263="-"),"",VLOOKUP(D263,'Fatores de Emissão'!$E$192:$K$201,6,FALSE))</f>
        <v/>
      </c>
      <c r="L263" s="478" t="str">
        <f>IF($D263="","",IF($H263="kg/p.km",$F263*$G263*I263/1000,$F263*#REF!*I263/1000))</f>
        <v/>
      </c>
      <c r="M263" s="478" t="str">
        <f>IF($D263="","",IF($H263="kg/p.km",$F263*$G263*J263/1000,$F263*#REF!*J263/1000))</f>
        <v/>
      </c>
      <c r="N263" s="478" t="str">
        <f>IF($D263="","",IF($H263="kg/p.km",$F263*$G263*K263/1000,$F263*#REF!*K263/1000))</f>
        <v/>
      </c>
      <c r="O263" s="451" t="str">
        <f t="shared" si="6"/>
        <v/>
      </c>
      <c r="P263" s="452"/>
    </row>
    <row r="264" spans="1:16" s="237" customFormat="1" ht="15" hidden="1" customHeight="1" outlineLevel="2" x14ac:dyDescent="0.25">
      <c r="A264" s="363"/>
      <c r="B264" s="1145"/>
      <c r="C264" s="1145"/>
      <c r="D264" s="1268"/>
      <c r="E264" s="1268"/>
      <c r="F264" s="438"/>
      <c r="G264" s="438"/>
      <c r="H264" s="1020" t="str">
        <f>IF(OR(D264="",D264="-"),"",VLOOKUP(D264,'Fatores de Emissão'!$E$192:$K$201,3,FALSE))</f>
        <v/>
      </c>
      <c r="I264" s="1111" t="str">
        <f>IF(OR(D264="",D264="-"),"",VLOOKUP(D264,'Fatores de Emissão'!$E$192:$K$201,2,FALSE))</f>
        <v/>
      </c>
      <c r="J264" s="1111" t="str">
        <f>IF(OR(D264="",D264="-"),"",VLOOKUP(D264,'Fatores de Emissão'!$E$192:$K$201,4,FALSE))</f>
        <v/>
      </c>
      <c r="K264" s="1111" t="str">
        <f>IF(OR(D264="",D264="-"),"",VLOOKUP(D264,'Fatores de Emissão'!$E$192:$K$201,6,FALSE))</f>
        <v/>
      </c>
      <c r="L264" s="478" t="str">
        <f>IF($D264="","",IF($H264="kg/p.km",$F264*$G264*I264/1000,$F264*#REF!*I264/1000))</f>
        <v/>
      </c>
      <c r="M264" s="478" t="str">
        <f>IF($D264="","",IF($H264="kg/p.km",$F264*$G264*J264/1000,$F264*#REF!*J264/1000))</f>
        <v/>
      </c>
      <c r="N264" s="478" t="str">
        <f>IF($D264="","",IF($H264="kg/p.km",$F264*$G264*K264/1000,$F264*#REF!*K264/1000))</f>
        <v/>
      </c>
      <c r="O264" s="451" t="str">
        <f t="shared" si="6"/>
        <v/>
      </c>
      <c r="P264" s="452"/>
    </row>
    <row r="265" spans="1:16" s="237" customFormat="1" ht="15" hidden="1" customHeight="1" outlineLevel="2" x14ac:dyDescent="0.25">
      <c r="A265" s="363"/>
      <c r="B265" s="1145"/>
      <c r="C265" s="1145"/>
      <c r="D265" s="1268"/>
      <c r="E265" s="1268"/>
      <c r="F265" s="438"/>
      <c r="G265" s="438"/>
      <c r="H265" s="1020" t="str">
        <f>IF(OR(D265="",D265="-"),"",VLOOKUP(D265,'Fatores de Emissão'!$E$192:$K$201,3,FALSE))</f>
        <v/>
      </c>
      <c r="I265" s="1111" t="str">
        <f>IF(OR(D265="",D265="-"),"",VLOOKUP(D265,'Fatores de Emissão'!$E$192:$K$201,2,FALSE))</f>
        <v/>
      </c>
      <c r="J265" s="1111" t="str">
        <f>IF(OR(D265="",D265="-"),"",VLOOKUP(D265,'Fatores de Emissão'!$E$192:$K$201,4,FALSE))</f>
        <v/>
      </c>
      <c r="K265" s="1111" t="str">
        <f>IF(OR(D265="",D265="-"),"",VLOOKUP(D265,'Fatores de Emissão'!$E$192:$K$201,6,FALSE))</f>
        <v/>
      </c>
      <c r="L265" s="478" t="str">
        <f>IF($D265="","",IF($H265="kg/p.km",$F265*$G265*I265/1000,$F265*#REF!*I265/1000))</f>
        <v/>
      </c>
      <c r="M265" s="478" t="str">
        <f>IF($D265="","",IF($H265="kg/p.km",$F265*$G265*J265/1000,$F265*#REF!*J265/1000))</f>
        <v/>
      </c>
      <c r="N265" s="478" t="str">
        <f>IF($D265="","",IF($H265="kg/p.km",$F265*$G265*K265/1000,$F265*#REF!*K265/1000))</f>
        <v/>
      </c>
      <c r="O265" s="451" t="str">
        <f t="shared" si="6"/>
        <v/>
      </c>
      <c r="P265" s="452"/>
    </row>
    <row r="266" spans="1:16" s="237" customFormat="1" ht="15" hidden="1" customHeight="1" outlineLevel="2" x14ac:dyDescent="0.25">
      <c r="A266" s="363"/>
      <c r="B266" s="1145"/>
      <c r="C266" s="1145"/>
      <c r="D266" s="1268"/>
      <c r="E266" s="1268"/>
      <c r="F266" s="438"/>
      <c r="G266" s="438"/>
      <c r="H266" s="1020" t="str">
        <f>IF(OR(D266="",D266="-"),"",VLOOKUP(D266,'Fatores de Emissão'!$E$192:$K$201,3,FALSE))</f>
        <v/>
      </c>
      <c r="I266" s="1111" t="str">
        <f>IF(OR(D266="",D266="-"),"",VLOOKUP(D266,'Fatores de Emissão'!$E$192:$K$201,2,FALSE))</f>
        <v/>
      </c>
      <c r="J266" s="1111" t="str">
        <f>IF(OR(D266="",D266="-"),"",VLOOKUP(D266,'Fatores de Emissão'!$E$192:$K$201,4,FALSE))</f>
        <v/>
      </c>
      <c r="K266" s="1111" t="str">
        <f>IF(OR(D266="",D266="-"),"",VLOOKUP(D266,'Fatores de Emissão'!$E$192:$K$201,6,FALSE))</f>
        <v/>
      </c>
      <c r="L266" s="478" t="str">
        <f>IF($D266="","",IF($H266="kg/p.km",$F266*$G266*I266/1000,$F266*#REF!*I266/1000))</f>
        <v/>
      </c>
      <c r="M266" s="478" t="str">
        <f>IF($D266="","",IF($H266="kg/p.km",$F266*$G266*J266/1000,$F266*#REF!*J266/1000))</f>
        <v/>
      </c>
      <c r="N266" s="478" t="str">
        <f>IF($D266="","",IF($H266="kg/p.km",$F266*$G266*K266/1000,$F266*#REF!*K266/1000))</f>
        <v/>
      </c>
      <c r="O266" s="451" t="str">
        <f t="shared" si="6"/>
        <v/>
      </c>
      <c r="P266" s="452"/>
    </row>
    <row r="267" spans="1:16" s="237" customFormat="1" ht="15" hidden="1" customHeight="1" outlineLevel="2" x14ac:dyDescent="0.25">
      <c r="A267" s="363"/>
      <c r="B267" s="1145"/>
      <c r="C267" s="1145"/>
      <c r="D267" s="1268"/>
      <c r="E267" s="1268"/>
      <c r="F267" s="438"/>
      <c r="G267" s="438"/>
      <c r="H267" s="1020" t="str">
        <f>IF(OR(D267="",D267="-"),"",VLOOKUP(D267,'Fatores de Emissão'!$E$192:$K$201,3,FALSE))</f>
        <v/>
      </c>
      <c r="I267" s="1111" t="str">
        <f>IF(OR(D267="",D267="-"),"",VLOOKUP(D267,'Fatores de Emissão'!$E$192:$K$201,2,FALSE))</f>
        <v/>
      </c>
      <c r="J267" s="1111" t="str">
        <f>IF(OR(D267="",D267="-"),"",VLOOKUP(D267,'Fatores de Emissão'!$E$192:$K$201,4,FALSE))</f>
        <v/>
      </c>
      <c r="K267" s="1111" t="str">
        <f>IF(OR(D267="",D267="-"),"",VLOOKUP(D267,'Fatores de Emissão'!$E$192:$K$201,6,FALSE))</f>
        <v/>
      </c>
      <c r="L267" s="478" t="str">
        <f>IF($D267="","",IF($H267="kg/p.km",$F267*$G267*I267/1000,$F267*#REF!*I267/1000))</f>
        <v/>
      </c>
      <c r="M267" s="478" t="str">
        <f>IF($D267="","",IF($H267="kg/p.km",$F267*$G267*J267/1000,$F267*#REF!*J267/1000))</f>
        <v/>
      </c>
      <c r="N267" s="478" t="str">
        <f>IF($D267="","",IF($H267="kg/p.km",$F267*$G267*K267/1000,$F267*#REF!*K267/1000))</f>
        <v/>
      </c>
      <c r="O267" s="451" t="str">
        <f t="shared" si="6"/>
        <v/>
      </c>
      <c r="P267" s="452"/>
    </row>
    <row r="268" spans="1:16" s="237" customFormat="1" ht="15" hidden="1" customHeight="1" outlineLevel="2" x14ac:dyDescent="0.25">
      <c r="A268" s="363"/>
      <c r="B268" s="1145"/>
      <c r="C268" s="1145"/>
      <c r="D268" s="1268"/>
      <c r="E268" s="1268"/>
      <c r="F268" s="438"/>
      <c r="G268" s="438"/>
      <c r="H268" s="1020" t="str">
        <f>IF(OR(D268="",D268="-"),"",VLOOKUP(D268,'Fatores de Emissão'!$E$192:$K$201,3,FALSE))</f>
        <v/>
      </c>
      <c r="I268" s="1111" t="str">
        <f>IF(OR(D268="",D268="-"),"",VLOOKUP(D268,'Fatores de Emissão'!$E$192:$K$201,2,FALSE))</f>
        <v/>
      </c>
      <c r="J268" s="1111" t="str">
        <f>IF(OR(D268="",D268="-"),"",VLOOKUP(D268,'Fatores de Emissão'!$E$192:$K$201,4,FALSE))</f>
        <v/>
      </c>
      <c r="K268" s="1111" t="str">
        <f>IF(OR(D268="",D268="-"),"",VLOOKUP(D268,'Fatores de Emissão'!$E$192:$K$201,6,FALSE))</f>
        <v/>
      </c>
      <c r="L268" s="478" t="str">
        <f>IF($D268="","",IF($H268="kg/p.km",$F268*$G268*I268/1000,$F268*#REF!*I268/1000))</f>
        <v/>
      </c>
      <c r="M268" s="478" t="str">
        <f>IF($D268="","",IF($H268="kg/p.km",$F268*$G268*J268/1000,$F268*#REF!*J268/1000))</f>
        <v/>
      </c>
      <c r="N268" s="478" t="str">
        <f>IF($D268="","",IF($H268="kg/p.km",$F268*$G268*K268/1000,$F268*#REF!*K268/1000))</f>
        <v/>
      </c>
      <c r="O268" s="451" t="str">
        <f t="shared" si="6"/>
        <v/>
      </c>
      <c r="P268" s="452"/>
    </row>
    <row r="269" spans="1:16" s="237" customFormat="1" ht="15" hidden="1" customHeight="1" outlineLevel="2" x14ac:dyDescent="0.25">
      <c r="A269" s="363"/>
      <c r="B269" s="1145"/>
      <c r="C269" s="1145"/>
      <c r="D269" s="1268"/>
      <c r="E269" s="1268"/>
      <c r="F269" s="438"/>
      <c r="G269" s="438"/>
      <c r="H269" s="1020" t="str">
        <f>IF(OR(D269="",D269="-"),"",VLOOKUP(D269,'Fatores de Emissão'!$E$192:$K$201,3,FALSE))</f>
        <v/>
      </c>
      <c r="I269" s="1111" t="str">
        <f>IF(OR(D269="",D269="-"),"",VLOOKUP(D269,'Fatores de Emissão'!$E$192:$K$201,2,FALSE))</f>
        <v/>
      </c>
      <c r="J269" s="1111" t="str">
        <f>IF(OR(D269="",D269="-"),"",VLOOKUP(D269,'Fatores de Emissão'!$E$192:$K$201,4,FALSE))</f>
        <v/>
      </c>
      <c r="K269" s="1111" t="str">
        <f>IF(OR(D269="",D269="-"),"",VLOOKUP(D269,'Fatores de Emissão'!$E$192:$K$201,6,FALSE))</f>
        <v/>
      </c>
      <c r="L269" s="478" t="str">
        <f>IF($D269="","",IF($H269="kg/p.km",$F269*$G269*I269/1000,$F269*#REF!*I269/1000))</f>
        <v/>
      </c>
      <c r="M269" s="478" t="str">
        <f>IF($D269="","",IF($H269="kg/p.km",$F269*$G269*J269/1000,$F269*#REF!*J269/1000))</f>
        <v/>
      </c>
      <c r="N269" s="478" t="str">
        <f>IF($D269="","",IF($H269="kg/p.km",$F269*$G269*K269/1000,$F269*#REF!*K269/1000))</f>
        <v/>
      </c>
      <c r="O269" s="451" t="str">
        <f t="shared" si="6"/>
        <v/>
      </c>
      <c r="P269" s="452"/>
    </row>
    <row r="270" spans="1:16" s="237" customFormat="1" ht="15" hidden="1" customHeight="1" outlineLevel="2" x14ac:dyDescent="0.25">
      <c r="A270" s="363"/>
      <c r="B270" s="1145"/>
      <c r="C270" s="1145"/>
      <c r="D270" s="1268"/>
      <c r="E270" s="1268"/>
      <c r="F270" s="438"/>
      <c r="G270" s="438"/>
      <c r="H270" s="1020" t="str">
        <f>IF(OR(D270="",D270="-"),"",VLOOKUP(D270,'Fatores de Emissão'!$E$192:$K$201,3,FALSE))</f>
        <v/>
      </c>
      <c r="I270" s="1111" t="str">
        <f>IF(OR(D270="",D270="-"),"",VLOOKUP(D270,'Fatores de Emissão'!$E$192:$K$201,2,FALSE))</f>
        <v/>
      </c>
      <c r="J270" s="1111" t="str">
        <f>IF(OR(D270="",D270="-"),"",VLOOKUP(D270,'Fatores de Emissão'!$E$192:$K$201,4,FALSE))</f>
        <v/>
      </c>
      <c r="K270" s="1111" t="str">
        <f>IF(OR(D270="",D270="-"),"",VLOOKUP(D270,'Fatores de Emissão'!$E$192:$K$201,6,FALSE))</f>
        <v/>
      </c>
      <c r="L270" s="478" t="str">
        <f>IF($D270="","",IF($H270="kg/p.km",$F270*$G270*I270/1000,$F270*#REF!*I270/1000))</f>
        <v/>
      </c>
      <c r="M270" s="478" t="str">
        <f>IF($D270="","",IF($H270="kg/p.km",$F270*$G270*J270/1000,$F270*#REF!*J270/1000))</f>
        <v/>
      </c>
      <c r="N270" s="478" t="str">
        <f>IF($D270="","",IF($H270="kg/p.km",$F270*$G270*K270/1000,$F270*#REF!*K270/1000))</f>
        <v/>
      </c>
      <c r="O270" s="451" t="str">
        <f t="shared" si="6"/>
        <v/>
      </c>
      <c r="P270" s="452"/>
    </row>
    <row r="271" spans="1:16" s="237" customFormat="1" ht="15" hidden="1" customHeight="1" outlineLevel="2" x14ac:dyDescent="0.25">
      <c r="A271" s="363"/>
      <c r="B271" s="1145"/>
      <c r="C271" s="1145"/>
      <c r="D271" s="1268"/>
      <c r="E271" s="1268"/>
      <c r="F271" s="438"/>
      <c r="G271" s="438"/>
      <c r="H271" s="1020" t="str">
        <f>IF(OR(D271="",D271="-"),"",VLOOKUP(D271,'Fatores de Emissão'!$E$192:$K$201,3,FALSE))</f>
        <v/>
      </c>
      <c r="I271" s="1111" t="str">
        <f>IF(OR(D271="",D271="-"),"",VLOOKUP(D271,'Fatores de Emissão'!$E$192:$K$201,2,FALSE))</f>
        <v/>
      </c>
      <c r="J271" s="1111" t="str">
        <f>IF(OR(D271="",D271="-"),"",VLOOKUP(D271,'Fatores de Emissão'!$E$192:$K$201,4,FALSE))</f>
        <v/>
      </c>
      <c r="K271" s="1111" t="str">
        <f>IF(OR(D271="",D271="-"),"",VLOOKUP(D271,'Fatores de Emissão'!$E$192:$K$201,6,FALSE))</f>
        <v/>
      </c>
      <c r="L271" s="478" t="str">
        <f>IF($D271="","",IF($H271="kg/p.km",$F271*$G271*I271/1000,$F271*#REF!*I271/1000))</f>
        <v/>
      </c>
      <c r="M271" s="478" t="str">
        <f>IF($D271="","",IF($H271="kg/p.km",$F271*$G271*J271/1000,$F271*#REF!*J271/1000))</f>
        <v/>
      </c>
      <c r="N271" s="478" t="str">
        <f>IF($D271="","",IF($H271="kg/p.km",$F271*$G271*K271/1000,$F271*#REF!*K271/1000))</f>
        <v/>
      </c>
      <c r="O271" s="451" t="str">
        <f t="shared" si="6"/>
        <v/>
      </c>
      <c r="P271" s="452"/>
    </row>
    <row r="272" spans="1:16" s="237" customFormat="1" ht="15" hidden="1" customHeight="1" outlineLevel="2" x14ac:dyDescent="0.25">
      <c r="A272" s="363"/>
      <c r="B272" s="1145"/>
      <c r="C272" s="1145"/>
      <c r="D272" s="1268"/>
      <c r="E272" s="1268"/>
      <c r="F272" s="438"/>
      <c r="G272" s="438"/>
      <c r="H272" s="1020" t="str">
        <f>IF(OR(D272="",D272="-"),"",VLOOKUP(D272,'Fatores de Emissão'!$E$192:$K$201,3,FALSE))</f>
        <v/>
      </c>
      <c r="I272" s="1111" t="str">
        <f>IF(OR(D272="",D272="-"),"",VLOOKUP(D272,'Fatores de Emissão'!$E$192:$K$201,2,FALSE))</f>
        <v/>
      </c>
      <c r="J272" s="1111" t="str">
        <f>IF(OR(D272="",D272="-"),"",VLOOKUP(D272,'Fatores de Emissão'!$E$192:$K$201,4,FALSE))</f>
        <v/>
      </c>
      <c r="K272" s="1111" t="str">
        <f>IF(OR(D272="",D272="-"),"",VLOOKUP(D272,'Fatores de Emissão'!$E$192:$K$201,6,FALSE))</f>
        <v/>
      </c>
      <c r="L272" s="478" t="str">
        <f>IF($D272="","",IF($H272="kg/p.km",$F272*$G272*I272/1000,$F272*#REF!*I272/1000))</f>
        <v/>
      </c>
      <c r="M272" s="478" t="str">
        <f>IF($D272="","",IF($H272="kg/p.km",$F272*$G272*J272/1000,$F272*#REF!*J272/1000))</f>
        <v/>
      </c>
      <c r="N272" s="478" t="str">
        <f>IF($D272="","",IF($H272="kg/p.km",$F272*$G272*K272/1000,$F272*#REF!*K272/1000))</f>
        <v/>
      </c>
      <c r="O272" s="451" t="str">
        <f t="shared" si="6"/>
        <v/>
      </c>
      <c r="P272" s="452"/>
    </row>
    <row r="273" spans="1:28" s="237" customFormat="1" ht="15" hidden="1" customHeight="1" outlineLevel="2" x14ac:dyDescent="0.25">
      <c r="A273" s="363"/>
      <c r="B273" s="1145"/>
      <c r="C273" s="1145"/>
      <c r="D273" s="1268"/>
      <c r="E273" s="1268"/>
      <c r="F273" s="438"/>
      <c r="G273" s="438"/>
      <c r="H273" s="1020" t="str">
        <f>IF(OR(D273="",D273="-"),"",VLOOKUP(D273,'Fatores de Emissão'!$E$192:$K$201,3,FALSE))</f>
        <v/>
      </c>
      <c r="I273" s="1111" t="str">
        <f>IF(OR(D273="",D273="-"),"",VLOOKUP(D273,'Fatores de Emissão'!$E$192:$K$201,2,FALSE))</f>
        <v/>
      </c>
      <c r="J273" s="1111" t="str">
        <f>IF(OR(D273="",D273="-"),"",VLOOKUP(D273,'Fatores de Emissão'!$E$192:$K$201,4,FALSE))</f>
        <v/>
      </c>
      <c r="K273" s="1111" t="str">
        <f>IF(OR(D273="",D273="-"),"",VLOOKUP(D273,'Fatores de Emissão'!$E$192:$K$201,6,FALSE))</f>
        <v/>
      </c>
      <c r="L273" s="478" t="str">
        <f>IF($D273="","",IF($H273="kg/p.km",$F273*$G273*I273/1000,$F273*#REF!*I273/1000))</f>
        <v/>
      </c>
      <c r="M273" s="478" t="str">
        <f>IF($D273="","",IF($H273="kg/p.km",$F273*$G273*J273/1000,$F273*#REF!*J273/1000))</f>
        <v/>
      </c>
      <c r="N273" s="478" t="str">
        <f>IF($D273="","",IF($H273="kg/p.km",$F273*$G273*K273/1000,$F273*#REF!*K273/1000))</f>
        <v/>
      </c>
      <c r="O273" s="451" t="str">
        <f t="shared" si="6"/>
        <v/>
      </c>
      <c r="P273" s="452"/>
    </row>
    <row r="274" spans="1:28" s="237" customFormat="1" ht="15" hidden="1" customHeight="1" outlineLevel="2" x14ac:dyDescent="0.25">
      <c r="A274" s="363"/>
      <c r="B274" s="1145"/>
      <c r="C274" s="1145"/>
      <c r="D274" s="1268"/>
      <c r="E274" s="1268"/>
      <c r="F274" s="438"/>
      <c r="G274" s="438"/>
      <c r="H274" s="1020" t="str">
        <f>IF(OR(D274="",D274="-"),"",VLOOKUP(D274,'Fatores de Emissão'!$E$192:$K$201,3,FALSE))</f>
        <v/>
      </c>
      <c r="I274" s="1111" t="str">
        <f>IF(OR(D274="",D274="-"),"",VLOOKUP(D274,'Fatores de Emissão'!$E$192:$K$201,2,FALSE))</f>
        <v/>
      </c>
      <c r="J274" s="1111" t="str">
        <f>IF(OR(D274="",D274="-"),"",VLOOKUP(D274,'Fatores de Emissão'!$E$192:$K$201,4,FALSE))</f>
        <v/>
      </c>
      <c r="K274" s="1111" t="str">
        <f>IF(OR(D274="",D274="-"),"",VLOOKUP(D274,'Fatores de Emissão'!$E$192:$K$201,6,FALSE))</f>
        <v/>
      </c>
      <c r="L274" s="478" t="str">
        <f>IF($D274="","",IF($H274="kg/p.km",$F274*$G274*I274/1000,$F274*#REF!*I274/1000))</f>
        <v/>
      </c>
      <c r="M274" s="478" t="str">
        <f>IF($D274="","",IF($H274="kg/p.km",$F274*$G274*J274/1000,$F274*#REF!*J274/1000))</f>
        <v/>
      </c>
      <c r="N274" s="478" t="str">
        <f>IF($D274="","",IF($H274="kg/p.km",$F274*$G274*K274/1000,$F274*#REF!*K274/1000))</f>
        <v/>
      </c>
      <c r="O274" s="451" t="str">
        <f t="shared" si="6"/>
        <v/>
      </c>
      <c r="P274" s="452"/>
    </row>
    <row r="275" spans="1:28" s="237" customFormat="1" ht="15" hidden="1" customHeight="1" outlineLevel="2" x14ac:dyDescent="0.25">
      <c r="A275" s="363"/>
      <c r="B275" s="1145"/>
      <c r="C275" s="1145"/>
      <c r="D275" s="1268"/>
      <c r="E275" s="1268"/>
      <c r="F275" s="438"/>
      <c r="G275" s="438"/>
      <c r="H275" s="1020" t="str">
        <f>IF(OR(D275="",D275="-"),"",VLOOKUP(D275,'Fatores de Emissão'!$E$192:$K$201,3,FALSE))</f>
        <v/>
      </c>
      <c r="I275" s="1111" t="str">
        <f>IF(OR(D275="",D275="-"),"",VLOOKUP(D275,'Fatores de Emissão'!$E$192:$K$201,2,FALSE))</f>
        <v/>
      </c>
      <c r="J275" s="1111" t="str">
        <f>IF(OR(D275="",D275="-"),"",VLOOKUP(D275,'Fatores de Emissão'!$E$192:$K$201,4,FALSE))</f>
        <v/>
      </c>
      <c r="K275" s="1111" t="str">
        <f>IF(OR(D275="",D275="-"),"",VLOOKUP(D275,'Fatores de Emissão'!$E$192:$K$201,6,FALSE))</f>
        <v/>
      </c>
      <c r="L275" s="478" t="str">
        <f>IF($D275="","",IF($H275="kg/p.km",$F275*$G275*I275/1000,$F275*#REF!*I275/1000))</f>
        <v/>
      </c>
      <c r="M275" s="478" t="str">
        <f>IF($D275="","",IF($H275="kg/p.km",$F275*$G275*J275/1000,$F275*#REF!*J275/1000))</f>
        <v/>
      </c>
      <c r="N275" s="478" t="str">
        <f>IF($D275="","",IF($H275="kg/p.km",$F275*$G275*K275/1000,$F275*#REF!*K275/1000))</f>
        <v/>
      </c>
      <c r="O275" s="451" t="str">
        <f t="shared" si="6"/>
        <v/>
      </c>
      <c r="P275" s="452"/>
    </row>
    <row r="276" spans="1:28" s="237" customFormat="1" ht="15" hidden="1" customHeight="1" outlineLevel="2" x14ac:dyDescent="0.25">
      <c r="A276" s="363"/>
      <c r="B276" s="1145"/>
      <c r="C276" s="1145"/>
      <c r="D276" s="1268"/>
      <c r="E276" s="1268"/>
      <c r="F276" s="438"/>
      <c r="G276" s="438"/>
      <c r="H276" s="1020" t="str">
        <f>IF(OR(D276="",D276="-"),"",VLOOKUP(D276,'Fatores de Emissão'!$E$192:$K$201,3,FALSE))</f>
        <v/>
      </c>
      <c r="I276" s="1111" t="str">
        <f>IF(OR(D276="",D276="-"),"",VLOOKUP(D276,'Fatores de Emissão'!$E$192:$K$201,2,FALSE))</f>
        <v/>
      </c>
      <c r="J276" s="1111" t="str">
        <f>IF(OR(D276="",D276="-"),"",VLOOKUP(D276,'Fatores de Emissão'!$E$192:$K$201,4,FALSE))</f>
        <v/>
      </c>
      <c r="K276" s="1111" t="str">
        <f>IF(OR(D276="",D276="-"),"",VLOOKUP(D276,'Fatores de Emissão'!$E$192:$K$201,6,FALSE))</f>
        <v/>
      </c>
      <c r="L276" s="478" t="str">
        <f>IF($D276="","",IF($H276="kg/p.km",$F276*$G276*I276/1000,$F276*#REF!*I276/1000))</f>
        <v/>
      </c>
      <c r="M276" s="478" t="str">
        <f>IF($D276="","",IF($H276="kg/p.km",$F276*$G276*J276/1000,$F276*#REF!*J276/1000))</f>
        <v/>
      </c>
      <c r="N276" s="478" t="str">
        <f>IF($D276="","",IF($H276="kg/p.km",$F276*$G276*K276/1000,$F276*#REF!*K276/1000))</f>
        <v/>
      </c>
      <c r="O276" s="451" t="str">
        <f t="shared" si="6"/>
        <v/>
      </c>
      <c r="P276" s="452"/>
    </row>
    <row r="277" spans="1:28" s="237" customFormat="1" ht="15" hidden="1" customHeight="1" outlineLevel="2" x14ac:dyDescent="0.25">
      <c r="A277" s="363"/>
      <c r="B277" s="1145"/>
      <c r="C277" s="1145"/>
      <c r="D277" s="1268"/>
      <c r="E277" s="1268"/>
      <c r="F277" s="438"/>
      <c r="G277" s="438"/>
      <c r="H277" s="1020" t="str">
        <f>IF(OR(D277="",D277="-"),"",VLOOKUP(D277,'Fatores de Emissão'!$E$192:$K$201,3,FALSE))</f>
        <v/>
      </c>
      <c r="I277" s="1111" t="str">
        <f>IF(OR(D277="",D277="-"),"",VLOOKUP(D277,'Fatores de Emissão'!$E$192:$K$201,2,FALSE))</f>
        <v/>
      </c>
      <c r="J277" s="1111" t="str">
        <f>IF(OR(D277="",D277="-"),"",VLOOKUP(D277,'Fatores de Emissão'!$E$192:$K$201,4,FALSE))</f>
        <v/>
      </c>
      <c r="K277" s="1111" t="str">
        <f>IF(OR(D277="",D277="-"),"",VLOOKUP(D277,'Fatores de Emissão'!$E$192:$K$201,6,FALSE))</f>
        <v/>
      </c>
      <c r="L277" s="478" t="str">
        <f>IF($D277="","",IF($H277="kg/p.km",$F277*$G277*I277/1000,$F277*#REF!*I277/1000))</f>
        <v/>
      </c>
      <c r="M277" s="478" t="str">
        <f>IF($D277="","",IF($H277="kg/p.km",$F277*$G277*J277/1000,$F277*#REF!*J277/1000))</f>
        <v/>
      </c>
      <c r="N277" s="478" t="str">
        <f>IF($D277="","",IF($H277="kg/p.km",$F277*$G277*K277/1000,$F277*#REF!*K277/1000))</f>
        <v/>
      </c>
      <c r="O277" s="451" t="str">
        <f t="shared" si="6"/>
        <v/>
      </c>
      <c r="P277" s="452"/>
    </row>
    <row r="278" spans="1:28" s="237" customFormat="1" ht="15" hidden="1" customHeight="1" outlineLevel="2" x14ac:dyDescent="0.25">
      <c r="A278" s="363"/>
      <c r="B278" s="1145"/>
      <c r="C278" s="1145"/>
      <c r="D278" s="1268"/>
      <c r="E278" s="1268"/>
      <c r="F278" s="438"/>
      <c r="G278" s="438"/>
      <c r="H278" s="1020" t="str">
        <f>IF(OR(D278="",D278="-"),"",VLOOKUP(D278,'Fatores de Emissão'!$E$192:$K$201,3,FALSE))</f>
        <v/>
      </c>
      <c r="I278" s="1111" t="str">
        <f>IF(OR(D278="",D278="-"),"",VLOOKUP(D278,'Fatores de Emissão'!$E$192:$K$201,2,FALSE))</f>
        <v/>
      </c>
      <c r="J278" s="1111" t="str">
        <f>IF(OR(D278="",D278="-"),"",VLOOKUP(D278,'Fatores de Emissão'!$E$192:$K$201,4,FALSE))</f>
        <v/>
      </c>
      <c r="K278" s="1111" t="str">
        <f>IF(OR(D278="",D278="-"),"",VLOOKUP(D278,'Fatores de Emissão'!$E$192:$K$201,6,FALSE))</f>
        <v/>
      </c>
      <c r="L278" s="478" t="str">
        <f>IF($D278="","",IF($H278="kg/p.km",$F278*$G278*I278/1000,$F278*#REF!*I278/1000))</f>
        <v/>
      </c>
      <c r="M278" s="478" t="str">
        <f>IF($D278="","",IF($H278="kg/p.km",$F278*$G278*J278/1000,$F278*#REF!*J278/1000))</f>
        <v/>
      </c>
      <c r="N278" s="478" t="str">
        <f>IF($D278="","",IF($H278="kg/p.km",$F278*$G278*K278/1000,$F278*#REF!*K278/1000))</f>
        <v/>
      </c>
      <c r="O278" s="451" t="str">
        <f t="shared" si="6"/>
        <v/>
      </c>
      <c r="P278" s="452"/>
    </row>
    <row r="279" spans="1:28" s="237" customFormat="1" ht="15" hidden="1" customHeight="1" outlineLevel="2" x14ac:dyDescent="0.25">
      <c r="A279" s="363"/>
      <c r="B279" s="1145"/>
      <c r="C279" s="1145"/>
      <c r="D279" s="1268"/>
      <c r="E279" s="1268"/>
      <c r="F279" s="438"/>
      <c r="G279" s="438"/>
      <c r="H279" s="1020" t="str">
        <f>IF(OR(D279="",D279="-"),"",VLOOKUP(D279,'Fatores de Emissão'!$E$192:$K$201,3,FALSE))</f>
        <v/>
      </c>
      <c r="I279" s="1111" t="str">
        <f>IF(OR(D279="",D279="-"),"",VLOOKUP(D279,'Fatores de Emissão'!$E$192:$K$201,2,FALSE))</f>
        <v/>
      </c>
      <c r="J279" s="1111" t="str">
        <f>IF(OR(D279="",D279="-"),"",VLOOKUP(D279,'Fatores de Emissão'!$E$192:$K$201,4,FALSE))</f>
        <v/>
      </c>
      <c r="K279" s="1111" t="str">
        <f>IF(OR(D279="",D279="-"),"",VLOOKUP(D279,'Fatores de Emissão'!$E$192:$K$201,6,FALSE))</f>
        <v/>
      </c>
      <c r="L279" s="478" t="str">
        <f>IF($D279="","",IF($H279="kg/p.km",$F279*$G279*I279/1000,$F279*#REF!*I279/1000))</f>
        <v/>
      </c>
      <c r="M279" s="478" t="str">
        <f>IF($D279="","",IF($H279="kg/p.km",$F279*$G279*J279/1000,$F279*#REF!*J279/1000))</f>
        <v/>
      </c>
      <c r="N279" s="478" t="str">
        <f>IF($D279="","",IF($H279="kg/p.km",$F279*$G279*K279/1000,$F279*#REF!*K279/1000))</f>
        <v/>
      </c>
      <c r="O279" s="451" t="str">
        <f t="shared" si="6"/>
        <v/>
      </c>
      <c r="P279" s="452"/>
    </row>
    <row r="280" spans="1:28" s="237" customFormat="1" ht="15" hidden="1" customHeight="1" outlineLevel="2" x14ac:dyDescent="0.25">
      <c r="A280" s="363"/>
      <c r="B280" s="1145"/>
      <c r="C280" s="1145"/>
      <c r="D280" s="1268"/>
      <c r="E280" s="1268"/>
      <c r="F280" s="438"/>
      <c r="G280" s="438"/>
      <c r="H280" s="1020" t="str">
        <f>IF(OR(D280="",D280="-"),"",VLOOKUP(D280,'Fatores de Emissão'!$E$192:$K$201,3,FALSE))</f>
        <v/>
      </c>
      <c r="I280" s="1111" t="str">
        <f>IF(OR(D280="",D280="-"),"",VLOOKUP(D280,'Fatores de Emissão'!$E$192:$K$201,2,FALSE))</f>
        <v/>
      </c>
      <c r="J280" s="1111" t="str">
        <f>IF(OR(D280="",D280="-"),"",VLOOKUP(D280,'Fatores de Emissão'!$E$192:$K$201,4,FALSE))</f>
        <v/>
      </c>
      <c r="K280" s="1111" t="str">
        <f>IF(OR(D280="",D280="-"),"",VLOOKUP(D280,'Fatores de Emissão'!$E$192:$K$201,6,FALSE))</f>
        <v/>
      </c>
      <c r="L280" s="478" t="str">
        <f>IF($D280="","",IF($H280="kg/p.km",$F280*$G280*I280/1000,$F280*#REF!*I280/1000))</f>
        <v/>
      </c>
      <c r="M280" s="478" t="str">
        <f>IF($D280="","",IF($H280="kg/p.km",$F280*$G280*J280/1000,$F280*#REF!*J280/1000))</f>
        <v/>
      </c>
      <c r="N280" s="478" t="str">
        <f>IF($D280="","",IF($H280="kg/p.km",$F280*$G280*K280/1000,$F280*#REF!*K280/1000))</f>
        <v/>
      </c>
      <c r="O280" s="451" t="str">
        <f t="shared" si="6"/>
        <v/>
      </c>
      <c r="P280" s="452"/>
    </row>
    <row r="281" spans="1:28" s="237" customFormat="1" ht="15" hidden="1" customHeight="1" outlineLevel="2" x14ac:dyDescent="0.25">
      <c r="A281" s="363"/>
      <c r="B281" s="1145"/>
      <c r="C281" s="1145"/>
      <c r="D281" s="1268"/>
      <c r="E281" s="1268"/>
      <c r="F281" s="438"/>
      <c r="G281" s="438"/>
      <c r="H281" s="1020" t="str">
        <f>IF(OR(D281="",D281="-"),"",VLOOKUP(D281,'Fatores de Emissão'!$E$192:$K$201,3,FALSE))</f>
        <v/>
      </c>
      <c r="I281" s="1111" t="str">
        <f>IF(OR(D281="",D281="-"),"",VLOOKUP(D281,'Fatores de Emissão'!$E$192:$K$201,2,FALSE))</f>
        <v/>
      </c>
      <c r="J281" s="1111" t="str">
        <f>IF(OR(D281="",D281="-"),"",VLOOKUP(D281,'Fatores de Emissão'!$E$192:$K$201,4,FALSE))</f>
        <v/>
      </c>
      <c r="K281" s="1111" t="str">
        <f>IF(OR(D281="",D281="-"),"",VLOOKUP(D281,'Fatores de Emissão'!$E$192:$K$201,6,FALSE))</f>
        <v/>
      </c>
      <c r="L281" s="478" t="str">
        <f>IF($D281="","",IF($H281="kg/p.km",$F281*$G281*I281/1000,$F281*#REF!*I281/1000))</f>
        <v/>
      </c>
      <c r="M281" s="478" t="str">
        <f>IF($D281="","",IF($H281="kg/p.km",$F281*$G281*J281/1000,$F281*#REF!*J281/1000))</f>
        <v/>
      </c>
      <c r="N281" s="478" t="str">
        <f>IF($D281="","",IF($H281="kg/p.km",$F281*$G281*K281/1000,$F281*#REF!*K281/1000))</f>
        <v/>
      </c>
      <c r="O281" s="451" t="str">
        <f t="shared" si="6"/>
        <v/>
      </c>
      <c r="P281" s="452"/>
    </row>
    <row r="282" spans="1:28" s="237" customFormat="1" ht="15" hidden="1" customHeight="1" outlineLevel="2" x14ac:dyDescent="0.25">
      <c r="A282" s="363"/>
      <c r="B282" s="1145"/>
      <c r="C282" s="1145"/>
      <c r="D282" s="1268"/>
      <c r="E282" s="1268"/>
      <c r="F282" s="438"/>
      <c r="G282" s="438"/>
      <c r="H282" s="1020" t="str">
        <f>IF(OR(D282="",D282="-"),"",VLOOKUP(D282,'Fatores de Emissão'!$E$192:$K$201,3,FALSE))</f>
        <v/>
      </c>
      <c r="I282" s="1111" t="str">
        <f>IF(OR(D282="",D282="-"),"",VLOOKUP(D282,'Fatores de Emissão'!$E$192:$K$201,2,FALSE))</f>
        <v/>
      </c>
      <c r="J282" s="1111" t="str">
        <f>IF(OR(D282="",D282="-"),"",VLOOKUP(D282,'Fatores de Emissão'!$E$192:$K$201,4,FALSE))</f>
        <v/>
      </c>
      <c r="K282" s="1111" t="str">
        <f>IF(OR(D282="",D282="-"),"",VLOOKUP(D282,'Fatores de Emissão'!$E$192:$K$201,6,FALSE))</f>
        <v/>
      </c>
      <c r="L282" s="478" t="str">
        <f>IF($D282="","",IF($H282="kg/p.km",$F282*$G282*I282/1000,$F282*#REF!*I282/1000))</f>
        <v/>
      </c>
      <c r="M282" s="478" t="str">
        <f>IF($D282="","",IF($H282="kg/p.km",$F282*$G282*J282/1000,$F282*#REF!*J282/1000))</f>
        <v/>
      </c>
      <c r="N282" s="478" t="str">
        <f>IF($D282="","",IF($H282="kg/p.km",$F282*$G282*K282/1000,$F282*#REF!*K282/1000))</f>
        <v/>
      </c>
      <c r="O282" s="451" t="str">
        <f t="shared" si="6"/>
        <v/>
      </c>
      <c r="P282" s="452"/>
    </row>
    <row r="283" spans="1:28" s="237" customFormat="1" ht="15" hidden="1" customHeight="1" outlineLevel="2" x14ac:dyDescent="0.25">
      <c r="A283" s="363"/>
      <c r="B283" s="1145"/>
      <c r="C283" s="1145"/>
      <c r="D283" s="1268"/>
      <c r="E283" s="1268"/>
      <c r="F283" s="438"/>
      <c r="G283" s="438"/>
      <c r="H283" s="1020" t="str">
        <f>IF(OR(D283="",D283="-"),"",VLOOKUP(D283,'Fatores de Emissão'!$E$192:$K$201,3,FALSE))</f>
        <v/>
      </c>
      <c r="I283" s="1111" t="str">
        <f>IF(OR(D283="",D283="-"),"",VLOOKUP(D283,'Fatores de Emissão'!$E$192:$K$201,2,FALSE))</f>
        <v/>
      </c>
      <c r="J283" s="1111" t="str">
        <f>IF(OR(D283="",D283="-"),"",VLOOKUP(D283,'Fatores de Emissão'!$E$192:$K$201,4,FALSE))</f>
        <v/>
      </c>
      <c r="K283" s="1111" t="str">
        <f>IF(OR(D283="",D283="-"),"",VLOOKUP(D283,'Fatores de Emissão'!$E$192:$K$201,6,FALSE))</f>
        <v/>
      </c>
      <c r="L283" s="478" t="str">
        <f>IF($D283="","",IF($H283="kg/p.km",$F283*$G283*I283/1000,$F283*#REF!*I283/1000))</f>
        <v/>
      </c>
      <c r="M283" s="478" t="str">
        <f>IF($D283="","",IF($H283="kg/p.km",$F283*$G283*J283/1000,$F283*#REF!*J283/1000))</f>
        <v/>
      </c>
      <c r="N283" s="478" t="str">
        <f>IF($D283="","",IF($H283="kg/p.km",$F283*$G283*K283/1000,$F283*#REF!*K283/1000))</f>
        <v/>
      </c>
      <c r="O283" s="451" t="str">
        <f t="shared" si="6"/>
        <v/>
      </c>
      <c r="P283" s="452"/>
    </row>
    <row r="284" spans="1:28" s="237" customFormat="1" ht="15" hidden="1" customHeight="1" outlineLevel="2" x14ac:dyDescent="0.25">
      <c r="A284" s="363"/>
      <c r="B284" s="1145"/>
      <c r="C284" s="1145"/>
      <c r="D284" s="1268"/>
      <c r="E284" s="1268"/>
      <c r="F284" s="438"/>
      <c r="G284" s="438"/>
      <c r="H284" s="1020" t="str">
        <f>IF(OR(D284="",D284="-"),"",VLOOKUP(D284,'Fatores de Emissão'!$E$192:$K$201,3,FALSE))</f>
        <v/>
      </c>
      <c r="I284" s="1111" t="str">
        <f>IF(OR(D284="",D284="-"),"",VLOOKUP(D284,'Fatores de Emissão'!$E$192:$K$201,2,FALSE))</f>
        <v/>
      </c>
      <c r="J284" s="1111" t="str">
        <f>IF(OR(D284="",D284="-"),"",VLOOKUP(D284,'Fatores de Emissão'!$E$192:$K$201,4,FALSE))</f>
        <v/>
      </c>
      <c r="K284" s="1111" t="str">
        <f>IF(OR(D284="",D284="-"),"",VLOOKUP(D284,'Fatores de Emissão'!$E$192:$K$201,6,FALSE))</f>
        <v/>
      </c>
      <c r="L284" s="478" t="str">
        <f>IF($D284="","",IF($H284="kg/p.km",$F284*$G284*I284/1000,$F284*#REF!*I284/1000))</f>
        <v/>
      </c>
      <c r="M284" s="478" t="str">
        <f>IF($D284="","",IF($H284="kg/p.km",$F284*$G284*J284/1000,$F284*#REF!*J284/1000))</f>
        <v/>
      </c>
      <c r="N284" s="478" t="str">
        <f>IF($D284="","",IF($H284="kg/p.km",$F284*$G284*K284/1000,$F284*#REF!*K284/1000))</f>
        <v/>
      </c>
      <c r="O284" s="451" t="str">
        <f t="shared" si="6"/>
        <v/>
      </c>
      <c r="P284" s="452"/>
    </row>
    <row r="285" spans="1:28" s="237" customFormat="1" ht="15" hidden="1" customHeight="1" outlineLevel="2" x14ac:dyDescent="0.25">
      <c r="A285" s="363"/>
      <c r="B285" s="1145"/>
      <c r="C285" s="1145"/>
      <c r="D285" s="1268"/>
      <c r="E285" s="1268"/>
      <c r="F285" s="438"/>
      <c r="G285" s="438"/>
      <c r="H285" s="1020" t="str">
        <f>IF(OR(D285="",D285="-"),"",VLOOKUP(D285,'Fatores de Emissão'!$E$192:$K$201,3,FALSE))</f>
        <v/>
      </c>
      <c r="I285" s="1111" t="str">
        <f>IF(OR(D285="",D285="-"),"",VLOOKUP(D285,'Fatores de Emissão'!$E$192:$K$201,2,FALSE))</f>
        <v/>
      </c>
      <c r="J285" s="1111" t="str">
        <f>IF(OR(D285="",D285="-"),"",VLOOKUP(D285,'Fatores de Emissão'!$E$192:$K$201,4,FALSE))</f>
        <v/>
      </c>
      <c r="K285" s="1111" t="str">
        <f>IF(OR(D285="",D285="-"),"",VLOOKUP(D285,'Fatores de Emissão'!$E$192:$K$201,6,FALSE))</f>
        <v/>
      </c>
      <c r="L285" s="478" t="str">
        <f>IF($D285="","",IF($H285="kg/p.km",$F285*$G285*I285/1000,$F285*#REF!*I285/1000))</f>
        <v/>
      </c>
      <c r="M285" s="478" t="str">
        <f>IF($D285="","",IF($H285="kg/p.km",$F285*$G285*J285/1000,$F285*#REF!*J285/1000))</f>
        <v/>
      </c>
      <c r="N285" s="478" t="str">
        <f>IF($D285="","",IF($H285="kg/p.km",$F285*$G285*K285/1000,$F285*#REF!*K285/1000))</f>
        <v/>
      </c>
      <c r="O285" s="451" t="str">
        <f t="shared" si="6"/>
        <v/>
      </c>
      <c r="P285" s="452"/>
    </row>
    <row r="286" spans="1:28" s="237" customFormat="1" ht="15" hidden="1" customHeight="1" outlineLevel="2" x14ac:dyDescent="0.25">
      <c r="A286" s="363"/>
      <c r="B286" s="1145"/>
      <c r="C286" s="1145"/>
      <c r="D286" s="1268"/>
      <c r="E286" s="1268"/>
      <c r="F286" s="438"/>
      <c r="G286" s="438"/>
      <c r="H286" s="1020" t="str">
        <f>IF(OR(D286="",D286="-"),"",VLOOKUP(D286,'Fatores de Emissão'!$E$192:$K$201,3,FALSE))</f>
        <v/>
      </c>
      <c r="I286" s="1111" t="str">
        <f>IF(OR(D286="",D286="-"),"",VLOOKUP(D286,'Fatores de Emissão'!$E$192:$K$201,2,FALSE))</f>
        <v/>
      </c>
      <c r="J286" s="1111" t="str">
        <f>IF(OR(D286="",D286="-"),"",VLOOKUP(D286,'Fatores de Emissão'!$E$192:$K$201,4,FALSE))</f>
        <v/>
      </c>
      <c r="K286" s="1111" t="str">
        <f>IF(OR(D286="",D286="-"),"",VLOOKUP(D286,'Fatores de Emissão'!$E$192:$K$201,6,FALSE))</f>
        <v/>
      </c>
      <c r="L286" s="478" t="str">
        <f>IF($D286="","",IF($H286="kg/p.km",$F286*$G286*I286/1000,$F286*#REF!*I286/1000))</f>
        <v/>
      </c>
      <c r="M286" s="478" t="str">
        <f>IF($D286="","",IF($H286="kg/p.km",$F286*$G286*J286/1000,$F286*#REF!*J286/1000))</f>
        <v/>
      </c>
      <c r="N286" s="478" t="str">
        <f>IF($D286="","",IF($H286="kg/p.km",$F286*$G286*K286/1000,$F286*#REF!*K286/1000))</f>
        <v/>
      </c>
      <c r="O286" s="451" t="str">
        <f t="shared" si="6"/>
        <v/>
      </c>
      <c r="P286" s="452"/>
    </row>
    <row r="287" spans="1:28" s="237" customFormat="1" ht="15" customHeight="1" outlineLevel="1" x14ac:dyDescent="0.25">
      <c r="A287" s="363"/>
      <c r="B287" s="449"/>
      <c r="C287" s="363"/>
      <c r="D287" s="363"/>
      <c r="E287" s="363"/>
      <c r="F287" s="363"/>
      <c r="G287" s="363"/>
      <c r="H287" s="363"/>
      <c r="I287" s="1278" t="s">
        <v>78</v>
      </c>
      <c r="J287" s="1279"/>
      <c r="K287" s="1280"/>
      <c r="L287" s="487">
        <f>SUM(L237:L286)</f>
        <v>0</v>
      </c>
      <c r="M287" s="487">
        <f>SUM(M237:M286)</f>
        <v>0</v>
      </c>
      <c r="N287" s="487">
        <f>SUM(N237:N286)</f>
        <v>0</v>
      </c>
      <c r="O287" s="487">
        <f>SUM(O237:O286)</f>
        <v>0</v>
      </c>
      <c r="P287" s="487">
        <f>SUM(P237:P286)</f>
        <v>0</v>
      </c>
    </row>
    <row r="288" spans="1:28" s="237" customFormat="1" ht="15" customHeight="1" x14ac:dyDescent="0.25">
      <c r="A288" s="363"/>
      <c r="B288" s="388"/>
      <c r="C288" s="373"/>
      <c r="D288" s="442"/>
      <c r="E288" s="442"/>
      <c r="F288" s="373"/>
      <c r="G288" s="373"/>
      <c r="H288" s="373"/>
      <c r="I288" s="373"/>
      <c r="J288" s="373"/>
      <c r="K288" s="373"/>
      <c r="L288" s="373"/>
      <c r="M288" s="373"/>
      <c r="N288" s="373"/>
      <c r="O288" s="373"/>
      <c r="P288" s="373"/>
      <c r="Q288" s="373"/>
      <c r="R288" s="373"/>
      <c r="S288" s="373"/>
      <c r="T288" s="373"/>
      <c r="U288" s="373"/>
      <c r="V288" s="363"/>
      <c r="W288" s="373"/>
      <c r="X288" s="373"/>
      <c r="Z288" s="373"/>
      <c r="AA288" s="373"/>
      <c r="AB288" s="373"/>
    </row>
    <row r="289" spans="1:58" s="463" customFormat="1" ht="18" customHeight="1" x14ac:dyDescent="0.3">
      <c r="A289" s="458"/>
      <c r="B289" s="358" t="s">
        <v>2117</v>
      </c>
      <c r="C289" s="459"/>
      <c r="D289" s="460"/>
      <c r="E289" s="460"/>
      <c r="F289" s="460"/>
      <c r="G289" s="461"/>
      <c r="H289" s="461"/>
      <c r="I289" s="461"/>
      <c r="J289" s="461"/>
      <c r="K289" s="461"/>
      <c r="L289" s="461"/>
      <c r="M289" s="461"/>
      <c r="N289" s="461"/>
      <c r="O289" s="461"/>
      <c r="P289" s="461"/>
      <c r="Q289" s="461"/>
      <c r="R289" s="461"/>
      <c r="S289" s="461"/>
      <c r="T289" s="461"/>
      <c r="U289" s="461"/>
      <c r="V289" s="461"/>
      <c r="W289" s="461"/>
      <c r="X289" s="461"/>
      <c r="Y289" s="461"/>
      <c r="Z289" s="461"/>
      <c r="AA289" s="461"/>
      <c r="AB289" s="461"/>
      <c r="AC289" s="461"/>
      <c r="AD289" s="461"/>
      <c r="AE289" s="461"/>
      <c r="AF289" s="461"/>
      <c r="AG289" s="461"/>
      <c r="AH289" s="461"/>
      <c r="AI289" s="461"/>
      <c r="AJ289" s="461"/>
      <c r="AK289" s="461"/>
      <c r="AL289" s="461"/>
      <c r="AM289" s="461"/>
      <c r="AN289" s="461"/>
      <c r="AO289" s="461"/>
      <c r="AP289" s="461"/>
      <c r="AQ289" s="461"/>
      <c r="AR289" s="461"/>
      <c r="AS289" s="461"/>
      <c r="AT289" s="461"/>
      <c r="AU289" s="461"/>
      <c r="AV289" s="461"/>
      <c r="AW289" s="461"/>
      <c r="AX289" s="461"/>
      <c r="AY289" s="461"/>
      <c r="AZ289" s="461"/>
      <c r="BA289" s="461"/>
      <c r="BB289" s="461"/>
      <c r="BC289" s="461"/>
      <c r="BD289" s="461"/>
      <c r="BE289" s="461"/>
      <c r="BF289" s="462"/>
    </row>
    <row r="290" spans="1:58" ht="15" customHeight="1" outlineLevel="1" x14ac:dyDescent="0.2">
      <c r="A290" s="339"/>
      <c r="B290" s="342"/>
      <c r="C290" s="416"/>
      <c r="D290" s="416"/>
      <c r="E290" s="416"/>
      <c r="F290" s="339"/>
      <c r="G290" s="339"/>
      <c r="H290" s="339"/>
      <c r="I290" s="339"/>
      <c r="J290" s="339"/>
      <c r="K290" s="339"/>
      <c r="L290" s="339"/>
      <c r="M290" s="339"/>
      <c r="N290" s="339"/>
      <c r="O290" s="339"/>
      <c r="P290" s="339"/>
      <c r="Q290" s="339"/>
      <c r="R290" s="339"/>
      <c r="AI290" s="339"/>
      <c r="AJ290" s="339"/>
      <c r="AK290" s="339"/>
      <c r="AL290" s="339"/>
      <c r="AM290" s="339"/>
      <c r="AO290" s="339"/>
      <c r="AP290" s="339"/>
      <c r="AQ290" s="339"/>
    </row>
    <row r="291" spans="1:58" ht="15" customHeight="1" outlineLevel="1" x14ac:dyDescent="0.2">
      <c r="A291" s="339"/>
      <c r="B291" s="469" t="s">
        <v>124</v>
      </c>
      <c r="C291" s="416"/>
      <c r="D291" s="416"/>
      <c r="E291" s="416"/>
      <c r="F291" s="339"/>
      <c r="G291" s="339"/>
      <c r="H291" s="339"/>
      <c r="I291" s="339"/>
      <c r="J291" s="339"/>
      <c r="K291" s="339"/>
      <c r="L291" s="339"/>
      <c r="M291" s="339"/>
      <c r="N291" s="339"/>
      <c r="O291" s="339"/>
      <c r="P291" s="339"/>
      <c r="Q291" s="339"/>
      <c r="R291" s="339"/>
      <c r="AI291" s="339"/>
      <c r="AJ291" s="339"/>
      <c r="AK291" s="339"/>
      <c r="AL291" s="339"/>
      <c r="AM291" s="339"/>
      <c r="AO291" s="339"/>
      <c r="AP291" s="339"/>
      <c r="AQ291" s="339"/>
    </row>
    <row r="292" spans="1:58" s="237" customFormat="1" ht="15" customHeight="1" outlineLevel="1" x14ac:dyDescent="0.25">
      <c r="A292" s="363"/>
      <c r="B292" s="449" t="s">
        <v>2118</v>
      </c>
      <c r="C292" s="442"/>
      <c r="D292" s="442"/>
      <c r="E292" s="442"/>
      <c r="F292" s="363"/>
      <c r="G292" s="363"/>
      <c r="H292" s="363"/>
      <c r="I292" s="363"/>
      <c r="J292" s="363"/>
      <c r="K292" s="363"/>
      <c r="L292" s="363"/>
      <c r="M292" s="363"/>
      <c r="N292" s="363"/>
      <c r="O292" s="363"/>
      <c r="P292" s="363"/>
      <c r="Q292" s="363"/>
      <c r="R292" s="363"/>
      <c r="AI292" s="363"/>
      <c r="AJ292" s="363"/>
      <c r="AK292" s="363"/>
      <c r="AL292" s="363"/>
      <c r="AM292" s="363"/>
      <c r="AO292" s="363"/>
      <c r="AP292" s="363"/>
      <c r="AQ292" s="363"/>
    </row>
    <row r="293" spans="1:58" s="237" customFormat="1" ht="15" customHeight="1" outlineLevel="1" x14ac:dyDescent="0.25">
      <c r="A293" s="363"/>
      <c r="B293" s="470" t="s">
        <v>1880</v>
      </c>
      <c r="C293" s="442"/>
      <c r="D293" s="442"/>
      <c r="E293" s="442"/>
      <c r="F293" s="363"/>
      <c r="G293" s="363"/>
      <c r="H293" s="363"/>
      <c r="I293" s="363"/>
      <c r="J293" s="363"/>
      <c r="K293" s="363"/>
      <c r="L293" s="363"/>
      <c r="M293" s="363"/>
      <c r="N293" s="363"/>
      <c r="O293" s="363"/>
      <c r="P293" s="363"/>
      <c r="Q293" s="363"/>
      <c r="R293" s="363"/>
      <c r="AI293" s="363"/>
      <c r="AJ293" s="363"/>
      <c r="AK293" s="363"/>
      <c r="AL293" s="363"/>
      <c r="AM293" s="363"/>
      <c r="AO293" s="363"/>
      <c r="AP293" s="363"/>
      <c r="AQ293" s="363"/>
    </row>
    <row r="294" spans="1:58" s="237" customFormat="1" ht="15" customHeight="1" outlineLevel="1" x14ac:dyDescent="0.25">
      <c r="A294" s="363"/>
      <c r="B294" s="917" t="s">
        <v>2119</v>
      </c>
      <c r="C294" s="442"/>
      <c r="D294" s="442"/>
      <c r="E294" s="442"/>
      <c r="F294" s="363"/>
      <c r="G294" s="363"/>
      <c r="H294" s="363"/>
      <c r="I294" s="363"/>
      <c r="J294" s="363"/>
      <c r="K294" s="363"/>
      <c r="L294" s="363"/>
      <c r="M294" s="363"/>
      <c r="N294" s="363"/>
      <c r="O294" s="363"/>
      <c r="P294" s="363"/>
      <c r="Q294" s="363"/>
      <c r="R294" s="363"/>
      <c r="AI294" s="363"/>
      <c r="AJ294" s="363"/>
      <c r="AK294" s="363"/>
      <c r="AL294" s="363"/>
      <c r="AM294" s="363"/>
      <c r="AO294" s="363"/>
      <c r="AP294" s="363"/>
      <c r="AQ294" s="363"/>
    </row>
    <row r="295" spans="1:58" s="237" customFormat="1" ht="15" customHeight="1" outlineLevel="1" x14ac:dyDescent="0.25">
      <c r="A295" s="363"/>
      <c r="B295" s="470" t="s">
        <v>1881</v>
      </c>
      <c r="C295" s="442"/>
      <c r="D295" s="442"/>
      <c r="E295" s="442"/>
      <c r="F295" s="363"/>
      <c r="G295" s="363"/>
      <c r="H295" s="363"/>
      <c r="I295" s="363"/>
      <c r="J295" s="363"/>
      <c r="K295" s="363"/>
      <c r="L295" s="363"/>
      <c r="M295" s="363"/>
      <c r="N295" s="363"/>
      <c r="O295" s="363"/>
      <c r="P295" s="363"/>
      <c r="Q295" s="363"/>
      <c r="R295" s="363"/>
      <c r="AI295" s="363"/>
      <c r="AJ295" s="363"/>
      <c r="AK295" s="363"/>
      <c r="AL295" s="363"/>
      <c r="AM295" s="363"/>
      <c r="AO295" s="363"/>
      <c r="AP295" s="363"/>
      <c r="AQ295" s="363"/>
    </row>
    <row r="296" spans="1:58" s="237" customFormat="1" ht="15" customHeight="1" outlineLevel="1" x14ac:dyDescent="0.25">
      <c r="A296" s="363"/>
      <c r="B296" s="206" t="s">
        <v>1340</v>
      </c>
      <c r="C296" s="442"/>
      <c r="D296" s="442"/>
      <c r="E296" s="442"/>
      <c r="F296" s="363"/>
      <c r="G296" s="363"/>
      <c r="H296" s="363"/>
      <c r="I296" s="363"/>
      <c r="J296" s="363"/>
      <c r="K296" s="363"/>
      <c r="L296" s="363"/>
      <c r="M296" s="363"/>
      <c r="N296" s="363"/>
      <c r="O296" s="363"/>
      <c r="P296" s="363"/>
      <c r="Q296" s="363"/>
      <c r="R296" s="363"/>
      <c r="AI296" s="363"/>
      <c r="AJ296" s="363"/>
      <c r="AK296" s="363"/>
      <c r="AL296" s="363"/>
      <c r="AM296" s="363"/>
      <c r="AO296" s="363"/>
      <c r="AP296" s="363"/>
      <c r="AQ296" s="363"/>
    </row>
    <row r="297" spans="1:58" s="237" customFormat="1" ht="15" customHeight="1" outlineLevel="1" x14ac:dyDescent="0.25">
      <c r="A297" s="363"/>
      <c r="B297" s="206" t="s">
        <v>2124</v>
      </c>
      <c r="C297" s="442"/>
      <c r="D297" s="442"/>
      <c r="E297" s="442"/>
      <c r="F297" s="363"/>
      <c r="G297" s="363"/>
      <c r="H297" s="363"/>
      <c r="I297" s="363"/>
      <c r="J297" s="363"/>
      <c r="K297" s="363"/>
      <c r="L297" s="363"/>
      <c r="M297" s="363"/>
      <c r="N297" s="363"/>
      <c r="O297" s="363"/>
      <c r="P297" s="363"/>
      <c r="Q297" s="363"/>
      <c r="R297" s="363"/>
      <c r="AI297" s="363"/>
      <c r="AJ297" s="363"/>
      <c r="AK297" s="363"/>
      <c r="AL297" s="363"/>
      <c r="AM297" s="363"/>
      <c r="AO297" s="363"/>
      <c r="AP297" s="363"/>
      <c r="AQ297" s="363"/>
    </row>
    <row r="298" spans="1:58" s="237" customFormat="1" ht="15" customHeight="1" outlineLevel="1" x14ac:dyDescent="0.25">
      <c r="A298" s="363"/>
      <c r="B298" s="481"/>
      <c r="C298" s="442"/>
      <c r="D298" s="442"/>
      <c r="E298" s="442"/>
      <c r="F298" s="363"/>
      <c r="G298" s="363"/>
      <c r="H298" s="363"/>
      <c r="I298" s="363"/>
      <c r="J298" s="363"/>
      <c r="K298" s="363"/>
      <c r="L298" s="363"/>
      <c r="M298" s="363"/>
      <c r="N298" s="363"/>
      <c r="O298" s="363"/>
      <c r="P298" s="363"/>
      <c r="Q298" s="363"/>
      <c r="R298" s="363"/>
      <c r="AI298" s="363"/>
      <c r="AJ298" s="363"/>
      <c r="AK298" s="363"/>
      <c r="AL298" s="363"/>
      <c r="AM298" s="363"/>
      <c r="AO298" s="363"/>
      <c r="AP298" s="363"/>
      <c r="AQ298" s="363"/>
    </row>
    <row r="299" spans="1:58" s="237" customFormat="1" ht="15" customHeight="1" outlineLevel="1" x14ac:dyDescent="0.25">
      <c r="A299" s="363"/>
      <c r="B299" s="468" t="s">
        <v>1886</v>
      </c>
      <c r="C299" s="442"/>
      <c r="D299" s="442"/>
      <c r="E299" s="442"/>
      <c r="F299" s="363"/>
      <c r="G299" s="363"/>
      <c r="H299" s="363"/>
      <c r="I299" s="363"/>
      <c r="J299" s="363"/>
      <c r="K299" s="363"/>
      <c r="L299" s="363"/>
      <c r="M299" s="363"/>
      <c r="N299" s="363"/>
      <c r="O299" s="363"/>
      <c r="P299" s="363"/>
      <c r="Q299" s="363"/>
      <c r="R299" s="363"/>
      <c r="AI299" s="363"/>
      <c r="AJ299" s="363"/>
      <c r="AK299" s="363"/>
      <c r="AL299" s="363"/>
      <c r="AM299" s="363"/>
      <c r="AO299" s="363"/>
      <c r="AP299" s="363"/>
      <c r="AQ299" s="363"/>
    </row>
    <row r="300" spans="1:58" s="237" customFormat="1" ht="15" customHeight="1" outlineLevel="1" x14ac:dyDescent="0.25">
      <c r="A300" s="363"/>
      <c r="B300" s="1267" t="s">
        <v>2120</v>
      </c>
      <c r="C300" s="1267" t="s">
        <v>1868</v>
      </c>
      <c r="D300" s="1267" t="s">
        <v>1577</v>
      </c>
      <c r="E300" s="1267"/>
      <c r="F300" s="1249" t="s">
        <v>1743</v>
      </c>
      <c r="G300" s="1249" t="s">
        <v>2123</v>
      </c>
      <c r="H300" s="1249" t="s">
        <v>1862</v>
      </c>
      <c r="I300" s="1267" t="s">
        <v>588</v>
      </c>
      <c r="J300" s="1267"/>
      <c r="K300" s="1267"/>
      <c r="L300" s="1249" t="s">
        <v>1408</v>
      </c>
      <c r="M300" s="1249" t="s">
        <v>1409</v>
      </c>
      <c r="N300" s="1249" t="s">
        <v>1410</v>
      </c>
      <c r="O300" s="1249" t="s">
        <v>1411</v>
      </c>
      <c r="P300" s="1267" t="s">
        <v>1530</v>
      </c>
    </row>
    <row r="301" spans="1:58" s="237" customFormat="1" ht="15" customHeight="1" outlineLevel="1" x14ac:dyDescent="0.25">
      <c r="A301" s="363"/>
      <c r="B301" s="1267"/>
      <c r="C301" s="1267"/>
      <c r="D301" s="1267"/>
      <c r="E301" s="1267"/>
      <c r="F301" s="1266"/>
      <c r="G301" s="1266"/>
      <c r="H301" s="1266"/>
      <c r="I301" s="1267"/>
      <c r="J301" s="1267"/>
      <c r="K301" s="1267"/>
      <c r="L301" s="1266"/>
      <c r="M301" s="1266"/>
      <c r="N301" s="1266"/>
      <c r="O301" s="1266"/>
      <c r="P301" s="1267"/>
    </row>
    <row r="302" spans="1:58" s="237" customFormat="1" ht="23.25" customHeight="1" outlineLevel="1" x14ac:dyDescent="0.25">
      <c r="A302" s="363"/>
      <c r="B302" s="1267"/>
      <c r="C302" s="1267"/>
      <c r="D302" s="1267"/>
      <c r="E302" s="1267"/>
      <c r="F302" s="1250"/>
      <c r="G302" s="1250"/>
      <c r="H302" s="1250"/>
      <c r="I302" s="1146" t="s">
        <v>1394</v>
      </c>
      <c r="J302" s="1146" t="s">
        <v>1863</v>
      </c>
      <c r="K302" s="1146" t="s">
        <v>1864</v>
      </c>
      <c r="L302" s="1250"/>
      <c r="M302" s="1250"/>
      <c r="N302" s="1250"/>
      <c r="O302" s="1250"/>
      <c r="P302" s="1267"/>
    </row>
    <row r="303" spans="1:58" s="237" customFormat="1" ht="15" customHeight="1" outlineLevel="1" x14ac:dyDescent="0.25">
      <c r="A303" s="427" t="s">
        <v>606</v>
      </c>
      <c r="B303" s="444" t="s">
        <v>2121</v>
      </c>
      <c r="C303" s="1107" t="s">
        <v>2122</v>
      </c>
      <c r="D303" s="1281" t="s">
        <v>1709</v>
      </c>
      <c r="E303" s="1282"/>
      <c r="F303" s="482">
        <v>1000</v>
      </c>
      <c r="G303" s="482">
        <v>2</v>
      </c>
      <c r="H303" s="483" t="s">
        <v>1539</v>
      </c>
      <c r="I303" s="484">
        <v>0.17</v>
      </c>
      <c r="J303" s="488">
        <v>1.7617950000000003E-5</v>
      </c>
      <c r="K303" s="488">
        <v>7.0471800000000012E-5</v>
      </c>
      <c r="L303" s="484">
        <v>171.47</v>
      </c>
      <c r="M303" s="484">
        <v>1.0394590500000002E-4</v>
      </c>
      <c r="N303" s="484">
        <v>4.157836200000001E-4</v>
      </c>
      <c r="O303" s="488">
        <v>171.47</v>
      </c>
      <c r="P303" s="484">
        <v>0</v>
      </c>
    </row>
    <row r="304" spans="1:58" s="237" customFormat="1" ht="15" customHeight="1" outlineLevel="1" x14ac:dyDescent="0.25">
      <c r="A304" s="363"/>
      <c r="B304" s="1145"/>
      <c r="C304" s="1145"/>
      <c r="D304" s="1268" t="s">
        <v>1711</v>
      </c>
      <c r="E304" s="1268"/>
      <c r="F304" s="438">
        <v>3000</v>
      </c>
      <c r="G304" s="438">
        <v>2</v>
      </c>
      <c r="H304" s="1020" t="str">
        <f>IF(OR(D304="",D304="-"),"",VLOOKUP(D304,'Fatores de Emissão'!$D$209:$K$219,4,FALSE))</f>
        <v>kg/p.km</v>
      </c>
      <c r="I304" s="1111">
        <f>IF(OR(D304="",D304="-"),"",VLOOKUP(D304,'Fatores de Emissão'!$D$209:$K$219,3,FALSE))</f>
        <v>9.2450000000000004E-2</v>
      </c>
      <c r="J304" s="1111">
        <f>IF(OR(D304="",D304="-"),"",VLOOKUP(D304,'Fatores de Emissão'!$D$209:$K$219,5,FALSE))</f>
        <v>0</v>
      </c>
      <c r="K304" s="1111">
        <f>IF(OR(D304="",D304="-"),"",VLOOKUP(D304,'Fatores de Emissão'!$D$209:$K$219,7,FALSE))</f>
        <v>0</v>
      </c>
      <c r="L304" s="478">
        <f>IF($D304="","",IF($H304="kg/p.km",$F304*1.08*$G304*I304/1000,$F304*#REF!*I304/1000))</f>
        <v>0.59907600000000005</v>
      </c>
      <c r="M304" s="478">
        <f>IF($D304="","",IF($H304="kg/p.km",$F304*1.08*$G304*J304/1000,$F304*#REF!*J304/1000))</f>
        <v>0</v>
      </c>
      <c r="N304" s="478">
        <f>IF($D304="","",IF($H304="kg/p.km",$F304*1.08*$G304*K304/1000,$F304*#REF!*K304/1000))</f>
        <v>0</v>
      </c>
      <c r="O304" s="441">
        <f>IF(ISERR(L304*gwp_CO2+M304*gwp_CH4+N304*gwp_N2O),"",L304*gwp_CO2+M304*gwp_CH4+N304*gwp_N2O)</f>
        <v>0.59907600000000005</v>
      </c>
      <c r="P304" s="440"/>
    </row>
    <row r="305" spans="1:16" s="237" customFormat="1" ht="15" customHeight="1" outlineLevel="1" x14ac:dyDescent="0.25">
      <c r="A305" s="363"/>
      <c r="B305" s="1145"/>
      <c r="C305" s="1145"/>
      <c r="D305" s="1268"/>
      <c r="E305" s="1268"/>
      <c r="F305" s="438"/>
      <c r="G305" s="438"/>
      <c r="H305" s="1020" t="str">
        <f>IF(OR(D305="",D305="-"),"",VLOOKUP(D305,'Fatores de Emissão'!$D$209:$K$219,4,FALSE))</f>
        <v/>
      </c>
      <c r="I305" s="1111" t="str">
        <f>IF(OR(D305="",D305="-"),"",VLOOKUP(D305,'Fatores de Emissão'!$D$209:$K$219,3,FALSE))</f>
        <v/>
      </c>
      <c r="J305" s="1111" t="str">
        <f>IF(OR(D305="",D305="-"),"",VLOOKUP(D305,'Fatores de Emissão'!$D$209:$K$219,5,FALSE))</f>
        <v/>
      </c>
      <c r="K305" s="1111" t="str">
        <f>IF(OR(D305="",D305="-"),"",VLOOKUP(D305,'Fatores de Emissão'!$D$209:$K$219,7,FALSE))</f>
        <v/>
      </c>
      <c r="L305" s="478" t="str">
        <f>IF($D305="","",IF($H305="kg/p.km",$F305*1.08*$G305*I305/1000,$F305*#REF!*I305/1000))</f>
        <v/>
      </c>
      <c r="M305" s="478" t="str">
        <f>IF($D305="","",IF($H305="kg/p.km",$F305*1.08*$G305*J305/1000,$F305*#REF!*J305/1000))</f>
        <v/>
      </c>
      <c r="N305" s="478" t="str">
        <f>IF($D305="","",IF($H305="kg/p.km",$F305*1.08*$G305*K305/1000,$F305*#REF!*K305/1000))</f>
        <v/>
      </c>
      <c r="O305" s="441" t="str">
        <f t="shared" ref="O305:O353" si="7">IF(ISERR(L305*gwp_CO2+M305*gwp_CH4+N305*gwp_N2O),"",L305*gwp_CO2+M305*gwp_CH4+N305*gwp_N2O)</f>
        <v/>
      </c>
      <c r="P305" s="440"/>
    </row>
    <row r="306" spans="1:16" s="237" customFormat="1" ht="15" customHeight="1" outlineLevel="1" x14ac:dyDescent="0.25">
      <c r="A306" s="363"/>
      <c r="B306" s="1145"/>
      <c r="C306" s="1145"/>
      <c r="D306" s="1268"/>
      <c r="E306" s="1268"/>
      <c r="F306" s="438"/>
      <c r="G306" s="438"/>
      <c r="H306" s="1020" t="str">
        <f>IF(OR(D306="",D306="-"),"",VLOOKUP(D306,'Fatores de Emissão'!$D$209:$K$219,4,FALSE))</f>
        <v/>
      </c>
      <c r="I306" s="1111" t="str">
        <f>IF(OR(D306="",D306="-"),"",VLOOKUP(D306,'Fatores de Emissão'!$D$209:$K$219,3,FALSE))</f>
        <v/>
      </c>
      <c r="J306" s="1111" t="str">
        <f>IF(OR(D306="",D306="-"),"",VLOOKUP(D306,'Fatores de Emissão'!$D$209:$K$219,5,FALSE))</f>
        <v/>
      </c>
      <c r="K306" s="1111" t="str">
        <f>IF(OR(D306="",D306="-"),"",VLOOKUP(D306,'Fatores de Emissão'!$D$209:$K$219,7,FALSE))</f>
        <v/>
      </c>
      <c r="L306" s="478" t="str">
        <f>IF($D306="","",IF($H306="kg/p.km",$F306*1.08*$G306*I306/1000,$F306*#REF!*I306/1000))</f>
        <v/>
      </c>
      <c r="M306" s="478" t="str">
        <f>IF($D306="","",IF($H306="kg/p.km",$F306*1.08*$G306*J306/1000,$F306*#REF!*J306/1000))</f>
        <v/>
      </c>
      <c r="N306" s="478" t="str">
        <f>IF($D306="","",IF($H306="kg/p.km",$F306*1.08*$G306*K306/1000,$F306*#REF!*K306/1000))</f>
        <v/>
      </c>
      <c r="O306" s="441" t="str">
        <f t="shared" si="7"/>
        <v/>
      </c>
      <c r="P306" s="440"/>
    </row>
    <row r="307" spans="1:16" s="237" customFormat="1" ht="15" customHeight="1" outlineLevel="1" x14ac:dyDescent="0.25">
      <c r="A307" s="363"/>
      <c r="B307" s="1145"/>
      <c r="C307" s="1145"/>
      <c r="D307" s="1268"/>
      <c r="E307" s="1268"/>
      <c r="F307" s="438"/>
      <c r="G307" s="438"/>
      <c r="H307" s="1020" t="str">
        <f>IF(OR(D307="",D307="-"),"",VLOOKUP(D307,'Fatores de Emissão'!$D$209:$K$219,4,FALSE))</f>
        <v/>
      </c>
      <c r="I307" s="1111" t="str">
        <f>IF(OR(D307="",D307="-"),"",VLOOKUP(D307,'Fatores de Emissão'!$D$209:$K$219,3,FALSE))</f>
        <v/>
      </c>
      <c r="J307" s="1111" t="str">
        <f>IF(OR(D307="",D307="-"),"",VLOOKUP(D307,'Fatores de Emissão'!$D$209:$K$219,5,FALSE))</f>
        <v/>
      </c>
      <c r="K307" s="1111" t="str">
        <f>IF(OR(D307="",D307="-"),"",VLOOKUP(D307,'Fatores de Emissão'!$D$209:$K$219,7,FALSE))</f>
        <v/>
      </c>
      <c r="L307" s="478" t="str">
        <f>IF($D307="","",IF($H307="kg/p.km",$F307*1.08*$G307*I307/1000,$F307*#REF!*I307/1000))</f>
        <v/>
      </c>
      <c r="M307" s="478" t="str">
        <f>IF($D307="","",IF($H307="kg/p.km",$F307*1.08*$G307*J307/1000,$F307*#REF!*J307/1000))</f>
        <v/>
      </c>
      <c r="N307" s="478" t="str">
        <f>IF($D307="","",IF($H307="kg/p.km",$F307*1.08*$G307*K307/1000,$F307*#REF!*K307/1000))</f>
        <v/>
      </c>
      <c r="O307" s="441" t="str">
        <f t="shared" si="7"/>
        <v/>
      </c>
      <c r="P307" s="440"/>
    </row>
    <row r="308" spans="1:16" s="237" customFormat="1" ht="15" customHeight="1" outlineLevel="1" x14ac:dyDescent="0.25">
      <c r="A308" s="363"/>
      <c r="B308" s="1145"/>
      <c r="C308" s="1145"/>
      <c r="D308" s="1268"/>
      <c r="E308" s="1268"/>
      <c r="F308" s="438"/>
      <c r="G308" s="438"/>
      <c r="H308" s="1020" t="str">
        <f>IF(OR(D308="",D308="-"),"",VLOOKUP(D308,'Fatores de Emissão'!$D$209:$K$219,4,FALSE))</f>
        <v/>
      </c>
      <c r="I308" s="1111" t="str">
        <f>IF(OR(D308="",D308="-"),"",VLOOKUP(D308,'Fatores de Emissão'!$D$209:$K$219,3,FALSE))</f>
        <v/>
      </c>
      <c r="J308" s="1111" t="str">
        <f>IF(OR(D308="",D308="-"),"",VLOOKUP(D308,'Fatores de Emissão'!$D$209:$K$219,5,FALSE))</f>
        <v/>
      </c>
      <c r="K308" s="1111" t="str">
        <f>IF(OR(D308="",D308="-"),"",VLOOKUP(D308,'Fatores de Emissão'!$D$209:$K$219,7,FALSE))</f>
        <v/>
      </c>
      <c r="L308" s="478" t="str">
        <f>IF($D308="","",IF($H308="kg/p.km",$F308*1.08*$G308*I308/1000,$F308*#REF!*I308/1000))</f>
        <v/>
      </c>
      <c r="M308" s="478" t="str">
        <f>IF($D308="","",IF($H308="kg/p.km",$F308*1.08*$G308*J308/1000,$F308*#REF!*J308/1000))</f>
        <v/>
      </c>
      <c r="N308" s="478" t="str">
        <f>IF($D308="","",IF($H308="kg/p.km",$F308*1.08*$G308*K308/1000,$F308*#REF!*K308/1000))</f>
        <v/>
      </c>
      <c r="O308" s="441" t="str">
        <f t="shared" si="7"/>
        <v/>
      </c>
      <c r="P308" s="440"/>
    </row>
    <row r="309" spans="1:16" s="237" customFormat="1" ht="15" customHeight="1" outlineLevel="1" x14ac:dyDescent="0.25">
      <c r="A309" s="363"/>
      <c r="B309" s="1145"/>
      <c r="C309" s="1145"/>
      <c r="D309" s="1268"/>
      <c r="E309" s="1268"/>
      <c r="F309" s="438"/>
      <c r="G309" s="438"/>
      <c r="H309" s="1020" t="str">
        <f>IF(OR(D309="",D309="-"),"",VLOOKUP(D309,'Fatores de Emissão'!$D$209:$K$219,4,FALSE))</f>
        <v/>
      </c>
      <c r="I309" s="1111" t="str">
        <f>IF(OR(D309="",D309="-"),"",VLOOKUP(D309,'Fatores de Emissão'!$D$209:$K$219,3,FALSE))</f>
        <v/>
      </c>
      <c r="J309" s="1111" t="str">
        <f>IF(OR(D309="",D309="-"),"",VLOOKUP(D309,'Fatores de Emissão'!$D$209:$K$219,5,FALSE))</f>
        <v/>
      </c>
      <c r="K309" s="1111" t="str">
        <f>IF(OR(D309="",D309="-"),"",VLOOKUP(D309,'Fatores de Emissão'!$D$209:$K$219,7,FALSE))</f>
        <v/>
      </c>
      <c r="L309" s="478" t="str">
        <f>IF($D309="","",IF($H309="kg/p.km",$F309*1.08*$G309*I309/1000,$F309*#REF!*I309/1000))</f>
        <v/>
      </c>
      <c r="M309" s="478" t="str">
        <f>IF($D309="","",IF($H309="kg/p.km",$F309*1.08*$G309*J309/1000,$F309*#REF!*J309/1000))</f>
        <v/>
      </c>
      <c r="N309" s="478" t="str">
        <f>IF($D309="","",IF($H309="kg/p.km",$F309*1.08*$G309*K309/1000,$F309*#REF!*K309/1000))</f>
        <v/>
      </c>
      <c r="O309" s="441" t="str">
        <f t="shared" si="7"/>
        <v/>
      </c>
      <c r="P309" s="440"/>
    </row>
    <row r="310" spans="1:16" s="237" customFormat="1" ht="15" customHeight="1" outlineLevel="1" x14ac:dyDescent="0.25">
      <c r="A310" s="363"/>
      <c r="B310" s="1145"/>
      <c r="C310" s="1145"/>
      <c r="D310" s="1268"/>
      <c r="E310" s="1268"/>
      <c r="F310" s="438"/>
      <c r="G310" s="438"/>
      <c r="H310" s="1020" t="str">
        <f>IF(OR(D310="",D310="-"),"",VLOOKUP(D310,'Fatores de Emissão'!$D$209:$K$219,4,FALSE))</f>
        <v/>
      </c>
      <c r="I310" s="1111" t="str">
        <f>IF(OR(D310="",D310="-"),"",VLOOKUP(D310,'Fatores de Emissão'!$D$209:$K$219,3,FALSE))</f>
        <v/>
      </c>
      <c r="J310" s="1111" t="str">
        <f>IF(OR(D310="",D310="-"),"",VLOOKUP(D310,'Fatores de Emissão'!$D$209:$K$219,5,FALSE))</f>
        <v/>
      </c>
      <c r="K310" s="1111" t="str">
        <f>IF(OR(D310="",D310="-"),"",VLOOKUP(D310,'Fatores de Emissão'!$D$209:$K$219,7,FALSE))</f>
        <v/>
      </c>
      <c r="L310" s="478" t="str">
        <f>IF($D310="","",IF($H310="kg/p.km",$F310*1.08*$G310*I310/1000,$F310*#REF!*I310/1000))</f>
        <v/>
      </c>
      <c r="M310" s="478" t="str">
        <f>IF($D310="","",IF($H310="kg/p.km",$F310*1.08*$G310*J310/1000,$F310*#REF!*J310/1000))</f>
        <v/>
      </c>
      <c r="N310" s="478" t="str">
        <f>IF($D310="","",IF($H310="kg/p.km",$F310*1.08*$G310*K310/1000,$F310*#REF!*K310/1000))</f>
        <v/>
      </c>
      <c r="O310" s="441" t="str">
        <f t="shared" si="7"/>
        <v/>
      </c>
      <c r="P310" s="440"/>
    </row>
    <row r="311" spans="1:16" s="237" customFormat="1" ht="15" customHeight="1" outlineLevel="1" x14ac:dyDescent="0.25">
      <c r="A311" s="363"/>
      <c r="B311" s="1145"/>
      <c r="C311" s="1145"/>
      <c r="D311" s="1268"/>
      <c r="E311" s="1268"/>
      <c r="F311" s="438"/>
      <c r="G311" s="438"/>
      <c r="H311" s="1020" t="str">
        <f>IF(OR(D311="",D311="-"),"",VLOOKUP(D311,'Fatores de Emissão'!$D$209:$K$219,4,FALSE))</f>
        <v/>
      </c>
      <c r="I311" s="1111" t="str">
        <f>IF(OR(D311="",D311="-"),"",VLOOKUP(D311,'Fatores de Emissão'!$D$209:$K$219,3,FALSE))</f>
        <v/>
      </c>
      <c r="J311" s="1111" t="str">
        <f>IF(OR(D311="",D311="-"),"",VLOOKUP(D311,'Fatores de Emissão'!$D$209:$K$219,5,FALSE))</f>
        <v/>
      </c>
      <c r="K311" s="1111" t="str">
        <f>IF(OR(D311="",D311="-"),"",VLOOKUP(D311,'Fatores de Emissão'!$D$209:$K$219,7,FALSE))</f>
        <v/>
      </c>
      <c r="L311" s="478" t="str">
        <f>IF($D311="","",IF($H311="kg/p.km",$F311*1.08*$G311*I311/1000,$F311*#REF!*I311/1000))</f>
        <v/>
      </c>
      <c r="M311" s="478" t="str">
        <f>IF($D311="","",IF($H311="kg/p.km",$F311*1.08*$G311*J311/1000,$F311*#REF!*J311/1000))</f>
        <v/>
      </c>
      <c r="N311" s="478" t="str">
        <f>IF($D311="","",IF($H311="kg/p.km",$F311*1.08*$G311*K311/1000,$F311*#REF!*K311/1000))</f>
        <v/>
      </c>
      <c r="O311" s="441" t="str">
        <f t="shared" si="7"/>
        <v/>
      </c>
      <c r="P311" s="440"/>
    </row>
    <row r="312" spans="1:16" s="237" customFormat="1" ht="15" customHeight="1" outlineLevel="1" x14ac:dyDescent="0.25">
      <c r="A312" s="363"/>
      <c r="B312" s="1145"/>
      <c r="C312" s="1145"/>
      <c r="D312" s="1268"/>
      <c r="E312" s="1268"/>
      <c r="F312" s="438"/>
      <c r="G312" s="438"/>
      <c r="H312" s="1020" t="str">
        <f>IF(OR(D312="",D312="-"),"",VLOOKUP(D312,'Fatores de Emissão'!$D$209:$K$219,4,FALSE))</f>
        <v/>
      </c>
      <c r="I312" s="1111" t="str">
        <f>IF(OR(D312="",D312="-"),"",VLOOKUP(D312,'Fatores de Emissão'!$D$209:$K$219,3,FALSE))</f>
        <v/>
      </c>
      <c r="J312" s="1111" t="str">
        <f>IF(OR(D312="",D312="-"),"",VLOOKUP(D312,'Fatores de Emissão'!$D$209:$K$219,5,FALSE))</f>
        <v/>
      </c>
      <c r="K312" s="1111" t="str">
        <f>IF(OR(D312="",D312="-"),"",VLOOKUP(D312,'Fatores de Emissão'!$D$209:$K$219,7,FALSE))</f>
        <v/>
      </c>
      <c r="L312" s="478" t="str">
        <f>IF($D312="","",IF($H312="kg/p.km",$F312*1.08*$G312*I312/1000,$F312*#REF!*I312/1000))</f>
        <v/>
      </c>
      <c r="M312" s="478" t="str">
        <f>IF($D312="","",IF($H312="kg/p.km",$F312*1.08*$G312*J312/1000,$F312*#REF!*J312/1000))</f>
        <v/>
      </c>
      <c r="N312" s="478" t="str">
        <f>IF($D312="","",IF($H312="kg/p.km",$F312*1.08*$G312*K312/1000,$F312*#REF!*K312/1000))</f>
        <v/>
      </c>
      <c r="O312" s="441" t="str">
        <f t="shared" si="7"/>
        <v/>
      </c>
      <c r="P312" s="440"/>
    </row>
    <row r="313" spans="1:16" s="237" customFormat="1" ht="15" customHeight="1" outlineLevel="1" collapsed="1" x14ac:dyDescent="0.25">
      <c r="A313" s="363"/>
      <c r="B313" s="1145"/>
      <c r="C313" s="1145"/>
      <c r="D313" s="1268"/>
      <c r="E313" s="1268"/>
      <c r="F313" s="438"/>
      <c r="G313" s="438"/>
      <c r="H313" s="1020" t="str">
        <f>IF(OR(D313="",D313="-"),"",VLOOKUP(D313,'Fatores de Emissão'!$D$209:$K$219,4,FALSE))</f>
        <v/>
      </c>
      <c r="I313" s="1111" t="str">
        <f>IF(OR(D313="",D313="-"),"",VLOOKUP(D313,'Fatores de Emissão'!$D$209:$K$219,3,FALSE))</f>
        <v/>
      </c>
      <c r="J313" s="1111" t="str">
        <f>IF(OR(D313="",D313="-"),"",VLOOKUP(D313,'Fatores de Emissão'!$D$209:$K$219,5,FALSE))</f>
        <v/>
      </c>
      <c r="K313" s="1111" t="str">
        <f>IF(OR(D313="",D313="-"),"",VLOOKUP(D313,'Fatores de Emissão'!$D$209:$K$219,7,FALSE))</f>
        <v/>
      </c>
      <c r="L313" s="478" t="str">
        <f>IF($D313="","",IF($H313="kg/p.km",$F313*1.08*$G313*I313/1000,$F313*#REF!*I313/1000))</f>
        <v/>
      </c>
      <c r="M313" s="478" t="str">
        <f>IF($D313="","",IF($H313="kg/p.km",$F313*1.08*$G313*J313/1000,$F313*#REF!*J313/1000))</f>
        <v/>
      </c>
      <c r="N313" s="478" t="str">
        <f>IF($D313="","",IF($H313="kg/p.km",$F313*1.08*$G313*K313/1000,$F313*#REF!*K313/1000))</f>
        <v/>
      </c>
      <c r="O313" s="441" t="str">
        <f t="shared" si="7"/>
        <v/>
      </c>
      <c r="P313" s="440"/>
    </row>
    <row r="314" spans="1:16" s="237" customFormat="1" ht="15" hidden="1" customHeight="1" outlineLevel="2" x14ac:dyDescent="0.25">
      <c r="A314" s="363"/>
      <c r="B314" s="1145"/>
      <c r="C314" s="1145"/>
      <c r="D314" s="1268"/>
      <c r="E314" s="1268"/>
      <c r="F314" s="438"/>
      <c r="G314" s="438"/>
      <c r="H314" s="1020" t="str">
        <f>IF(OR(D314="",D314="-"),"",VLOOKUP(D314,'Fatores de Emissão'!$D$209:$K$219,4,FALSE))</f>
        <v/>
      </c>
      <c r="I314" s="1111" t="str">
        <f>IF(OR(D314="",D314="-"),"",VLOOKUP(D314,'Fatores de Emissão'!$D$209:$K$219,3,FALSE))</f>
        <v/>
      </c>
      <c r="J314" s="1111" t="str">
        <f>IF(OR(D314="",D314="-"),"",VLOOKUP(D314,'Fatores de Emissão'!$D$209:$K$219,5,FALSE))</f>
        <v/>
      </c>
      <c r="K314" s="1111" t="str">
        <f>IF(OR(D314="",D314="-"),"",VLOOKUP(D314,'Fatores de Emissão'!$D$209:$K$219,7,FALSE))</f>
        <v/>
      </c>
      <c r="L314" s="478" t="str">
        <f>IF($D314="","",IF($H314="kg/p.km",$F314*1.08*$G314*I314/1000,$F314*#REF!*I314/1000))</f>
        <v/>
      </c>
      <c r="M314" s="478" t="str">
        <f>IF($D314="","",IF($H314="kg/p.km",$F314*1.08*$G314*J314/1000,$F314*#REF!*J314/1000))</f>
        <v/>
      </c>
      <c r="N314" s="478" t="str">
        <f>IF($D314="","",IF($H314="kg/p.km",$F314*1.08*$G314*K314/1000,$F314*#REF!*K314/1000))</f>
        <v/>
      </c>
      <c r="O314" s="441" t="str">
        <f t="shared" si="7"/>
        <v/>
      </c>
      <c r="P314" s="440"/>
    </row>
    <row r="315" spans="1:16" s="237" customFormat="1" ht="15" hidden="1" customHeight="1" outlineLevel="2" x14ac:dyDescent="0.25">
      <c r="A315" s="363"/>
      <c r="B315" s="1145"/>
      <c r="C315" s="1145"/>
      <c r="D315" s="1268"/>
      <c r="E315" s="1268"/>
      <c r="F315" s="438"/>
      <c r="G315" s="438"/>
      <c r="H315" s="1020" t="str">
        <f>IF(OR(D315="",D315="-"),"",VLOOKUP(D315,'Fatores de Emissão'!$D$209:$K$219,4,FALSE))</f>
        <v/>
      </c>
      <c r="I315" s="1111" t="str">
        <f>IF(OR(D315="",D315="-"),"",VLOOKUP(D315,'Fatores de Emissão'!$D$209:$K$219,3,FALSE))</f>
        <v/>
      </c>
      <c r="J315" s="1111" t="str">
        <f>IF(OR(D315="",D315="-"),"",VLOOKUP(D315,'Fatores de Emissão'!$D$209:$K$219,5,FALSE))</f>
        <v/>
      </c>
      <c r="K315" s="1111" t="str">
        <f>IF(OR(D315="",D315="-"),"",VLOOKUP(D315,'Fatores de Emissão'!$D$209:$K$219,7,FALSE))</f>
        <v/>
      </c>
      <c r="L315" s="478" t="str">
        <f>IF($D315="","",IF($H315="kg/p.km",$F315*1.08*$G315*I315/1000,$F315*#REF!*I315/1000))</f>
        <v/>
      </c>
      <c r="M315" s="478" t="str">
        <f>IF($D315="","",IF($H315="kg/p.km",$F315*1.08*$G315*J315/1000,$F315*#REF!*J315/1000))</f>
        <v/>
      </c>
      <c r="N315" s="478" t="str">
        <f>IF($D315="","",IF($H315="kg/p.km",$F315*1.08*$G315*K315/1000,$F315*#REF!*K315/1000))</f>
        <v/>
      </c>
      <c r="O315" s="441" t="str">
        <f t="shared" si="7"/>
        <v/>
      </c>
      <c r="P315" s="440"/>
    </row>
    <row r="316" spans="1:16" s="237" customFormat="1" ht="15" hidden="1" customHeight="1" outlineLevel="2" x14ac:dyDescent="0.25">
      <c r="A316" s="363"/>
      <c r="B316" s="1145"/>
      <c r="C316" s="1145"/>
      <c r="D316" s="1268"/>
      <c r="E316" s="1268"/>
      <c r="F316" s="438"/>
      <c r="G316" s="438"/>
      <c r="H316" s="1020" t="str">
        <f>IF(OR(D316="",D316="-"),"",VLOOKUP(D316,'Fatores de Emissão'!$D$209:$K$219,4,FALSE))</f>
        <v/>
      </c>
      <c r="I316" s="1111" t="str">
        <f>IF(OR(D316="",D316="-"),"",VLOOKUP(D316,'Fatores de Emissão'!$D$209:$K$219,3,FALSE))</f>
        <v/>
      </c>
      <c r="J316" s="1111" t="str">
        <f>IF(OR(D316="",D316="-"),"",VLOOKUP(D316,'Fatores de Emissão'!$D$209:$K$219,5,FALSE))</f>
        <v/>
      </c>
      <c r="K316" s="1111" t="str">
        <f>IF(OR(D316="",D316="-"),"",VLOOKUP(D316,'Fatores de Emissão'!$D$209:$K$219,7,FALSE))</f>
        <v/>
      </c>
      <c r="L316" s="478" t="str">
        <f>IF($D316="","",IF($H316="kg/p.km",$F316*1.08*$G316*I316/1000,$F316*#REF!*I316/1000))</f>
        <v/>
      </c>
      <c r="M316" s="478" t="str">
        <f>IF($D316="","",IF($H316="kg/p.km",$F316*1.08*$G316*J316/1000,$F316*#REF!*J316/1000))</f>
        <v/>
      </c>
      <c r="N316" s="478" t="str">
        <f>IF($D316="","",IF($H316="kg/p.km",$F316*1.08*$G316*K316/1000,$F316*#REF!*K316/1000))</f>
        <v/>
      </c>
      <c r="O316" s="441" t="str">
        <f t="shared" si="7"/>
        <v/>
      </c>
      <c r="P316" s="440"/>
    </row>
    <row r="317" spans="1:16" s="237" customFormat="1" ht="15" hidden="1" customHeight="1" outlineLevel="2" x14ac:dyDescent="0.25">
      <c r="A317" s="363"/>
      <c r="B317" s="1145"/>
      <c r="C317" s="1145"/>
      <c r="D317" s="1268"/>
      <c r="E317" s="1268"/>
      <c r="F317" s="438"/>
      <c r="G317" s="438"/>
      <c r="H317" s="1020" t="str">
        <f>IF(OR(D317="",D317="-"),"",VLOOKUP(D317,'Fatores de Emissão'!$D$209:$K$219,4,FALSE))</f>
        <v/>
      </c>
      <c r="I317" s="1111" t="str">
        <f>IF(OR(D317="",D317="-"),"",VLOOKUP(D317,'Fatores de Emissão'!$D$209:$K$219,3,FALSE))</f>
        <v/>
      </c>
      <c r="J317" s="1111" t="str">
        <f>IF(OR(D317="",D317="-"),"",VLOOKUP(D317,'Fatores de Emissão'!$D$209:$K$219,5,FALSE))</f>
        <v/>
      </c>
      <c r="K317" s="1111" t="str">
        <f>IF(OR(D317="",D317="-"),"",VLOOKUP(D317,'Fatores de Emissão'!$D$209:$K$219,7,FALSE))</f>
        <v/>
      </c>
      <c r="L317" s="478" t="str">
        <f>IF($D317="","",IF($H317="kg/p.km",$F317*1.08*$G317*I317/1000,$F317*#REF!*I317/1000))</f>
        <v/>
      </c>
      <c r="M317" s="478" t="str">
        <f>IF($D317="","",IF($H317="kg/p.km",$F317*1.08*$G317*J317/1000,$F317*#REF!*J317/1000))</f>
        <v/>
      </c>
      <c r="N317" s="478" t="str">
        <f>IF($D317="","",IF($H317="kg/p.km",$F317*1.08*$G317*K317/1000,$F317*#REF!*K317/1000))</f>
        <v/>
      </c>
      <c r="O317" s="441" t="str">
        <f t="shared" si="7"/>
        <v/>
      </c>
      <c r="P317" s="440"/>
    </row>
    <row r="318" spans="1:16" s="237" customFormat="1" ht="15" hidden="1" customHeight="1" outlineLevel="2" x14ac:dyDescent="0.25">
      <c r="A318" s="363"/>
      <c r="B318" s="1145"/>
      <c r="C318" s="1145"/>
      <c r="D318" s="1268"/>
      <c r="E318" s="1268"/>
      <c r="F318" s="438"/>
      <c r="G318" s="438"/>
      <c r="H318" s="1020" t="str">
        <f>IF(OR(D318="",D318="-"),"",VLOOKUP(D318,'Fatores de Emissão'!$D$209:$K$219,4,FALSE))</f>
        <v/>
      </c>
      <c r="I318" s="1111" t="str">
        <f>IF(OR(D318="",D318="-"),"",VLOOKUP(D318,'Fatores de Emissão'!$D$209:$K$219,3,FALSE))</f>
        <v/>
      </c>
      <c r="J318" s="1111" t="str">
        <f>IF(OR(D318="",D318="-"),"",VLOOKUP(D318,'Fatores de Emissão'!$D$209:$K$219,5,FALSE))</f>
        <v/>
      </c>
      <c r="K318" s="1111" t="str">
        <f>IF(OR(D318="",D318="-"),"",VLOOKUP(D318,'Fatores de Emissão'!$D$209:$K$219,7,FALSE))</f>
        <v/>
      </c>
      <c r="L318" s="478" t="str">
        <f>IF($D318="","",IF($H318="kg/p.km",$F318*1.08*$G318*I318/1000,$F318*#REF!*I318/1000))</f>
        <v/>
      </c>
      <c r="M318" s="478" t="str">
        <f>IF($D318="","",IF($H318="kg/p.km",$F318*1.08*$G318*J318/1000,$F318*#REF!*J318/1000))</f>
        <v/>
      </c>
      <c r="N318" s="478" t="str">
        <f>IF($D318="","",IF($H318="kg/p.km",$F318*1.08*$G318*K318/1000,$F318*#REF!*K318/1000))</f>
        <v/>
      </c>
      <c r="O318" s="441" t="str">
        <f t="shared" si="7"/>
        <v/>
      </c>
      <c r="P318" s="440"/>
    </row>
    <row r="319" spans="1:16" s="237" customFormat="1" ht="15" hidden="1" customHeight="1" outlineLevel="2" x14ac:dyDescent="0.25">
      <c r="A319" s="363"/>
      <c r="B319" s="1145"/>
      <c r="C319" s="1145"/>
      <c r="D319" s="1268"/>
      <c r="E319" s="1268"/>
      <c r="F319" s="438"/>
      <c r="G319" s="438"/>
      <c r="H319" s="1020" t="str">
        <f>IF(OR(D319="",D319="-"),"",VLOOKUP(D319,'Fatores de Emissão'!$D$209:$K$219,4,FALSE))</f>
        <v/>
      </c>
      <c r="I319" s="1111" t="str">
        <f>IF(OR(D319="",D319="-"),"",VLOOKUP(D319,'Fatores de Emissão'!$D$209:$K$219,3,FALSE))</f>
        <v/>
      </c>
      <c r="J319" s="1111" t="str">
        <f>IF(OR(D319="",D319="-"),"",VLOOKUP(D319,'Fatores de Emissão'!$D$209:$K$219,5,FALSE))</f>
        <v/>
      </c>
      <c r="K319" s="1111" t="str">
        <f>IF(OR(D319="",D319="-"),"",VLOOKUP(D319,'Fatores de Emissão'!$D$209:$K$219,7,FALSE))</f>
        <v/>
      </c>
      <c r="L319" s="478" t="str">
        <f>IF($D319="","",IF($H319="kg/p.km",$F319*1.08*$G319*I319/1000,$F319*#REF!*I319/1000))</f>
        <v/>
      </c>
      <c r="M319" s="478" t="str">
        <f>IF($D319="","",IF($H319="kg/p.km",$F319*1.08*$G319*J319/1000,$F319*#REF!*J319/1000))</f>
        <v/>
      </c>
      <c r="N319" s="478" t="str">
        <f>IF($D319="","",IF($H319="kg/p.km",$F319*1.08*$G319*K319/1000,$F319*#REF!*K319/1000))</f>
        <v/>
      </c>
      <c r="O319" s="441" t="str">
        <f t="shared" si="7"/>
        <v/>
      </c>
      <c r="P319" s="440"/>
    </row>
    <row r="320" spans="1:16" s="237" customFormat="1" ht="15" hidden="1" customHeight="1" outlineLevel="2" x14ac:dyDescent="0.25">
      <c r="A320" s="363"/>
      <c r="B320" s="1145"/>
      <c r="C320" s="1145"/>
      <c r="D320" s="1268"/>
      <c r="E320" s="1268"/>
      <c r="F320" s="438"/>
      <c r="G320" s="438"/>
      <c r="H320" s="1020" t="str">
        <f>IF(OR(D320="",D320="-"),"",VLOOKUP(D320,'Fatores de Emissão'!$D$209:$K$219,4,FALSE))</f>
        <v/>
      </c>
      <c r="I320" s="1111" t="str">
        <f>IF(OR(D320="",D320="-"),"",VLOOKUP(D320,'Fatores de Emissão'!$D$209:$K$219,3,FALSE))</f>
        <v/>
      </c>
      <c r="J320" s="1111" t="str">
        <f>IF(OR(D320="",D320="-"),"",VLOOKUP(D320,'Fatores de Emissão'!$D$209:$K$219,5,FALSE))</f>
        <v/>
      </c>
      <c r="K320" s="1111" t="str">
        <f>IF(OR(D320="",D320="-"),"",VLOOKUP(D320,'Fatores de Emissão'!$D$209:$K$219,7,FALSE))</f>
        <v/>
      </c>
      <c r="L320" s="478" t="str">
        <f>IF($D320="","",IF($H320="kg/p.km",$F320*1.08*$G320*I320/1000,$F320*#REF!*I320/1000))</f>
        <v/>
      </c>
      <c r="M320" s="478" t="str">
        <f>IF($D320="","",IF($H320="kg/p.km",$F320*1.08*$G320*J320/1000,$F320*#REF!*J320/1000))</f>
        <v/>
      </c>
      <c r="N320" s="478" t="str">
        <f>IF($D320="","",IF($H320="kg/p.km",$F320*1.08*$G320*K320/1000,$F320*#REF!*K320/1000))</f>
        <v/>
      </c>
      <c r="O320" s="441" t="str">
        <f t="shared" si="7"/>
        <v/>
      </c>
      <c r="P320" s="440"/>
    </row>
    <row r="321" spans="1:16" s="237" customFormat="1" ht="15" hidden="1" customHeight="1" outlineLevel="2" x14ac:dyDescent="0.25">
      <c r="A321" s="363"/>
      <c r="B321" s="1145"/>
      <c r="C321" s="1145"/>
      <c r="D321" s="1268"/>
      <c r="E321" s="1268"/>
      <c r="F321" s="438"/>
      <c r="G321" s="438"/>
      <c r="H321" s="1020" t="str">
        <f>IF(OR(D321="",D321="-"),"",VLOOKUP(D321,'Fatores de Emissão'!$D$209:$K$219,4,FALSE))</f>
        <v/>
      </c>
      <c r="I321" s="1111" t="str">
        <f>IF(OR(D321="",D321="-"),"",VLOOKUP(D321,'Fatores de Emissão'!$D$209:$K$219,3,FALSE))</f>
        <v/>
      </c>
      <c r="J321" s="1111" t="str">
        <f>IF(OR(D321="",D321="-"),"",VLOOKUP(D321,'Fatores de Emissão'!$D$209:$K$219,5,FALSE))</f>
        <v/>
      </c>
      <c r="K321" s="1111" t="str">
        <f>IF(OR(D321="",D321="-"),"",VLOOKUP(D321,'Fatores de Emissão'!$D$209:$K$219,7,FALSE))</f>
        <v/>
      </c>
      <c r="L321" s="478" t="str">
        <f>IF($D321="","",IF($H321="kg/p.km",$F321*1.08*$G321*I321/1000,$F321*#REF!*I321/1000))</f>
        <v/>
      </c>
      <c r="M321" s="478" t="str">
        <f>IF($D321="","",IF($H321="kg/p.km",$F321*1.08*$G321*J321/1000,$F321*#REF!*J321/1000))</f>
        <v/>
      </c>
      <c r="N321" s="478" t="str">
        <f>IF($D321="","",IF($H321="kg/p.km",$F321*1.08*$G321*K321/1000,$F321*#REF!*K321/1000))</f>
        <v/>
      </c>
      <c r="O321" s="441" t="str">
        <f t="shared" si="7"/>
        <v/>
      </c>
      <c r="P321" s="440"/>
    </row>
    <row r="322" spans="1:16" s="237" customFormat="1" ht="15" hidden="1" customHeight="1" outlineLevel="2" x14ac:dyDescent="0.25">
      <c r="A322" s="363"/>
      <c r="B322" s="1145"/>
      <c r="C322" s="1145"/>
      <c r="D322" s="1268"/>
      <c r="E322" s="1268"/>
      <c r="F322" s="438"/>
      <c r="G322" s="438"/>
      <c r="H322" s="1020" t="str">
        <f>IF(OR(D322="",D322="-"),"",VLOOKUP(D322,'Fatores de Emissão'!$D$209:$K$219,4,FALSE))</f>
        <v/>
      </c>
      <c r="I322" s="1111" t="str">
        <f>IF(OR(D322="",D322="-"),"",VLOOKUP(D322,'Fatores de Emissão'!$D$209:$K$219,3,FALSE))</f>
        <v/>
      </c>
      <c r="J322" s="1111" t="str">
        <f>IF(OR(D322="",D322="-"),"",VLOOKUP(D322,'Fatores de Emissão'!$D$209:$K$219,5,FALSE))</f>
        <v/>
      </c>
      <c r="K322" s="1111" t="str">
        <f>IF(OR(D322="",D322="-"),"",VLOOKUP(D322,'Fatores de Emissão'!$D$209:$K$219,7,FALSE))</f>
        <v/>
      </c>
      <c r="L322" s="478" t="str">
        <f>IF($D322="","",IF($H322="kg/p.km",$F322*1.08*$G322*I322/1000,$F322*#REF!*I322/1000))</f>
        <v/>
      </c>
      <c r="M322" s="478" t="str">
        <f>IF($D322="","",IF($H322="kg/p.km",$F322*1.08*$G322*J322/1000,$F322*#REF!*J322/1000))</f>
        <v/>
      </c>
      <c r="N322" s="478" t="str">
        <f>IF($D322="","",IF($H322="kg/p.km",$F322*1.08*$G322*K322/1000,$F322*#REF!*K322/1000))</f>
        <v/>
      </c>
      <c r="O322" s="441" t="str">
        <f t="shared" si="7"/>
        <v/>
      </c>
      <c r="P322" s="440"/>
    </row>
    <row r="323" spans="1:16" s="237" customFormat="1" ht="15" hidden="1" customHeight="1" outlineLevel="2" x14ac:dyDescent="0.25">
      <c r="A323" s="363"/>
      <c r="B323" s="1145"/>
      <c r="C323" s="1145"/>
      <c r="D323" s="1268"/>
      <c r="E323" s="1268"/>
      <c r="F323" s="438"/>
      <c r="G323" s="438"/>
      <c r="H323" s="1020" t="str">
        <f>IF(OR(D323="",D323="-"),"",VLOOKUP(D323,'Fatores de Emissão'!$D$209:$K$219,4,FALSE))</f>
        <v/>
      </c>
      <c r="I323" s="1111" t="str">
        <f>IF(OR(D323="",D323="-"),"",VLOOKUP(D323,'Fatores de Emissão'!$D$209:$K$219,3,FALSE))</f>
        <v/>
      </c>
      <c r="J323" s="1111" t="str">
        <f>IF(OR(D323="",D323="-"),"",VLOOKUP(D323,'Fatores de Emissão'!$D$209:$K$219,5,FALSE))</f>
        <v/>
      </c>
      <c r="K323" s="1111" t="str">
        <f>IF(OR(D323="",D323="-"),"",VLOOKUP(D323,'Fatores de Emissão'!$D$209:$K$219,7,FALSE))</f>
        <v/>
      </c>
      <c r="L323" s="478" t="str">
        <f>IF($D323="","",IF($H323="kg/p.km",$F323*1.08*$G323*I323/1000,$F323*#REF!*I323/1000))</f>
        <v/>
      </c>
      <c r="M323" s="478" t="str">
        <f>IF($D323="","",IF($H323="kg/p.km",$F323*1.08*$G323*J323/1000,$F323*#REF!*J323/1000))</f>
        <v/>
      </c>
      <c r="N323" s="478" t="str">
        <f>IF($D323="","",IF($H323="kg/p.km",$F323*1.08*$G323*K323/1000,$F323*#REF!*K323/1000))</f>
        <v/>
      </c>
      <c r="O323" s="441" t="str">
        <f t="shared" si="7"/>
        <v/>
      </c>
      <c r="P323" s="440"/>
    </row>
    <row r="324" spans="1:16" s="237" customFormat="1" ht="15" hidden="1" customHeight="1" outlineLevel="2" x14ac:dyDescent="0.25">
      <c r="A324" s="363"/>
      <c r="B324" s="1145"/>
      <c r="C324" s="1145"/>
      <c r="D324" s="1268"/>
      <c r="E324" s="1268"/>
      <c r="F324" s="438"/>
      <c r="G324" s="438"/>
      <c r="H324" s="1020" t="str">
        <f>IF(OR(D324="",D324="-"),"",VLOOKUP(D324,'Fatores de Emissão'!$D$209:$K$219,4,FALSE))</f>
        <v/>
      </c>
      <c r="I324" s="1111" t="str">
        <f>IF(OR(D324="",D324="-"),"",VLOOKUP(D324,'Fatores de Emissão'!$D$209:$K$219,3,FALSE))</f>
        <v/>
      </c>
      <c r="J324" s="1111" t="str">
        <f>IF(OR(D324="",D324="-"),"",VLOOKUP(D324,'Fatores de Emissão'!$D$209:$K$219,5,FALSE))</f>
        <v/>
      </c>
      <c r="K324" s="1111" t="str">
        <f>IF(OR(D324="",D324="-"),"",VLOOKUP(D324,'Fatores de Emissão'!$D$209:$K$219,7,FALSE))</f>
        <v/>
      </c>
      <c r="L324" s="478" t="str">
        <f>IF($D324="","",IF($H324="kg/p.km",$F324*1.08*$G324*I324/1000,$F324*#REF!*I324/1000))</f>
        <v/>
      </c>
      <c r="M324" s="478" t="str">
        <f>IF($D324="","",IF($H324="kg/p.km",$F324*1.08*$G324*J324/1000,$F324*#REF!*J324/1000))</f>
        <v/>
      </c>
      <c r="N324" s="478" t="str">
        <f>IF($D324="","",IF($H324="kg/p.km",$F324*1.08*$G324*K324/1000,$F324*#REF!*K324/1000))</f>
        <v/>
      </c>
      <c r="O324" s="441" t="str">
        <f t="shared" si="7"/>
        <v/>
      </c>
      <c r="P324" s="440"/>
    </row>
    <row r="325" spans="1:16" s="237" customFormat="1" ht="15" hidden="1" customHeight="1" outlineLevel="2" x14ac:dyDescent="0.25">
      <c r="A325" s="363"/>
      <c r="B325" s="1145"/>
      <c r="C325" s="1145"/>
      <c r="D325" s="1268"/>
      <c r="E325" s="1268"/>
      <c r="F325" s="438"/>
      <c r="G325" s="438"/>
      <c r="H325" s="1020" t="str">
        <f>IF(OR(D325="",D325="-"),"",VLOOKUP(D325,'Fatores de Emissão'!$D$209:$K$219,4,FALSE))</f>
        <v/>
      </c>
      <c r="I325" s="1111" t="str">
        <f>IF(OR(D325="",D325="-"),"",VLOOKUP(D325,'Fatores de Emissão'!$D$209:$K$219,3,FALSE))</f>
        <v/>
      </c>
      <c r="J325" s="1111" t="str">
        <f>IF(OR(D325="",D325="-"),"",VLOOKUP(D325,'Fatores de Emissão'!$D$209:$K$219,5,FALSE))</f>
        <v/>
      </c>
      <c r="K325" s="1111" t="str">
        <f>IF(OR(D325="",D325="-"),"",VLOOKUP(D325,'Fatores de Emissão'!$D$209:$K$219,7,FALSE))</f>
        <v/>
      </c>
      <c r="L325" s="478" t="str">
        <f>IF($D325="","",IF($H325="kg/p.km",$F325*1.08*$G325*I325/1000,$F325*#REF!*I325/1000))</f>
        <v/>
      </c>
      <c r="M325" s="478" t="str">
        <f>IF($D325="","",IF($H325="kg/p.km",$F325*1.08*$G325*J325/1000,$F325*#REF!*J325/1000))</f>
        <v/>
      </c>
      <c r="N325" s="478" t="str">
        <f>IF($D325="","",IF($H325="kg/p.km",$F325*1.08*$G325*K325/1000,$F325*#REF!*K325/1000))</f>
        <v/>
      </c>
      <c r="O325" s="441" t="str">
        <f t="shared" si="7"/>
        <v/>
      </c>
      <c r="P325" s="440"/>
    </row>
    <row r="326" spans="1:16" s="237" customFormat="1" ht="15" hidden="1" customHeight="1" outlineLevel="2" x14ac:dyDescent="0.25">
      <c r="A326" s="363"/>
      <c r="B326" s="1145"/>
      <c r="C326" s="1145"/>
      <c r="D326" s="1268"/>
      <c r="E326" s="1268"/>
      <c r="F326" s="438"/>
      <c r="G326" s="438"/>
      <c r="H326" s="1020" t="str">
        <f>IF(OR(D326="",D326="-"),"",VLOOKUP(D326,'Fatores de Emissão'!$D$209:$K$219,4,FALSE))</f>
        <v/>
      </c>
      <c r="I326" s="1111" t="str">
        <f>IF(OR(D326="",D326="-"),"",VLOOKUP(D326,'Fatores de Emissão'!$D$209:$K$219,3,FALSE))</f>
        <v/>
      </c>
      <c r="J326" s="1111" t="str">
        <f>IF(OR(D326="",D326="-"),"",VLOOKUP(D326,'Fatores de Emissão'!$D$209:$K$219,5,FALSE))</f>
        <v/>
      </c>
      <c r="K326" s="1111" t="str">
        <f>IF(OR(D326="",D326="-"),"",VLOOKUP(D326,'Fatores de Emissão'!$D$209:$K$219,7,FALSE))</f>
        <v/>
      </c>
      <c r="L326" s="478" t="str">
        <f>IF($D326="","",IF($H326="kg/p.km",$F326*1.08*$G326*I326/1000,$F326*#REF!*I326/1000))</f>
        <v/>
      </c>
      <c r="M326" s="478" t="str">
        <f>IF($D326="","",IF($H326="kg/p.km",$F326*1.08*$G326*J326/1000,$F326*#REF!*J326/1000))</f>
        <v/>
      </c>
      <c r="N326" s="478" t="str">
        <f>IF($D326="","",IF($H326="kg/p.km",$F326*1.08*$G326*K326/1000,$F326*#REF!*K326/1000))</f>
        <v/>
      </c>
      <c r="O326" s="441" t="str">
        <f t="shared" si="7"/>
        <v/>
      </c>
      <c r="P326" s="440"/>
    </row>
    <row r="327" spans="1:16" s="237" customFormat="1" ht="15" hidden="1" customHeight="1" outlineLevel="2" x14ac:dyDescent="0.25">
      <c r="A327" s="363"/>
      <c r="B327" s="1145"/>
      <c r="C327" s="1145"/>
      <c r="D327" s="1268"/>
      <c r="E327" s="1268"/>
      <c r="F327" s="438"/>
      <c r="G327" s="438"/>
      <c r="H327" s="1020" t="str">
        <f>IF(OR(D327="",D327="-"),"",VLOOKUP(D327,'Fatores de Emissão'!$D$209:$K$219,4,FALSE))</f>
        <v/>
      </c>
      <c r="I327" s="1111" t="str">
        <f>IF(OR(D327="",D327="-"),"",VLOOKUP(D327,'Fatores de Emissão'!$D$209:$K$219,3,FALSE))</f>
        <v/>
      </c>
      <c r="J327" s="1111" t="str">
        <f>IF(OR(D327="",D327="-"),"",VLOOKUP(D327,'Fatores de Emissão'!$D$209:$K$219,5,FALSE))</f>
        <v/>
      </c>
      <c r="K327" s="1111" t="str">
        <f>IF(OR(D327="",D327="-"),"",VLOOKUP(D327,'Fatores de Emissão'!$D$209:$K$219,7,FALSE))</f>
        <v/>
      </c>
      <c r="L327" s="478" t="str">
        <f>IF($D327="","",IF($H327="kg/p.km",$F327*1.08*$G327*I327/1000,$F327*#REF!*I327/1000))</f>
        <v/>
      </c>
      <c r="M327" s="478" t="str">
        <f>IF($D327="","",IF($H327="kg/p.km",$F327*1.08*$G327*J327/1000,$F327*#REF!*J327/1000))</f>
        <v/>
      </c>
      <c r="N327" s="478" t="str">
        <f>IF($D327="","",IF($H327="kg/p.km",$F327*1.08*$G327*K327/1000,$F327*#REF!*K327/1000))</f>
        <v/>
      </c>
      <c r="O327" s="441" t="str">
        <f t="shared" si="7"/>
        <v/>
      </c>
      <c r="P327" s="440"/>
    </row>
    <row r="328" spans="1:16" s="237" customFormat="1" ht="15" hidden="1" customHeight="1" outlineLevel="2" x14ac:dyDescent="0.25">
      <c r="A328" s="363"/>
      <c r="B328" s="1145"/>
      <c r="C328" s="1145"/>
      <c r="D328" s="1268"/>
      <c r="E328" s="1268"/>
      <c r="F328" s="438"/>
      <c r="G328" s="438"/>
      <c r="H328" s="1020" t="str">
        <f>IF(OR(D328="",D328="-"),"",VLOOKUP(D328,'Fatores de Emissão'!$D$209:$K$219,4,FALSE))</f>
        <v/>
      </c>
      <c r="I328" s="1111" t="str">
        <f>IF(OR(D328="",D328="-"),"",VLOOKUP(D328,'Fatores de Emissão'!$D$209:$K$219,3,FALSE))</f>
        <v/>
      </c>
      <c r="J328" s="1111" t="str">
        <f>IF(OR(D328="",D328="-"),"",VLOOKUP(D328,'Fatores de Emissão'!$D$209:$K$219,5,FALSE))</f>
        <v/>
      </c>
      <c r="K328" s="1111" t="str">
        <f>IF(OR(D328="",D328="-"),"",VLOOKUP(D328,'Fatores de Emissão'!$D$209:$K$219,7,FALSE))</f>
        <v/>
      </c>
      <c r="L328" s="478" t="str">
        <f>IF($D328="","",IF($H328="kg/p.km",$F328*1.08*$G328*I328/1000,$F328*#REF!*I328/1000))</f>
        <v/>
      </c>
      <c r="M328" s="478" t="str">
        <f>IF($D328="","",IF($H328="kg/p.km",$F328*1.08*$G328*J328/1000,$F328*#REF!*J328/1000))</f>
        <v/>
      </c>
      <c r="N328" s="478" t="str">
        <f>IF($D328="","",IF($H328="kg/p.km",$F328*1.08*$G328*K328/1000,$F328*#REF!*K328/1000))</f>
        <v/>
      </c>
      <c r="O328" s="441" t="str">
        <f t="shared" si="7"/>
        <v/>
      </c>
      <c r="P328" s="440"/>
    </row>
    <row r="329" spans="1:16" s="237" customFormat="1" ht="15" hidden="1" customHeight="1" outlineLevel="2" x14ac:dyDescent="0.25">
      <c r="A329" s="363"/>
      <c r="B329" s="1145"/>
      <c r="C329" s="1145"/>
      <c r="D329" s="1268"/>
      <c r="E329" s="1268"/>
      <c r="F329" s="438"/>
      <c r="G329" s="438"/>
      <c r="H329" s="1020" t="str">
        <f>IF(OR(D329="",D329="-"),"",VLOOKUP(D329,'Fatores de Emissão'!$D$209:$K$219,4,FALSE))</f>
        <v/>
      </c>
      <c r="I329" s="1111" t="str">
        <f>IF(OR(D329="",D329="-"),"",VLOOKUP(D329,'Fatores de Emissão'!$D$209:$K$219,3,FALSE))</f>
        <v/>
      </c>
      <c r="J329" s="1111" t="str">
        <f>IF(OR(D329="",D329="-"),"",VLOOKUP(D329,'Fatores de Emissão'!$D$209:$K$219,5,FALSE))</f>
        <v/>
      </c>
      <c r="K329" s="1111" t="str">
        <f>IF(OR(D329="",D329="-"),"",VLOOKUP(D329,'Fatores de Emissão'!$D$209:$K$219,7,FALSE))</f>
        <v/>
      </c>
      <c r="L329" s="478" t="str">
        <f>IF($D329="","",IF($H329="kg/p.km",$F329*1.08*$G329*I329/1000,$F329*#REF!*I329/1000))</f>
        <v/>
      </c>
      <c r="M329" s="478" t="str">
        <f>IF($D329="","",IF($H329="kg/p.km",$F329*1.08*$G329*J329/1000,$F329*#REF!*J329/1000))</f>
        <v/>
      </c>
      <c r="N329" s="478" t="str">
        <f>IF($D329="","",IF($H329="kg/p.km",$F329*1.08*$G329*K329/1000,$F329*#REF!*K329/1000))</f>
        <v/>
      </c>
      <c r="O329" s="441" t="str">
        <f t="shared" si="7"/>
        <v/>
      </c>
      <c r="P329" s="440"/>
    </row>
    <row r="330" spans="1:16" s="237" customFormat="1" ht="15" hidden="1" customHeight="1" outlineLevel="2" x14ac:dyDescent="0.25">
      <c r="A330" s="363"/>
      <c r="B330" s="1145"/>
      <c r="C330" s="1145"/>
      <c r="D330" s="1268"/>
      <c r="E330" s="1268"/>
      <c r="F330" s="438"/>
      <c r="G330" s="438"/>
      <c r="H330" s="1020" t="str">
        <f>IF(OR(D330="",D330="-"),"",VLOOKUP(D330,'Fatores de Emissão'!$D$209:$K$219,4,FALSE))</f>
        <v/>
      </c>
      <c r="I330" s="1111" t="str">
        <f>IF(OR(D330="",D330="-"),"",VLOOKUP(D330,'Fatores de Emissão'!$D$209:$K$219,3,FALSE))</f>
        <v/>
      </c>
      <c r="J330" s="1111" t="str">
        <f>IF(OR(D330="",D330="-"),"",VLOOKUP(D330,'Fatores de Emissão'!$D$209:$K$219,5,FALSE))</f>
        <v/>
      </c>
      <c r="K330" s="1111" t="str">
        <f>IF(OR(D330="",D330="-"),"",VLOOKUP(D330,'Fatores de Emissão'!$D$209:$K$219,7,FALSE))</f>
        <v/>
      </c>
      <c r="L330" s="478" t="str">
        <f>IF($D330="","",IF($H330="kg/p.km",$F330*1.08*$G330*I330/1000,$F330*#REF!*I330/1000))</f>
        <v/>
      </c>
      <c r="M330" s="478" t="str">
        <f>IF($D330="","",IF($H330="kg/p.km",$F330*1.08*$G330*J330/1000,$F330*#REF!*J330/1000))</f>
        <v/>
      </c>
      <c r="N330" s="478" t="str">
        <f>IF($D330="","",IF($H330="kg/p.km",$F330*1.08*$G330*K330/1000,$F330*#REF!*K330/1000))</f>
        <v/>
      </c>
      <c r="O330" s="441" t="str">
        <f t="shared" si="7"/>
        <v/>
      </c>
      <c r="P330" s="440"/>
    </row>
    <row r="331" spans="1:16" s="237" customFormat="1" ht="15" hidden="1" customHeight="1" outlineLevel="2" x14ac:dyDescent="0.25">
      <c r="A331" s="363"/>
      <c r="B331" s="1145"/>
      <c r="C331" s="1145"/>
      <c r="D331" s="1268"/>
      <c r="E331" s="1268"/>
      <c r="F331" s="438"/>
      <c r="G331" s="438"/>
      <c r="H331" s="1020" t="str">
        <f>IF(OR(D331="",D331="-"),"",VLOOKUP(D331,'Fatores de Emissão'!$D$209:$K$219,4,FALSE))</f>
        <v/>
      </c>
      <c r="I331" s="1111" t="str">
        <f>IF(OR(D331="",D331="-"),"",VLOOKUP(D331,'Fatores de Emissão'!$D$209:$K$219,3,FALSE))</f>
        <v/>
      </c>
      <c r="J331" s="1111" t="str">
        <f>IF(OR(D331="",D331="-"),"",VLOOKUP(D331,'Fatores de Emissão'!$D$209:$K$219,5,FALSE))</f>
        <v/>
      </c>
      <c r="K331" s="1111" t="str">
        <f>IF(OR(D331="",D331="-"),"",VLOOKUP(D331,'Fatores de Emissão'!$D$209:$K$219,7,FALSE))</f>
        <v/>
      </c>
      <c r="L331" s="478" t="str">
        <f>IF($D331="","",IF($H331="kg/p.km",$F331*1.08*$G331*I331/1000,$F331*#REF!*I331/1000))</f>
        <v/>
      </c>
      <c r="M331" s="478" t="str">
        <f>IF($D331="","",IF($H331="kg/p.km",$F331*1.08*$G331*J331/1000,$F331*#REF!*J331/1000))</f>
        <v/>
      </c>
      <c r="N331" s="478" t="str">
        <f>IF($D331="","",IF($H331="kg/p.km",$F331*1.08*$G331*K331/1000,$F331*#REF!*K331/1000))</f>
        <v/>
      </c>
      <c r="O331" s="441" t="str">
        <f t="shared" si="7"/>
        <v/>
      </c>
      <c r="P331" s="440"/>
    </row>
    <row r="332" spans="1:16" s="237" customFormat="1" ht="15" hidden="1" customHeight="1" outlineLevel="2" x14ac:dyDescent="0.25">
      <c r="A332" s="363"/>
      <c r="B332" s="1145"/>
      <c r="C332" s="1145"/>
      <c r="D332" s="1268"/>
      <c r="E332" s="1268"/>
      <c r="F332" s="438"/>
      <c r="G332" s="438"/>
      <c r="H332" s="1020" t="str">
        <f>IF(OR(D332="",D332="-"),"",VLOOKUP(D332,'Fatores de Emissão'!$D$209:$K$219,4,FALSE))</f>
        <v/>
      </c>
      <c r="I332" s="1111" t="str">
        <f>IF(OR(D332="",D332="-"),"",VLOOKUP(D332,'Fatores de Emissão'!$D$209:$K$219,3,FALSE))</f>
        <v/>
      </c>
      <c r="J332" s="1111" t="str">
        <f>IF(OR(D332="",D332="-"),"",VLOOKUP(D332,'Fatores de Emissão'!$D$209:$K$219,5,FALSE))</f>
        <v/>
      </c>
      <c r="K332" s="1111" t="str">
        <f>IF(OR(D332="",D332="-"),"",VLOOKUP(D332,'Fatores de Emissão'!$D$209:$K$219,7,FALSE))</f>
        <v/>
      </c>
      <c r="L332" s="478" t="str">
        <f>IF($D332="","",IF($H332="kg/p.km",$F332*1.08*$G332*I332/1000,$F332*#REF!*I332/1000))</f>
        <v/>
      </c>
      <c r="M332" s="478" t="str">
        <f>IF($D332="","",IF($H332="kg/p.km",$F332*1.08*$G332*J332/1000,$F332*#REF!*J332/1000))</f>
        <v/>
      </c>
      <c r="N332" s="478" t="str">
        <f>IF($D332="","",IF($H332="kg/p.km",$F332*1.08*$G332*K332/1000,$F332*#REF!*K332/1000))</f>
        <v/>
      </c>
      <c r="O332" s="441" t="str">
        <f t="shared" si="7"/>
        <v/>
      </c>
      <c r="P332" s="440"/>
    </row>
    <row r="333" spans="1:16" s="237" customFormat="1" ht="15" hidden="1" customHeight="1" outlineLevel="2" x14ac:dyDescent="0.25">
      <c r="A333" s="363"/>
      <c r="B333" s="1145"/>
      <c r="C333" s="1145"/>
      <c r="D333" s="1268"/>
      <c r="E333" s="1268"/>
      <c r="F333" s="438"/>
      <c r="G333" s="438"/>
      <c r="H333" s="1020" t="str">
        <f>IF(OR(D333="",D333="-"),"",VLOOKUP(D333,'Fatores de Emissão'!$D$209:$K$219,4,FALSE))</f>
        <v/>
      </c>
      <c r="I333" s="1111" t="str">
        <f>IF(OR(D333="",D333="-"),"",VLOOKUP(D333,'Fatores de Emissão'!$D$209:$K$219,3,FALSE))</f>
        <v/>
      </c>
      <c r="J333" s="1111" t="str">
        <f>IF(OR(D333="",D333="-"),"",VLOOKUP(D333,'Fatores de Emissão'!$D$209:$K$219,5,FALSE))</f>
        <v/>
      </c>
      <c r="K333" s="1111" t="str">
        <f>IF(OR(D333="",D333="-"),"",VLOOKUP(D333,'Fatores de Emissão'!$D$209:$K$219,7,FALSE))</f>
        <v/>
      </c>
      <c r="L333" s="478" t="str">
        <f>IF($D333="","",IF($H333="kg/p.km",$F333*1.08*$G333*I333/1000,$F333*#REF!*I333/1000))</f>
        <v/>
      </c>
      <c r="M333" s="478" t="str">
        <f>IF($D333="","",IF($H333="kg/p.km",$F333*1.08*$G333*J333/1000,$F333*#REF!*J333/1000))</f>
        <v/>
      </c>
      <c r="N333" s="478" t="str">
        <f>IF($D333="","",IF($H333="kg/p.km",$F333*1.08*$G333*K333/1000,$F333*#REF!*K333/1000))</f>
        <v/>
      </c>
      <c r="O333" s="441" t="str">
        <f t="shared" si="7"/>
        <v/>
      </c>
      <c r="P333" s="440"/>
    </row>
    <row r="334" spans="1:16" s="237" customFormat="1" ht="15" hidden="1" customHeight="1" outlineLevel="2" x14ac:dyDescent="0.25">
      <c r="A334" s="363"/>
      <c r="B334" s="1145"/>
      <c r="C334" s="1145"/>
      <c r="D334" s="1268"/>
      <c r="E334" s="1268"/>
      <c r="F334" s="438"/>
      <c r="G334" s="438"/>
      <c r="H334" s="1020" t="str">
        <f>IF(OR(D334="",D334="-"),"",VLOOKUP(D334,'Fatores de Emissão'!$D$209:$K$219,4,FALSE))</f>
        <v/>
      </c>
      <c r="I334" s="1111" t="str">
        <f>IF(OR(D334="",D334="-"),"",VLOOKUP(D334,'Fatores de Emissão'!$D$209:$K$219,3,FALSE))</f>
        <v/>
      </c>
      <c r="J334" s="1111" t="str">
        <f>IF(OR(D334="",D334="-"),"",VLOOKUP(D334,'Fatores de Emissão'!$D$209:$K$219,5,FALSE))</f>
        <v/>
      </c>
      <c r="K334" s="1111" t="str">
        <f>IF(OR(D334="",D334="-"),"",VLOOKUP(D334,'Fatores de Emissão'!$D$209:$K$219,7,FALSE))</f>
        <v/>
      </c>
      <c r="L334" s="478" t="str">
        <f>IF($D334="","",IF($H334="kg/p.km",$F334*1.08*$G334*I334/1000,$F334*#REF!*I334/1000))</f>
        <v/>
      </c>
      <c r="M334" s="478" t="str">
        <f>IF($D334="","",IF($H334="kg/p.km",$F334*1.08*$G334*J334/1000,$F334*#REF!*J334/1000))</f>
        <v/>
      </c>
      <c r="N334" s="478" t="str">
        <f>IF($D334="","",IF($H334="kg/p.km",$F334*1.08*$G334*K334/1000,$F334*#REF!*K334/1000))</f>
        <v/>
      </c>
      <c r="O334" s="441" t="str">
        <f t="shared" si="7"/>
        <v/>
      </c>
      <c r="P334" s="440"/>
    </row>
    <row r="335" spans="1:16" s="237" customFormat="1" ht="15" hidden="1" customHeight="1" outlineLevel="2" x14ac:dyDescent="0.25">
      <c r="A335" s="363"/>
      <c r="B335" s="1145"/>
      <c r="C335" s="1145"/>
      <c r="D335" s="1268"/>
      <c r="E335" s="1268"/>
      <c r="F335" s="438"/>
      <c r="G335" s="438"/>
      <c r="H335" s="1020" t="str">
        <f>IF(OR(D335="",D335="-"),"",VLOOKUP(D335,'Fatores de Emissão'!$D$209:$K$219,4,FALSE))</f>
        <v/>
      </c>
      <c r="I335" s="1111" t="str">
        <f>IF(OR(D335="",D335="-"),"",VLOOKUP(D335,'Fatores de Emissão'!$D$209:$K$219,3,FALSE))</f>
        <v/>
      </c>
      <c r="J335" s="1111" t="str">
        <f>IF(OR(D335="",D335="-"),"",VLOOKUP(D335,'Fatores de Emissão'!$D$209:$K$219,5,FALSE))</f>
        <v/>
      </c>
      <c r="K335" s="1111" t="str">
        <f>IF(OR(D335="",D335="-"),"",VLOOKUP(D335,'Fatores de Emissão'!$D$209:$K$219,7,FALSE))</f>
        <v/>
      </c>
      <c r="L335" s="478" t="str">
        <f>IF($D335="","",IF($H335="kg/p.km",$F335*1.08*$G335*I335/1000,$F335*#REF!*I335/1000))</f>
        <v/>
      </c>
      <c r="M335" s="478" t="str">
        <f>IF($D335="","",IF($H335="kg/p.km",$F335*1.08*$G335*J335/1000,$F335*#REF!*J335/1000))</f>
        <v/>
      </c>
      <c r="N335" s="478" t="str">
        <f>IF($D335="","",IF($H335="kg/p.km",$F335*1.08*$G335*K335/1000,$F335*#REF!*K335/1000))</f>
        <v/>
      </c>
      <c r="O335" s="441" t="str">
        <f t="shared" si="7"/>
        <v/>
      </c>
      <c r="P335" s="440"/>
    </row>
    <row r="336" spans="1:16" s="237" customFormat="1" ht="15" hidden="1" customHeight="1" outlineLevel="2" x14ac:dyDescent="0.25">
      <c r="A336" s="363"/>
      <c r="B336" s="1145"/>
      <c r="C336" s="1145"/>
      <c r="D336" s="1268"/>
      <c r="E336" s="1268"/>
      <c r="F336" s="438"/>
      <c r="G336" s="438"/>
      <c r="H336" s="1020" t="str">
        <f>IF(OR(D336="",D336="-"),"",VLOOKUP(D336,'Fatores de Emissão'!$D$209:$K$219,4,FALSE))</f>
        <v/>
      </c>
      <c r="I336" s="1111" t="str">
        <f>IF(OR(D336="",D336="-"),"",VLOOKUP(D336,'Fatores de Emissão'!$D$209:$K$219,3,FALSE))</f>
        <v/>
      </c>
      <c r="J336" s="1111" t="str">
        <f>IF(OR(D336="",D336="-"),"",VLOOKUP(D336,'Fatores de Emissão'!$D$209:$K$219,5,FALSE))</f>
        <v/>
      </c>
      <c r="K336" s="1111" t="str">
        <f>IF(OR(D336="",D336="-"),"",VLOOKUP(D336,'Fatores de Emissão'!$D$209:$K$219,7,FALSE))</f>
        <v/>
      </c>
      <c r="L336" s="478" t="str">
        <f>IF($D336="","",IF($H336="kg/p.km",$F336*1.08*$G336*I336/1000,$F336*#REF!*I336/1000))</f>
        <v/>
      </c>
      <c r="M336" s="478" t="str">
        <f>IF($D336="","",IF($H336="kg/p.km",$F336*1.08*$G336*J336/1000,$F336*#REF!*J336/1000))</f>
        <v/>
      </c>
      <c r="N336" s="478" t="str">
        <f>IF($D336="","",IF($H336="kg/p.km",$F336*1.08*$G336*K336/1000,$F336*#REF!*K336/1000))</f>
        <v/>
      </c>
      <c r="O336" s="441" t="str">
        <f t="shared" si="7"/>
        <v/>
      </c>
      <c r="P336" s="440"/>
    </row>
    <row r="337" spans="1:16" s="237" customFormat="1" ht="15" hidden="1" customHeight="1" outlineLevel="2" x14ac:dyDescent="0.25">
      <c r="A337" s="363"/>
      <c r="B337" s="1145"/>
      <c r="C337" s="1145"/>
      <c r="D337" s="1268"/>
      <c r="E337" s="1268"/>
      <c r="F337" s="438"/>
      <c r="G337" s="438"/>
      <c r="H337" s="1020" t="str">
        <f>IF(OR(D337="",D337="-"),"",VLOOKUP(D337,'Fatores de Emissão'!$D$209:$K$219,4,FALSE))</f>
        <v/>
      </c>
      <c r="I337" s="1111" t="str">
        <f>IF(OR(D337="",D337="-"),"",VLOOKUP(D337,'Fatores de Emissão'!$D$209:$K$219,3,FALSE))</f>
        <v/>
      </c>
      <c r="J337" s="1111" t="str">
        <f>IF(OR(D337="",D337="-"),"",VLOOKUP(D337,'Fatores de Emissão'!$D$209:$K$219,5,FALSE))</f>
        <v/>
      </c>
      <c r="K337" s="1111" t="str">
        <f>IF(OR(D337="",D337="-"),"",VLOOKUP(D337,'Fatores de Emissão'!$D$209:$K$219,7,FALSE))</f>
        <v/>
      </c>
      <c r="L337" s="478" t="str">
        <f>IF($D337="","",IF($H337="kg/p.km",$F337*1.08*$G337*I337/1000,$F337*#REF!*I337/1000))</f>
        <v/>
      </c>
      <c r="M337" s="478" t="str">
        <f>IF($D337="","",IF($H337="kg/p.km",$F337*1.08*$G337*J337/1000,$F337*#REF!*J337/1000))</f>
        <v/>
      </c>
      <c r="N337" s="478" t="str">
        <f>IF($D337="","",IF($H337="kg/p.km",$F337*1.08*$G337*K337/1000,$F337*#REF!*K337/1000))</f>
        <v/>
      </c>
      <c r="O337" s="441" t="str">
        <f t="shared" si="7"/>
        <v/>
      </c>
      <c r="P337" s="440"/>
    </row>
    <row r="338" spans="1:16" s="237" customFormat="1" ht="15" hidden="1" customHeight="1" outlineLevel="2" x14ac:dyDescent="0.25">
      <c r="A338" s="363"/>
      <c r="B338" s="1145"/>
      <c r="C338" s="1145"/>
      <c r="D338" s="1268"/>
      <c r="E338" s="1268"/>
      <c r="F338" s="438"/>
      <c r="G338" s="438"/>
      <c r="H338" s="1020" t="str">
        <f>IF(OR(D338="",D338="-"),"",VLOOKUP(D338,'Fatores de Emissão'!$D$209:$K$219,4,FALSE))</f>
        <v/>
      </c>
      <c r="I338" s="1111" t="str">
        <f>IF(OR(D338="",D338="-"),"",VLOOKUP(D338,'Fatores de Emissão'!$D$209:$K$219,3,FALSE))</f>
        <v/>
      </c>
      <c r="J338" s="1111" t="str">
        <f>IF(OR(D338="",D338="-"),"",VLOOKUP(D338,'Fatores de Emissão'!$D$209:$K$219,5,FALSE))</f>
        <v/>
      </c>
      <c r="K338" s="1111" t="str">
        <f>IF(OR(D338="",D338="-"),"",VLOOKUP(D338,'Fatores de Emissão'!$D$209:$K$219,7,FALSE))</f>
        <v/>
      </c>
      <c r="L338" s="478" t="str">
        <f>IF($D338="","",IF($H338="kg/p.km",$F338*1.08*$G338*I338/1000,$F338*#REF!*I338/1000))</f>
        <v/>
      </c>
      <c r="M338" s="478" t="str">
        <f>IF($D338="","",IF($H338="kg/p.km",$F338*1.08*$G338*J338/1000,$F338*#REF!*J338/1000))</f>
        <v/>
      </c>
      <c r="N338" s="478" t="str">
        <f>IF($D338="","",IF($H338="kg/p.km",$F338*1.08*$G338*K338/1000,$F338*#REF!*K338/1000))</f>
        <v/>
      </c>
      <c r="O338" s="441" t="str">
        <f t="shared" si="7"/>
        <v/>
      </c>
      <c r="P338" s="440"/>
    </row>
    <row r="339" spans="1:16" s="237" customFormat="1" ht="15" hidden="1" customHeight="1" outlineLevel="2" x14ac:dyDescent="0.25">
      <c r="A339" s="363"/>
      <c r="B339" s="1145"/>
      <c r="C339" s="1145"/>
      <c r="D339" s="1268"/>
      <c r="E339" s="1268"/>
      <c r="F339" s="438"/>
      <c r="G339" s="438"/>
      <c r="H339" s="1020" t="str">
        <f>IF(OR(D339="",D339="-"),"",VLOOKUP(D339,'Fatores de Emissão'!$D$209:$K$219,4,FALSE))</f>
        <v/>
      </c>
      <c r="I339" s="1111" t="str">
        <f>IF(OR(D339="",D339="-"),"",VLOOKUP(D339,'Fatores de Emissão'!$D$209:$K$219,3,FALSE))</f>
        <v/>
      </c>
      <c r="J339" s="1111" t="str">
        <f>IF(OR(D339="",D339="-"),"",VLOOKUP(D339,'Fatores de Emissão'!$D$209:$K$219,5,FALSE))</f>
        <v/>
      </c>
      <c r="K339" s="1111" t="str">
        <f>IF(OR(D339="",D339="-"),"",VLOOKUP(D339,'Fatores de Emissão'!$D$209:$K$219,7,FALSE))</f>
        <v/>
      </c>
      <c r="L339" s="478" t="str">
        <f>IF($D339="","",IF($H339="kg/p.km",$F339*1.08*$G339*I339/1000,$F339*#REF!*I339/1000))</f>
        <v/>
      </c>
      <c r="M339" s="478" t="str">
        <f>IF($D339="","",IF($H339="kg/p.km",$F339*1.08*$G339*J339/1000,$F339*#REF!*J339/1000))</f>
        <v/>
      </c>
      <c r="N339" s="478" t="str">
        <f>IF($D339="","",IF($H339="kg/p.km",$F339*1.08*$G339*K339/1000,$F339*#REF!*K339/1000))</f>
        <v/>
      </c>
      <c r="O339" s="441" t="str">
        <f t="shared" si="7"/>
        <v/>
      </c>
      <c r="P339" s="440"/>
    </row>
    <row r="340" spans="1:16" s="237" customFormat="1" ht="15" hidden="1" customHeight="1" outlineLevel="2" x14ac:dyDescent="0.25">
      <c r="A340" s="363"/>
      <c r="B340" s="1145"/>
      <c r="C340" s="1145"/>
      <c r="D340" s="1268"/>
      <c r="E340" s="1268"/>
      <c r="F340" s="438"/>
      <c r="G340" s="438"/>
      <c r="H340" s="1020" t="str">
        <f>IF(OR(D340="",D340="-"),"",VLOOKUP(D340,'Fatores de Emissão'!$D$209:$K$219,4,FALSE))</f>
        <v/>
      </c>
      <c r="I340" s="1111" t="str">
        <f>IF(OR(D340="",D340="-"),"",VLOOKUP(D340,'Fatores de Emissão'!$D$209:$K$219,3,FALSE))</f>
        <v/>
      </c>
      <c r="J340" s="1111" t="str">
        <f>IF(OR(D340="",D340="-"),"",VLOOKUP(D340,'Fatores de Emissão'!$D$209:$K$219,5,FALSE))</f>
        <v/>
      </c>
      <c r="K340" s="1111" t="str">
        <f>IF(OR(D340="",D340="-"),"",VLOOKUP(D340,'Fatores de Emissão'!$D$209:$K$219,7,FALSE))</f>
        <v/>
      </c>
      <c r="L340" s="478" t="str">
        <f>IF($D340="","",IF($H340="kg/p.km",$F340*1.08*$G340*I340/1000,$F340*#REF!*I340/1000))</f>
        <v/>
      </c>
      <c r="M340" s="478" t="str">
        <f>IF($D340="","",IF($H340="kg/p.km",$F340*1.08*$G340*J340/1000,$F340*#REF!*J340/1000))</f>
        <v/>
      </c>
      <c r="N340" s="478" t="str">
        <f>IF($D340="","",IF($H340="kg/p.km",$F340*1.08*$G340*K340/1000,$F340*#REF!*K340/1000))</f>
        <v/>
      </c>
      <c r="O340" s="441" t="str">
        <f t="shared" si="7"/>
        <v/>
      </c>
      <c r="P340" s="440"/>
    </row>
    <row r="341" spans="1:16" s="237" customFormat="1" ht="15" hidden="1" customHeight="1" outlineLevel="2" x14ac:dyDescent="0.25">
      <c r="A341" s="363"/>
      <c r="B341" s="1145"/>
      <c r="C341" s="1145"/>
      <c r="D341" s="1268"/>
      <c r="E341" s="1268"/>
      <c r="F341" s="438"/>
      <c r="G341" s="438"/>
      <c r="H341" s="1020" t="str">
        <f>IF(OR(D341="",D341="-"),"",VLOOKUP(D341,'Fatores de Emissão'!$D$209:$K$219,4,FALSE))</f>
        <v/>
      </c>
      <c r="I341" s="1111" t="str">
        <f>IF(OR(D341="",D341="-"),"",VLOOKUP(D341,'Fatores de Emissão'!$D$209:$K$219,3,FALSE))</f>
        <v/>
      </c>
      <c r="J341" s="1111" t="str">
        <f>IF(OR(D341="",D341="-"),"",VLOOKUP(D341,'Fatores de Emissão'!$D$209:$K$219,5,FALSE))</f>
        <v/>
      </c>
      <c r="K341" s="1111" t="str">
        <f>IF(OR(D341="",D341="-"),"",VLOOKUP(D341,'Fatores de Emissão'!$D$209:$K$219,7,FALSE))</f>
        <v/>
      </c>
      <c r="L341" s="478" t="str">
        <f>IF($D341="","",IF($H341="kg/p.km",$F341*1.08*$G341*I341/1000,$F341*#REF!*I341/1000))</f>
        <v/>
      </c>
      <c r="M341" s="478" t="str">
        <f>IF($D341="","",IF($H341="kg/p.km",$F341*1.08*$G341*J341/1000,$F341*#REF!*J341/1000))</f>
        <v/>
      </c>
      <c r="N341" s="478" t="str">
        <f>IF($D341="","",IF($H341="kg/p.km",$F341*1.08*$G341*K341/1000,$F341*#REF!*K341/1000))</f>
        <v/>
      </c>
      <c r="O341" s="441" t="str">
        <f t="shared" si="7"/>
        <v/>
      </c>
      <c r="P341" s="440"/>
    </row>
    <row r="342" spans="1:16" s="237" customFormat="1" ht="15" hidden="1" customHeight="1" outlineLevel="2" x14ac:dyDescent="0.25">
      <c r="A342" s="363"/>
      <c r="B342" s="1145"/>
      <c r="C342" s="1145"/>
      <c r="D342" s="1268"/>
      <c r="E342" s="1268"/>
      <c r="F342" s="438"/>
      <c r="G342" s="438"/>
      <c r="H342" s="1020" t="str">
        <f>IF(OR(D342="",D342="-"),"",VLOOKUP(D342,'Fatores de Emissão'!$D$209:$K$219,4,FALSE))</f>
        <v/>
      </c>
      <c r="I342" s="1111" t="str">
        <f>IF(OR(D342="",D342="-"),"",VLOOKUP(D342,'Fatores de Emissão'!$D$209:$K$219,3,FALSE))</f>
        <v/>
      </c>
      <c r="J342" s="1111" t="str">
        <f>IF(OR(D342="",D342="-"),"",VLOOKUP(D342,'Fatores de Emissão'!$D$209:$K$219,5,FALSE))</f>
        <v/>
      </c>
      <c r="K342" s="1111" t="str">
        <f>IF(OR(D342="",D342="-"),"",VLOOKUP(D342,'Fatores de Emissão'!$D$209:$K$219,7,FALSE))</f>
        <v/>
      </c>
      <c r="L342" s="478" t="str">
        <f>IF($D342="","",IF($H342="kg/p.km",$F342*1.08*$G342*I342/1000,$F342*#REF!*I342/1000))</f>
        <v/>
      </c>
      <c r="M342" s="478" t="str">
        <f>IF($D342="","",IF($H342="kg/p.km",$F342*1.08*$G342*J342/1000,$F342*#REF!*J342/1000))</f>
        <v/>
      </c>
      <c r="N342" s="478" t="str">
        <f>IF($D342="","",IF($H342="kg/p.km",$F342*1.08*$G342*K342/1000,$F342*#REF!*K342/1000))</f>
        <v/>
      </c>
      <c r="O342" s="441" t="str">
        <f t="shared" si="7"/>
        <v/>
      </c>
      <c r="P342" s="440"/>
    </row>
    <row r="343" spans="1:16" s="237" customFormat="1" ht="15" hidden="1" customHeight="1" outlineLevel="2" x14ac:dyDescent="0.25">
      <c r="A343" s="363"/>
      <c r="B343" s="1145"/>
      <c r="C343" s="1145"/>
      <c r="D343" s="1268"/>
      <c r="E343" s="1268"/>
      <c r="F343" s="438"/>
      <c r="G343" s="438"/>
      <c r="H343" s="1020" t="str">
        <f>IF(OR(D343="",D343="-"),"",VLOOKUP(D343,'Fatores de Emissão'!$D$209:$K$219,4,FALSE))</f>
        <v/>
      </c>
      <c r="I343" s="1111" t="str">
        <f>IF(OR(D343="",D343="-"),"",VLOOKUP(D343,'Fatores de Emissão'!$D$209:$K$219,3,FALSE))</f>
        <v/>
      </c>
      <c r="J343" s="1111" t="str">
        <f>IF(OR(D343="",D343="-"),"",VLOOKUP(D343,'Fatores de Emissão'!$D$209:$K$219,5,FALSE))</f>
        <v/>
      </c>
      <c r="K343" s="1111" t="str">
        <f>IF(OR(D343="",D343="-"),"",VLOOKUP(D343,'Fatores de Emissão'!$D$209:$K$219,7,FALSE))</f>
        <v/>
      </c>
      <c r="L343" s="478" t="str">
        <f>IF($D343="","",IF($H343="kg/p.km",$F343*1.08*$G343*I343/1000,$F343*#REF!*I343/1000))</f>
        <v/>
      </c>
      <c r="M343" s="478" t="str">
        <f>IF($D343="","",IF($H343="kg/p.km",$F343*1.08*$G343*J343/1000,$F343*#REF!*J343/1000))</f>
        <v/>
      </c>
      <c r="N343" s="478" t="str">
        <f>IF($D343="","",IF($H343="kg/p.km",$F343*1.08*$G343*K343/1000,$F343*#REF!*K343/1000))</f>
        <v/>
      </c>
      <c r="O343" s="441" t="str">
        <f t="shared" si="7"/>
        <v/>
      </c>
      <c r="P343" s="440"/>
    </row>
    <row r="344" spans="1:16" s="237" customFormat="1" ht="15" hidden="1" customHeight="1" outlineLevel="2" x14ac:dyDescent="0.25">
      <c r="A344" s="363"/>
      <c r="B344" s="1145"/>
      <c r="C344" s="1145"/>
      <c r="D344" s="1268"/>
      <c r="E344" s="1268"/>
      <c r="F344" s="438"/>
      <c r="G344" s="438"/>
      <c r="H344" s="1020" t="str">
        <f>IF(OR(D344="",D344="-"),"",VLOOKUP(D344,'Fatores de Emissão'!$D$209:$K$219,4,FALSE))</f>
        <v/>
      </c>
      <c r="I344" s="1111" t="str">
        <f>IF(OR(D344="",D344="-"),"",VLOOKUP(D344,'Fatores de Emissão'!$D$209:$K$219,3,FALSE))</f>
        <v/>
      </c>
      <c r="J344" s="1111" t="str">
        <f>IF(OR(D344="",D344="-"),"",VLOOKUP(D344,'Fatores de Emissão'!$D$209:$K$219,5,FALSE))</f>
        <v/>
      </c>
      <c r="K344" s="1111" t="str">
        <f>IF(OR(D344="",D344="-"),"",VLOOKUP(D344,'Fatores de Emissão'!$D$209:$K$219,7,FALSE))</f>
        <v/>
      </c>
      <c r="L344" s="478" t="str">
        <f>IF($D344="","",IF($H344="kg/p.km",$F344*1.08*$G344*I344/1000,$F344*#REF!*I344/1000))</f>
        <v/>
      </c>
      <c r="M344" s="478" t="str">
        <f>IF($D344="","",IF($H344="kg/p.km",$F344*1.08*$G344*J344/1000,$F344*#REF!*J344/1000))</f>
        <v/>
      </c>
      <c r="N344" s="478" t="str">
        <f>IF($D344="","",IF($H344="kg/p.km",$F344*1.08*$G344*K344/1000,$F344*#REF!*K344/1000))</f>
        <v/>
      </c>
      <c r="O344" s="441" t="str">
        <f t="shared" si="7"/>
        <v/>
      </c>
      <c r="P344" s="440"/>
    </row>
    <row r="345" spans="1:16" s="237" customFormat="1" ht="15" hidden="1" customHeight="1" outlineLevel="2" x14ac:dyDescent="0.25">
      <c r="A345" s="363"/>
      <c r="B345" s="1145"/>
      <c r="C345" s="1145"/>
      <c r="D345" s="1268"/>
      <c r="E345" s="1268"/>
      <c r="F345" s="438"/>
      <c r="G345" s="438"/>
      <c r="H345" s="1020" t="str">
        <f>IF(OR(D345="",D345="-"),"",VLOOKUP(D345,'Fatores de Emissão'!$D$209:$K$219,4,FALSE))</f>
        <v/>
      </c>
      <c r="I345" s="1111" t="str">
        <f>IF(OR(D345="",D345="-"),"",VLOOKUP(D345,'Fatores de Emissão'!$D$209:$K$219,3,FALSE))</f>
        <v/>
      </c>
      <c r="J345" s="1111" t="str">
        <f>IF(OR(D345="",D345="-"),"",VLOOKUP(D345,'Fatores de Emissão'!$D$209:$K$219,5,FALSE))</f>
        <v/>
      </c>
      <c r="K345" s="1111" t="str">
        <f>IF(OR(D345="",D345="-"),"",VLOOKUP(D345,'Fatores de Emissão'!$D$209:$K$219,7,FALSE))</f>
        <v/>
      </c>
      <c r="L345" s="478" t="str">
        <f>IF($D345="","",IF($H345="kg/p.km",$F345*1.08*$G345*I345/1000,$F345*#REF!*I345/1000))</f>
        <v/>
      </c>
      <c r="M345" s="478" t="str">
        <f>IF($D345="","",IF($H345="kg/p.km",$F345*1.08*$G345*J345/1000,$F345*#REF!*J345/1000))</f>
        <v/>
      </c>
      <c r="N345" s="478" t="str">
        <f>IF($D345="","",IF($H345="kg/p.km",$F345*1.08*$G345*K345/1000,$F345*#REF!*K345/1000))</f>
        <v/>
      </c>
      <c r="O345" s="441" t="str">
        <f t="shared" si="7"/>
        <v/>
      </c>
      <c r="P345" s="440"/>
    </row>
    <row r="346" spans="1:16" s="237" customFormat="1" ht="15" hidden="1" customHeight="1" outlineLevel="2" x14ac:dyDescent="0.25">
      <c r="A346" s="363"/>
      <c r="B346" s="1145"/>
      <c r="C346" s="1145"/>
      <c r="D346" s="1268"/>
      <c r="E346" s="1268"/>
      <c r="F346" s="438"/>
      <c r="G346" s="438"/>
      <c r="H346" s="1020" t="str">
        <f>IF(OR(D346="",D346="-"),"",VLOOKUP(D346,'Fatores de Emissão'!$D$209:$K$219,4,FALSE))</f>
        <v/>
      </c>
      <c r="I346" s="1111" t="str">
        <f>IF(OR(D346="",D346="-"),"",VLOOKUP(D346,'Fatores de Emissão'!$D$209:$K$219,3,FALSE))</f>
        <v/>
      </c>
      <c r="J346" s="1111" t="str">
        <f>IF(OR(D346="",D346="-"),"",VLOOKUP(D346,'Fatores de Emissão'!$D$209:$K$219,5,FALSE))</f>
        <v/>
      </c>
      <c r="K346" s="1111" t="str">
        <f>IF(OR(D346="",D346="-"),"",VLOOKUP(D346,'Fatores de Emissão'!$D$209:$K$219,7,FALSE))</f>
        <v/>
      </c>
      <c r="L346" s="478" t="str">
        <f>IF($D346="","",IF($H346="kg/p.km",$F346*1.08*$G346*I346/1000,$F346*#REF!*I346/1000))</f>
        <v/>
      </c>
      <c r="M346" s="478" t="str">
        <f>IF($D346="","",IF($H346="kg/p.km",$F346*1.08*$G346*J346/1000,$F346*#REF!*J346/1000))</f>
        <v/>
      </c>
      <c r="N346" s="478" t="str">
        <f>IF($D346="","",IF($H346="kg/p.km",$F346*1.08*$G346*K346/1000,$F346*#REF!*K346/1000))</f>
        <v/>
      </c>
      <c r="O346" s="441" t="str">
        <f t="shared" si="7"/>
        <v/>
      </c>
      <c r="P346" s="440"/>
    </row>
    <row r="347" spans="1:16" s="237" customFormat="1" ht="15" hidden="1" customHeight="1" outlineLevel="2" x14ac:dyDescent="0.25">
      <c r="A347" s="363"/>
      <c r="B347" s="1145"/>
      <c r="C347" s="1145"/>
      <c r="D347" s="1268"/>
      <c r="E347" s="1268"/>
      <c r="F347" s="438"/>
      <c r="G347" s="438"/>
      <c r="H347" s="1020" t="str">
        <f>IF(OR(D347="",D347="-"),"",VLOOKUP(D347,'Fatores de Emissão'!$D$209:$K$219,4,FALSE))</f>
        <v/>
      </c>
      <c r="I347" s="1111" t="str">
        <f>IF(OR(D347="",D347="-"),"",VLOOKUP(D347,'Fatores de Emissão'!$D$209:$K$219,3,FALSE))</f>
        <v/>
      </c>
      <c r="J347" s="1111" t="str">
        <f>IF(OR(D347="",D347="-"),"",VLOOKUP(D347,'Fatores de Emissão'!$D$209:$K$219,5,FALSE))</f>
        <v/>
      </c>
      <c r="K347" s="1111" t="str">
        <f>IF(OR(D347="",D347="-"),"",VLOOKUP(D347,'Fatores de Emissão'!$D$209:$K$219,7,FALSE))</f>
        <v/>
      </c>
      <c r="L347" s="478" t="str">
        <f>IF($D347="","",IF($H347="kg/p.km",$F347*1.08*$G347*I347/1000,$F347*#REF!*I347/1000))</f>
        <v/>
      </c>
      <c r="M347" s="478" t="str">
        <f>IF($D347="","",IF($H347="kg/p.km",$F347*1.08*$G347*J347/1000,$F347*#REF!*J347/1000))</f>
        <v/>
      </c>
      <c r="N347" s="478" t="str">
        <f>IF($D347="","",IF($H347="kg/p.km",$F347*1.08*$G347*K347/1000,$F347*#REF!*K347/1000))</f>
        <v/>
      </c>
      <c r="O347" s="441" t="str">
        <f t="shared" si="7"/>
        <v/>
      </c>
      <c r="P347" s="440"/>
    </row>
    <row r="348" spans="1:16" s="237" customFormat="1" ht="15" hidden="1" customHeight="1" outlineLevel="2" x14ac:dyDescent="0.25">
      <c r="A348" s="363"/>
      <c r="B348" s="1145"/>
      <c r="C348" s="1145"/>
      <c r="D348" s="1268"/>
      <c r="E348" s="1268"/>
      <c r="F348" s="438"/>
      <c r="G348" s="438"/>
      <c r="H348" s="1020" t="str">
        <f>IF(OR(D348="",D348="-"),"",VLOOKUP(D348,'Fatores de Emissão'!$D$209:$K$219,4,FALSE))</f>
        <v/>
      </c>
      <c r="I348" s="1111" t="str">
        <f>IF(OR(D348="",D348="-"),"",VLOOKUP(D348,'Fatores de Emissão'!$D$209:$K$219,3,FALSE))</f>
        <v/>
      </c>
      <c r="J348" s="1111" t="str">
        <f>IF(OR(D348="",D348="-"),"",VLOOKUP(D348,'Fatores de Emissão'!$D$209:$K$219,5,FALSE))</f>
        <v/>
      </c>
      <c r="K348" s="1111" t="str">
        <f>IF(OR(D348="",D348="-"),"",VLOOKUP(D348,'Fatores de Emissão'!$D$209:$K$219,7,FALSE))</f>
        <v/>
      </c>
      <c r="L348" s="478" t="str">
        <f>IF($D348="","",IF($H348="kg/p.km",$F348*1.08*$G348*I348/1000,$F348*#REF!*I348/1000))</f>
        <v/>
      </c>
      <c r="M348" s="478" t="str">
        <f>IF($D348="","",IF($H348="kg/p.km",$F348*1.08*$G348*J348/1000,$F348*#REF!*J348/1000))</f>
        <v/>
      </c>
      <c r="N348" s="478" t="str">
        <f>IF($D348="","",IF($H348="kg/p.km",$F348*1.08*$G348*K348/1000,$F348*#REF!*K348/1000))</f>
        <v/>
      </c>
      <c r="O348" s="441" t="str">
        <f t="shared" si="7"/>
        <v/>
      </c>
      <c r="P348" s="440"/>
    </row>
    <row r="349" spans="1:16" s="237" customFormat="1" ht="15" hidden="1" customHeight="1" outlineLevel="2" x14ac:dyDescent="0.25">
      <c r="A349" s="363"/>
      <c r="B349" s="1145"/>
      <c r="C349" s="1145"/>
      <c r="D349" s="1268"/>
      <c r="E349" s="1268"/>
      <c r="F349" s="438"/>
      <c r="G349" s="438"/>
      <c r="H349" s="1020" t="str">
        <f>IF(OR(D349="",D349="-"),"",VLOOKUP(D349,'Fatores de Emissão'!$D$209:$K$219,4,FALSE))</f>
        <v/>
      </c>
      <c r="I349" s="1111" t="str">
        <f>IF(OR(D349="",D349="-"),"",VLOOKUP(D349,'Fatores de Emissão'!$D$209:$K$219,3,FALSE))</f>
        <v/>
      </c>
      <c r="J349" s="1111" t="str">
        <f>IF(OR(D349="",D349="-"),"",VLOOKUP(D349,'Fatores de Emissão'!$D$209:$K$219,5,FALSE))</f>
        <v/>
      </c>
      <c r="K349" s="1111" t="str">
        <f>IF(OR(D349="",D349="-"),"",VLOOKUP(D349,'Fatores de Emissão'!$D$209:$K$219,7,FALSE))</f>
        <v/>
      </c>
      <c r="L349" s="478" t="str">
        <f>IF($D349="","",IF($H349="kg/p.km",$F349*1.08*$G349*I349/1000,$F349*#REF!*I349/1000))</f>
        <v/>
      </c>
      <c r="M349" s="478" t="str">
        <f>IF($D349="","",IF($H349="kg/p.km",$F349*1.08*$G349*J349/1000,$F349*#REF!*J349/1000))</f>
        <v/>
      </c>
      <c r="N349" s="478" t="str">
        <f>IF($D349="","",IF($H349="kg/p.km",$F349*1.08*$G349*K349/1000,$F349*#REF!*K349/1000))</f>
        <v/>
      </c>
      <c r="O349" s="441" t="str">
        <f t="shared" si="7"/>
        <v/>
      </c>
      <c r="P349" s="440"/>
    </row>
    <row r="350" spans="1:16" s="237" customFormat="1" ht="15" hidden="1" customHeight="1" outlineLevel="2" x14ac:dyDescent="0.25">
      <c r="A350" s="363"/>
      <c r="B350" s="1145"/>
      <c r="C350" s="1145"/>
      <c r="D350" s="1268"/>
      <c r="E350" s="1268"/>
      <c r="F350" s="438"/>
      <c r="G350" s="438"/>
      <c r="H350" s="1020" t="str">
        <f>IF(OR(D350="",D350="-"),"",VLOOKUP(D350,'Fatores de Emissão'!$D$209:$K$219,4,FALSE))</f>
        <v/>
      </c>
      <c r="I350" s="1111" t="str">
        <f>IF(OR(D350="",D350="-"),"",VLOOKUP(D350,'Fatores de Emissão'!$D$209:$K$219,3,FALSE))</f>
        <v/>
      </c>
      <c r="J350" s="1111" t="str">
        <f>IF(OR(D350="",D350="-"),"",VLOOKUP(D350,'Fatores de Emissão'!$D$209:$K$219,5,FALSE))</f>
        <v/>
      </c>
      <c r="K350" s="1111" t="str">
        <f>IF(OR(D350="",D350="-"),"",VLOOKUP(D350,'Fatores de Emissão'!$D$209:$K$219,7,FALSE))</f>
        <v/>
      </c>
      <c r="L350" s="478" t="str">
        <f>IF($D350="","",IF($H350="kg/p.km",$F350*1.08*$G350*I350/1000,$F350*#REF!*I350/1000))</f>
        <v/>
      </c>
      <c r="M350" s="478" t="str">
        <f>IF($D350="","",IF($H350="kg/p.km",$F350*1.08*$G350*J350/1000,$F350*#REF!*J350/1000))</f>
        <v/>
      </c>
      <c r="N350" s="478" t="str">
        <f>IF($D350="","",IF($H350="kg/p.km",$F350*1.08*$G350*K350/1000,$F350*#REF!*K350/1000))</f>
        <v/>
      </c>
      <c r="O350" s="441" t="str">
        <f t="shared" si="7"/>
        <v/>
      </c>
      <c r="P350" s="440"/>
    </row>
    <row r="351" spans="1:16" s="237" customFormat="1" ht="15" hidden="1" customHeight="1" outlineLevel="2" x14ac:dyDescent="0.25">
      <c r="A351" s="363"/>
      <c r="B351" s="1145"/>
      <c r="C351" s="1145"/>
      <c r="D351" s="1268"/>
      <c r="E351" s="1268"/>
      <c r="F351" s="438"/>
      <c r="G351" s="438"/>
      <c r="H351" s="1020" t="str">
        <f>IF(OR(D351="",D351="-"),"",VLOOKUP(D351,'Fatores de Emissão'!$D$209:$K$219,4,FALSE))</f>
        <v/>
      </c>
      <c r="I351" s="1111" t="str">
        <f>IF(OR(D351="",D351="-"),"",VLOOKUP(D351,'Fatores de Emissão'!$D$209:$K$219,3,FALSE))</f>
        <v/>
      </c>
      <c r="J351" s="1111" t="str">
        <f>IF(OR(D351="",D351="-"),"",VLOOKUP(D351,'Fatores de Emissão'!$D$209:$K$219,5,FALSE))</f>
        <v/>
      </c>
      <c r="K351" s="1111" t="str">
        <f>IF(OR(D351="",D351="-"),"",VLOOKUP(D351,'Fatores de Emissão'!$D$209:$K$219,7,FALSE))</f>
        <v/>
      </c>
      <c r="L351" s="478" t="str">
        <f>IF($D351="","",IF($H351="kg/p.km",$F351*1.08*$G351*I351/1000,$F351*#REF!*I351/1000))</f>
        <v/>
      </c>
      <c r="M351" s="478" t="str">
        <f>IF($D351="","",IF($H351="kg/p.km",$F351*1.08*$G351*J351/1000,$F351*#REF!*J351/1000))</f>
        <v/>
      </c>
      <c r="N351" s="478" t="str">
        <f>IF($D351="","",IF($H351="kg/p.km",$F351*1.08*$G351*K351/1000,$F351*#REF!*K351/1000))</f>
        <v/>
      </c>
      <c r="O351" s="441" t="str">
        <f t="shared" si="7"/>
        <v/>
      </c>
      <c r="P351" s="440"/>
    </row>
    <row r="352" spans="1:16" s="237" customFormat="1" ht="15" hidden="1" customHeight="1" outlineLevel="2" x14ac:dyDescent="0.25">
      <c r="A352" s="363"/>
      <c r="B352" s="1145"/>
      <c r="C352" s="1145"/>
      <c r="D352" s="1268"/>
      <c r="E352" s="1268"/>
      <c r="F352" s="438"/>
      <c r="G352" s="438"/>
      <c r="H352" s="1020" t="str">
        <f>IF(OR(D352="",D352="-"),"",VLOOKUP(D352,'Fatores de Emissão'!$D$209:$K$219,4,FALSE))</f>
        <v/>
      </c>
      <c r="I352" s="1111" t="str">
        <f>IF(OR(D352="",D352="-"),"",VLOOKUP(D352,'Fatores de Emissão'!$D$209:$K$219,3,FALSE))</f>
        <v/>
      </c>
      <c r="J352" s="1111" t="str">
        <f>IF(OR(D352="",D352="-"),"",VLOOKUP(D352,'Fatores de Emissão'!$D$209:$K$219,5,FALSE))</f>
        <v/>
      </c>
      <c r="K352" s="1111" t="str">
        <f>IF(OR(D352="",D352="-"),"",VLOOKUP(D352,'Fatores de Emissão'!$D$209:$K$219,7,FALSE))</f>
        <v/>
      </c>
      <c r="L352" s="478" t="str">
        <f>IF($D352="","",IF($H352="kg/p.km",$F352*1.08*$G352*I352/1000,$F352*#REF!*I352/1000))</f>
        <v/>
      </c>
      <c r="M352" s="478" t="str">
        <f>IF($D352="","",IF($H352="kg/p.km",$F352*1.08*$G352*J352/1000,$F352*#REF!*J352/1000))</f>
        <v/>
      </c>
      <c r="N352" s="478" t="str">
        <f>IF($D352="","",IF($H352="kg/p.km",$F352*1.08*$G352*K352/1000,$F352*#REF!*K352/1000))</f>
        <v/>
      </c>
      <c r="O352" s="441" t="str">
        <f t="shared" si="7"/>
        <v/>
      </c>
      <c r="P352" s="440"/>
    </row>
    <row r="353" spans="1:58" s="237" customFormat="1" ht="15" hidden="1" customHeight="1" outlineLevel="2" x14ac:dyDescent="0.25">
      <c r="A353" s="363"/>
      <c r="B353" s="1145"/>
      <c r="C353" s="1145"/>
      <c r="D353" s="1268"/>
      <c r="E353" s="1268"/>
      <c r="F353" s="438"/>
      <c r="G353" s="438"/>
      <c r="H353" s="1020" t="str">
        <f>IF(OR(D353="",D353="-"),"",VLOOKUP(D353,'Fatores de Emissão'!$D$209:$K$219,4,FALSE))</f>
        <v/>
      </c>
      <c r="I353" s="1111" t="str">
        <f>IF(OR(D353="",D353="-"),"",VLOOKUP(D353,'Fatores de Emissão'!$D$209:$K$219,3,FALSE))</f>
        <v/>
      </c>
      <c r="J353" s="1111" t="str">
        <f>IF(OR(D353="",D353="-"),"",VLOOKUP(D353,'Fatores de Emissão'!$D$209:$K$219,5,FALSE))</f>
        <v/>
      </c>
      <c r="K353" s="1111" t="str">
        <f>IF(OR(D353="",D353="-"),"",VLOOKUP(D353,'Fatores de Emissão'!$D$209:$K$219,7,FALSE))</f>
        <v/>
      </c>
      <c r="L353" s="478" t="str">
        <f>IF($D353="","",IF($H353="kg/p.km",$F353*1.08*$G353*I353/1000,$F353*#REF!*I353/1000))</f>
        <v/>
      </c>
      <c r="M353" s="478" t="str">
        <f>IF($D353="","",IF($H353="kg/p.km",$F353*1.08*$G353*J353/1000,$F353*#REF!*J353/1000))</f>
        <v/>
      </c>
      <c r="N353" s="478" t="str">
        <f>IF($D353="","",IF($H353="kg/p.km",$F353*1.08*$G353*K353/1000,$F353*#REF!*K353/1000))</f>
        <v/>
      </c>
      <c r="O353" s="441" t="str">
        <f t="shared" si="7"/>
        <v/>
      </c>
      <c r="P353" s="440"/>
    </row>
    <row r="354" spans="1:58" s="237" customFormat="1" ht="15" customHeight="1" outlineLevel="1" x14ac:dyDescent="0.25">
      <c r="A354" s="363"/>
      <c r="B354" s="449"/>
      <c r="C354" s="363"/>
      <c r="D354" s="363"/>
      <c r="E354" s="363"/>
      <c r="F354" s="363"/>
      <c r="G354" s="363"/>
      <c r="H354" s="363"/>
      <c r="I354" s="1278" t="s">
        <v>78</v>
      </c>
      <c r="J354" s="1279"/>
      <c r="K354" s="1280"/>
      <c r="L354" s="443">
        <f>SUM(L304:L353)</f>
        <v>0.59907600000000005</v>
      </c>
      <c r="M354" s="443">
        <f>SUM(M304:M353)</f>
        <v>0</v>
      </c>
      <c r="N354" s="443">
        <f>SUM(N304:N353)</f>
        <v>0</v>
      </c>
      <c r="O354" s="443">
        <f>SUM(O304:O353)</f>
        <v>0.59907600000000005</v>
      </c>
      <c r="P354" s="443">
        <f>SUM(P304:P353)</f>
        <v>0</v>
      </c>
    </row>
    <row r="355" spans="1:58" s="237" customFormat="1" ht="15" customHeight="1" x14ac:dyDescent="0.25">
      <c r="A355" s="363"/>
      <c r="B355" s="388"/>
      <c r="C355" s="373"/>
      <c r="D355" s="442"/>
      <c r="E355" s="442"/>
      <c r="F355" s="373"/>
      <c r="G355" s="373"/>
      <c r="H355" s="373"/>
      <c r="I355" s="373"/>
      <c r="J355" s="373"/>
      <c r="K355" s="373"/>
      <c r="L355" s="373"/>
      <c r="M355" s="373"/>
      <c r="N355" s="373"/>
      <c r="O355" s="373"/>
      <c r="P355" s="373"/>
      <c r="Q355" s="373"/>
      <c r="R355" s="373"/>
      <c r="S355" s="373"/>
      <c r="T355" s="373"/>
      <c r="U355" s="373"/>
      <c r="V355" s="363"/>
      <c r="W355" s="373"/>
      <c r="X355" s="373"/>
      <c r="Z355" s="373"/>
      <c r="AA355" s="373"/>
      <c r="AB355" s="373"/>
    </row>
    <row r="356" spans="1:58" s="463" customFormat="1" ht="18" customHeight="1" x14ac:dyDescent="0.3">
      <c r="A356" s="464"/>
      <c r="B356" s="465" t="s">
        <v>2116</v>
      </c>
      <c r="C356" s="466"/>
      <c r="D356" s="466"/>
      <c r="E356" s="466"/>
      <c r="F356" s="466"/>
      <c r="G356" s="466"/>
      <c r="H356" s="466"/>
      <c r="I356" s="466"/>
      <c r="J356" s="466"/>
      <c r="K356" s="466"/>
      <c r="L356" s="466"/>
      <c r="M356" s="466"/>
      <c r="N356" s="466"/>
      <c r="O356" s="466"/>
      <c r="P356" s="466"/>
      <c r="Q356" s="466"/>
      <c r="R356" s="466"/>
      <c r="S356" s="466"/>
      <c r="T356" s="466"/>
      <c r="U356" s="466"/>
      <c r="V356" s="466"/>
      <c r="W356" s="466"/>
      <c r="X356" s="466"/>
      <c r="Y356" s="466"/>
      <c r="Z356" s="466"/>
      <c r="AA356" s="466"/>
      <c r="AB356" s="466"/>
      <c r="AC356" s="466"/>
      <c r="AD356" s="466"/>
      <c r="AE356" s="466"/>
      <c r="AF356" s="466"/>
      <c r="AG356" s="466"/>
      <c r="AH356" s="466"/>
      <c r="AI356" s="466"/>
      <c r="AJ356" s="466"/>
      <c r="AK356" s="466"/>
      <c r="AL356" s="466"/>
      <c r="AM356" s="466"/>
      <c r="AN356" s="466"/>
      <c r="AO356" s="466"/>
      <c r="AP356" s="466"/>
      <c r="AQ356" s="466"/>
      <c r="AR356" s="466"/>
      <c r="AS356" s="466"/>
      <c r="AT356" s="466"/>
      <c r="AU356" s="466"/>
      <c r="AV356" s="466"/>
      <c r="AW356" s="466"/>
      <c r="AX356" s="466"/>
      <c r="AY356" s="466"/>
      <c r="AZ356" s="466"/>
      <c r="BA356" s="466"/>
      <c r="BB356" s="466"/>
      <c r="BC356" s="466"/>
      <c r="BD356" s="466"/>
      <c r="BE356" s="466"/>
      <c r="BF356" s="467"/>
    </row>
    <row r="357" spans="1:58" ht="15.75" customHeight="1" x14ac:dyDescent="0.2">
      <c r="A357" s="339"/>
      <c r="B357" s="339"/>
      <c r="C357" s="339"/>
      <c r="D357" s="339"/>
      <c r="E357" s="339"/>
      <c r="F357" s="339"/>
      <c r="G357" s="339"/>
      <c r="H357" s="339"/>
      <c r="I357" s="339"/>
      <c r="J357" s="339"/>
      <c r="K357" s="339"/>
      <c r="L357" s="339"/>
      <c r="M357" s="339"/>
      <c r="N357" s="339"/>
      <c r="O357" s="339"/>
      <c r="P357" s="339"/>
      <c r="Q357" s="339"/>
      <c r="R357" s="339"/>
      <c r="S357" s="339"/>
      <c r="T357" s="339"/>
      <c r="U357" s="339"/>
      <c r="V357" s="339"/>
      <c r="W357" s="339"/>
      <c r="X357" s="339"/>
      <c r="Y357" s="339"/>
      <c r="Z357" s="339"/>
      <c r="AA357" s="339"/>
      <c r="AB357" s="339"/>
    </row>
    <row r="358" spans="1:58" ht="15" x14ac:dyDescent="0.25">
      <c r="A358" s="339"/>
      <c r="B358" s="362" t="s">
        <v>2115</v>
      </c>
      <c r="C358" s="338"/>
      <c r="D358" s="338"/>
      <c r="E358" s="339"/>
      <c r="F358" s="339"/>
      <c r="G358" s="339"/>
      <c r="H358" s="339"/>
      <c r="I358" s="339"/>
      <c r="J358" s="339"/>
      <c r="K358" s="339"/>
      <c r="L358" s="339"/>
      <c r="M358" s="339"/>
      <c r="N358" s="339"/>
      <c r="O358" s="339"/>
      <c r="P358" s="339"/>
      <c r="Q358" s="339"/>
      <c r="R358" s="339"/>
      <c r="S358" s="339"/>
      <c r="T358" s="339"/>
      <c r="U358" s="339"/>
      <c r="V358" s="339"/>
      <c r="W358" s="339"/>
      <c r="X358" s="339"/>
      <c r="Y358" s="339"/>
      <c r="Z358" s="339"/>
      <c r="AA358" s="339"/>
      <c r="AB358" s="339"/>
    </row>
    <row r="359" spans="1:58" ht="5.0999999999999996" customHeight="1" thickBot="1" x14ac:dyDescent="0.25">
      <c r="A359" s="339"/>
      <c r="B359" s="339"/>
      <c r="C359" s="339"/>
      <c r="D359" s="339"/>
      <c r="E359" s="339"/>
      <c r="F359" s="339"/>
      <c r="G359" s="339"/>
      <c r="H359" s="339"/>
      <c r="I359" s="339"/>
      <c r="J359" s="339"/>
      <c r="K359" s="339"/>
      <c r="L359" s="339"/>
      <c r="M359" s="339"/>
      <c r="N359" s="339"/>
      <c r="O359" s="339"/>
      <c r="P359" s="339"/>
      <c r="Q359" s="339"/>
      <c r="R359" s="339"/>
      <c r="S359" s="339"/>
      <c r="T359" s="339"/>
      <c r="U359" s="339"/>
      <c r="V359" s="339"/>
      <c r="W359" s="339"/>
      <c r="X359" s="339"/>
      <c r="Y359" s="339"/>
      <c r="Z359" s="339"/>
      <c r="AA359" s="339"/>
      <c r="AB359" s="339"/>
    </row>
    <row r="360" spans="1:58" ht="30" customHeight="1" thickBot="1" x14ac:dyDescent="0.25">
      <c r="A360" s="339"/>
      <c r="B360" s="409" t="s">
        <v>1407</v>
      </c>
      <c r="C360" s="347"/>
      <c r="D360" s="347"/>
      <c r="E360" s="347"/>
      <c r="F360" s="489">
        <f>SUM(total_CM_rod_opcao2_CO2e,total_CM_rod_opcao3_CO2e,total_CM_ferro_CO2e,total_CM_hidro_CO2e,total_CM_aero_CO2e)</f>
        <v>0.59952362820000005</v>
      </c>
      <c r="G360" s="419"/>
      <c r="H360" s="339"/>
      <c r="I360" s="339"/>
      <c r="J360" s="339"/>
      <c r="K360" s="339"/>
      <c r="L360" s="339"/>
      <c r="M360" s="339"/>
      <c r="N360" s="339"/>
      <c r="O360" s="339"/>
      <c r="P360" s="339"/>
      <c r="Q360" s="339"/>
      <c r="R360" s="339"/>
      <c r="S360" s="339"/>
      <c r="T360" s="339"/>
      <c r="U360" s="339"/>
      <c r="V360" s="339"/>
      <c r="W360" s="339"/>
      <c r="X360" s="339"/>
      <c r="Y360" s="339"/>
      <c r="Z360" s="339"/>
      <c r="AA360" s="339"/>
      <c r="AB360" s="339"/>
    </row>
    <row r="361" spans="1:58" ht="5.0999999999999996" customHeight="1" thickBot="1" x14ac:dyDescent="0.25">
      <c r="A361" s="339"/>
      <c r="B361" s="339"/>
      <c r="C361" s="339"/>
      <c r="D361" s="339"/>
      <c r="E361" s="339"/>
      <c r="F361" s="339"/>
      <c r="G361" s="339"/>
      <c r="H361" s="339"/>
      <c r="I361" s="339"/>
      <c r="J361" s="339"/>
      <c r="K361" s="339"/>
      <c r="L361" s="339"/>
      <c r="M361" s="339"/>
      <c r="N361" s="339"/>
      <c r="O361" s="339"/>
      <c r="P361" s="339"/>
      <c r="Q361" s="339"/>
      <c r="R361" s="339"/>
      <c r="S361" s="339"/>
      <c r="T361" s="339"/>
      <c r="U361" s="339"/>
      <c r="V361" s="339"/>
      <c r="W361" s="339"/>
      <c r="X361" s="339"/>
      <c r="Y361" s="339"/>
      <c r="Z361" s="339"/>
      <c r="AA361" s="339"/>
      <c r="AB361" s="339"/>
    </row>
    <row r="362" spans="1:58" ht="30" customHeight="1" thickBot="1" x14ac:dyDescent="0.25">
      <c r="A362" s="339"/>
      <c r="B362" s="410" t="s">
        <v>1504</v>
      </c>
      <c r="C362" s="348"/>
      <c r="D362" s="348"/>
      <c r="E362" s="348"/>
      <c r="F362" s="490">
        <f>SUM(total_CM_rod_opcao2_CO2bio,total_CM_rod_opcao3_CO2bio,total_CM_ferro_CO2bio, total_CM_hidro_CO2bio, total_CM_aero_CO2bio)</f>
        <v>0</v>
      </c>
      <c r="G362" s="419"/>
      <c r="H362" s="339"/>
      <c r="I362" s="339"/>
      <c r="J362" s="339"/>
      <c r="K362" s="339"/>
      <c r="L362" s="339"/>
      <c r="M362" s="339"/>
      <c r="N362" s="339"/>
      <c r="O362" s="339"/>
      <c r="P362" s="339"/>
      <c r="Q362" s="339"/>
      <c r="R362" s="339"/>
      <c r="S362" s="339"/>
      <c r="T362" s="339"/>
      <c r="U362" s="339"/>
      <c r="V362" s="339"/>
      <c r="W362" s="339"/>
      <c r="X362" s="339"/>
      <c r="Y362" s="339"/>
      <c r="Z362" s="339"/>
      <c r="AA362" s="339"/>
      <c r="AB362" s="339"/>
    </row>
    <row r="363" spans="1:58" ht="15" customHeight="1" x14ac:dyDescent="0.2">
      <c r="A363" s="339"/>
      <c r="B363" s="339"/>
      <c r="C363" s="339"/>
      <c r="D363" s="339"/>
      <c r="E363" s="339"/>
      <c r="F363" s="339"/>
      <c r="G363" s="339"/>
      <c r="H363" s="339"/>
      <c r="I363" s="339"/>
      <c r="J363" s="339"/>
      <c r="K363" s="339"/>
      <c r="L363" s="339"/>
      <c r="M363" s="339"/>
      <c r="N363" s="339"/>
      <c r="O363" s="339"/>
      <c r="P363" s="339"/>
      <c r="Q363" s="339"/>
      <c r="R363" s="339"/>
      <c r="S363" s="339"/>
      <c r="T363" s="339"/>
      <c r="U363" s="339"/>
      <c r="V363" s="339"/>
      <c r="W363" s="339"/>
      <c r="X363" s="339"/>
      <c r="Y363" s="339"/>
      <c r="Z363" s="339"/>
      <c r="AA363" s="339"/>
      <c r="AB363" s="339"/>
    </row>
    <row r="364" spans="1:58" ht="15" customHeight="1" x14ac:dyDescent="0.25">
      <c r="A364" s="339"/>
      <c r="B364" s="362"/>
      <c r="C364" s="339"/>
      <c r="D364" s="339"/>
      <c r="E364" s="339"/>
      <c r="F364" s="339"/>
      <c r="G364" s="339"/>
      <c r="H364" s="339"/>
      <c r="I364" s="339"/>
      <c r="J364" s="339"/>
      <c r="K364" s="339"/>
      <c r="L364" s="339"/>
      <c r="M364" s="339"/>
      <c r="N364" s="339"/>
      <c r="O364" s="339"/>
      <c r="P364" s="339"/>
      <c r="Q364" s="339"/>
      <c r="R364" s="339"/>
      <c r="S364" s="339"/>
      <c r="T364" s="339"/>
      <c r="U364" s="339"/>
      <c r="V364" s="339"/>
      <c r="W364" s="339"/>
      <c r="X364" s="339"/>
      <c r="Y364" s="339"/>
      <c r="Z364" s="339"/>
      <c r="AA364" s="339"/>
      <c r="AB364" s="339"/>
    </row>
    <row r="365" spans="1:58" ht="15" customHeight="1" x14ac:dyDescent="0.25">
      <c r="A365" s="339"/>
      <c r="B365" s="491"/>
      <c r="C365" s="339"/>
      <c r="D365" s="339"/>
      <c r="E365" s="339"/>
      <c r="F365" s="339"/>
      <c r="G365" s="339"/>
      <c r="H365" s="339"/>
      <c r="I365" s="339"/>
      <c r="J365" s="339"/>
      <c r="K365" s="339"/>
      <c r="L365" s="339"/>
      <c r="M365" s="339"/>
      <c r="N365" s="339"/>
      <c r="O365" s="339"/>
      <c r="P365" s="339"/>
      <c r="Q365" s="339"/>
      <c r="R365" s="339"/>
      <c r="S365" s="339"/>
      <c r="T365" s="339"/>
      <c r="U365" s="339"/>
      <c r="V365" s="339"/>
      <c r="W365" s="339"/>
      <c r="X365" s="339"/>
      <c r="Y365" s="339"/>
      <c r="Z365" s="339"/>
      <c r="AA365" s="339"/>
      <c r="AB365" s="339"/>
    </row>
    <row r="366" spans="1:58" ht="15.75" customHeight="1" x14ac:dyDescent="0.2">
      <c r="E366" s="420"/>
    </row>
    <row r="367" spans="1:58" ht="15.75" hidden="1" customHeight="1" x14ac:dyDescent="0.2"/>
    <row r="368" spans="1:58" ht="15" hidden="1" customHeight="1" x14ac:dyDescent="0.2"/>
    <row r="369" ht="15" hidden="1" customHeight="1" x14ac:dyDescent="0.2"/>
    <row r="370" ht="15" hidden="1" customHeight="1" x14ac:dyDescent="0.2"/>
    <row r="371" ht="15" hidden="1" customHeight="1" x14ac:dyDescent="0.2"/>
    <row r="372" ht="15" hidden="1" customHeight="1" x14ac:dyDescent="0.2"/>
    <row r="373" ht="15" hidden="1" customHeight="1" x14ac:dyDescent="0.2"/>
    <row r="374" ht="15" hidden="1" customHeight="1" x14ac:dyDescent="0.2"/>
    <row r="375" ht="15" hidden="1" customHeight="1" x14ac:dyDescent="0.2"/>
    <row r="376" ht="15" hidden="1" customHeight="1" x14ac:dyDescent="0.2"/>
    <row r="377" ht="15" hidden="1" customHeight="1" x14ac:dyDescent="0.2"/>
    <row r="378" ht="15" hidden="1" customHeight="1" x14ac:dyDescent="0.2"/>
    <row r="379" ht="15" hidden="1" customHeight="1" x14ac:dyDescent="0.2"/>
    <row r="380" ht="15" hidden="1" customHeight="1" x14ac:dyDescent="0.2"/>
    <row r="381" ht="15" hidden="1" customHeight="1" x14ac:dyDescent="0.2"/>
    <row r="382" ht="15" hidden="1" customHeight="1" x14ac:dyDescent="0.2"/>
    <row r="383" ht="15" hidden="1" customHeight="1" x14ac:dyDescent="0.2"/>
    <row r="384" ht="15" hidden="1" customHeight="1" x14ac:dyDescent="0.2"/>
    <row r="385" ht="15" hidden="1" customHeight="1" x14ac:dyDescent="0.2"/>
    <row r="386" ht="15" hidden="1" customHeight="1" x14ac:dyDescent="0.2"/>
    <row r="387" ht="15" hidden="1" customHeight="1" x14ac:dyDescent="0.2"/>
    <row r="388" ht="15" hidden="1" customHeight="1" x14ac:dyDescent="0.2"/>
    <row r="389" ht="15" hidden="1" customHeight="1" x14ac:dyDescent="0.2"/>
    <row r="390" ht="15" hidden="1" customHeight="1" x14ac:dyDescent="0.2"/>
    <row r="391" ht="15" hidden="1" customHeight="1" x14ac:dyDescent="0.2"/>
    <row r="392" ht="15" hidden="1" customHeight="1" x14ac:dyDescent="0.2"/>
    <row r="393" ht="15" hidden="1" customHeight="1" x14ac:dyDescent="0.2"/>
    <row r="394" ht="15" hidden="1" customHeight="1" x14ac:dyDescent="0.2"/>
    <row r="395" ht="15" hidden="1" customHeight="1" x14ac:dyDescent="0.2"/>
    <row r="396" ht="15" hidden="1" customHeight="1" x14ac:dyDescent="0.2"/>
    <row r="397" ht="15" hidden="1" customHeight="1" x14ac:dyDescent="0.2"/>
    <row r="398" ht="15" hidden="1" customHeight="1" x14ac:dyDescent="0.2"/>
    <row r="399" ht="15" hidden="1" customHeight="1" x14ac:dyDescent="0.2"/>
    <row r="400" ht="15" hidden="1" customHeight="1" x14ac:dyDescent="0.2"/>
    <row r="401" ht="15" hidden="1" customHeight="1" x14ac:dyDescent="0.2"/>
    <row r="402" ht="15" hidden="1" customHeight="1" x14ac:dyDescent="0.2"/>
    <row r="403" ht="15" hidden="1" customHeight="1" x14ac:dyDescent="0.2"/>
    <row r="404" ht="15" hidden="1" customHeight="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ht="12.75" customHeight="1" x14ac:dyDescent="0.2"/>
    <row r="786" ht="12.75" customHeight="1" x14ac:dyDescent="0.2"/>
  </sheetData>
  <dataConsolidate/>
  <mergeCells count="269">
    <mergeCell ref="D349:E349"/>
    <mergeCell ref="D350:E350"/>
    <mergeCell ref="D351:E351"/>
    <mergeCell ref="D352:E352"/>
    <mergeCell ref="D353:E353"/>
    <mergeCell ref="I354:K354"/>
    <mergeCell ref="D343:E343"/>
    <mergeCell ref="D344:E344"/>
    <mergeCell ref="D345:E345"/>
    <mergeCell ref="D346:E346"/>
    <mergeCell ref="D347:E347"/>
    <mergeCell ref="D348:E348"/>
    <mergeCell ref="D337:E337"/>
    <mergeCell ref="D338:E338"/>
    <mergeCell ref="D339:E339"/>
    <mergeCell ref="D340:E340"/>
    <mergeCell ref="D341:E341"/>
    <mergeCell ref="D342:E342"/>
    <mergeCell ref="D331:E331"/>
    <mergeCell ref="D332:E332"/>
    <mergeCell ref="D333:E333"/>
    <mergeCell ref="D334:E334"/>
    <mergeCell ref="D335:E335"/>
    <mergeCell ref="D336:E336"/>
    <mergeCell ref="D325:E325"/>
    <mergeCell ref="D326:E326"/>
    <mergeCell ref="D327:E327"/>
    <mergeCell ref="D328:E328"/>
    <mergeCell ref="D329:E329"/>
    <mergeCell ref="D330:E330"/>
    <mergeCell ref="D319:E319"/>
    <mergeCell ref="D320:E320"/>
    <mergeCell ref="D321:E321"/>
    <mergeCell ref="D322:E322"/>
    <mergeCell ref="D323:E323"/>
    <mergeCell ref="D324:E324"/>
    <mergeCell ref="D313:E313"/>
    <mergeCell ref="D314:E314"/>
    <mergeCell ref="D315:E315"/>
    <mergeCell ref="D316:E316"/>
    <mergeCell ref="D317:E317"/>
    <mergeCell ref="D318:E318"/>
    <mergeCell ref="D307:E307"/>
    <mergeCell ref="D308:E308"/>
    <mergeCell ref="D309:E309"/>
    <mergeCell ref="D310:E310"/>
    <mergeCell ref="D311:E311"/>
    <mergeCell ref="D312:E312"/>
    <mergeCell ref="O300:O302"/>
    <mergeCell ref="P300:P302"/>
    <mergeCell ref="D303:E303"/>
    <mergeCell ref="D304:E304"/>
    <mergeCell ref="D305:E305"/>
    <mergeCell ref="D306:E306"/>
    <mergeCell ref="H300:H302"/>
    <mergeCell ref="I300:K301"/>
    <mergeCell ref="L300:L302"/>
    <mergeCell ref="M300:M302"/>
    <mergeCell ref="N300:N302"/>
    <mergeCell ref="D283:E283"/>
    <mergeCell ref="D284:E284"/>
    <mergeCell ref="D285:E285"/>
    <mergeCell ref="D286:E286"/>
    <mergeCell ref="I287:K287"/>
    <mergeCell ref="B300:B302"/>
    <mergeCell ref="C300:C302"/>
    <mergeCell ref="D300:E302"/>
    <mergeCell ref="F300:F302"/>
    <mergeCell ref="G300:G302"/>
    <mergeCell ref="D277:E277"/>
    <mergeCell ref="D278:E278"/>
    <mergeCell ref="D279:E279"/>
    <mergeCell ref="D280:E280"/>
    <mergeCell ref="D281:E281"/>
    <mergeCell ref="D282:E282"/>
    <mergeCell ref="D271:E271"/>
    <mergeCell ref="D272:E272"/>
    <mergeCell ref="D273:E273"/>
    <mergeCell ref="D274:E274"/>
    <mergeCell ref="D275:E275"/>
    <mergeCell ref="D276:E276"/>
    <mergeCell ref="D265:E265"/>
    <mergeCell ref="D266:E266"/>
    <mergeCell ref="D267:E267"/>
    <mergeCell ref="D268:E268"/>
    <mergeCell ref="D269:E269"/>
    <mergeCell ref="D270:E270"/>
    <mergeCell ref="D259:E259"/>
    <mergeCell ref="D260:E260"/>
    <mergeCell ref="D261:E261"/>
    <mergeCell ref="D262:E262"/>
    <mergeCell ref="D263:E263"/>
    <mergeCell ref="D264:E264"/>
    <mergeCell ref="D253:E253"/>
    <mergeCell ref="D254:E254"/>
    <mergeCell ref="D255:E255"/>
    <mergeCell ref="D256:E256"/>
    <mergeCell ref="D257:E257"/>
    <mergeCell ref="D258:E258"/>
    <mergeCell ref="D247:E247"/>
    <mergeCell ref="D248:E248"/>
    <mergeCell ref="D249:E249"/>
    <mergeCell ref="D250:E250"/>
    <mergeCell ref="D251:E251"/>
    <mergeCell ref="D252:E252"/>
    <mergeCell ref="D241:E241"/>
    <mergeCell ref="D242:E242"/>
    <mergeCell ref="D243:E243"/>
    <mergeCell ref="D244:E244"/>
    <mergeCell ref="D245:E245"/>
    <mergeCell ref="D246:E246"/>
    <mergeCell ref="P233:P235"/>
    <mergeCell ref="D236:E236"/>
    <mergeCell ref="D237:E237"/>
    <mergeCell ref="D238:E238"/>
    <mergeCell ref="D239:E239"/>
    <mergeCell ref="D240:E240"/>
    <mergeCell ref="H233:H235"/>
    <mergeCell ref="I233:K234"/>
    <mergeCell ref="L233:L235"/>
    <mergeCell ref="M233:M235"/>
    <mergeCell ref="N233:N235"/>
    <mergeCell ref="O233:O235"/>
    <mergeCell ref="B233:B235"/>
    <mergeCell ref="C233:C235"/>
    <mergeCell ref="D233:E235"/>
    <mergeCell ref="F233:F235"/>
    <mergeCell ref="G233:G235"/>
    <mergeCell ref="D215:E215"/>
    <mergeCell ref="D216:E216"/>
    <mergeCell ref="D217:E217"/>
    <mergeCell ref="D218:E218"/>
    <mergeCell ref="D219:E219"/>
    <mergeCell ref="I220:K220"/>
    <mergeCell ref="D209:E209"/>
    <mergeCell ref="D210:E210"/>
    <mergeCell ref="D211:E211"/>
    <mergeCell ref="D212:E212"/>
    <mergeCell ref="D213:E213"/>
    <mergeCell ref="D214:E214"/>
    <mergeCell ref="D203:E203"/>
    <mergeCell ref="D204:E204"/>
    <mergeCell ref="D205:E205"/>
    <mergeCell ref="D206:E206"/>
    <mergeCell ref="D207:E207"/>
    <mergeCell ref="D208:E208"/>
    <mergeCell ref="D197:E197"/>
    <mergeCell ref="D198:E198"/>
    <mergeCell ref="D199:E199"/>
    <mergeCell ref="D200:E200"/>
    <mergeCell ref="D201:E201"/>
    <mergeCell ref="D202:E202"/>
    <mergeCell ref="D191:E191"/>
    <mergeCell ref="D192:E192"/>
    <mergeCell ref="D193:E193"/>
    <mergeCell ref="D194:E194"/>
    <mergeCell ref="D195:E195"/>
    <mergeCell ref="D196:E196"/>
    <mergeCell ref="D185:E185"/>
    <mergeCell ref="D186:E186"/>
    <mergeCell ref="D187:E187"/>
    <mergeCell ref="D188:E188"/>
    <mergeCell ref="D189:E189"/>
    <mergeCell ref="D190:E190"/>
    <mergeCell ref="D179:E179"/>
    <mergeCell ref="D180:E180"/>
    <mergeCell ref="D181:E181"/>
    <mergeCell ref="D182:E182"/>
    <mergeCell ref="D183:E183"/>
    <mergeCell ref="D184:E184"/>
    <mergeCell ref="D173:E173"/>
    <mergeCell ref="D174:E174"/>
    <mergeCell ref="D175:E175"/>
    <mergeCell ref="D176:E176"/>
    <mergeCell ref="D177:E177"/>
    <mergeCell ref="D178:E178"/>
    <mergeCell ref="O166:O168"/>
    <mergeCell ref="P166:P168"/>
    <mergeCell ref="D169:E169"/>
    <mergeCell ref="D170:E170"/>
    <mergeCell ref="D171:E171"/>
    <mergeCell ref="D172:E172"/>
    <mergeCell ref="H166:H168"/>
    <mergeCell ref="I166:K167"/>
    <mergeCell ref="L166:L168"/>
    <mergeCell ref="M166:M168"/>
    <mergeCell ref="N166:N168"/>
    <mergeCell ref="K100:K102"/>
    <mergeCell ref="L100:L102"/>
    <mergeCell ref="M100:M102"/>
    <mergeCell ref="N100:N102"/>
    <mergeCell ref="O100:O102"/>
    <mergeCell ref="B166:B168"/>
    <mergeCell ref="C166:C168"/>
    <mergeCell ref="D166:E168"/>
    <mergeCell ref="F166:F168"/>
    <mergeCell ref="G166:G168"/>
    <mergeCell ref="D91:E91"/>
    <mergeCell ref="H92:J92"/>
    <mergeCell ref="B100:B102"/>
    <mergeCell ref="C100:C102"/>
    <mergeCell ref="D100:D102"/>
    <mergeCell ref="E100:E102"/>
    <mergeCell ref="F100:F102"/>
    <mergeCell ref="G100:G102"/>
    <mergeCell ref="H100:J101"/>
    <mergeCell ref="D85:E85"/>
    <mergeCell ref="D86:E86"/>
    <mergeCell ref="D87:E87"/>
    <mergeCell ref="D88:E88"/>
    <mergeCell ref="D89:E89"/>
    <mergeCell ref="D90:E90"/>
    <mergeCell ref="D79:E79"/>
    <mergeCell ref="D80:E80"/>
    <mergeCell ref="D81:E81"/>
    <mergeCell ref="D82:E82"/>
    <mergeCell ref="D83:E83"/>
    <mergeCell ref="D84:E84"/>
    <mergeCell ref="D73:E73"/>
    <mergeCell ref="D74:E74"/>
    <mergeCell ref="D75:E75"/>
    <mergeCell ref="D76:E76"/>
    <mergeCell ref="D77:E77"/>
    <mergeCell ref="D78:E78"/>
    <mergeCell ref="D67:E67"/>
    <mergeCell ref="D68:E68"/>
    <mergeCell ref="D69:E69"/>
    <mergeCell ref="D70:E70"/>
    <mergeCell ref="D71:E71"/>
    <mergeCell ref="D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K38:K40"/>
    <mergeCell ref="L38:L40"/>
    <mergeCell ref="M38:M40"/>
    <mergeCell ref="N38:N40"/>
    <mergeCell ref="D41:E41"/>
    <mergeCell ref="D42:E42"/>
    <mergeCell ref="D13:F13"/>
    <mergeCell ref="B30:J31"/>
    <mergeCell ref="B38:B40"/>
    <mergeCell ref="C38:C40"/>
    <mergeCell ref="D38:E40"/>
    <mergeCell ref="F38:F40"/>
    <mergeCell ref="G38:G40"/>
    <mergeCell ref="H38:J39"/>
    <mergeCell ref="B15:I19"/>
  </mergeCells>
  <conditionalFormatting sqref="D13:D14">
    <cfRule type="containsText" dxfId="6317" priority="1942" operator="containsText" text="Escolha o ano do inventário na aba 'Introdução">
      <formula>NOT(ISERROR(SEARCH("Escolha o ano do inventário na aba 'Introdução",D13)))</formula>
    </cfRule>
  </conditionalFormatting>
  <conditionalFormatting sqref="D104:D154">
    <cfRule type="expression" dxfId="6316" priority="1943">
      <formula>#REF!&lt;&gt;""</formula>
    </cfRule>
  </conditionalFormatting>
  <conditionalFormatting sqref="D42">
    <cfRule type="expression" dxfId="6315" priority="1941">
      <formula>#REF!&lt;&gt;""</formula>
    </cfRule>
  </conditionalFormatting>
  <conditionalFormatting sqref="D84:D91">
    <cfRule type="expression" dxfId="6314" priority="1940">
      <formula>#REF!&lt;&gt;""</formula>
    </cfRule>
  </conditionalFormatting>
  <conditionalFormatting sqref="D43">
    <cfRule type="expression" dxfId="6313" priority="1939">
      <formula>#REF!&lt;&gt;""</formula>
    </cfRule>
  </conditionalFormatting>
  <conditionalFormatting sqref="D44:D83">
    <cfRule type="expression" dxfId="6312" priority="1938">
      <formula>#REF!&lt;&gt;""</formula>
    </cfRule>
  </conditionalFormatting>
  <conditionalFormatting sqref="D220">
    <cfRule type="expression" dxfId="6311" priority="1937">
      <formula>#REF!&lt;&gt;""</formula>
    </cfRule>
  </conditionalFormatting>
  <conditionalFormatting sqref="D237:D286">
    <cfRule type="expression" dxfId="6310" priority="1936">
      <formula>#REF!&lt;&gt;""</formula>
    </cfRule>
  </conditionalFormatting>
  <conditionalFormatting sqref="D303:D353">
    <cfRule type="expression" dxfId="6309" priority="1935">
      <formula>#REF!&lt;&gt;""</formula>
    </cfRule>
  </conditionalFormatting>
  <conditionalFormatting sqref="D354">
    <cfRule type="expression" dxfId="6308" priority="1934">
      <formula>#REF!&lt;&gt;""</formula>
    </cfRule>
  </conditionalFormatting>
  <conditionalFormatting sqref="D171:D219">
    <cfRule type="expression" dxfId="6307" priority="1933">
      <formula>#REF!&lt;&gt;""</formula>
    </cfRule>
  </conditionalFormatting>
  <conditionalFormatting sqref="D170">
    <cfRule type="expression" dxfId="6306" priority="1932">
      <formula>#REF!&lt;&gt;""</formula>
    </cfRule>
  </conditionalFormatting>
  <conditionalFormatting sqref="F353">
    <cfRule type="expression" dxfId="6305" priority="12">
      <formula>#REF!&lt;&gt;""</formula>
    </cfRule>
    <cfRule type="expression" dxfId="6304" priority="13">
      <formula>#REF!&lt;&gt;""</formula>
    </cfRule>
    <cfRule type="expression" dxfId="6303" priority="14">
      <formula>#REF!&lt;&gt;""</formula>
    </cfRule>
    <cfRule type="expression" dxfId="6302" priority="15">
      <formula>#REF!&lt;&gt;""</formula>
    </cfRule>
    <cfRule type="expression" dxfId="6301" priority="16">
      <formula>#REF!&lt;&gt;""</formula>
    </cfRule>
    <cfRule type="expression" dxfId="6300" priority="17">
      <formula>#REF!&lt;&gt;""</formula>
    </cfRule>
    <cfRule type="expression" dxfId="6299" priority="18">
      <formula>#REF!&lt;&gt;""</formula>
    </cfRule>
    <cfRule type="expression" dxfId="6298" priority="19">
      <formula>#REF!&lt;&gt;""</formula>
    </cfRule>
    <cfRule type="expression" dxfId="6297" priority="20">
      <formula>#REF!&lt;&gt;""</formula>
    </cfRule>
    <cfRule type="expression" dxfId="6296" priority="21">
      <formula>#REF!&lt;&gt;""</formula>
    </cfRule>
    <cfRule type="expression" dxfId="6295" priority="22">
      <formula>#REF!&lt;&gt;""</formula>
    </cfRule>
    <cfRule type="expression" dxfId="6294" priority="23">
      <formula>#REF!&lt;&gt;""</formula>
    </cfRule>
  </conditionalFormatting>
  <conditionalFormatting sqref="F304">
    <cfRule type="expression" dxfId="6293" priority="600">
      <formula>#REF!&lt;&gt;""</formula>
    </cfRule>
    <cfRule type="expression" dxfId="6292" priority="601">
      <formula>#REF!&lt;&gt;""</formula>
    </cfRule>
    <cfRule type="expression" dxfId="6291" priority="602">
      <formula>#REF!&lt;&gt;""</formula>
    </cfRule>
    <cfRule type="expression" dxfId="6290" priority="603">
      <formula>#REF!&lt;&gt;""</formula>
    </cfRule>
    <cfRule type="expression" dxfId="6289" priority="604">
      <formula>#REF!&lt;&gt;""</formula>
    </cfRule>
    <cfRule type="expression" dxfId="6288" priority="605">
      <formula>#REF!&lt;&gt;""</formula>
    </cfRule>
    <cfRule type="expression" dxfId="6287" priority="606">
      <formula>#REF!&lt;&gt;""</formula>
    </cfRule>
    <cfRule type="expression" dxfId="6286" priority="607">
      <formula>#REF!&lt;&gt;""</formula>
    </cfRule>
    <cfRule type="expression" dxfId="6285" priority="608">
      <formula>#REF!&lt;&gt;""</formula>
    </cfRule>
    <cfRule type="expression" dxfId="6284" priority="609">
      <formula>#REF!&lt;&gt;""</formula>
    </cfRule>
    <cfRule type="expression" dxfId="6283" priority="610">
      <formula>#REF!&lt;&gt;""</formula>
    </cfRule>
    <cfRule type="expression" dxfId="6282" priority="611">
      <formula>#REF!&lt;&gt;""</formula>
    </cfRule>
  </conditionalFormatting>
  <conditionalFormatting sqref="F305">
    <cfRule type="expression" dxfId="6281" priority="588">
      <formula>#REF!&lt;&gt;""</formula>
    </cfRule>
    <cfRule type="expression" dxfId="6280" priority="589">
      <formula>#REF!&lt;&gt;""</formula>
    </cfRule>
    <cfRule type="expression" dxfId="6279" priority="590">
      <formula>#REF!&lt;&gt;""</formula>
    </cfRule>
    <cfRule type="expression" dxfId="6278" priority="591">
      <formula>#REF!&lt;&gt;""</formula>
    </cfRule>
    <cfRule type="expression" dxfId="6277" priority="592">
      <formula>#REF!&lt;&gt;""</formula>
    </cfRule>
    <cfRule type="expression" dxfId="6276" priority="593">
      <formula>#REF!&lt;&gt;""</formula>
    </cfRule>
    <cfRule type="expression" dxfId="6275" priority="594">
      <formula>#REF!&lt;&gt;""</formula>
    </cfRule>
    <cfRule type="expression" dxfId="6274" priority="595">
      <formula>#REF!&lt;&gt;""</formula>
    </cfRule>
    <cfRule type="expression" dxfId="6273" priority="596">
      <formula>#REF!&lt;&gt;""</formula>
    </cfRule>
    <cfRule type="expression" dxfId="6272" priority="597">
      <formula>#REF!&lt;&gt;""</formula>
    </cfRule>
    <cfRule type="expression" dxfId="6271" priority="598">
      <formula>#REF!&lt;&gt;""</formula>
    </cfRule>
    <cfRule type="expression" dxfId="6270" priority="599">
      <formula>#REF!&lt;&gt;""</formula>
    </cfRule>
  </conditionalFormatting>
  <conditionalFormatting sqref="F306">
    <cfRule type="expression" dxfId="6269" priority="576">
      <formula>#REF!&lt;&gt;""</formula>
    </cfRule>
    <cfRule type="expression" dxfId="6268" priority="577">
      <formula>#REF!&lt;&gt;""</formula>
    </cfRule>
    <cfRule type="expression" dxfId="6267" priority="578">
      <formula>#REF!&lt;&gt;""</formula>
    </cfRule>
    <cfRule type="expression" dxfId="6266" priority="579">
      <formula>#REF!&lt;&gt;""</formula>
    </cfRule>
    <cfRule type="expression" dxfId="6265" priority="580">
      <formula>#REF!&lt;&gt;""</formula>
    </cfRule>
    <cfRule type="expression" dxfId="6264" priority="581">
      <formula>#REF!&lt;&gt;""</formula>
    </cfRule>
    <cfRule type="expression" dxfId="6263" priority="582">
      <formula>#REF!&lt;&gt;""</formula>
    </cfRule>
    <cfRule type="expression" dxfId="6262" priority="583">
      <formula>#REF!&lt;&gt;""</formula>
    </cfRule>
    <cfRule type="expression" dxfId="6261" priority="584">
      <formula>#REF!&lt;&gt;""</formula>
    </cfRule>
    <cfRule type="expression" dxfId="6260" priority="585">
      <formula>#REF!&lt;&gt;""</formula>
    </cfRule>
    <cfRule type="expression" dxfId="6259" priority="586">
      <formula>#REF!&lt;&gt;""</formula>
    </cfRule>
    <cfRule type="expression" dxfId="6258" priority="587">
      <formula>#REF!&lt;&gt;""</formula>
    </cfRule>
  </conditionalFormatting>
  <conditionalFormatting sqref="F307">
    <cfRule type="expression" dxfId="6257" priority="564">
      <formula>#REF!&lt;&gt;""</formula>
    </cfRule>
    <cfRule type="expression" dxfId="6256" priority="565">
      <formula>#REF!&lt;&gt;""</formula>
    </cfRule>
    <cfRule type="expression" dxfId="6255" priority="566">
      <formula>#REF!&lt;&gt;""</formula>
    </cfRule>
    <cfRule type="expression" dxfId="6254" priority="567">
      <formula>#REF!&lt;&gt;""</formula>
    </cfRule>
    <cfRule type="expression" dxfId="6253" priority="568">
      <formula>#REF!&lt;&gt;""</formula>
    </cfRule>
    <cfRule type="expression" dxfId="6252" priority="569">
      <formula>#REF!&lt;&gt;""</formula>
    </cfRule>
    <cfRule type="expression" dxfId="6251" priority="570">
      <formula>#REF!&lt;&gt;""</formula>
    </cfRule>
    <cfRule type="expression" dxfId="6250" priority="571">
      <formula>#REF!&lt;&gt;""</formula>
    </cfRule>
    <cfRule type="expression" dxfId="6249" priority="572">
      <formula>#REF!&lt;&gt;""</formula>
    </cfRule>
    <cfRule type="expression" dxfId="6248" priority="573">
      <formula>#REF!&lt;&gt;""</formula>
    </cfRule>
    <cfRule type="expression" dxfId="6247" priority="574">
      <formula>#REF!&lt;&gt;""</formula>
    </cfRule>
    <cfRule type="expression" dxfId="6246" priority="575">
      <formula>#REF!&lt;&gt;""</formula>
    </cfRule>
  </conditionalFormatting>
  <conditionalFormatting sqref="F308">
    <cfRule type="expression" dxfId="6245" priority="552">
      <formula>#REF!&lt;&gt;""</formula>
    </cfRule>
    <cfRule type="expression" dxfId="6244" priority="553">
      <formula>#REF!&lt;&gt;""</formula>
    </cfRule>
    <cfRule type="expression" dxfId="6243" priority="554">
      <formula>#REF!&lt;&gt;""</formula>
    </cfRule>
    <cfRule type="expression" dxfId="6242" priority="555">
      <formula>#REF!&lt;&gt;""</formula>
    </cfRule>
    <cfRule type="expression" dxfId="6241" priority="556">
      <formula>#REF!&lt;&gt;""</formula>
    </cfRule>
    <cfRule type="expression" dxfId="6240" priority="557">
      <formula>#REF!&lt;&gt;""</formula>
    </cfRule>
    <cfRule type="expression" dxfId="6239" priority="558">
      <formula>#REF!&lt;&gt;""</formula>
    </cfRule>
    <cfRule type="expression" dxfId="6238" priority="559">
      <formula>#REF!&lt;&gt;""</formula>
    </cfRule>
    <cfRule type="expression" dxfId="6237" priority="560">
      <formula>#REF!&lt;&gt;""</formula>
    </cfRule>
    <cfRule type="expression" dxfId="6236" priority="561">
      <formula>#REF!&lt;&gt;""</formula>
    </cfRule>
    <cfRule type="expression" dxfId="6235" priority="562">
      <formula>#REF!&lt;&gt;""</formula>
    </cfRule>
    <cfRule type="expression" dxfId="6234" priority="563">
      <formula>#REF!&lt;&gt;""</formula>
    </cfRule>
  </conditionalFormatting>
  <conditionalFormatting sqref="F309">
    <cfRule type="expression" dxfId="6233" priority="540">
      <formula>#REF!&lt;&gt;""</formula>
    </cfRule>
    <cfRule type="expression" dxfId="6232" priority="541">
      <formula>#REF!&lt;&gt;""</formula>
    </cfRule>
    <cfRule type="expression" dxfId="6231" priority="542">
      <formula>#REF!&lt;&gt;""</formula>
    </cfRule>
    <cfRule type="expression" dxfId="6230" priority="543">
      <formula>#REF!&lt;&gt;""</formula>
    </cfRule>
    <cfRule type="expression" dxfId="6229" priority="544">
      <formula>#REF!&lt;&gt;""</formula>
    </cfRule>
    <cfRule type="expression" dxfId="6228" priority="545">
      <formula>#REF!&lt;&gt;""</formula>
    </cfRule>
    <cfRule type="expression" dxfId="6227" priority="546">
      <formula>#REF!&lt;&gt;""</formula>
    </cfRule>
    <cfRule type="expression" dxfId="6226" priority="547">
      <formula>#REF!&lt;&gt;""</formula>
    </cfRule>
    <cfRule type="expression" dxfId="6225" priority="548">
      <formula>#REF!&lt;&gt;""</formula>
    </cfRule>
    <cfRule type="expression" dxfId="6224" priority="549">
      <formula>#REF!&lt;&gt;""</formula>
    </cfRule>
    <cfRule type="expression" dxfId="6223" priority="550">
      <formula>#REF!&lt;&gt;""</formula>
    </cfRule>
    <cfRule type="expression" dxfId="6222" priority="551">
      <formula>#REF!&lt;&gt;""</formula>
    </cfRule>
  </conditionalFormatting>
  <conditionalFormatting sqref="F310">
    <cfRule type="expression" dxfId="6221" priority="528">
      <formula>#REF!&lt;&gt;""</formula>
    </cfRule>
    <cfRule type="expression" dxfId="6220" priority="529">
      <formula>#REF!&lt;&gt;""</formula>
    </cfRule>
    <cfRule type="expression" dxfId="6219" priority="530">
      <formula>#REF!&lt;&gt;""</formula>
    </cfRule>
    <cfRule type="expression" dxfId="6218" priority="531">
      <formula>#REF!&lt;&gt;""</formula>
    </cfRule>
    <cfRule type="expression" dxfId="6217" priority="532">
      <formula>#REF!&lt;&gt;""</formula>
    </cfRule>
    <cfRule type="expression" dxfId="6216" priority="533">
      <formula>#REF!&lt;&gt;""</formula>
    </cfRule>
    <cfRule type="expression" dxfId="6215" priority="534">
      <formula>#REF!&lt;&gt;""</formula>
    </cfRule>
    <cfRule type="expression" dxfId="6214" priority="535">
      <formula>#REF!&lt;&gt;""</formula>
    </cfRule>
    <cfRule type="expression" dxfId="6213" priority="536">
      <formula>#REF!&lt;&gt;""</formula>
    </cfRule>
    <cfRule type="expression" dxfId="6212" priority="537">
      <formula>#REF!&lt;&gt;""</formula>
    </cfRule>
    <cfRule type="expression" dxfId="6211" priority="538">
      <formula>#REF!&lt;&gt;""</formula>
    </cfRule>
    <cfRule type="expression" dxfId="6210" priority="539">
      <formula>#REF!&lt;&gt;""</formula>
    </cfRule>
  </conditionalFormatting>
  <conditionalFormatting sqref="F311">
    <cfRule type="expression" dxfId="6209" priority="516">
      <formula>#REF!&lt;&gt;""</formula>
    </cfRule>
    <cfRule type="expression" dxfId="6208" priority="517">
      <formula>#REF!&lt;&gt;""</formula>
    </cfRule>
    <cfRule type="expression" dxfId="6207" priority="518">
      <formula>#REF!&lt;&gt;""</formula>
    </cfRule>
    <cfRule type="expression" dxfId="6206" priority="519">
      <formula>#REF!&lt;&gt;""</formula>
    </cfRule>
    <cfRule type="expression" dxfId="6205" priority="520">
      <formula>#REF!&lt;&gt;""</formula>
    </cfRule>
    <cfRule type="expression" dxfId="6204" priority="521">
      <formula>#REF!&lt;&gt;""</formula>
    </cfRule>
    <cfRule type="expression" dxfId="6203" priority="522">
      <formula>#REF!&lt;&gt;""</formula>
    </cfRule>
    <cfRule type="expression" dxfId="6202" priority="523">
      <formula>#REF!&lt;&gt;""</formula>
    </cfRule>
    <cfRule type="expression" dxfId="6201" priority="524">
      <formula>#REF!&lt;&gt;""</formula>
    </cfRule>
    <cfRule type="expression" dxfId="6200" priority="525">
      <formula>#REF!&lt;&gt;""</formula>
    </cfRule>
    <cfRule type="expression" dxfId="6199" priority="526">
      <formula>#REF!&lt;&gt;""</formula>
    </cfRule>
    <cfRule type="expression" dxfId="6198" priority="527">
      <formula>#REF!&lt;&gt;""</formula>
    </cfRule>
  </conditionalFormatting>
  <conditionalFormatting sqref="F312">
    <cfRule type="expression" dxfId="6197" priority="504">
      <formula>#REF!&lt;&gt;""</formula>
    </cfRule>
    <cfRule type="expression" dxfId="6196" priority="505">
      <formula>#REF!&lt;&gt;""</formula>
    </cfRule>
    <cfRule type="expression" dxfId="6195" priority="506">
      <formula>#REF!&lt;&gt;""</formula>
    </cfRule>
    <cfRule type="expression" dxfId="6194" priority="507">
      <formula>#REF!&lt;&gt;""</formula>
    </cfRule>
    <cfRule type="expression" dxfId="6193" priority="508">
      <formula>#REF!&lt;&gt;""</formula>
    </cfRule>
    <cfRule type="expression" dxfId="6192" priority="509">
      <formula>#REF!&lt;&gt;""</formula>
    </cfRule>
    <cfRule type="expression" dxfId="6191" priority="510">
      <formula>#REF!&lt;&gt;""</formula>
    </cfRule>
    <cfRule type="expression" dxfId="6190" priority="511">
      <formula>#REF!&lt;&gt;""</formula>
    </cfRule>
    <cfRule type="expression" dxfId="6189" priority="512">
      <formula>#REF!&lt;&gt;""</formula>
    </cfRule>
    <cfRule type="expression" dxfId="6188" priority="513">
      <formula>#REF!&lt;&gt;""</formula>
    </cfRule>
    <cfRule type="expression" dxfId="6187" priority="514">
      <formula>#REF!&lt;&gt;""</formula>
    </cfRule>
    <cfRule type="expression" dxfId="6186" priority="515">
      <formula>#REF!&lt;&gt;""</formula>
    </cfRule>
  </conditionalFormatting>
  <conditionalFormatting sqref="F313">
    <cfRule type="expression" dxfId="6185" priority="492">
      <formula>#REF!&lt;&gt;""</formula>
    </cfRule>
    <cfRule type="expression" dxfId="6184" priority="493">
      <formula>#REF!&lt;&gt;""</formula>
    </cfRule>
    <cfRule type="expression" dxfId="6183" priority="494">
      <formula>#REF!&lt;&gt;""</formula>
    </cfRule>
    <cfRule type="expression" dxfId="6182" priority="495">
      <formula>#REF!&lt;&gt;""</formula>
    </cfRule>
    <cfRule type="expression" dxfId="6181" priority="496">
      <formula>#REF!&lt;&gt;""</formula>
    </cfRule>
    <cfRule type="expression" dxfId="6180" priority="497">
      <formula>#REF!&lt;&gt;""</formula>
    </cfRule>
    <cfRule type="expression" dxfId="6179" priority="498">
      <formula>#REF!&lt;&gt;""</formula>
    </cfRule>
    <cfRule type="expression" dxfId="6178" priority="499">
      <formula>#REF!&lt;&gt;""</formula>
    </cfRule>
    <cfRule type="expression" dxfId="6177" priority="500">
      <formula>#REF!&lt;&gt;""</formula>
    </cfRule>
    <cfRule type="expression" dxfId="6176" priority="501">
      <formula>#REF!&lt;&gt;""</formula>
    </cfRule>
    <cfRule type="expression" dxfId="6175" priority="502">
      <formula>#REF!&lt;&gt;""</formula>
    </cfRule>
    <cfRule type="expression" dxfId="6174" priority="503">
      <formula>#REF!&lt;&gt;""</formula>
    </cfRule>
  </conditionalFormatting>
  <conditionalFormatting sqref="F314">
    <cfRule type="expression" dxfId="6173" priority="480">
      <formula>#REF!&lt;&gt;""</formula>
    </cfRule>
    <cfRule type="expression" dxfId="6172" priority="481">
      <formula>#REF!&lt;&gt;""</formula>
    </cfRule>
    <cfRule type="expression" dxfId="6171" priority="482">
      <formula>#REF!&lt;&gt;""</formula>
    </cfRule>
    <cfRule type="expression" dxfId="6170" priority="483">
      <formula>#REF!&lt;&gt;""</formula>
    </cfRule>
    <cfRule type="expression" dxfId="6169" priority="484">
      <formula>#REF!&lt;&gt;""</formula>
    </cfRule>
    <cfRule type="expression" dxfId="6168" priority="485">
      <formula>#REF!&lt;&gt;""</formula>
    </cfRule>
    <cfRule type="expression" dxfId="6167" priority="486">
      <formula>#REF!&lt;&gt;""</formula>
    </cfRule>
    <cfRule type="expression" dxfId="6166" priority="487">
      <formula>#REF!&lt;&gt;""</formula>
    </cfRule>
    <cfRule type="expression" dxfId="6165" priority="488">
      <formula>#REF!&lt;&gt;""</formula>
    </cfRule>
    <cfRule type="expression" dxfId="6164" priority="489">
      <formula>#REF!&lt;&gt;""</formula>
    </cfRule>
    <cfRule type="expression" dxfId="6163" priority="490">
      <formula>#REF!&lt;&gt;""</formula>
    </cfRule>
    <cfRule type="expression" dxfId="6162" priority="491">
      <formula>#REF!&lt;&gt;""</formula>
    </cfRule>
  </conditionalFormatting>
  <conditionalFormatting sqref="F315">
    <cfRule type="expression" dxfId="6161" priority="468">
      <formula>#REF!&lt;&gt;""</formula>
    </cfRule>
    <cfRule type="expression" dxfId="6160" priority="469">
      <formula>#REF!&lt;&gt;""</formula>
    </cfRule>
    <cfRule type="expression" dxfId="6159" priority="470">
      <formula>#REF!&lt;&gt;""</formula>
    </cfRule>
    <cfRule type="expression" dxfId="6158" priority="471">
      <formula>#REF!&lt;&gt;""</formula>
    </cfRule>
    <cfRule type="expression" dxfId="6157" priority="472">
      <formula>#REF!&lt;&gt;""</formula>
    </cfRule>
    <cfRule type="expression" dxfId="6156" priority="473">
      <formula>#REF!&lt;&gt;""</formula>
    </cfRule>
    <cfRule type="expression" dxfId="6155" priority="474">
      <formula>#REF!&lt;&gt;""</formula>
    </cfRule>
    <cfRule type="expression" dxfId="6154" priority="475">
      <formula>#REF!&lt;&gt;""</formula>
    </cfRule>
    <cfRule type="expression" dxfId="6153" priority="476">
      <formula>#REF!&lt;&gt;""</formula>
    </cfRule>
    <cfRule type="expression" dxfId="6152" priority="477">
      <formula>#REF!&lt;&gt;""</formula>
    </cfRule>
    <cfRule type="expression" dxfId="6151" priority="478">
      <formula>#REF!&lt;&gt;""</formula>
    </cfRule>
    <cfRule type="expression" dxfId="6150" priority="479">
      <formula>#REF!&lt;&gt;""</formula>
    </cfRule>
  </conditionalFormatting>
  <conditionalFormatting sqref="F316">
    <cfRule type="expression" dxfId="6149" priority="456">
      <formula>#REF!&lt;&gt;""</formula>
    </cfRule>
    <cfRule type="expression" dxfId="6148" priority="457">
      <formula>#REF!&lt;&gt;""</formula>
    </cfRule>
    <cfRule type="expression" dxfId="6147" priority="458">
      <formula>#REF!&lt;&gt;""</formula>
    </cfRule>
    <cfRule type="expression" dxfId="6146" priority="459">
      <formula>#REF!&lt;&gt;""</formula>
    </cfRule>
    <cfRule type="expression" dxfId="6145" priority="460">
      <formula>#REF!&lt;&gt;""</formula>
    </cfRule>
    <cfRule type="expression" dxfId="6144" priority="461">
      <formula>#REF!&lt;&gt;""</formula>
    </cfRule>
    <cfRule type="expression" dxfId="6143" priority="462">
      <formula>#REF!&lt;&gt;""</formula>
    </cfRule>
    <cfRule type="expression" dxfId="6142" priority="463">
      <formula>#REF!&lt;&gt;""</formula>
    </cfRule>
    <cfRule type="expression" dxfId="6141" priority="464">
      <formula>#REF!&lt;&gt;""</formula>
    </cfRule>
    <cfRule type="expression" dxfId="6140" priority="465">
      <formula>#REF!&lt;&gt;""</formula>
    </cfRule>
    <cfRule type="expression" dxfId="6139" priority="466">
      <formula>#REF!&lt;&gt;""</formula>
    </cfRule>
    <cfRule type="expression" dxfId="6138" priority="467">
      <formula>#REF!&lt;&gt;""</formula>
    </cfRule>
  </conditionalFormatting>
  <conditionalFormatting sqref="F317">
    <cfRule type="expression" dxfId="6137" priority="444">
      <formula>#REF!&lt;&gt;""</formula>
    </cfRule>
    <cfRule type="expression" dxfId="6136" priority="445">
      <formula>#REF!&lt;&gt;""</formula>
    </cfRule>
    <cfRule type="expression" dxfId="6135" priority="446">
      <formula>#REF!&lt;&gt;""</formula>
    </cfRule>
    <cfRule type="expression" dxfId="6134" priority="447">
      <formula>#REF!&lt;&gt;""</formula>
    </cfRule>
    <cfRule type="expression" dxfId="6133" priority="448">
      <formula>#REF!&lt;&gt;""</formula>
    </cfRule>
    <cfRule type="expression" dxfId="6132" priority="449">
      <formula>#REF!&lt;&gt;""</formula>
    </cfRule>
    <cfRule type="expression" dxfId="6131" priority="450">
      <formula>#REF!&lt;&gt;""</formula>
    </cfRule>
    <cfRule type="expression" dxfId="6130" priority="451">
      <formula>#REF!&lt;&gt;""</formula>
    </cfRule>
    <cfRule type="expression" dxfId="6129" priority="452">
      <formula>#REF!&lt;&gt;""</formula>
    </cfRule>
    <cfRule type="expression" dxfId="6128" priority="453">
      <formula>#REF!&lt;&gt;""</formula>
    </cfRule>
    <cfRule type="expression" dxfId="6127" priority="454">
      <formula>#REF!&lt;&gt;""</formula>
    </cfRule>
    <cfRule type="expression" dxfId="6126" priority="455">
      <formula>#REF!&lt;&gt;""</formula>
    </cfRule>
  </conditionalFormatting>
  <conditionalFormatting sqref="F318">
    <cfRule type="expression" dxfId="6125" priority="432">
      <formula>#REF!&lt;&gt;""</formula>
    </cfRule>
    <cfRule type="expression" dxfId="6124" priority="433">
      <formula>#REF!&lt;&gt;""</formula>
    </cfRule>
    <cfRule type="expression" dxfId="6123" priority="434">
      <formula>#REF!&lt;&gt;""</formula>
    </cfRule>
    <cfRule type="expression" dxfId="6122" priority="435">
      <formula>#REF!&lt;&gt;""</formula>
    </cfRule>
    <cfRule type="expression" dxfId="6121" priority="436">
      <formula>#REF!&lt;&gt;""</formula>
    </cfRule>
    <cfRule type="expression" dxfId="6120" priority="437">
      <formula>#REF!&lt;&gt;""</formula>
    </cfRule>
    <cfRule type="expression" dxfId="6119" priority="438">
      <formula>#REF!&lt;&gt;""</formula>
    </cfRule>
    <cfRule type="expression" dxfId="6118" priority="439">
      <formula>#REF!&lt;&gt;""</formula>
    </cfRule>
    <cfRule type="expression" dxfId="6117" priority="440">
      <formula>#REF!&lt;&gt;""</formula>
    </cfRule>
    <cfRule type="expression" dxfId="6116" priority="441">
      <formula>#REF!&lt;&gt;""</formula>
    </cfRule>
    <cfRule type="expression" dxfId="6115" priority="442">
      <formula>#REF!&lt;&gt;""</formula>
    </cfRule>
    <cfRule type="expression" dxfId="6114" priority="443">
      <formula>#REF!&lt;&gt;""</formula>
    </cfRule>
  </conditionalFormatting>
  <conditionalFormatting sqref="F319">
    <cfRule type="expression" dxfId="6113" priority="420">
      <formula>#REF!&lt;&gt;""</formula>
    </cfRule>
    <cfRule type="expression" dxfId="6112" priority="421">
      <formula>#REF!&lt;&gt;""</formula>
    </cfRule>
    <cfRule type="expression" dxfId="6111" priority="422">
      <formula>#REF!&lt;&gt;""</formula>
    </cfRule>
    <cfRule type="expression" dxfId="6110" priority="423">
      <formula>#REF!&lt;&gt;""</formula>
    </cfRule>
    <cfRule type="expression" dxfId="6109" priority="424">
      <formula>#REF!&lt;&gt;""</formula>
    </cfRule>
    <cfRule type="expression" dxfId="6108" priority="425">
      <formula>#REF!&lt;&gt;""</formula>
    </cfRule>
    <cfRule type="expression" dxfId="6107" priority="426">
      <formula>#REF!&lt;&gt;""</formula>
    </cfRule>
    <cfRule type="expression" dxfId="6106" priority="427">
      <formula>#REF!&lt;&gt;""</formula>
    </cfRule>
    <cfRule type="expression" dxfId="6105" priority="428">
      <formula>#REF!&lt;&gt;""</formula>
    </cfRule>
    <cfRule type="expression" dxfId="6104" priority="429">
      <formula>#REF!&lt;&gt;""</formula>
    </cfRule>
    <cfRule type="expression" dxfId="6103" priority="430">
      <formula>#REF!&lt;&gt;""</formula>
    </cfRule>
    <cfRule type="expression" dxfId="6102" priority="431">
      <formula>#REF!&lt;&gt;""</formula>
    </cfRule>
  </conditionalFormatting>
  <conditionalFormatting sqref="F320">
    <cfRule type="expression" dxfId="6101" priority="408">
      <formula>#REF!&lt;&gt;""</formula>
    </cfRule>
    <cfRule type="expression" dxfId="6100" priority="409">
      <formula>#REF!&lt;&gt;""</formula>
    </cfRule>
    <cfRule type="expression" dxfId="6099" priority="410">
      <formula>#REF!&lt;&gt;""</formula>
    </cfRule>
    <cfRule type="expression" dxfId="6098" priority="411">
      <formula>#REF!&lt;&gt;""</formula>
    </cfRule>
    <cfRule type="expression" dxfId="6097" priority="412">
      <formula>#REF!&lt;&gt;""</formula>
    </cfRule>
    <cfRule type="expression" dxfId="6096" priority="413">
      <formula>#REF!&lt;&gt;""</formula>
    </cfRule>
    <cfRule type="expression" dxfId="6095" priority="414">
      <formula>#REF!&lt;&gt;""</formula>
    </cfRule>
    <cfRule type="expression" dxfId="6094" priority="415">
      <formula>#REF!&lt;&gt;""</formula>
    </cfRule>
    <cfRule type="expression" dxfId="6093" priority="416">
      <formula>#REF!&lt;&gt;""</formula>
    </cfRule>
    <cfRule type="expression" dxfId="6092" priority="417">
      <formula>#REF!&lt;&gt;""</formula>
    </cfRule>
    <cfRule type="expression" dxfId="6091" priority="418">
      <formula>#REF!&lt;&gt;""</formula>
    </cfRule>
    <cfRule type="expression" dxfId="6090" priority="419">
      <formula>#REF!&lt;&gt;""</formula>
    </cfRule>
  </conditionalFormatting>
  <conditionalFormatting sqref="F321">
    <cfRule type="expression" dxfId="6089" priority="396">
      <formula>#REF!&lt;&gt;""</formula>
    </cfRule>
    <cfRule type="expression" dxfId="6088" priority="397">
      <formula>#REF!&lt;&gt;""</formula>
    </cfRule>
    <cfRule type="expression" dxfId="6087" priority="398">
      <formula>#REF!&lt;&gt;""</formula>
    </cfRule>
    <cfRule type="expression" dxfId="6086" priority="399">
      <formula>#REF!&lt;&gt;""</formula>
    </cfRule>
    <cfRule type="expression" dxfId="6085" priority="400">
      <formula>#REF!&lt;&gt;""</formula>
    </cfRule>
    <cfRule type="expression" dxfId="6084" priority="401">
      <formula>#REF!&lt;&gt;""</formula>
    </cfRule>
    <cfRule type="expression" dxfId="6083" priority="402">
      <formula>#REF!&lt;&gt;""</formula>
    </cfRule>
    <cfRule type="expression" dxfId="6082" priority="403">
      <formula>#REF!&lt;&gt;""</formula>
    </cfRule>
    <cfRule type="expression" dxfId="6081" priority="404">
      <formula>#REF!&lt;&gt;""</formula>
    </cfRule>
    <cfRule type="expression" dxfId="6080" priority="405">
      <formula>#REF!&lt;&gt;""</formula>
    </cfRule>
    <cfRule type="expression" dxfId="6079" priority="406">
      <formula>#REF!&lt;&gt;""</formula>
    </cfRule>
    <cfRule type="expression" dxfId="6078" priority="407">
      <formula>#REF!&lt;&gt;""</formula>
    </cfRule>
  </conditionalFormatting>
  <conditionalFormatting sqref="F322">
    <cfRule type="expression" dxfId="6077" priority="384">
      <formula>#REF!&lt;&gt;""</formula>
    </cfRule>
    <cfRule type="expression" dxfId="6076" priority="385">
      <formula>#REF!&lt;&gt;""</formula>
    </cfRule>
    <cfRule type="expression" dxfId="6075" priority="386">
      <formula>#REF!&lt;&gt;""</formula>
    </cfRule>
    <cfRule type="expression" dxfId="6074" priority="387">
      <formula>#REF!&lt;&gt;""</formula>
    </cfRule>
    <cfRule type="expression" dxfId="6073" priority="388">
      <formula>#REF!&lt;&gt;""</formula>
    </cfRule>
    <cfRule type="expression" dxfId="6072" priority="389">
      <formula>#REF!&lt;&gt;""</formula>
    </cfRule>
    <cfRule type="expression" dxfId="6071" priority="390">
      <formula>#REF!&lt;&gt;""</formula>
    </cfRule>
    <cfRule type="expression" dxfId="6070" priority="391">
      <formula>#REF!&lt;&gt;""</formula>
    </cfRule>
    <cfRule type="expression" dxfId="6069" priority="392">
      <formula>#REF!&lt;&gt;""</formula>
    </cfRule>
    <cfRule type="expression" dxfId="6068" priority="393">
      <formula>#REF!&lt;&gt;""</formula>
    </cfRule>
    <cfRule type="expression" dxfId="6067" priority="394">
      <formula>#REF!&lt;&gt;""</formula>
    </cfRule>
    <cfRule type="expression" dxfId="6066" priority="395">
      <formula>#REF!&lt;&gt;""</formula>
    </cfRule>
  </conditionalFormatting>
  <conditionalFormatting sqref="F323">
    <cfRule type="expression" dxfId="6065" priority="372">
      <formula>#REF!&lt;&gt;""</formula>
    </cfRule>
    <cfRule type="expression" dxfId="6064" priority="373">
      <formula>#REF!&lt;&gt;""</formula>
    </cfRule>
    <cfRule type="expression" dxfId="6063" priority="374">
      <formula>#REF!&lt;&gt;""</formula>
    </cfRule>
    <cfRule type="expression" dxfId="6062" priority="375">
      <formula>#REF!&lt;&gt;""</formula>
    </cfRule>
    <cfRule type="expression" dxfId="6061" priority="376">
      <formula>#REF!&lt;&gt;""</formula>
    </cfRule>
    <cfRule type="expression" dxfId="6060" priority="377">
      <formula>#REF!&lt;&gt;""</formula>
    </cfRule>
    <cfRule type="expression" dxfId="6059" priority="378">
      <formula>#REF!&lt;&gt;""</formula>
    </cfRule>
    <cfRule type="expression" dxfId="6058" priority="379">
      <formula>#REF!&lt;&gt;""</formula>
    </cfRule>
    <cfRule type="expression" dxfId="6057" priority="380">
      <formula>#REF!&lt;&gt;""</formula>
    </cfRule>
    <cfRule type="expression" dxfId="6056" priority="381">
      <formula>#REF!&lt;&gt;""</formula>
    </cfRule>
    <cfRule type="expression" dxfId="6055" priority="382">
      <formula>#REF!&lt;&gt;""</formula>
    </cfRule>
    <cfRule type="expression" dxfId="6054" priority="383">
      <formula>#REF!&lt;&gt;""</formula>
    </cfRule>
  </conditionalFormatting>
  <conditionalFormatting sqref="F324">
    <cfRule type="expression" dxfId="6053" priority="360">
      <formula>#REF!&lt;&gt;""</formula>
    </cfRule>
    <cfRule type="expression" dxfId="6052" priority="361">
      <formula>#REF!&lt;&gt;""</formula>
    </cfRule>
    <cfRule type="expression" dxfId="6051" priority="362">
      <formula>#REF!&lt;&gt;""</formula>
    </cfRule>
    <cfRule type="expression" dxfId="6050" priority="363">
      <formula>#REF!&lt;&gt;""</formula>
    </cfRule>
    <cfRule type="expression" dxfId="6049" priority="364">
      <formula>#REF!&lt;&gt;""</formula>
    </cfRule>
    <cfRule type="expression" dxfId="6048" priority="365">
      <formula>#REF!&lt;&gt;""</formula>
    </cfRule>
    <cfRule type="expression" dxfId="6047" priority="366">
      <formula>#REF!&lt;&gt;""</formula>
    </cfRule>
    <cfRule type="expression" dxfId="6046" priority="367">
      <formula>#REF!&lt;&gt;""</formula>
    </cfRule>
    <cfRule type="expression" dxfId="6045" priority="368">
      <formula>#REF!&lt;&gt;""</formula>
    </cfRule>
    <cfRule type="expression" dxfId="6044" priority="369">
      <formula>#REF!&lt;&gt;""</formula>
    </cfRule>
    <cfRule type="expression" dxfId="6043" priority="370">
      <formula>#REF!&lt;&gt;""</formula>
    </cfRule>
    <cfRule type="expression" dxfId="6042" priority="371">
      <formula>#REF!&lt;&gt;""</formula>
    </cfRule>
  </conditionalFormatting>
  <conditionalFormatting sqref="F325">
    <cfRule type="expression" dxfId="6041" priority="348">
      <formula>#REF!&lt;&gt;""</formula>
    </cfRule>
    <cfRule type="expression" dxfId="6040" priority="349">
      <formula>#REF!&lt;&gt;""</formula>
    </cfRule>
    <cfRule type="expression" dxfId="6039" priority="350">
      <formula>#REF!&lt;&gt;""</formula>
    </cfRule>
    <cfRule type="expression" dxfId="6038" priority="351">
      <formula>#REF!&lt;&gt;""</formula>
    </cfRule>
    <cfRule type="expression" dxfId="6037" priority="352">
      <formula>#REF!&lt;&gt;""</formula>
    </cfRule>
    <cfRule type="expression" dxfId="6036" priority="353">
      <formula>#REF!&lt;&gt;""</formula>
    </cfRule>
    <cfRule type="expression" dxfId="6035" priority="354">
      <formula>#REF!&lt;&gt;""</formula>
    </cfRule>
    <cfRule type="expression" dxfId="6034" priority="355">
      <formula>#REF!&lt;&gt;""</formula>
    </cfRule>
    <cfRule type="expression" dxfId="6033" priority="356">
      <formula>#REF!&lt;&gt;""</formula>
    </cfRule>
    <cfRule type="expression" dxfId="6032" priority="357">
      <formula>#REF!&lt;&gt;""</formula>
    </cfRule>
    <cfRule type="expression" dxfId="6031" priority="358">
      <formula>#REF!&lt;&gt;""</formula>
    </cfRule>
    <cfRule type="expression" dxfId="6030" priority="359">
      <formula>#REF!&lt;&gt;""</formula>
    </cfRule>
  </conditionalFormatting>
  <conditionalFormatting sqref="F326">
    <cfRule type="expression" dxfId="6029" priority="336">
      <formula>#REF!&lt;&gt;""</formula>
    </cfRule>
    <cfRule type="expression" dxfId="6028" priority="337">
      <formula>#REF!&lt;&gt;""</formula>
    </cfRule>
    <cfRule type="expression" dxfId="6027" priority="338">
      <formula>#REF!&lt;&gt;""</formula>
    </cfRule>
    <cfRule type="expression" dxfId="6026" priority="339">
      <formula>#REF!&lt;&gt;""</formula>
    </cfRule>
    <cfRule type="expression" dxfId="6025" priority="340">
      <formula>#REF!&lt;&gt;""</formula>
    </cfRule>
    <cfRule type="expression" dxfId="6024" priority="341">
      <formula>#REF!&lt;&gt;""</formula>
    </cfRule>
    <cfRule type="expression" dxfId="6023" priority="342">
      <formula>#REF!&lt;&gt;""</formula>
    </cfRule>
    <cfRule type="expression" dxfId="6022" priority="343">
      <formula>#REF!&lt;&gt;""</formula>
    </cfRule>
    <cfRule type="expression" dxfId="6021" priority="344">
      <formula>#REF!&lt;&gt;""</formula>
    </cfRule>
    <cfRule type="expression" dxfId="6020" priority="345">
      <formula>#REF!&lt;&gt;""</formula>
    </cfRule>
    <cfRule type="expression" dxfId="6019" priority="346">
      <formula>#REF!&lt;&gt;""</formula>
    </cfRule>
    <cfRule type="expression" dxfId="6018" priority="347">
      <formula>#REF!&lt;&gt;""</formula>
    </cfRule>
  </conditionalFormatting>
  <conditionalFormatting sqref="F327">
    <cfRule type="expression" dxfId="6017" priority="324">
      <formula>#REF!&lt;&gt;""</formula>
    </cfRule>
    <cfRule type="expression" dxfId="6016" priority="325">
      <formula>#REF!&lt;&gt;""</formula>
    </cfRule>
    <cfRule type="expression" dxfId="6015" priority="326">
      <formula>#REF!&lt;&gt;""</formula>
    </cfRule>
    <cfRule type="expression" dxfId="6014" priority="327">
      <formula>#REF!&lt;&gt;""</formula>
    </cfRule>
    <cfRule type="expression" dxfId="6013" priority="328">
      <formula>#REF!&lt;&gt;""</formula>
    </cfRule>
    <cfRule type="expression" dxfId="6012" priority="329">
      <formula>#REF!&lt;&gt;""</formula>
    </cfRule>
    <cfRule type="expression" dxfId="6011" priority="330">
      <formula>#REF!&lt;&gt;""</formula>
    </cfRule>
    <cfRule type="expression" dxfId="6010" priority="331">
      <formula>#REF!&lt;&gt;""</formula>
    </cfRule>
    <cfRule type="expression" dxfId="6009" priority="332">
      <formula>#REF!&lt;&gt;""</formula>
    </cfRule>
    <cfRule type="expression" dxfId="6008" priority="333">
      <formula>#REF!&lt;&gt;""</formula>
    </cfRule>
    <cfRule type="expression" dxfId="6007" priority="334">
      <formula>#REF!&lt;&gt;""</formula>
    </cfRule>
    <cfRule type="expression" dxfId="6006" priority="335">
      <formula>#REF!&lt;&gt;""</formula>
    </cfRule>
  </conditionalFormatting>
  <conditionalFormatting sqref="F328">
    <cfRule type="expression" dxfId="6005" priority="312">
      <formula>#REF!&lt;&gt;""</formula>
    </cfRule>
    <cfRule type="expression" dxfId="6004" priority="313">
      <formula>#REF!&lt;&gt;""</formula>
    </cfRule>
    <cfRule type="expression" dxfId="6003" priority="314">
      <formula>#REF!&lt;&gt;""</formula>
    </cfRule>
    <cfRule type="expression" dxfId="6002" priority="315">
      <formula>#REF!&lt;&gt;""</formula>
    </cfRule>
    <cfRule type="expression" dxfId="6001" priority="316">
      <formula>#REF!&lt;&gt;""</formula>
    </cfRule>
    <cfRule type="expression" dxfId="6000" priority="317">
      <formula>#REF!&lt;&gt;""</formula>
    </cfRule>
    <cfRule type="expression" dxfId="5999" priority="318">
      <formula>#REF!&lt;&gt;""</formula>
    </cfRule>
    <cfRule type="expression" dxfId="5998" priority="319">
      <formula>#REF!&lt;&gt;""</formula>
    </cfRule>
    <cfRule type="expression" dxfId="5997" priority="320">
      <formula>#REF!&lt;&gt;""</formula>
    </cfRule>
    <cfRule type="expression" dxfId="5996" priority="321">
      <formula>#REF!&lt;&gt;""</formula>
    </cfRule>
    <cfRule type="expression" dxfId="5995" priority="322">
      <formula>#REF!&lt;&gt;""</formula>
    </cfRule>
    <cfRule type="expression" dxfId="5994" priority="323">
      <formula>#REF!&lt;&gt;""</formula>
    </cfRule>
  </conditionalFormatting>
  <conditionalFormatting sqref="F329">
    <cfRule type="expression" dxfId="5993" priority="300">
      <formula>#REF!&lt;&gt;""</formula>
    </cfRule>
    <cfRule type="expression" dxfId="5992" priority="301">
      <formula>#REF!&lt;&gt;""</formula>
    </cfRule>
    <cfRule type="expression" dxfId="5991" priority="302">
      <formula>#REF!&lt;&gt;""</formula>
    </cfRule>
    <cfRule type="expression" dxfId="5990" priority="303">
      <formula>#REF!&lt;&gt;""</formula>
    </cfRule>
    <cfRule type="expression" dxfId="5989" priority="304">
      <formula>#REF!&lt;&gt;""</formula>
    </cfRule>
    <cfRule type="expression" dxfId="5988" priority="305">
      <formula>#REF!&lt;&gt;""</formula>
    </cfRule>
    <cfRule type="expression" dxfId="5987" priority="306">
      <formula>#REF!&lt;&gt;""</formula>
    </cfRule>
    <cfRule type="expression" dxfId="5986" priority="307">
      <formula>#REF!&lt;&gt;""</formula>
    </cfRule>
    <cfRule type="expression" dxfId="5985" priority="308">
      <formula>#REF!&lt;&gt;""</formula>
    </cfRule>
    <cfRule type="expression" dxfId="5984" priority="309">
      <formula>#REF!&lt;&gt;""</formula>
    </cfRule>
    <cfRule type="expression" dxfId="5983" priority="310">
      <formula>#REF!&lt;&gt;""</formula>
    </cfRule>
    <cfRule type="expression" dxfId="5982" priority="311">
      <formula>#REF!&lt;&gt;""</formula>
    </cfRule>
  </conditionalFormatting>
  <conditionalFormatting sqref="F330">
    <cfRule type="expression" dxfId="5981" priority="288">
      <formula>#REF!&lt;&gt;""</formula>
    </cfRule>
    <cfRule type="expression" dxfId="5980" priority="289">
      <formula>#REF!&lt;&gt;""</formula>
    </cfRule>
    <cfRule type="expression" dxfId="5979" priority="290">
      <formula>#REF!&lt;&gt;""</formula>
    </cfRule>
    <cfRule type="expression" dxfId="5978" priority="291">
      <formula>#REF!&lt;&gt;""</formula>
    </cfRule>
    <cfRule type="expression" dxfId="5977" priority="292">
      <formula>#REF!&lt;&gt;""</formula>
    </cfRule>
    <cfRule type="expression" dxfId="5976" priority="293">
      <formula>#REF!&lt;&gt;""</formula>
    </cfRule>
    <cfRule type="expression" dxfId="5975" priority="294">
      <formula>#REF!&lt;&gt;""</formula>
    </cfRule>
    <cfRule type="expression" dxfId="5974" priority="295">
      <formula>#REF!&lt;&gt;""</formula>
    </cfRule>
    <cfRule type="expression" dxfId="5973" priority="296">
      <formula>#REF!&lt;&gt;""</formula>
    </cfRule>
    <cfRule type="expression" dxfId="5972" priority="297">
      <formula>#REF!&lt;&gt;""</formula>
    </cfRule>
    <cfRule type="expression" dxfId="5971" priority="298">
      <formula>#REF!&lt;&gt;""</formula>
    </cfRule>
    <cfRule type="expression" dxfId="5970" priority="299">
      <formula>#REF!&lt;&gt;""</formula>
    </cfRule>
  </conditionalFormatting>
  <conditionalFormatting sqref="F331">
    <cfRule type="expression" dxfId="5969" priority="276">
      <formula>#REF!&lt;&gt;""</formula>
    </cfRule>
    <cfRule type="expression" dxfId="5968" priority="277">
      <formula>#REF!&lt;&gt;""</formula>
    </cfRule>
    <cfRule type="expression" dxfId="5967" priority="278">
      <formula>#REF!&lt;&gt;""</formula>
    </cfRule>
    <cfRule type="expression" dxfId="5966" priority="279">
      <formula>#REF!&lt;&gt;""</formula>
    </cfRule>
    <cfRule type="expression" dxfId="5965" priority="280">
      <formula>#REF!&lt;&gt;""</formula>
    </cfRule>
    <cfRule type="expression" dxfId="5964" priority="281">
      <formula>#REF!&lt;&gt;""</formula>
    </cfRule>
    <cfRule type="expression" dxfId="5963" priority="282">
      <formula>#REF!&lt;&gt;""</formula>
    </cfRule>
    <cfRule type="expression" dxfId="5962" priority="283">
      <formula>#REF!&lt;&gt;""</formula>
    </cfRule>
    <cfRule type="expression" dxfId="5961" priority="284">
      <formula>#REF!&lt;&gt;""</formula>
    </cfRule>
    <cfRule type="expression" dxfId="5960" priority="285">
      <formula>#REF!&lt;&gt;""</formula>
    </cfRule>
    <cfRule type="expression" dxfId="5959" priority="286">
      <formula>#REF!&lt;&gt;""</formula>
    </cfRule>
    <cfRule type="expression" dxfId="5958" priority="287">
      <formula>#REF!&lt;&gt;""</formula>
    </cfRule>
  </conditionalFormatting>
  <conditionalFormatting sqref="F332">
    <cfRule type="expression" dxfId="5957" priority="264">
      <formula>#REF!&lt;&gt;""</formula>
    </cfRule>
    <cfRule type="expression" dxfId="5956" priority="265">
      <formula>#REF!&lt;&gt;""</formula>
    </cfRule>
    <cfRule type="expression" dxfId="5955" priority="266">
      <formula>#REF!&lt;&gt;""</formula>
    </cfRule>
    <cfRule type="expression" dxfId="5954" priority="267">
      <formula>#REF!&lt;&gt;""</formula>
    </cfRule>
    <cfRule type="expression" dxfId="5953" priority="268">
      <formula>#REF!&lt;&gt;""</formula>
    </cfRule>
    <cfRule type="expression" dxfId="5952" priority="269">
      <formula>#REF!&lt;&gt;""</formula>
    </cfRule>
    <cfRule type="expression" dxfId="5951" priority="270">
      <formula>#REF!&lt;&gt;""</formula>
    </cfRule>
    <cfRule type="expression" dxfId="5950" priority="271">
      <formula>#REF!&lt;&gt;""</formula>
    </cfRule>
    <cfRule type="expression" dxfId="5949" priority="272">
      <formula>#REF!&lt;&gt;""</formula>
    </cfRule>
    <cfRule type="expression" dxfId="5948" priority="273">
      <formula>#REF!&lt;&gt;""</formula>
    </cfRule>
    <cfRule type="expression" dxfId="5947" priority="274">
      <formula>#REF!&lt;&gt;""</formula>
    </cfRule>
    <cfRule type="expression" dxfId="5946" priority="275">
      <formula>#REF!&lt;&gt;""</formula>
    </cfRule>
  </conditionalFormatting>
  <conditionalFormatting sqref="F333">
    <cfRule type="expression" dxfId="5945" priority="252">
      <formula>#REF!&lt;&gt;""</formula>
    </cfRule>
    <cfRule type="expression" dxfId="5944" priority="253">
      <formula>#REF!&lt;&gt;""</formula>
    </cfRule>
    <cfRule type="expression" dxfId="5943" priority="254">
      <formula>#REF!&lt;&gt;""</formula>
    </cfRule>
    <cfRule type="expression" dxfId="5942" priority="255">
      <formula>#REF!&lt;&gt;""</formula>
    </cfRule>
    <cfRule type="expression" dxfId="5941" priority="256">
      <formula>#REF!&lt;&gt;""</formula>
    </cfRule>
    <cfRule type="expression" dxfId="5940" priority="257">
      <formula>#REF!&lt;&gt;""</formula>
    </cfRule>
    <cfRule type="expression" dxfId="5939" priority="258">
      <formula>#REF!&lt;&gt;""</formula>
    </cfRule>
    <cfRule type="expression" dxfId="5938" priority="259">
      <formula>#REF!&lt;&gt;""</formula>
    </cfRule>
    <cfRule type="expression" dxfId="5937" priority="260">
      <formula>#REF!&lt;&gt;""</formula>
    </cfRule>
    <cfRule type="expression" dxfId="5936" priority="261">
      <formula>#REF!&lt;&gt;""</formula>
    </cfRule>
    <cfRule type="expression" dxfId="5935" priority="262">
      <formula>#REF!&lt;&gt;""</formula>
    </cfRule>
    <cfRule type="expression" dxfId="5934" priority="263">
      <formula>#REF!&lt;&gt;""</formula>
    </cfRule>
  </conditionalFormatting>
  <conditionalFormatting sqref="F334">
    <cfRule type="expression" dxfId="5933" priority="240">
      <formula>#REF!&lt;&gt;""</formula>
    </cfRule>
    <cfRule type="expression" dxfId="5932" priority="241">
      <formula>#REF!&lt;&gt;""</formula>
    </cfRule>
    <cfRule type="expression" dxfId="5931" priority="242">
      <formula>#REF!&lt;&gt;""</formula>
    </cfRule>
    <cfRule type="expression" dxfId="5930" priority="243">
      <formula>#REF!&lt;&gt;""</formula>
    </cfRule>
    <cfRule type="expression" dxfId="5929" priority="244">
      <formula>#REF!&lt;&gt;""</formula>
    </cfRule>
    <cfRule type="expression" dxfId="5928" priority="245">
      <formula>#REF!&lt;&gt;""</formula>
    </cfRule>
    <cfRule type="expression" dxfId="5927" priority="246">
      <formula>#REF!&lt;&gt;""</formula>
    </cfRule>
    <cfRule type="expression" dxfId="5926" priority="247">
      <formula>#REF!&lt;&gt;""</formula>
    </cfRule>
    <cfRule type="expression" dxfId="5925" priority="248">
      <formula>#REF!&lt;&gt;""</formula>
    </cfRule>
    <cfRule type="expression" dxfId="5924" priority="249">
      <formula>#REF!&lt;&gt;""</formula>
    </cfRule>
    <cfRule type="expression" dxfId="5923" priority="250">
      <formula>#REF!&lt;&gt;""</formula>
    </cfRule>
    <cfRule type="expression" dxfId="5922" priority="251">
      <formula>#REF!&lt;&gt;""</formula>
    </cfRule>
  </conditionalFormatting>
  <conditionalFormatting sqref="F335">
    <cfRule type="expression" dxfId="5921" priority="228">
      <formula>#REF!&lt;&gt;""</formula>
    </cfRule>
    <cfRule type="expression" dxfId="5920" priority="229">
      <formula>#REF!&lt;&gt;""</formula>
    </cfRule>
    <cfRule type="expression" dxfId="5919" priority="230">
      <formula>#REF!&lt;&gt;""</formula>
    </cfRule>
    <cfRule type="expression" dxfId="5918" priority="231">
      <formula>#REF!&lt;&gt;""</formula>
    </cfRule>
    <cfRule type="expression" dxfId="5917" priority="232">
      <formula>#REF!&lt;&gt;""</formula>
    </cfRule>
    <cfRule type="expression" dxfId="5916" priority="233">
      <formula>#REF!&lt;&gt;""</formula>
    </cfRule>
    <cfRule type="expression" dxfId="5915" priority="234">
      <formula>#REF!&lt;&gt;""</formula>
    </cfRule>
    <cfRule type="expression" dxfId="5914" priority="235">
      <formula>#REF!&lt;&gt;""</formula>
    </cfRule>
    <cfRule type="expression" dxfId="5913" priority="236">
      <formula>#REF!&lt;&gt;""</formula>
    </cfRule>
    <cfRule type="expression" dxfId="5912" priority="237">
      <formula>#REF!&lt;&gt;""</formula>
    </cfRule>
    <cfRule type="expression" dxfId="5911" priority="238">
      <formula>#REF!&lt;&gt;""</formula>
    </cfRule>
    <cfRule type="expression" dxfId="5910" priority="239">
      <formula>#REF!&lt;&gt;""</formula>
    </cfRule>
  </conditionalFormatting>
  <conditionalFormatting sqref="F336">
    <cfRule type="expression" dxfId="5909" priority="216">
      <formula>#REF!&lt;&gt;""</formula>
    </cfRule>
    <cfRule type="expression" dxfId="5908" priority="217">
      <formula>#REF!&lt;&gt;""</formula>
    </cfRule>
    <cfRule type="expression" dxfId="5907" priority="218">
      <formula>#REF!&lt;&gt;""</formula>
    </cfRule>
    <cfRule type="expression" dxfId="5906" priority="219">
      <formula>#REF!&lt;&gt;""</formula>
    </cfRule>
    <cfRule type="expression" dxfId="5905" priority="220">
      <formula>#REF!&lt;&gt;""</formula>
    </cfRule>
    <cfRule type="expression" dxfId="5904" priority="221">
      <formula>#REF!&lt;&gt;""</formula>
    </cfRule>
    <cfRule type="expression" dxfId="5903" priority="222">
      <formula>#REF!&lt;&gt;""</formula>
    </cfRule>
    <cfRule type="expression" dxfId="5902" priority="223">
      <formula>#REF!&lt;&gt;""</formula>
    </cfRule>
    <cfRule type="expression" dxfId="5901" priority="224">
      <formula>#REF!&lt;&gt;""</formula>
    </cfRule>
    <cfRule type="expression" dxfId="5900" priority="225">
      <formula>#REF!&lt;&gt;""</formula>
    </cfRule>
    <cfRule type="expression" dxfId="5899" priority="226">
      <formula>#REF!&lt;&gt;""</formula>
    </cfRule>
    <cfRule type="expression" dxfId="5898" priority="227">
      <formula>#REF!&lt;&gt;""</formula>
    </cfRule>
  </conditionalFormatting>
  <conditionalFormatting sqref="F337">
    <cfRule type="expression" dxfId="5897" priority="204">
      <formula>#REF!&lt;&gt;""</formula>
    </cfRule>
    <cfRule type="expression" dxfId="5896" priority="205">
      <formula>#REF!&lt;&gt;""</formula>
    </cfRule>
    <cfRule type="expression" dxfId="5895" priority="206">
      <formula>#REF!&lt;&gt;""</formula>
    </cfRule>
    <cfRule type="expression" dxfId="5894" priority="207">
      <formula>#REF!&lt;&gt;""</formula>
    </cfRule>
    <cfRule type="expression" dxfId="5893" priority="208">
      <formula>#REF!&lt;&gt;""</formula>
    </cfRule>
    <cfRule type="expression" dxfId="5892" priority="209">
      <formula>#REF!&lt;&gt;""</formula>
    </cfRule>
    <cfRule type="expression" dxfId="5891" priority="210">
      <formula>#REF!&lt;&gt;""</formula>
    </cfRule>
    <cfRule type="expression" dxfId="5890" priority="211">
      <formula>#REF!&lt;&gt;""</formula>
    </cfRule>
    <cfRule type="expression" dxfId="5889" priority="212">
      <formula>#REF!&lt;&gt;""</formula>
    </cfRule>
    <cfRule type="expression" dxfId="5888" priority="213">
      <formula>#REF!&lt;&gt;""</formula>
    </cfRule>
    <cfRule type="expression" dxfId="5887" priority="214">
      <formula>#REF!&lt;&gt;""</formula>
    </cfRule>
    <cfRule type="expression" dxfId="5886" priority="215">
      <formula>#REF!&lt;&gt;""</formula>
    </cfRule>
  </conditionalFormatting>
  <conditionalFormatting sqref="F338">
    <cfRule type="expression" dxfId="5885" priority="192">
      <formula>#REF!&lt;&gt;""</formula>
    </cfRule>
    <cfRule type="expression" dxfId="5884" priority="193">
      <formula>#REF!&lt;&gt;""</formula>
    </cfRule>
    <cfRule type="expression" dxfId="5883" priority="194">
      <formula>#REF!&lt;&gt;""</formula>
    </cfRule>
    <cfRule type="expression" dxfId="5882" priority="195">
      <formula>#REF!&lt;&gt;""</formula>
    </cfRule>
    <cfRule type="expression" dxfId="5881" priority="196">
      <formula>#REF!&lt;&gt;""</formula>
    </cfRule>
    <cfRule type="expression" dxfId="5880" priority="197">
      <formula>#REF!&lt;&gt;""</formula>
    </cfRule>
    <cfRule type="expression" dxfId="5879" priority="198">
      <formula>#REF!&lt;&gt;""</formula>
    </cfRule>
    <cfRule type="expression" dxfId="5878" priority="199">
      <formula>#REF!&lt;&gt;""</formula>
    </cfRule>
    <cfRule type="expression" dxfId="5877" priority="200">
      <formula>#REF!&lt;&gt;""</formula>
    </cfRule>
    <cfRule type="expression" dxfId="5876" priority="201">
      <formula>#REF!&lt;&gt;""</formula>
    </cfRule>
    <cfRule type="expression" dxfId="5875" priority="202">
      <formula>#REF!&lt;&gt;""</formula>
    </cfRule>
    <cfRule type="expression" dxfId="5874" priority="203">
      <formula>#REF!&lt;&gt;""</formula>
    </cfRule>
  </conditionalFormatting>
  <conditionalFormatting sqref="F339">
    <cfRule type="expression" dxfId="5873" priority="180">
      <formula>#REF!&lt;&gt;""</formula>
    </cfRule>
    <cfRule type="expression" dxfId="5872" priority="181">
      <formula>#REF!&lt;&gt;""</formula>
    </cfRule>
    <cfRule type="expression" dxfId="5871" priority="182">
      <formula>#REF!&lt;&gt;""</formula>
    </cfRule>
    <cfRule type="expression" dxfId="5870" priority="183">
      <formula>#REF!&lt;&gt;""</formula>
    </cfRule>
    <cfRule type="expression" dxfId="5869" priority="184">
      <formula>#REF!&lt;&gt;""</formula>
    </cfRule>
    <cfRule type="expression" dxfId="5868" priority="185">
      <formula>#REF!&lt;&gt;""</formula>
    </cfRule>
    <cfRule type="expression" dxfId="5867" priority="186">
      <formula>#REF!&lt;&gt;""</formula>
    </cfRule>
    <cfRule type="expression" dxfId="5866" priority="187">
      <formula>#REF!&lt;&gt;""</formula>
    </cfRule>
    <cfRule type="expression" dxfId="5865" priority="188">
      <formula>#REF!&lt;&gt;""</formula>
    </cfRule>
    <cfRule type="expression" dxfId="5864" priority="189">
      <formula>#REF!&lt;&gt;""</formula>
    </cfRule>
    <cfRule type="expression" dxfId="5863" priority="190">
      <formula>#REF!&lt;&gt;""</formula>
    </cfRule>
    <cfRule type="expression" dxfId="5862" priority="191">
      <formula>#REF!&lt;&gt;""</formula>
    </cfRule>
  </conditionalFormatting>
  <conditionalFormatting sqref="F340">
    <cfRule type="expression" dxfId="5861" priority="168">
      <formula>#REF!&lt;&gt;""</formula>
    </cfRule>
    <cfRule type="expression" dxfId="5860" priority="169">
      <formula>#REF!&lt;&gt;""</formula>
    </cfRule>
    <cfRule type="expression" dxfId="5859" priority="170">
      <formula>#REF!&lt;&gt;""</formula>
    </cfRule>
    <cfRule type="expression" dxfId="5858" priority="171">
      <formula>#REF!&lt;&gt;""</formula>
    </cfRule>
    <cfRule type="expression" dxfId="5857" priority="172">
      <formula>#REF!&lt;&gt;""</formula>
    </cfRule>
    <cfRule type="expression" dxfId="5856" priority="173">
      <formula>#REF!&lt;&gt;""</formula>
    </cfRule>
    <cfRule type="expression" dxfId="5855" priority="174">
      <formula>#REF!&lt;&gt;""</formula>
    </cfRule>
    <cfRule type="expression" dxfId="5854" priority="175">
      <formula>#REF!&lt;&gt;""</formula>
    </cfRule>
    <cfRule type="expression" dxfId="5853" priority="176">
      <formula>#REF!&lt;&gt;""</formula>
    </cfRule>
    <cfRule type="expression" dxfId="5852" priority="177">
      <formula>#REF!&lt;&gt;""</formula>
    </cfRule>
    <cfRule type="expression" dxfId="5851" priority="178">
      <formula>#REF!&lt;&gt;""</formula>
    </cfRule>
    <cfRule type="expression" dxfId="5850" priority="179">
      <formula>#REF!&lt;&gt;""</formula>
    </cfRule>
  </conditionalFormatting>
  <conditionalFormatting sqref="F341">
    <cfRule type="expression" dxfId="5849" priority="156">
      <formula>#REF!&lt;&gt;""</formula>
    </cfRule>
    <cfRule type="expression" dxfId="5848" priority="157">
      <formula>#REF!&lt;&gt;""</formula>
    </cfRule>
    <cfRule type="expression" dxfId="5847" priority="158">
      <formula>#REF!&lt;&gt;""</formula>
    </cfRule>
    <cfRule type="expression" dxfId="5846" priority="159">
      <formula>#REF!&lt;&gt;""</formula>
    </cfRule>
    <cfRule type="expression" dxfId="5845" priority="160">
      <formula>#REF!&lt;&gt;""</formula>
    </cfRule>
    <cfRule type="expression" dxfId="5844" priority="161">
      <formula>#REF!&lt;&gt;""</formula>
    </cfRule>
    <cfRule type="expression" dxfId="5843" priority="162">
      <formula>#REF!&lt;&gt;""</formula>
    </cfRule>
    <cfRule type="expression" dxfId="5842" priority="163">
      <formula>#REF!&lt;&gt;""</formula>
    </cfRule>
    <cfRule type="expression" dxfId="5841" priority="164">
      <formula>#REF!&lt;&gt;""</formula>
    </cfRule>
    <cfRule type="expression" dxfId="5840" priority="165">
      <formula>#REF!&lt;&gt;""</formula>
    </cfRule>
    <cfRule type="expression" dxfId="5839" priority="166">
      <formula>#REF!&lt;&gt;""</formula>
    </cfRule>
    <cfRule type="expression" dxfId="5838" priority="167">
      <formula>#REF!&lt;&gt;""</formula>
    </cfRule>
  </conditionalFormatting>
  <conditionalFormatting sqref="F342">
    <cfRule type="expression" dxfId="5837" priority="144">
      <formula>#REF!&lt;&gt;""</formula>
    </cfRule>
    <cfRule type="expression" dxfId="5836" priority="145">
      <formula>#REF!&lt;&gt;""</formula>
    </cfRule>
    <cfRule type="expression" dxfId="5835" priority="146">
      <formula>#REF!&lt;&gt;""</formula>
    </cfRule>
    <cfRule type="expression" dxfId="5834" priority="147">
      <formula>#REF!&lt;&gt;""</formula>
    </cfRule>
    <cfRule type="expression" dxfId="5833" priority="148">
      <formula>#REF!&lt;&gt;""</formula>
    </cfRule>
    <cfRule type="expression" dxfId="5832" priority="149">
      <formula>#REF!&lt;&gt;""</formula>
    </cfRule>
    <cfRule type="expression" dxfId="5831" priority="150">
      <formula>#REF!&lt;&gt;""</formula>
    </cfRule>
    <cfRule type="expression" dxfId="5830" priority="151">
      <formula>#REF!&lt;&gt;""</formula>
    </cfRule>
    <cfRule type="expression" dxfId="5829" priority="152">
      <formula>#REF!&lt;&gt;""</formula>
    </cfRule>
    <cfRule type="expression" dxfId="5828" priority="153">
      <formula>#REF!&lt;&gt;""</formula>
    </cfRule>
    <cfRule type="expression" dxfId="5827" priority="154">
      <formula>#REF!&lt;&gt;""</formula>
    </cfRule>
    <cfRule type="expression" dxfId="5826" priority="155">
      <formula>#REF!&lt;&gt;""</formula>
    </cfRule>
  </conditionalFormatting>
  <conditionalFormatting sqref="F343">
    <cfRule type="expression" dxfId="5825" priority="132">
      <formula>#REF!&lt;&gt;""</formula>
    </cfRule>
    <cfRule type="expression" dxfId="5824" priority="133">
      <formula>#REF!&lt;&gt;""</formula>
    </cfRule>
    <cfRule type="expression" dxfId="5823" priority="134">
      <formula>#REF!&lt;&gt;""</formula>
    </cfRule>
    <cfRule type="expression" dxfId="5822" priority="135">
      <formula>#REF!&lt;&gt;""</formula>
    </cfRule>
    <cfRule type="expression" dxfId="5821" priority="136">
      <formula>#REF!&lt;&gt;""</formula>
    </cfRule>
    <cfRule type="expression" dxfId="5820" priority="137">
      <formula>#REF!&lt;&gt;""</formula>
    </cfRule>
    <cfRule type="expression" dxfId="5819" priority="138">
      <formula>#REF!&lt;&gt;""</formula>
    </cfRule>
    <cfRule type="expression" dxfId="5818" priority="139">
      <formula>#REF!&lt;&gt;""</formula>
    </cfRule>
    <cfRule type="expression" dxfId="5817" priority="140">
      <formula>#REF!&lt;&gt;""</formula>
    </cfRule>
    <cfRule type="expression" dxfId="5816" priority="141">
      <formula>#REF!&lt;&gt;""</formula>
    </cfRule>
    <cfRule type="expression" dxfId="5815" priority="142">
      <formula>#REF!&lt;&gt;""</formula>
    </cfRule>
    <cfRule type="expression" dxfId="5814" priority="143">
      <formula>#REF!&lt;&gt;""</formula>
    </cfRule>
  </conditionalFormatting>
  <conditionalFormatting sqref="F344">
    <cfRule type="expression" dxfId="5813" priority="120">
      <formula>#REF!&lt;&gt;""</formula>
    </cfRule>
    <cfRule type="expression" dxfId="5812" priority="121">
      <formula>#REF!&lt;&gt;""</formula>
    </cfRule>
    <cfRule type="expression" dxfId="5811" priority="122">
      <formula>#REF!&lt;&gt;""</formula>
    </cfRule>
    <cfRule type="expression" dxfId="5810" priority="123">
      <formula>#REF!&lt;&gt;""</formula>
    </cfRule>
    <cfRule type="expression" dxfId="5809" priority="124">
      <formula>#REF!&lt;&gt;""</formula>
    </cfRule>
    <cfRule type="expression" dxfId="5808" priority="125">
      <formula>#REF!&lt;&gt;""</formula>
    </cfRule>
    <cfRule type="expression" dxfId="5807" priority="126">
      <formula>#REF!&lt;&gt;""</formula>
    </cfRule>
    <cfRule type="expression" dxfId="5806" priority="127">
      <formula>#REF!&lt;&gt;""</formula>
    </cfRule>
    <cfRule type="expression" dxfId="5805" priority="128">
      <formula>#REF!&lt;&gt;""</formula>
    </cfRule>
    <cfRule type="expression" dxfId="5804" priority="129">
      <formula>#REF!&lt;&gt;""</formula>
    </cfRule>
    <cfRule type="expression" dxfId="5803" priority="130">
      <formula>#REF!&lt;&gt;""</formula>
    </cfRule>
    <cfRule type="expression" dxfId="5802" priority="131">
      <formula>#REF!&lt;&gt;""</formula>
    </cfRule>
  </conditionalFormatting>
  <conditionalFormatting sqref="F345">
    <cfRule type="expression" dxfId="5801" priority="108">
      <formula>#REF!&lt;&gt;""</formula>
    </cfRule>
    <cfRule type="expression" dxfId="5800" priority="109">
      <formula>#REF!&lt;&gt;""</formula>
    </cfRule>
    <cfRule type="expression" dxfId="5799" priority="110">
      <formula>#REF!&lt;&gt;""</formula>
    </cfRule>
    <cfRule type="expression" dxfId="5798" priority="111">
      <formula>#REF!&lt;&gt;""</formula>
    </cfRule>
    <cfRule type="expression" dxfId="5797" priority="112">
      <formula>#REF!&lt;&gt;""</formula>
    </cfRule>
    <cfRule type="expression" dxfId="5796" priority="113">
      <formula>#REF!&lt;&gt;""</formula>
    </cfRule>
    <cfRule type="expression" dxfId="5795" priority="114">
      <formula>#REF!&lt;&gt;""</formula>
    </cfRule>
    <cfRule type="expression" dxfId="5794" priority="115">
      <formula>#REF!&lt;&gt;""</formula>
    </cfRule>
    <cfRule type="expression" dxfId="5793" priority="116">
      <formula>#REF!&lt;&gt;""</formula>
    </cfRule>
    <cfRule type="expression" dxfId="5792" priority="117">
      <formula>#REF!&lt;&gt;""</formula>
    </cfRule>
    <cfRule type="expression" dxfId="5791" priority="118">
      <formula>#REF!&lt;&gt;""</formula>
    </cfRule>
    <cfRule type="expression" dxfId="5790" priority="119">
      <formula>#REF!&lt;&gt;""</formula>
    </cfRule>
  </conditionalFormatting>
  <conditionalFormatting sqref="F346">
    <cfRule type="expression" dxfId="5789" priority="96">
      <formula>#REF!&lt;&gt;""</formula>
    </cfRule>
    <cfRule type="expression" dxfId="5788" priority="97">
      <formula>#REF!&lt;&gt;""</formula>
    </cfRule>
    <cfRule type="expression" dxfId="5787" priority="98">
      <formula>#REF!&lt;&gt;""</formula>
    </cfRule>
    <cfRule type="expression" dxfId="5786" priority="99">
      <formula>#REF!&lt;&gt;""</formula>
    </cfRule>
    <cfRule type="expression" dxfId="5785" priority="100">
      <formula>#REF!&lt;&gt;""</formula>
    </cfRule>
    <cfRule type="expression" dxfId="5784" priority="101">
      <formula>#REF!&lt;&gt;""</formula>
    </cfRule>
    <cfRule type="expression" dxfId="5783" priority="102">
      <formula>#REF!&lt;&gt;""</formula>
    </cfRule>
    <cfRule type="expression" dxfId="5782" priority="103">
      <formula>#REF!&lt;&gt;""</formula>
    </cfRule>
    <cfRule type="expression" dxfId="5781" priority="104">
      <formula>#REF!&lt;&gt;""</formula>
    </cfRule>
    <cfRule type="expression" dxfId="5780" priority="105">
      <formula>#REF!&lt;&gt;""</formula>
    </cfRule>
    <cfRule type="expression" dxfId="5779" priority="106">
      <formula>#REF!&lt;&gt;""</formula>
    </cfRule>
    <cfRule type="expression" dxfId="5778" priority="107">
      <formula>#REF!&lt;&gt;""</formula>
    </cfRule>
  </conditionalFormatting>
  <conditionalFormatting sqref="F347">
    <cfRule type="expression" dxfId="5777" priority="84">
      <formula>#REF!&lt;&gt;""</formula>
    </cfRule>
    <cfRule type="expression" dxfId="5776" priority="85">
      <formula>#REF!&lt;&gt;""</formula>
    </cfRule>
    <cfRule type="expression" dxfId="5775" priority="86">
      <formula>#REF!&lt;&gt;""</formula>
    </cfRule>
    <cfRule type="expression" dxfId="5774" priority="87">
      <formula>#REF!&lt;&gt;""</formula>
    </cfRule>
    <cfRule type="expression" dxfId="5773" priority="88">
      <formula>#REF!&lt;&gt;""</formula>
    </cfRule>
    <cfRule type="expression" dxfId="5772" priority="89">
      <formula>#REF!&lt;&gt;""</formula>
    </cfRule>
    <cfRule type="expression" dxfId="5771" priority="90">
      <formula>#REF!&lt;&gt;""</formula>
    </cfRule>
    <cfRule type="expression" dxfId="5770" priority="91">
      <formula>#REF!&lt;&gt;""</formula>
    </cfRule>
    <cfRule type="expression" dxfId="5769" priority="92">
      <formula>#REF!&lt;&gt;""</formula>
    </cfRule>
    <cfRule type="expression" dxfId="5768" priority="93">
      <formula>#REF!&lt;&gt;""</formula>
    </cfRule>
    <cfRule type="expression" dxfId="5767" priority="94">
      <formula>#REF!&lt;&gt;""</formula>
    </cfRule>
    <cfRule type="expression" dxfId="5766" priority="95">
      <formula>#REF!&lt;&gt;""</formula>
    </cfRule>
  </conditionalFormatting>
  <conditionalFormatting sqref="F348">
    <cfRule type="expression" dxfId="5765" priority="72">
      <formula>#REF!&lt;&gt;""</formula>
    </cfRule>
    <cfRule type="expression" dxfId="5764" priority="73">
      <formula>#REF!&lt;&gt;""</formula>
    </cfRule>
    <cfRule type="expression" dxfId="5763" priority="74">
      <formula>#REF!&lt;&gt;""</formula>
    </cfRule>
    <cfRule type="expression" dxfId="5762" priority="75">
      <formula>#REF!&lt;&gt;""</formula>
    </cfRule>
    <cfRule type="expression" dxfId="5761" priority="76">
      <formula>#REF!&lt;&gt;""</formula>
    </cfRule>
    <cfRule type="expression" dxfId="5760" priority="77">
      <formula>#REF!&lt;&gt;""</formula>
    </cfRule>
    <cfRule type="expression" dxfId="5759" priority="78">
      <formula>#REF!&lt;&gt;""</formula>
    </cfRule>
    <cfRule type="expression" dxfId="5758" priority="79">
      <formula>#REF!&lt;&gt;""</formula>
    </cfRule>
    <cfRule type="expression" dxfId="5757" priority="80">
      <formula>#REF!&lt;&gt;""</formula>
    </cfRule>
    <cfRule type="expression" dxfId="5756" priority="81">
      <formula>#REF!&lt;&gt;""</formula>
    </cfRule>
    <cfRule type="expression" dxfId="5755" priority="82">
      <formula>#REF!&lt;&gt;""</formula>
    </cfRule>
    <cfRule type="expression" dxfId="5754" priority="83">
      <formula>#REF!&lt;&gt;""</formula>
    </cfRule>
  </conditionalFormatting>
  <conditionalFormatting sqref="F349">
    <cfRule type="expression" dxfId="5753" priority="60">
      <formula>#REF!&lt;&gt;""</formula>
    </cfRule>
    <cfRule type="expression" dxfId="5752" priority="61">
      <formula>#REF!&lt;&gt;""</formula>
    </cfRule>
    <cfRule type="expression" dxfId="5751" priority="62">
      <formula>#REF!&lt;&gt;""</formula>
    </cfRule>
    <cfRule type="expression" dxfId="5750" priority="63">
      <formula>#REF!&lt;&gt;""</formula>
    </cfRule>
    <cfRule type="expression" dxfId="5749" priority="64">
      <formula>#REF!&lt;&gt;""</formula>
    </cfRule>
    <cfRule type="expression" dxfId="5748" priority="65">
      <formula>#REF!&lt;&gt;""</formula>
    </cfRule>
    <cfRule type="expression" dxfId="5747" priority="66">
      <formula>#REF!&lt;&gt;""</formula>
    </cfRule>
    <cfRule type="expression" dxfId="5746" priority="67">
      <formula>#REF!&lt;&gt;""</formula>
    </cfRule>
    <cfRule type="expression" dxfId="5745" priority="68">
      <formula>#REF!&lt;&gt;""</formula>
    </cfRule>
    <cfRule type="expression" dxfId="5744" priority="69">
      <formula>#REF!&lt;&gt;""</formula>
    </cfRule>
    <cfRule type="expression" dxfId="5743" priority="70">
      <formula>#REF!&lt;&gt;""</formula>
    </cfRule>
    <cfRule type="expression" dxfId="5742" priority="71">
      <formula>#REF!&lt;&gt;""</formula>
    </cfRule>
  </conditionalFormatting>
  <conditionalFormatting sqref="F350">
    <cfRule type="expression" dxfId="5741" priority="48">
      <formula>#REF!&lt;&gt;""</formula>
    </cfRule>
    <cfRule type="expression" dxfId="5740" priority="49">
      <formula>#REF!&lt;&gt;""</formula>
    </cfRule>
    <cfRule type="expression" dxfId="5739" priority="50">
      <formula>#REF!&lt;&gt;""</formula>
    </cfRule>
    <cfRule type="expression" dxfId="5738" priority="51">
      <formula>#REF!&lt;&gt;""</formula>
    </cfRule>
    <cfRule type="expression" dxfId="5737" priority="52">
      <formula>#REF!&lt;&gt;""</formula>
    </cfRule>
    <cfRule type="expression" dxfId="5736" priority="53">
      <formula>#REF!&lt;&gt;""</formula>
    </cfRule>
    <cfRule type="expression" dxfId="5735" priority="54">
      <formula>#REF!&lt;&gt;""</formula>
    </cfRule>
    <cfRule type="expression" dxfId="5734" priority="55">
      <formula>#REF!&lt;&gt;""</formula>
    </cfRule>
    <cfRule type="expression" dxfId="5733" priority="56">
      <formula>#REF!&lt;&gt;""</formula>
    </cfRule>
    <cfRule type="expression" dxfId="5732" priority="57">
      <formula>#REF!&lt;&gt;""</formula>
    </cfRule>
    <cfRule type="expression" dxfId="5731" priority="58">
      <formula>#REF!&lt;&gt;""</formula>
    </cfRule>
    <cfRule type="expression" dxfId="5730" priority="59">
      <formula>#REF!&lt;&gt;""</formula>
    </cfRule>
  </conditionalFormatting>
  <conditionalFormatting sqref="F351">
    <cfRule type="expression" dxfId="5729" priority="36">
      <formula>#REF!&lt;&gt;""</formula>
    </cfRule>
    <cfRule type="expression" dxfId="5728" priority="37">
      <formula>#REF!&lt;&gt;""</formula>
    </cfRule>
    <cfRule type="expression" dxfId="5727" priority="38">
      <formula>#REF!&lt;&gt;""</formula>
    </cfRule>
    <cfRule type="expression" dxfId="5726" priority="39">
      <formula>#REF!&lt;&gt;""</formula>
    </cfRule>
    <cfRule type="expression" dxfId="5725" priority="40">
      <formula>#REF!&lt;&gt;""</formula>
    </cfRule>
    <cfRule type="expression" dxfId="5724" priority="41">
      <formula>#REF!&lt;&gt;""</formula>
    </cfRule>
    <cfRule type="expression" dxfId="5723" priority="42">
      <formula>#REF!&lt;&gt;""</formula>
    </cfRule>
    <cfRule type="expression" dxfId="5722" priority="43">
      <formula>#REF!&lt;&gt;""</formula>
    </cfRule>
    <cfRule type="expression" dxfId="5721" priority="44">
      <formula>#REF!&lt;&gt;""</formula>
    </cfRule>
    <cfRule type="expression" dxfId="5720" priority="45">
      <formula>#REF!&lt;&gt;""</formula>
    </cfRule>
    <cfRule type="expression" dxfId="5719" priority="46">
      <formula>#REF!&lt;&gt;""</formula>
    </cfRule>
    <cfRule type="expression" dxfId="5718" priority="47">
      <formula>#REF!&lt;&gt;""</formula>
    </cfRule>
  </conditionalFormatting>
  <conditionalFormatting sqref="F352">
    <cfRule type="expression" dxfId="5717" priority="24">
      <formula>#REF!&lt;&gt;""</formula>
    </cfRule>
    <cfRule type="expression" dxfId="5716" priority="25">
      <formula>#REF!&lt;&gt;""</formula>
    </cfRule>
    <cfRule type="expression" dxfId="5715" priority="26">
      <formula>#REF!&lt;&gt;""</formula>
    </cfRule>
    <cfRule type="expression" dxfId="5714" priority="27">
      <formula>#REF!&lt;&gt;""</formula>
    </cfRule>
    <cfRule type="expression" dxfId="5713" priority="28">
      <formula>#REF!&lt;&gt;""</formula>
    </cfRule>
    <cfRule type="expression" dxfId="5712" priority="29">
      <formula>#REF!&lt;&gt;""</formula>
    </cfRule>
    <cfRule type="expression" dxfId="5711" priority="30">
      <formula>#REF!&lt;&gt;""</formula>
    </cfRule>
    <cfRule type="expression" dxfId="5710" priority="31">
      <formula>#REF!&lt;&gt;""</formula>
    </cfRule>
    <cfRule type="expression" dxfId="5709" priority="32">
      <formula>#REF!&lt;&gt;""</formula>
    </cfRule>
    <cfRule type="expression" dxfId="5708" priority="33">
      <formula>#REF!&lt;&gt;""</formula>
    </cfRule>
    <cfRule type="expression" dxfId="5707" priority="34">
      <formula>#REF!&lt;&gt;""</formula>
    </cfRule>
    <cfRule type="expression" dxfId="5706" priority="35">
      <formula>#REF!&lt;&gt;""</formula>
    </cfRule>
  </conditionalFormatting>
  <conditionalFormatting sqref="F42">
    <cfRule type="expression" dxfId="5705" priority="1920">
      <formula>#REF!&lt;&gt;""</formula>
    </cfRule>
    <cfRule type="expression" dxfId="5704" priority="1921">
      <formula>#REF!&lt;&gt;""</formula>
    </cfRule>
    <cfRule type="expression" dxfId="5703" priority="1922">
      <formula>#REF!&lt;&gt;""</formula>
    </cfRule>
    <cfRule type="expression" dxfId="5702" priority="1923">
      <formula>#REF!&lt;&gt;""</formula>
    </cfRule>
    <cfRule type="expression" dxfId="5701" priority="1924">
      <formula>#REF!&lt;&gt;""</formula>
    </cfRule>
    <cfRule type="expression" dxfId="5700" priority="1925">
      <formula>#REF!&lt;&gt;""</formula>
    </cfRule>
    <cfRule type="expression" dxfId="5699" priority="1926">
      <formula>#REF!&lt;&gt;""</formula>
    </cfRule>
    <cfRule type="expression" dxfId="5698" priority="1927">
      <formula>#REF!&lt;&gt;""</formula>
    </cfRule>
    <cfRule type="expression" dxfId="5697" priority="1928">
      <formula>#REF!&lt;&gt;""</formula>
    </cfRule>
    <cfRule type="expression" dxfId="5696" priority="1929">
      <formula>#REF!&lt;&gt;""</formula>
    </cfRule>
    <cfRule type="expression" dxfId="5695" priority="1930">
      <formula>#REF!&lt;&gt;""</formula>
    </cfRule>
    <cfRule type="expression" dxfId="5694" priority="1931">
      <formula>#REF!&lt;&gt;""</formula>
    </cfRule>
  </conditionalFormatting>
  <conditionalFormatting sqref="F43">
    <cfRule type="expression" dxfId="5693" priority="1908">
      <formula>#REF!&lt;&gt;""</formula>
    </cfRule>
    <cfRule type="expression" dxfId="5692" priority="1909">
      <formula>#REF!&lt;&gt;""</formula>
    </cfRule>
    <cfRule type="expression" dxfId="5691" priority="1910">
      <formula>#REF!&lt;&gt;""</formula>
    </cfRule>
    <cfRule type="expression" dxfId="5690" priority="1911">
      <formula>#REF!&lt;&gt;""</formula>
    </cfRule>
    <cfRule type="expression" dxfId="5689" priority="1912">
      <formula>#REF!&lt;&gt;""</formula>
    </cfRule>
    <cfRule type="expression" dxfId="5688" priority="1913">
      <formula>#REF!&lt;&gt;""</formula>
    </cfRule>
    <cfRule type="expression" dxfId="5687" priority="1914">
      <formula>#REF!&lt;&gt;""</formula>
    </cfRule>
    <cfRule type="expression" dxfId="5686" priority="1915">
      <formula>#REF!&lt;&gt;""</formula>
    </cfRule>
    <cfRule type="expression" dxfId="5685" priority="1916">
      <formula>#REF!&lt;&gt;""</formula>
    </cfRule>
    <cfRule type="expression" dxfId="5684" priority="1917">
      <formula>#REF!&lt;&gt;""</formula>
    </cfRule>
    <cfRule type="expression" dxfId="5683" priority="1918">
      <formula>#REF!&lt;&gt;""</formula>
    </cfRule>
    <cfRule type="expression" dxfId="5682" priority="1919">
      <formula>#REF!&lt;&gt;""</formula>
    </cfRule>
  </conditionalFormatting>
  <conditionalFormatting sqref="F44">
    <cfRule type="expression" dxfId="5681" priority="1896">
      <formula>#REF!&lt;&gt;""</formula>
    </cfRule>
    <cfRule type="expression" dxfId="5680" priority="1897">
      <formula>#REF!&lt;&gt;""</formula>
    </cfRule>
    <cfRule type="expression" dxfId="5679" priority="1898">
      <formula>#REF!&lt;&gt;""</formula>
    </cfRule>
    <cfRule type="expression" dxfId="5678" priority="1899">
      <formula>#REF!&lt;&gt;""</formula>
    </cfRule>
    <cfRule type="expression" dxfId="5677" priority="1900">
      <formula>#REF!&lt;&gt;""</formula>
    </cfRule>
    <cfRule type="expression" dxfId="5676" priority="1901">
      <formula>#REF!&lt;&gt;""</formula>
    </cfRule>
    <cfRule type="expression" dxfId="5675" priority="1902">
      <formula>#REF!&lt;&gt;""</formula>
    </cfRule>
    <cfRule type="expression" dxfId="5674" priority="1903">
      <formula>#REF!&lt;&gt;""</formula>
    </cfRule>
    <cfRule type="expression" dxfId="5673" priority="1904">
      <formula>#REF!&lt;&gt;""</formula>
    </cfRule>
    <cfRule type="expression" dxfId="5672" priority="1905">
      <formula>#REF!&lt;&gt;""</formula>
    </cfRule>
    <cfRule type="expression" dxfId="5671" priority="1906">
      <formula>#REF!&lt;&gt;""</formula>
    </cfRule>
    <cfRule type="expression" dxfId="5670" priority="1907">
      <formula>#REF!&lt;&gt;""</formula>
    </cfRule>
  </conditionalFormatting>
  <conditionalFormatting sqref="F45">
    <cfRule type="expression" dxfId="5669" priority="1884">
      <formula>#REF!&lt;&gt;""</formula>
    </cfRule>
    <cfRule type="expression" dxfId="5668" priority="1885">
      <formula>#REF!&lt;&gt;""</formula>
    </cfRule>
    <cfRule type="expression" dxfId="5667" priority="1886">
      <formula>#REF!&lt;&gt;""</formula>
    </cfRule>
    <cfRule type="expression" dxfId="5666" priority="1887">
      <formula>#REF!&lt;&gt;""</formula>
    </cfRule>
    <cfRule type="expression" dxfId="5665" priority="1888">
      <formula>#REF!&lt;&gt;""</formula>
    </cfRule>
    <cfRule type="expression" dxfId="5664" priority="1889">
      <formula>#REF!&lt;&gt;""</formula>
    </cfRule>
    <cfRule type="expression" dxfId="5663" priority="1890">
      <formula>#REF!&lt;&gt;""</formula>
    </cfRule>
    <cfRule type="expression" dxfId="5662" priority="1891">
      <formula>#REF!&lt;&gt;""</formula>
    </cfRule>
    <cfRule type="expression" dxfId="5661" priority="1892">
      <formula>#REF!&lt;&gt;""</formula>
    </cfRule>
    <cfRule type="expression" dxfId="5660" priority="1893">
      <formula>#REF!&lt;&gt;""</formula>
    </cfRule>
    <cfRule type="expression" dxfId="5659" priority="1894">
      <formula>#REF!&lt;&gt;""</formula>
    </cfRule>
    <cfRule type="expression" dxfId="5658" priority="1895">
      <formula>#REF!&lt;&gt;""</formula>
    </cfRule>
  </conditionalFormatting>
  <conditionalFormatting sqref="F46">
    <cfRule type="expression" dxfId="5657" priority="1872">
      <formula>#REF!&lt;&gt;""</formula>
    </cfRule>
    <cfRule type="expression" dxfId="5656" priority="1873">
      <formula>#REF!&lt;&gt;""</formula>
    </cfRule>
    <cfRule type="expression" dxfId="5655" priority="1874">
      <formula>#REF!&lt;&gt;""</formula>
    </cfRule>
    <cfRule type="expression" dxfId="5654" priority="1875">
      <formula>#REF!&lt;&gt;""</formula>
    </cfRule>
    <cfRule type="expression" dxfId="5653" priority="1876">
      <formula>#REF!&lt;&gt;""</formula>
    </cfRule>
    <cfRule type="expression" dxfId="5652" priority="1877">
      <formula>#REF!&lt;&gt;""</formula>
    </cfRule>
    <cfRule type="expression" dxfId="5651" priority="1878">
      <formula>#REF!&lt;&gt;""</formula>
    </cfRule>
    <cfRule type="expression" dxfId="5650" priority="1879">
      <formula>#REF!&lt;&gt;""</formula>
    </cfRule>
    <cfRule type="expression" dxfId="5649" priority="1880">
      <formula>#REF!&lt;&gt;""</formula>
    </cfRule>
    <cfRule type="expression" dxfId="5648" priority="1881">
      <formula>#REF!&lt;&gt;""</formula>
    </cfRule>
    <cfRule type="expression" dxfId="5647" priority="1882">
      <formula>#REF!&lt;&gt;""</formula>
    </cfRule>
    <cfRule type="expression" dxfId="5646" priority="1883">
      <formula>#REF!&lt;&gt;""</formula>
    </cfRule>
  </conditionalFormatting>
  <conditionalFormatting sqref="F47">
    <cfRule type="expression" dxfId="5645" priority="1860">
      <formula>#REF!&lt;&gt;""</formula>
    </cfRule>
    <cfRule type="expression" dxfId="5644" priority="1861">
      <formula>#REF!&lt;&gt;""</formula>
    </cfRule>
    <cfRule type="expression" dxfId="5643" priority="1862">
      <formula>#REF!&lt;&gt;""</formula>
    </cfRule>
    <cfRule type="expression" dxfId="5642" priority="1863">
      <formula>#REF!&lt;&gt;""</formula>
    </cfRule>
    <cfRule type="expression" dxfId="5641" priority="1864">
      <formula>#REF!&lt;&gt;""</formula>
    </cfRule>
    <cfRule type="expression" dxfId="5640" priority="1865">
      <formula>#REF!&lt;&gt;""</formula>
    </cfRule>
    <cfRule type="expression" dxfId="5639" priority="1866">
      <formula>#REF!&lt;&gt;""</formula>
    </cfRule>
    <cfRule type="expression" dxfId="5638" priority="1867">
      <formula>#REF!&lt;&gt;""</formula>
    </cfRule>
    <cfRule type="expression" dxfId="5637" priority="1868">
      <formula>#REF!&lt;&gt;""</formula>
    </cfRule>
    <cfRule type="expression" dxfId="5636" priority="1869">
      <formula>#REF!&lt;&gt;""</formula>
    </cfRule>
    <cfRule type="expression" dxfId="5635" priority="1870">
      <formula>#REF!&lt;&gt;""</formula>
    </cfRule>
    <cfRule type="expression" dxfId="5634" priority="1871">
      <formula>#REF!&lt;&gt;""</formula>
    </cfRule>
  </conditionalFormatting>
  <conditionalFormatting sqref="F48">
    <cfRule type="expression" dxfId="5633" priority="1848">
      <formula>#REF!&lt;&gt;""</formula>
    </cfRule>
    <cfRule type="expression" dxfId="5632" priority="1849">
      <formula>#REF!&lt;&gt;""</formula>
    </cfRule>
    <cfRule type="expression" dxfId="5631" priority="1850">
      <formula>#REF!&lt;&gt;""</formula>
    </cfRule>
    <cfRule type="expression" dxfId="5630" priority="1851">
      <formula>#REF!&lt;&gt;""</formula>
    </cfRule>
    <cfRule type="expression" dxfId="5629" priority="1852">
      <formula>#REF!&lt;&gt;""</formula>
    </cfRule>
    <cfRule type="expression" dxfId="5628" priority="1853">
      <formula>#REF!&lt;&gt;""</formula>
    </cfRule>
    <cfRule type="expression" dxfId="5627" priority="1854">
      <formula>#REF!&lt;&gt;""</formula>
    </cfRule>
    <cfRule type="expression" dxfId="5626" priority="1855">
      <formula>#REF!&lt;&gt;""</formula>
    </cfRule>
    <cfRule type="expression" dxfId="5625" priority="1856">
      <formula>#REF!&lt;&gt;""</formula>
    </cfRule>
    <cfRule type="expression" dxfId="5624" priority="1857">
      <formula>#REF!&lt;&gt;""</formula>
    </cfRule>
    <cfRule type="expression" dxfId="5623" priority="1858">
      <formula>#REF!&lt;&gt;""</formula>
    </cfRule>
    <cfRule type="expression" dxfId="5622" priority="1859">
      <formula>#REF!&lt;&gt;""</formula>
    </cfRule>
  </conditionalFormatting>
  <conditionalFormatting sqref="F49">
    <cfRule type="expression" dxfId="5621" priority="1836">
      <formula>#REF!&lt;&gt;""</formula>
    </cfRule>
    <cfRule type="expression" dxfId="5620" priority="1837">
      <formula>#REF!&lt;&gt;""</formula>
    </cfRule>
    <cfRule type="expression" dxfId="5619" priority="1838">
      <formula>#REF!&lt;&gt;""</formula>
    </cfRule>
    <cfRule type="expression" dxfId="5618" priority="1839">
      <formula>#REF!&lt;&gt;""</formula>
    </cfRule>
    <cfRule type="expression" dxfId="5617" priority="1840">
      <formula>#REF!&lt;&gt;""</formula>
    </cfRule>
    <cfRule type="expression" dxfId="5616" priority="1841">
      <formula>#REF!&lt;&gt;""</formula>
    </cfRule>
    <cfRule type="expression" dxfId="5615" priority="1842">
      <formula>#REF!&lt;&gt;""</formula>
    </cfRule>
    <cfRule type="expression" dxfId="5614" priority="1843">
      <formula>#REF!&lt;&gt;""</formula>
    </cfRule>
    <cfRule type="expression" dxfId="5613" priority="1844">
      <formula>#REF!&lt;&gt;""</formula>
    </cfRule>
    <cfRule type="expression" dxfId="5612" priority="1845">
      <formula>#REF!&lt;&gt;""</formula>
    </cfRule>
    <cfRule type="expression" dxfId="5611" priority="1846">
      <formula>#REF!&lt;&gt;""</formula>
    </cfRule>
    <cfRule type="expression" dxfId="5610" priority="1847">
      <formula>#REF!&lt;&gt;""</formula>
    </cfRule>
  </conditionalFormatting>
  <conditionalFormatting sqref="F50">
    <cfRule type="expression" dxfId="5609" priority="1824">
      <formula>#REF!&lt;&gt;""</formula>
    </cfRule>
    <cfRule type="expression" dxfId="5608" priority="1825">
      <formula>#REF!&lt;&gt;""</formula>
    </cfRule>
    <cfRule type="expression" dxfId="5607" priority="1826">
      <formula>#REF!&lt;&gt;""</formula>
    </cfRule>
    <cfRule type="expression" dxfId="5606" priority="1827">
      <formula>#REF!&lt;&gt;""</formula>
    </cfRule>
    <cfRule type="expression" dxfId="5605" priority="1828">
      <formula>#REF!&lt;&gt;""</formula>
    </cfRule>
    <cfRule type="expression" dxfId="5604" priority="1829">
      <formula>#REF!&lt;&gt;""</formula>
    </cfRule>
    <cfRule type="expression" dxfId="5603" priority="1830">
      <formula>#REF!&lt;&gt;""</formula>
    </cfRule>
    <cfRule type="expression" dxfId="5602" priority="1831">
      <formula>#REF!&lt;&gt;""</formula>
    </cfRule>
    <cfRule type="expression" dxfId="5601" priority="1832">
      <formula>#REF!&lt;&gt;""</formula>
    </cfRule>
    <cfRule type="expression" dxfId="5600" priority="1833">
      <formula>#REF!&lt;&gt;""</formula>
    </cfRule>
    <cfRule type="expression" dxfId="5599" priority="1834">
      <formula>#REF!&lt;&gt;""</formula>
    </cfRule>
    <cfRule type="expression" dxfId="5598" priority="1835">
      <formula>#REF!&lt;&gt;""</formula>
    </cfRule>
  </conditionalFormatting>
  <conditionalFormatting sqref="F51">
    <cfRule type="expression" dxfId="5597" priority="1812">
      <formula>#REF!&lt;&gt;""</formula>
    </cfRule>
    <cfRule type="expression" dxfId="5596" priority="1813">
      <formula>#REF!&lt;&gt;""</formula>
    </cfRule>
    <cfRule type="expression" dxfId="5595" priority="1814">
      <formula>#REF!&lt;&gt;""</formula>
    </cfRule>
    <cfRule type="expression" dxfId="5594" priority="1815">
      <formula>#REF!&lt;&gt;""</formula>
    </cfRule>
    <cfRule type="expression" dxfId="5593" priority="1816">
      <formula>#REF!&lt;&gt;""</formula>
    </cfRule>
    <cfRule type="expression" dxfId="5592" priority="1817">
      <formula>#REF!&lt;&gt;""</formula>
    </cfRule>
    <cfRule type="expression" dxfId="5591" priority="1818">
      <formula>#REF!&lt;&gt;""</formula>
    </cfRule>
    <cfRule type="expression" dxfId="5590" priority="1819">
      <formula>#REF!&lt;&gt;""</formula>
    </cfRule>
    <cfRule type="expression" dxfId="5589" priority="1820">
      <formula>#REF!&lt;&gt;""</formula>
    </cfRule>
    <cfRule type="expression" dxfId="5588" priority="1821">
      <formula>#REF!&lt;&gt;""</formula>
    </cfRule>
    <cfRule type="expression" dxfId="5587" priority="1822">
      <formula>#REF!&lt;&gt;""</formula>
    </cfRule>
    <cfRule type="expression" dxfId="5586" priority="1823">
      <formula>#REF!&lt;&gt;""</formula>
    </cfRule>
  </conditionalFormatting>
  <conditionalFormatting sqref="F170">
    <cfRule type="expression" dxfId="5585" priority="1800">
      <formula>#REF!&lt;&gt;""</formula>
    </cfRule>
    <cfRule type="expression" dxfId="5584" priority="1801">
      <formula>#REF!&lt;&gt;""</formula>
    </cfRule>
    <cfRule type="expression" dxfId="5583" priority="1802">
      <formula>#REF!&lt;&gt;""</formula>
    </cfRule>
    <cfRule type="expression" dxfId="5582" priority="1803">
      <formula>#REF!&lt;&gt;""</formula>
    </cfRule>
    <cfRule type="expression" dxfId="5581" priority="1804">
      <formula>#REF!&lt;&gt;""</formula>
    </cfRule>
    <cfRule type="expression" dxfId="5580" priority="1805">
      <formula>#REF!&lt;&gt;""</formula>
    </cfRule>
    <cfRule type="expression" dxfId="5579" priority="1806">
      <formula>#REF!&lt;&gt;""</formula>
    </cfRule>
    <cfRule type="expression" dxfId="5578" priority="1807">
      <formula>#REF!&lt;&gt;""</formula>
    </cfRule>
    <cfRule type="expression" dxfId="5577" priority="1808">
      <formula>#REF!&lt;&gt;""</formula>
    </cfRule>
    <cfRule type="expression" dxfId="5576" priority="1809">
      <formula>#REF!&lt;&gt;""</formula>
    </cfRule>
    <cfRule type="expression" dxfId="5575" priority="1810">
      <formula>#REF!&lt;&gt;""</formula>
    </cfRule>
    <cfRule type="expression" dxfId="5574" priority="1811">
      <formula>#REF!&lt;&gt;""</formula>
    </cfRule>
  </conditionalFormatting>
  <conditionalFormatting sqref="F171">
    <cfRule type="expression" dxfId="5573" priority="1788">
      <formula>#REF!&lt;&gt;""</formula>
    </cfRule>
    <cfRule type="expression" dxfId="5572" priority="1789">
      <formula>#REF!&lt;&gt;""</formula>
    </cfRule>
    <cfRule type="expression" dxfId="5571" priority="1790">
      <formula>#REF!&lt;&gt;""</formula>
    </cfRule>
    <cfRule type="expression" dxfId="5570" priority="1791">
      <formula>#REF!&lt;&gt;""</formula>
    </cfRule>
    <cfRule type="expression" dxfId="5569" priority="1792">
      <formula>#REF!&lt;&gt;""</formula>
    </cfRule>
    <cfRule type="expression" dxfId="5568" priority="1793">
      <formula>#REF!&lt;&gt;""</formula>
    </cfRule>
    <cfRule type="expression" dxfId="5567" priority="1794">
      <formula>#REF!&lt;&gt;""</formula>
    </cfRule>
    <cfRule type="expression" dxfId="5566" priority="1795">
      <formula>#REF!&lt;&gt;""</formula>
    </cfRule>
    <cfRule type="expression" dxfId="5565" priority="1796">
      <formula>#REF!&lt;&gt;""</formula>
    </cfRule>
    <cfRule type="expression" dxfId="5564" priority="1797">
      <formula>#REF!&lt;&gt;""</formula>
    </cfRule>
    <cfRule type="expression" dxfId="5563" priority="1798">
      <formula>#REF!&lt;&gt;""</formula>
    </cfRule>
    <cfRule type="expression" dxfId="5562" priority="1799">
      <formula>#REF!&lt;&gt;""</formula>
    </cfRule>
  </conditionalFormatting>
  <conditionalFormatting sqref="F172">
    <cfRule type="expression" dxfId="5561" priority="1776">
      <formula>#REF!&lt;&gt;""</formula>
    </cfRule>
    <cfRule type="expression" dxfId="5560" priority="1777">
      <formula>#REF!&lt;&gt;""</formula>
    </cfRule>
    <cfRule type="expression" dxfId="5559" priority="1778">
      <formula>#REF!&lt;&gt;""</formula>
    </cfRule>
    <cfRule type="expression" dxfId="5558" priority="1779">
      <formula>#REF!&lt;&gt;""</formula>
    </cfRule>
    <cfRule type="expression" dxfId="5557" priority="1780">
      <formula>#REF!&lt;&gt;""</formula>
    </cfRule>
    <cfRule type="expression" dxfId="5556" priority="1781">
      <formula>#REF!&lt;&gt;""</formula>
    </cfRule>
    <cfRule type="expression" dxfId="5555" priority="1782">
      <formula>#REF!&lt;&gt;""</formula>
    </cfRule>
    <cfRule type="expression" dxfId="5554" priority="1783">
      <formula>#REF!&lt;&gt;""</formula>
    </cfRule>
    <cfRule type="expression" dxfId="5553" priority="1784">
      <formula>#REF!&lt;&gt;""</formula>
    </cfRule>
    <cfRule type="expression" dxfId="5552" priority="1785">
      <formula>#REF!&lt;&gt;""</formula>
    </cfRule>
    <cfRule type="expression" dxfId="5551" priority="1786">
      <formula>#REF!&lt;&gt;""</formula>
    </cfRule>
    <cfRule type="expression" dxfId="5550" priority="1787">
      <formula>#REF!&lt;&gt;""</formula>
    </cfRule>
  </conditionalFormatting>
  <conditionalFormatting sqref="F173">
    <cfRule type="expression" dxfId="5549" priority="1764">
      <formula>#REF!&lt;&gt;""</formula>
    </cfRule>
    <cfRule type="expression" dxfId="5548" priority="1765">
      <formula>#REF!&lt;&gt;""</formula>
    </cfRule>
    <cfRule type="expression" dxfId="5547" priority="1766">
      <formula>#REF!&lt;&gt;""</formula>
    </cfRule>
    <cfRule type="expression" dxfId="5546" priority="1767">
      <formula>#REF!&lt;&gt;""</formula>
    </cfRule>
    <cfRule type="expression" dxfId="5545" priority="1768">
      <formula>#REF!&lt;&gt;""</formula>
    </cfRule>
    <cfRule type="expression" dxfId="5544" priority="1769">
      <formula>#REF!&lt;&gt;""</formula>
    </cfRule>
    <cfRule type="expression" dxfId="5543" priority="1770">
      <formula>#REF!&lt;&gt;""</formula>
    </cfRule>
    <cfRule type="expression" dxfId="5542" priority="1771">
      <formula>#REF!&lt;&gt;""</formula>
    </cfRule>
    <cfRule type="expression" dxfId="5541" priority="1772">
      <formula>#REF!&lt;&gt;""</formula>
    </cfRule>
    <cfRule type="expression" dxfId="5540" priority="1773">
      <formula>#REF!&lt;&gt;""</formula>
    </cfRule>
    <cfRule type="expression" dxfId="5539" priority="1774">
      <formula>#REF!&lt;&gt;""</formula>
    </cfRule>
    <cfRule type="expression" dxfId="5538" priority="1775">
      <formula>#REF!&lt;&gt;""</formula>
    </cfRule>
  </conditionalFormatting>
  <conditionalFormatting sqref="F174">
    <cfRule type="expression" dxfId="5537" priority="1752">
      <formula>#REF!&lt;&gt;""</formula>
    </cfRule>
    <cfRule type="expression" dxfId="5536" priority="1753">
      <formula>#REF!&lt;&gt;""</formula>
    </cfRule>
    <cfRule type="expression" dxfId="5535" priority="1754">
      <formula>#REF!&lt;&gt;""</formula>
    </cfRule>
    <cfRule type="expression" dxfId="5534" priority="1755">
      <formula>#REF!&lt;&gt;""</formula>
    </cfRule>
    <cfRule type="expression" dxfId="5533" priority="1756">
      <formula>#REF!&lt;&gt;""</formula>
    </cfRule>
    <cfRule type="expression" dxfId="5532" priority="1757">
      <formula>#REF!&lt;&gt;""</formula>
    </cfRule>
    <cfRule type="expression" dxfId="5531" priority="1758">
      <formula>#REF!&lt;&gt;""</formula>
    </cfRule>
    <cfRule type="expression" dxfId="5530" priority="1759">
      <formula>#REF!&lt;&gt;""</formula>
    </cfRule>
    <cfRule type="expression" dxfId="5529" priority="1760">
      <formula>#REF!&lt;&gt;""</formula>
    </cfRule>
    <cfRule type="expression" dxfId="5528" priority="1761">
      <formula>#REF!&lt;&gt;""</formula>
    </cfRule>
    <cfRule type="expression" dxfId="5527" priority="1762">
      <formula>#REF!&lt;&gt;""</formula>
    </cfRule>
    <cfRule type="expression" dxfId="5526" priority="1763">
      <formula>#REF!&lt;&gt;""</formula>
    </cfRule>
  </conditionalFormatting>
  <conditionalFormatting sqref="F175">
    <cfRule type="expression" dxfId="5525" priority="1740">
      <formula>#REF!&lt;&gt;""</formula>
    </cfRule>
    <cfRule type="expression" dxfId="5524" priority="1741">
      <formula>#REF!&lt;&gt;""</formula>
    </cfRule>
    <cfRule type="expression" dxfId="5523" priority="1742">
      <formula>#REF!&lt;&gt;""</formula>
    </cfRule>
    <cfRule type="expression" dxfId="5522" priority="1743">
      <formula>#REF!&lt;&gt;""</formula>
    </cfRule>
    <cfRule type="expression" dxfId="5521" priority="1744">
      <formula>#REF!&lt;&gt;""</formula>
    </cfRule>
    <cfRule type="expression" dxfId="5520" priority="1745">
      <formula>#REF!&lt;&gt;""</formula>
    </cfRule>
    <cfRule type="expression" dxfId="5519" priority="1746">
      <formula>#REF!&lt;&gt;""</formula>
    </cfRule>
    <cfRule type="expression" dxfId="5518" priority="1747">
      <formula>#REF!&lt;&gt;""</formula>
    </cfRule>
    <cfRule type="expression" dxfId="5517" priority="1748">
      <formula>#REF!&lt;&gt;""</formula>
    </cfRule>
    <cfRule type="expression" dxfId="5516" priority="1749">
      <formula>#REF!&lt;&gt;""</formula>
    </cfRule>
    <cfRule type="expression" dxfId="5515" priority="1750">
      <formula>#REF!&lt;&gt;""</formula>
    </cfRule>
    <cfRule type="expression" dxfId="5514" priority="1751">
      <formula>#REF!&lt;&gt;""</formula>
    </cfRule>
  </conditionalFormatting>
  <conditionalFormatting sqref="F176">
    <cfRule type="expression" dxfId="5513" priority="1728">
      <formula>#REF!&lt;&gt;""</formula>
    </cfRule>
    <cfRule type="expression" dxfId="5512" priority="1729">
      <formula>#REF!&lt;&gt;""</formula>
    </cfRule>
    <cfRule type="expression" dxfId="5511" priority="1730">
      <formula>#REF!&lt;&gt;""</formula>
    </cfRule>
    <cfRule type="expression" dxfId="5510" priority="1731">
      <formula>#REF!&lt;&gt;""</formula>
    </cfRule>
    <cfRule type="expression" dxfId="5509" priority="1732">
      <formula>#REF!&lt;&gt;""</formula>
    </cfRule>
    <cfRule type="expression" dxfId="5508" priority="1733">
      <formula>#REF!&lt;&gt;""</formula>
    </cfRule>
    <cfRule type="expression" dxfId="5507" priority="1734">
      <formula>#REF!&lt;&gt;""</formula>
    </cfRule>
    <cfRule type="expression" dxfId="5506" priority="1735">
      <formula>#REF!&lt;&gt;""</formula>
    </cfRule>
    <cfRule type="expression" dxfId="5505" priority="1736">
      <formula>#REF!&lt;&gt;""</formula>
    </cfRule>
    <cfRule type="expression" dxfId="5504" priority="1737">
      <formula>#REF!&lt;&gt;""</formula>
    </cfRule>
    <cfRule type="expression" dxfId="5503" priority="1738">
      <formula>#REF!&lt;&gt;""</formula>
    </cfRule>
    <cfRule type="expression" dxfId="5502" priority="1739">
      <formula>#REF!&lt;&gt;""</formula>
    </cfRule>
  </conditionalFormatting>
  <conditionalFormatting sqref="F177">
    <cfRule type="expression" dxfId="5501" priority="1716">
      <formula>#REF!&lt;&gt;""</formula>
    </cfRule>
    <cfRule type="expression" dxfId="5500" priority="1717">
      <formula>#REF!&lt;&gt;""</formula>
    </cfRule>
    <cfRule type="expression" dxfId="5499" priority="1718">
      <formula>#REF!&lt;&gt;""</formula>
    </cfRule>
    <cfRule type="expression" dxfId="5498" priority="1719">
      <formula>#REF!&lt;&gt;""</formula>
    </cfRule>
    <cfRule type="expression" dxfId="5497" priority="1720">
      <formula>#REF!&lt;&gt;""</formula>
    </cfRule>
    <cfRule type="expression" dxfId="5496" priority="1721">
      <formula>#REF!&lt;&gt;""</formula>
    </cfRule>
    <cfRule type="expression" dxfId="5495" priority="1722">
      <formula>#REF!&lt;&gt;""</formula>
    </cfRule>
    <cfRule type="expression" dxfId="5494" priority="1723">
      <formula>#REF!&lt;&gt;""</formula>
    </cfRule>
    <cfRule type="expression" dxfId="5493" priority="1724">
      <formula>#REF!&lt;&gt;""</formula>
    </cfRule>
    <cfRule type="expression" dxfId="5492" priority="1725">
      <formula>#REF!&lt;&gt;""</formula>
    </cfRule>
    <cfRule type="expression" dxfId="5491" priority="1726">
      <formula>#REF!&lt;&gt;""</formula>
    </cfRule>
    <cfRule type="expression" dxfId="5490" priority="1727">
      <formula>#REF!&lt;&gt;""</formula>
    </cfRule>
  </conditionalFormatting>
  <conditionalFormatting sqref="F178">
    <cfRule type="expression" dxfId="5489" priority="1704">
      <formula>#REF!&lt;&gt;""</formula>
    </cfRule>
    <cfRule type="expression" dxfId="5488" priority="1705">
      <formula>#REF!&lt;&gt;""</formula>
    </cfRule>
    <cfRule type="expression" dxfId="5487" priority="1706">
      <formula>#REF!&lt;&gt;""</formula>
    </cfRule>
    <cfRule type="expression" dxfId="5486" priority="1707">
      <formula>#REF!&lt;&gt;""</formula>
    </cfRule>
    <cfRule type="expression" dxfId="5485" priority="1708">
      <formula>#REF!&lt;&gt;""</formula>
    </cfRule>
    <cfRule type="expression" dxfId="5484" priority="1709">
      <formula>#REF!&lt;&gt;""</formula>
    </cfRule>
    <cfRule type="expression" dxfId="5483" priority="1710">
      <formula>#REF!&lt;&gt;""</formula>
    </cfRule>
    <cfRule type="expression" dxfId="5482" priority="1711">
      <formula>#REF!&lt;&gt;""</formula>
    </cfRule>
    <cfRule type="expression" dxfId="5481" priority="1712">
      <formula>#REF!&lt;&gt;""</formula>
    </cfRule>
    <cfRule type="expression" dxfId="5480" priority="1713">
      <formula>#REF!&lt;&gt;""</formula>
    </cfRule>
    <cfRule type="expression" dxfId="5479" priority="1714">
      <formula>#REF!&lt;&gt;""</formula>
    </cfRule>
    <cfRule type="expression" dxfId="5478" priority="1715">
      <formula>#REF!&lt;&gt;""</formula>
    </cfRule>
  </conditionalFormatting>
  <conditionalFormatting sqref="F179">
    <cfRule type="expression" dxfId="5477" priority="1692">
      <formula>#REF!&lt;&gt;""</formula>
    </cfRule>
    <cfRule type="expression" dxfId="5476" priority="1693">
      <formula>#REF!&lt;&gt;""</formula>
    </cfRule>
    <cfRule type="expression" dxfId="5475" priority="1694">
      <formula>#REF!&lt;&gt;""</formula>
    </cfRule>
    <cfRule type="expression" dxfId="5474" priority="1695">
      <formula>#REF!&lt;&gt;""</formula>
    </cfRule>
    <cfRule type="expression" dxfId="5473" priority="1696">
      <formula>#REF!&lt;&gt;""</formula>
    </cfRule>
    <cfRule type="expression" dxfId="5472" priority="1697">
      <formula>#REF!&lt;&gt;""</formula>
    </cfRule>
    <cfRule type="expression" dxfId="5471" priority="1698">
      <formula>#REF!&lt;&gt;""</formula>
    </cfRule>
    <cfRule type="expression" dxfId="5470" priority="1699">
      <formula>#REF!&lt;&gt;""</formula>
    </cfRule>
    <cfRule type="expression" dxfId="5469" priority="1700">
      <formula>#REF!&lt;&gt;""</formula>
    </cfRule>
    <cfRule type="expression" dxfId="5468" priority="1701">
      <formula>#REF!&lt;&gt;""</formula>
    </cfRule>
    <cfRule type="expression" dxfId="5467" priority="1702">
      <formula>#REF!&lt;&gt;""</formula>
    </cfRule>
    <cfRule type="expression" dxfId="5466" priority="1703">
      <formula>#REF!&lt;&gt;""</formula>
    </cfRule>
  </conditionalFormatting>
  <conditionalFormatting sqref="F180">
    <cfRule type="expression" dxfId="5465" priority="1680">
      <formula>#REF!&lt;&gt;""</formula>
    </cfRule>
    <cfRule type="expression" dxfId="5464" priority="1681">
      <formula>#REF!&lt;&gt;""</formula>
    </cfRule>
    <cfRule type="expression" dxfId="5463" priority="1682">
      <formula>#REF!&lt;&gt;""</formula>
    </cfRule>
    <cfRule type="expression" dxfId="5462" priority="1683">
      <formula>#REF!&lt;&gt;""</formula>
    </cfRule>
    <cfRule type="expression" dxfId="5461" priority="1684">
      <formula>#REF!&lt;&gt;""</formula>
    </cfRule>
    <cfRule type="expression" dxfId="5460" priority="1685">
      <formula>#REF!&lt;&gt;""</formula>
    </cfRule>
    <cfRule type="expression" dxfId="5459" priority="1686">
      <formula>#REF!&lt;&gt;""</formula>
    </cfRule>
    <cfRule type="expression" dxfId="5458" priority="1687">
      <formula>#REF!&lt;&gt;""</formula>
    </cfRule>
    <cfRule type="expression" dxfId="5457" priority="1688">
      <formula>#REF!&lt;&gt;""</formula>
    </cfRule>
    <cfRule type="expression" dxfId="5456" priority="1689">
      <formula>#REF!&lt;&gt;""</formula>
    </cfRule>
    <cfRule type="expression" dxfId="5455" priority="1690">
      <formula>#REF!&lt;&gt;""</formula>
    </cfRule>
    <cfRule type="expression" dxfId="5454" priority="1691">
      <formula>#REF!&lt;&gt;""</formula>
    </cfRule>
  </conditionalFormatting>
  <conditionalFormatting sqref="F181">
    <cfRule type="expression" dxfId="5453" priority="1668">
      <formula>#REF!&lt;&gt;""</formula>
    </cfRule>
    <cfRule type="expression" dxfId="5452" priority="1669">
      <formula>#REF!&lt;&gt;""</formula>
    </cfRule>
    <cfRule type="expression" dxfId="5451" priority="1670">
      <formula>#REF!&lt;&gt;""</formula>
    </cfRule>
    <cfRule type="expression" dxfId="5450" priority="1671">
      <formula>#REF!&lt;&gt;""</formula>
    </cfRule>
    <cfRule type="expression" dxfId="5449" priority="1672">
      <formula>#REF!&lt;&gt;""</formula>
    </cfRule>
    <cfRule type="expression" dxfId="5448" priority="1673">
      <formula>#REF!&lt;&gt;""</formula>
    </cfRule>
    <cfRule type="expression" dxfId="5447" priority="1674">
      <formula>#REF!&lt;&gt;""</formula>
    </cfRule>
    <cfRule type="expression" dxfId="5446" priority="1675">
      <formula>#REF!&lt;&gt;""</formula>
    </cfRule>
    <cfRule type="expression" dxfId="5445" priority="1676">
      <formula>#REF!&lt;&gt;""</formula>
    </cfRule>
    <cfRule type="expression" dxfId="5444" priority="1677">
      <formula>#REF!&lt;&gt;""</formula>
    </cfRule>
    <cfRule type="expression" dxfId="5443" priority="1678">
      <formula>#REF!&lt;&gt;""</formula>
    </cfRule>
    <cfRule type="expression" dxfId="5442" priority="1679">
      <formula>#REF!&lt;&gt;""</formula>
    </cfRule>
  </conditionalFormatting>
  <conditionalFormatting sqref="F182">
    <cfRule type="expression" dxfId="5441" priority="1656">
      <formula>#REF!&lt;&gt;""</formula>
    </cfRule>
    <cfRule type="expression" dxfId="5440" priority="1657">
      <formula>#REF!&lt;&gt;""</formula>
    </cfRule>
    <cfRule type="expression" dxfId="5439" priority="1658">
      <formula>#REF!&lt;&gt;""</formula>
    </cfRule>
    <cfRule type="expression" dxfId="5438" priority="1659">
      <formula>#REF!&lt;&gt;""</formula>
    </cfRule>
    <cfRule type="expression" dxfId="5437" priority="1660">
      <formula>#REF!&lt;&gt;""</formula>
    </cfRule>
    <cfRule type="expression" dxfId="5436" priority="1661">
      <formula>#REF!&lt;&gt;""</formula>
    </cfRule>
    <cfRule type="expression" dxfId="5435" priority="1662">
      <formula>#REF!&lt;&gt;""</formula>
    </cfRule>
    <cfRule type="expression" dxfId="5434" priority="1663">
      <formula>#REF!&lt;&gt;""</formula>
    </cfRule>
    <cfRule type="expression" dxfId="5433" priority="1664">
      <formula>#REF!&lt;&gt;""</formula>
    </cfRule>
    <cfRule type="expression" dxfId="5432" priority="1665">
      <formula>#REF!&lt;&gt;""</formula>
    </cfRule>
    <cfRule type="expression" dxfId="5431" priority="1666">
      <formula>#REF!&lt;&gt;""</formula>
    </cfRule>
    <cfRule type="expression" dxfId="5430" priority="1667">
      <formula>#REF!&lt;&gt;""</formula>
    </cfRule>
  </conditionalFormatting>
  <conditionalFormatting sqref="F183">
    <cfRule type="expression" dxfId="5429" priority="1644">
      <formula>#REF!&lt;&gt;""</formula>
    </cfRule>
    <cfRule type="expression" dxfId="5428" priority="1645">
      <formula>#REF!&lt;&gt;""</formula>
    </cfRule>
    <cfRule type="expression" dxfId="5427" priority="1646">
      <formula>#REF!&lt;&gt;""</formula>
    </cfRule>
    <cfRule type="expression" dxfId="5426" priority="1647">
      <formula>#REF!&lt;&gt;""</formula>
    </cfRule>
    <cfRule type="expression" dxfId="5425" priority="1648">
      <formula>#REF!&lt;&gt;""</formula>
    </cfRule>
    <cfRule type="expression" dxfId="5424" priority="1649">
      <formula>#REF!&lt;&gt;""</formula>
    </cfRule>
    <cfRule type="expression" dxfId="5423" priority="1650">
      <formula>#REF!&lt;&gt;""</formula>
    </cfRule>
    <cfRule type="expression" dxfId="5422" priority="1651">
      <formula>#REF!&lt;&gt;""</formula>
    </cfRule>
    <cfRule type="expression" dxfId="5421" priority="1652">
      <formula>#REF!&lt;&gt;""</formula>
    </cfRule>
    <cfRule type="expression" dxfId="5420" priority="1653">
      <formula>#REF!&lt;&gt;""</formula>
    </cfRule>
    <cfRule type="expression" dxfId="5419" priority="1654">
      <formula>#REF!&lt;&gt;""</formula>
    </cfRule>
    <cfRule type="expression" dxfId="5418" priority="1655">
      <formula>#REF!&lt;&gt;""</formula>
    </cfRule>
  </conditionalFormatting>
  <conditionalFormatting sqref="F184">
    <cfRule type="expression" dxfId="5417" priority="1632">
      <formula>#REF!&lt;&gt;""</formula>
    </cfRule>
    <cfRule type="expression" dxfId="5416" priority="1633">
      <formula>#REF!&lt;&gt;""</formula>
    </cfRule>
    <cfRule type="expression" dxfId="5415" priority="1634">
      <formula>#REF!&lt;&gt;""</formula>
    </cfRule>
    <cfRule type="expression" dxfId="5414" priority="1635">
      <formula>#REF!&lt;&gt;""</formula>
    </cfRule>
    <cfRule type="expression" dxfId="5413" priority="1636">
      <formula>#REF!&lt;&gt;""</formula>
    </cfRule>
    <cfRule type="expression" dxfId="5412" priority="1637">
      <formula>#REF!&lt;&gt;""</formula>
    </cfRule>
    <cfRule type="expression" dxfId="5411" priority="1638">
      <formula>#REF!&lt;&gt;""</formula>
    </cfRule>
    <cfRule type="expression" dxfId="5410" priority="1639">
      <formula>#REF!&lt;&gt;""</formula>
    </cfRule>
    <cfRule type="expression" dxfId="5409" priority="1640">
      <formula>#REF!&lt;&gt;""</formula>
    </cfRule>
    <cfRule type="expression" dxfId="5408" priority="1641">
      <formula>#REF!&lt;&gt;""</formula>
    </cfRule>
    <cfRule type="expression" dxfId="5407" priority="1642">
      <formula>#REF!&lt;&gt;""</formula>
    </cfRule>
    <cfRule type="expression" dxfId="5406" priority="1643">
      <formula>#REF!&lt;&gt;""</formula>
    </cfRule>
  </conditionalFormatting>
  <conditionalFormatting sqref="F185">
    <cfRule type="expression" dxfId="5405" priority="1620">
      <formula>#REF!&lt;&gt;""</formula>
    </cfRule>
    <cfRule type="expression" dxfId="5404" priority="1621">
      <formula>#REF!&lt;&gt;""</formula>
    </cfRule>
    <cfRule type="expression" dxfId="5403" priority="1622">
      <formula>#REF!&lt;&gt;""</formula>
    </cfRule>
    <cfRule type="expression" dxfId="5402" priority="1623">
      <formula>#REF!&lt;&gt;""</formula>
    </cfRule>
    <cfRule type="expression" dxfId="5401" priority="1624">
      <formula>#REF!&lt;&gt;""</formula>
    </cfRule>
    <cfRule type="expression" dxfId="5400" priority="1625">
      <formula>#REF!&lt;&gt;""</formula>
    </cfRule>
    <cfRule type="expression" dxfId="5399" priority="1626">
      <formula>#REF!&lt;&gt;""</formula>
    </cfRule>
    <cfRule type="expression" dxfId="5398" priority="1627">
      <formula>#REF!&lt;&gt;""</formula>
    </cfRule>
    <cfRule type="expression" dxfId="5397" priority="1628">
      <formula>#REF!&lt;&gt;""</formula>
    </cfRule>
    <cfRule type="expression" dxfId="5396" priority="1629">
      <formula>#REF!&lt;&gt;""</formula>
    </cfRule>
    <cfRule type="expression" dxfId="5395" priority="1630">
      <formula>#REF!&lt;&gt;""</formula>
    </cfRule>
    <cfRule type="expression" dxfId="5394" priority="1631">
      <formula>#REF!&lt;&gt;""</formula>
    </cfRule>
  </conditionalFormatting>
  <conditionalFormatting sqref="F186">
    <cfRule type="expression" dxfId="5393" priority="1608">
      <formula>#REF!&lt;&gt;""</formula>
    </cfRule>
    <cfRule type="expression" dxfId="5392" priority="1609">
      <formula>#REF!&lt;&gt;""</formula>
    </cfRule>
    <cfRule type="expression" dxfId="5391" priority="1610">
      <formula>#REF!&lt;&gt;""</formula>
    </cfRule>
    <cfRule type="expression" dxfId="5390" priority="1611">
      <formula>#REF!&lt;&gt;""</formula>
    </cfRule>
    <cfRule type="expression" dxfId="5389" priority="1612">
      <formula>#REF!&lt;&gt;""</formula>
    </cfRule>
    <cfRule type="expression" dxfId="5388" priority="1613">
      <formula>#REF!&lt;&gt;""</formula>
    </cfRule>
    <cfRule type="expression" dxfId="5387" priority="1614">
      <formula>#REF!&lt;&gt;""</formula>
    </cfRule>
    <cfRule type="expression" dxfId="5386" priority="1615">
      <formula>#REF!&lt;&gt;""</formula>
    </cfRule>
    <cfRule type="expression" dxfId="5385" priority="1616">
      <formula>#REF!&lt;&gt;""</formula>
    </cfRule>
    <cfRule type="expression" dxfId="5384" priority="1617">
      <formula>#REF!&lt;&gt;""</formula>
    </cfRule>
    <cfRule type="expression" dxfId="5383" priority="1618">
      <formula>#REF!&lt;&gt;""</formula>
    </cfRule>
    <cfRule type="expression" dxfId="5382" priority="1619">
      <formula>#REF!&lt;&gt;""</formula>
    </cfRule>
  </conditionalFormatting>
  <conditionalFormatting sqref="F187">
    <cfRule type="expression" dxfId="5381" priority="1596">
      <formula>#REF!&lt;&gt;""</formula>
    </cfRule>
    <cfRule type="expression" dxfId="5380" priority="1597">
      <formula>#REF!&lt;&gt;""</formula>
    </cfRule>
    <cfRule type="expression" dxfId="5379" priority="1598">
      <formula>#REF!&lt;&gt;""</formula>
    </cfRule>
    <cfRule type="expression" dxfId="5378" priority="1599">
      <formula>#REF!&lt;&gt;""</formula>
    </cfRule>
    <cfRule type="expression" dxfId="5377" priority="1600">
      <formula>#REF!&lt;&gt;""</formula>
    </cfRule>
    <cfRule type="expression" dxfId="5376" priority="1601">
      <formula>#REF!&lt;&gt;""</formula>
    </cfRule>
    <cfRule type="expression" dxfId="5375" priority="1602">
      <formula>#REF!&lt;&gt;""</formula>
    </cfRule>
    <cfRule type="expression" dxfId="5374" priority="1603">
      <formula>#REF!&lt;&gt;""</formula>
    </cfRule>
    <cfRule type="expression" dxfId="5373" priority="1604">
      <formula>#REF!&lt;&gt;""</formula>
    </cfRule>
    <cfRule type="expression" dxfId="5372" priority="1605">
      <formula>#REF!&lt;&gt;""</formula>
    </cfRule>
    <cfRule type="expression" dxfId="5371" priority="1606">
      <formula>#REF!&lt;&gt;""</formula>
    </cfRule>
    <cfRule type="expression" dxfId="5370" priority="1607">
      <formula>#REF!&lt;&gt;""</formula>
    </cfRule>
  </conditionalFormatting>
  <conditionalFormatting sqref="F188">
    <cfRule type="expression" dxfId="5369" priority="1584">
      <formula>#REF!&lt;&gt;""</formula>
    </cfRule>
    <cfRule type="expression" dxfId="5368" priority="1585">
      <formula>#REF!&lt;&gt;""</formula>
    </cfRule>
    <cfRule type="expression" dxfId="5367" priority="1586">
      <formula>#REF!&lt;&gt;""</formula>
    </cfRule>
    <cfRule type="expression" dxfId="5366" priority="1587">
      <formula>#REF!&lt;&gt;""</formula>
    </cfRule>
    <cfRule type="expression" dxfId="5365" priority="1588">
      <formula>#REF!&lt;&gt;""</formula>
    </cfRule>
    <cfRule type="expression" dxfId="5364" priority="1589">
      <formula>#REF!&lt;&gt;""</formula>
    </cfRule>
    <cfRule type="expression" dxfId="5363" priority="1590">
      <formula>#REF!&lt;&gt;""</formula>
    </cfRule>
    <cfRule type="expression" dxfId="5362" priority="1591">
      <formula>#REF!&lt;&gt;""</formula>
    </cfRule>
    <cfRule type="expression" dxfId="5361" priority="1592">
      <formula>#REF!&lt;&gt;""</formula>
    </cfRule>
    <cfRule type="expression" dxfId="5360" priority="1593">
      <formula>#REF!&lt;&gt;""</formula>
    </cfRule>
    <cfRule type="expression" dxfId="5359" priority="1594">
      <formula>#REF!&lt;&gt;""</formula>
    </cfRule>
    <cfRule type="expression" dxfId="5358" priority="1595">
      <formula>#REF!&lt;&gt;""</formula>
    </cfRule>
  </conditionalFormatting>
  <conditionalFormatting sqref="F189">
    <cfRule type="expression" dxfId="5357" priority="1572">
      <formula>#REF!&lt;&gt;""</formula>
    </cfRule>
    <cfRule type="expression" dxfId="5356" priority="1573">
      <formula>#REF!&lt;&gt;""</formula>
    </cfRule>
    <cfRule type="expression" dxfId="5355" priority="1574">
      <formula>#REF!&lt;&gt;""</formula>
    </cfRule>
    <cfRule type="expression" dxfId="5354" priority="1575">
      <formula>#REF!&lt;&gt;""</formula>
    </cfRule>
    <cfRule type="expression" dxfId="5353" priority="1576">
      <formula>#REF!&lt;&gt;""</formula>
    </cfRule>
    <cfRule type="expression" dxfId="5352" priority="1577">
      <formula>#REF!&lt;&gt;""</formula>
    </cfRule>
    <cfRule type="expression" dxfId="5351" priority="1578">
      <formula>#REF!&lt;&gt;""</formula>
    </cfRule>
    <cfRule type="expression" dxfId="5350" priority="1579">
      <formula>#REF!&lt;&gt;""</formula>
    </cfRule>
    <cfRule type="expression" dxfId="5349" priority="1580">
      <formula>#REF!&lt;&gt;""</formula>
    </cfRule>
    <cfRule type="expression" dxfId="5348" priority="1581">
      <formula>#REF!&lt;&gt;""</formula>
    </cfRule>
    <cfRule type="expression" dxfId="5347" priority="1582">
      <formula>#REF!&lt;&gt;""</formula>
    </cfRule>
    <cfRule type="expression" dxfId="5346" priority="1583">
      <formula>#REF!&lt;&gt;""</formula>
    </cfRule>
  </conditionalFormatting>
  <conditionalFormatting sqref="F190">
    <cfRule type="expression" dxfId="5345" priority="1560">
      <formula>#REF!&lt;&gt;""</formula>
    </cfRule>
    <cfRule type="expression" dxfId="5344" priority="1561">
      <formula>#REF!&lt;&gt;""</formula>
    </cfRule>
    <cfRule type="expression" dxfId="5343" priority="1562">
      <formula>#REF!&lt;&gt;""</formula>
    </cfRule>
    <cfRule type="expression" dxfId="5342" priority="1563">
      <formula>#REF!&lt;&gt;""</formula>
    </cfRule>
    <cfRule type="expression" dxfId="5341" priority="1564">
      <formula>#REF!&lt;&gt;""</formula>
    </cfRule>
    <cfRule type="expression" dxfId="5340" priority="1565">
      <formula>#REF!&lt;&gt;""</formula>
    </cfRule>
    <cfRule type="expression" dxfId="5339" priority="1566">
      <formula>#REF!&lt;&gt;""</formula>
    </cfRule>
    <cfRule type="expression" dxfId="5338" priority="1567">
      <formula>#REF!&lt;&gt;""</formula>
    </cfRule>
    <cfRule type="expression" dxfId="5337" priority="1568">
      <formula>#REF!&lt;&gt;""</formula>
    </cfRule>
    <cfRule type="expression" dxfId="5336" priority="1569">
      <formula>#REF!&lt;&gt;""</formula>
    </cfRule>
    <cfRule type="expression" dxfId="5335" priority="1570">
      <formula>#REF!&lt;&gt;""</formula>
    </cfRule>
    <cfRule type="expression" dxfId="5334" priority="1571">
      <formula>#REF!&lt;&gt;""</formula>
    </cfRule>
  </conditionalFormatting>
  <conditionalFormatting sqref="F191">
    <cfRule type="expression" dxfId="5333" priority="1548">
      <formula>#REF!&lt;&gt;""</formula>
    </cfRule>
    <cfRule type="expression" dxfId="5332" priority="1549">
      <formula>#REF!&lt;&gt;""</formula>
    </cfRule>
    <cfRule type="expression" dxfId="5331" priority="1550">
      <formula>#REF!&lt;&gt;""</formula>
    </cfRule>
    <cfRule type="expression" dxfId="5330" priority="1551">
      <formula>#REF!&lt;&gt;""</formula>
    </cfRule>
    <cfRule type="expression" dxfId="5329" priority="1552">
      <formula>#REF!&lt;&gt;""</formula>
    </cfRule>
    <cfRule type="expression" dxfId="5328" priority="1553">
      <formula>#REF!&lt;&gt;""</formula>
    </cfRule>
    <cfRule type="expression" dxfId="5327" priority="1554">
      <formula>#REF!&lt;&gt;""</formula>
    </cfRule>
    <cfRule type="expression" dxfId="5326" priority="1555">
      <formula>#REF!&lt;&gt;""</formula>
    </cfRule>
    <cfRule type="expression" dxfId="5325" priority="1556">
      <formula>#REF!&lt;&gt;""</formula>
    </cfRule>
    <cfRule type="expression" dxfId="5324" priority="1557">
      <formula>#REF!&lt;&gt;""</formula>
    </cfRule>
    <cfRule type="expression" dxfId="5323" priority="1558">
      <formula>#REF!&lt;&gt;""</formula>
    </cfRule>
    <cfRule type="expression" dxfId="5322" priority="1559">
      <formula>#REF!&lt;&gt;""</formula>
    </cfRule>
  </conditionalFormatting>
  <conditionalFormatting sqref="F192">
    <cfRule type="expression" dxfId="5321" priority="1536">
      <formula>#REF!&lt;&gt;""</formula>
    </cfRule>
    <cfRule type="expression" dxfId="5320" priority="1537">
      <formula>#REF!&lt;&gt;""</formula>
    </cfRule>
    <cfRule type="expression" dxfId="5319" priority="1538">
      <formula>#REF!&lt;&gt;""</formula>
    </cfRule>
    <cfRule type="expression" dxfId="5318" priority="1539">
      <formula>#REF!&lt;&gt;""</formula>
    </cfRule>
    <cfRule type="expression" dxfId="5317" priority="1540">
      <formula>#REF!&lt;&gt;""</formula>
    </cfRule>
    <cfRule type="expression" dxfId="5316" priority="1541">
      <formula>#REF!&lt;&gt;""</formula>
    </cfRule>
    <cfRule type="expression" dxfId="5315" priority="1542">
      <formula>#REF!&lt;&gt;""</formula>
    </cfRule>
    <cfRule type="expression" dxfId="5314" priority="1543">
      <formula>#REF!&lt;&gt;""</formula>
    </cfRule>
    <cfRule type="expression" dxfId="5313" priority="1544">
      <formula>#REF!&lt;&gt;""</formula>
    </cfRule>
    <cfRule type="expression" dxfId="5312" priority="1545">
      <formula>#REF!&lt;&gt;""</formula>
    </cfRule>
    <cfRule type="expression" dxfId="5311" priority="1546">
      <formula>#REF!&lt;&gt;""</formula>
    </cfRule>
    <cfRule type="expression" dxfId="5310" priority="1547">
      <formula>#REF!&lt;&gt;""</formula>
    </cfRule>
  </conditionalFormatting>
  <conditionalFormatting sqref="F193">
    <cfRule type="expression" dxfId="5309" priority="1524">
      <formula>#REF!&lt;&gt;""</formula>
    </cfRule>
    <cfRule type="expression" dxfId="5308" priority="1525">
      <formula>#REF!&lt;&gt;""</formula>
    </cfRule>
    <cfRule type="expression" dxfId="5307" priority="1526">
      <formula>#REF!&lt;&gt;""</formula>
    </cfRule>
    <cfRule type="expression" dxfId="5306" priority="1527">
      <formula>#REF!&lt;&gt;""</formula>
    </cfRule>
    <cfRule type="expression" dxfId="5305" priority="1528">
      <formula>#REF!&lt;&gt;""</formula>
    </cfRule>
    <cfRule type="expression" dxfId="5304" priority="1529">
      <formula>#REF!&lt;&gt;""</formula>
    </cfRule>
    <cfRule type="expression" dxfId="5303" priority="1530">
      <formula>#REF!&lt;&gt;""</formula>
    </cfRule>
    <cfRule type="expression" dxfId="5302" priority="1531">
      <formula>#REF!&lt;&gt;""</formula>
    </cfRule>
    <cfRule type="expression" dxfId="5301" priority="1532">
      <formula>#REF!&lt;&gt;""</formula>
    </cfRule>
    <cfRule type="expression" dxfId="5300" priority="1533">
      <formula>#REF!&lt;&gt;""</formula>
    </cfRule>
    <cfRule type="expression" dxfId="5299" priority="1534">
      <formula>#REF!&lt;&gt;""</formula>
    </cfRule>
    <cfRule type="expression" dxfId="5298" priority="1535">
      <formula>#REF!&lt;&gt;""</formula>
    </cfRule>
  </conditionalFormatting>
  <conditionalFormatting sqref="F194">
    <cfRule type="expression" dxfId="5297" priority="1512">
      <formula>#REF!&lt;&gt;""</formula>
    </cfRule>
    <cfRule type="expression" dxfId="5296" priority="1513">
      <formula>#REF!&lt;&gt;""</formula>
    </cfRule>
    <cfRule type="expression" dxfId="5295" priority="1514">
      <formula>#REF!&lt;&gt;""</formula>
    </cfRule>
    <cfRule type="expression" dxfId="5294" priority="1515">
      <formula>#REF!&lt;&gt;""</formula>
    </cfRule>
    <cfRule type="expression" dxfId="5293" priority="1516">
      <formula>#REF!&lt;&gt;""</formula>
    </cfRule>
    <cfRule type="expression" dxfId="5292" priority="1517">
      <formula>#REF!&lt;&gt;""</formula>
    </cfRule>
    <cfRule type="expression" dxfId="5291" priority="1518">
      <formula>#REF!&lt;&gt;""</formula>
    </cfRule>
    <cfRule type="expression" dxfId="5290" priority="1519">
      <formula>#REF!&lt;&gt;""</formula>
    </cfRule>
    <cfRule type="expression" dxfId="5289" priority="1520">
      <formula>#REF!&lt;&gt;""</formula>
    </cfRule>
    <cfRule type="expression" dxfId="5288" priority="1521">
      <formula>#REF!&lt;&gt;""</formula>
    </cfRule>
    <cfRule type="expression" dxfId="5287" priority="1522">
      <formula>#REF!&lt;&gt;""</formula>
    </cfRule>
    <cfRule type="expression" dxfId="5286" priority="1523">
      <formula>#REF!&lt;&gt;""</formula>
    </cfRule>
  </conditionalFormatting>
  <conditionalFormatting sqref="F195">
    <cfRule type="expression" dxfId="5285" priority="1500">
      <formula>#REF!&lt;&gt;""</formula>
    </cfRule>
    <cfRule type="expression" dxfId="5284" priority="1501">
      <formula>#REF!&lt;&gt;""</formula>
    </cfRule>
    <cfRule type="expression" dxfId="5283" priority="1502">
      <formula>#REF!&lt;&gt;""</formula>
    </cfRule>
    <cfRule type="expression" dxfId="5282" priority="1503">
      <formula>#REF!&lt;&gt;""</formula>
    </cfRule>
    <cfRule type="expression" dxfId="5281" priority="1504">
      <formula>#REF!&lt;&gt;""</formula>
    </cfRule>
    <cfRule type="expression" dxfId="5280" priority="1505">
      <formula>#REF!&lt;&gt;""</formula>
    </cfRule>
    <cfRule type="expression" dxfId="5279" priority="1506">
      <formula>#REF!&lt;&gt;""</formula>
    </cfRule>
    <cfRule type="expression" dxfId="5278" priority="1507">
      <formula>#REF!&lt;&gt;""</formula>
    </cfRule>
    <cfRule type="expression" dxfId="5277" priority="1508">
      <formula>#REF!&lt;&gt;""</formula>
    </cfRule>
    <cfRule type="expression" dxfId="5276" priority="1509">
      <formula>#REF!&lt;&gt;""</formula>
    </cfRule>
    <cfRule type="expression" dxfId="5275" priority="1510">
      <formula>#REF!&lt;&gt;""</formula>
    </cfRule>
    <cfRule type="expression" dxfId="5274" priority="1511">
      <formula>#REF!&lt;&gt;""</formula>
    </cfRule>
  </conditionalFormatting>
  <conditionalFormatting sqref="F196">
    <cfRule type="expression" dxfId="5273" priority="1488">
      <formula>#REF!&lt;&gt;""</formula>
    </cfRule>
    <cfRule type="expression" dxfId="5272" priority="1489">
      <formula>#REF!&lt;&gt;""</formula>
    </cfRule>
    <cfRule type="expression" dxfId="5271" priority="1490">
      <formula>#REF!&lt;&gt;""</formula>
    </cfRule>
    <cfRule type="expression" dxfId="5270" priority="1491">
      <formula>#REF!&lt;&gt;""</formula>
    </cfRule>
    <cfRule type="expression" dxfId="5269" priority="1492">
      <formula>#REF!&lt;&gt;""</formula>
    </cfRule>
    <cfRule type="expression" dxfId="5268" priority="1493">
      <formula>#REF!&lt;&gt;""</formula>
    </cfRule>
    <cfRule type="expression" dxfId="5267" priority="1494">
      <formula>#REF!&lt;&gt;""</formula>
    </cfRule>
    <cfRule type="expression" dxfId="5266" priority="1495">
      <formula>#REF!&lt;&gt;""</formula>
    </cfRule>
    <cfRule type="expression" dxfId="5265" priority="1496">
      <formula>#REF!&lt;&gt;""</formula>
    </cfRule>
    <cfRule type="expression" dxfId="5264" priority="1497">
      <formula>#REF!&lt;&gt;""</formula>
    </cfRule>
    <cfRule type="expression" dxfId="5263" priority="1498">
      <formula>#REF!&lt;&gt;""</formula>
    </cfRule>
    <cfRule type="expression" dxfId="5262" priority="1499">
      <formula>#REF!&lt;&gt;""</formula>
    </cfRule>
  </conditionalFormatting>
  <conditionalFormatting sqref="F197">
    <cfRule type="expression" dxfId="5261" priority="1476">
      <formula>#REF!&lt;&gt;""</formula>
    </cfRule>
    <cfRule type="expression" dxfId="5260" priority="1477">
      <formula>#REF!&lt;&gt;""</formula>
    </cfRule>
    <cfRule type="expression" dxfId="5259" priority="1478">
      <formula>#REF!&lt;&gt;""</formula>
    </cfRule>
    <cfRule type="expression" dxfId="5258" priority="1479">
      <formula>#REF!&lt;&gt;""</formula>
    </cfRule>
    <cfRule type="expression" dxfId="5257" priority="1480">
      <formula>#REF!&lt;&gt;""</formula>
    </cfRule>
    <cfRule type="expression" dxfId="5256" priority="1481">
      <formula>#REF!&lt;&gt;""</formula>
    </cfRule>
    <cfRule type="expression" dxfId="5255" priority="1482">
      <formula>#REF!&lt;&gt;""</formula>
    </cfRule>
    <cfRule type="expression" dxfId="5254" priority="1483">
      <formula>#REF!&lt;&gt;""</formula>
    </cfRule>
    <cfRule type="expression" dxfId="5253" priority="1484">
      <formula>#REF!&lt;&gt;""</formula>
    </cfRule>
    <cfRule type="expression" dxfId="5252" priority="1485">
      <formula>#REF!&lt;&gt;""</formula>
    </cfRule>
    <cfRule type="expression" dxfId="5251" priority="1486">
      <formula>#REF!&lt;&gt;""</formula>
    </cfRule>
    <cfRule type="expression" dxfId="5250" priority="1487">
      <formula>#REF!&lt;&gt;""</formula>
    </cfRule>
  </conditionalFormatting>
  <conditionalFormatting sqref="F198">
    <cfRule type="expression" dxfId="5249" priority="1464">
      <formula>#REF!&lt;&gt;""</formula>
    </cfRule>
    <cfRule type="expression" dxfId="5248" priority="1465">
      <formula>#REF!&lt;&gt;""</formula>
    </cfRule>
    <cfRule type="expression" dxfId="5247" priority="1466">
      <formula>#REF!&lt;&gt;""</formula>
    </cfRule>
    <cfRule type="expression" dxfId="5246" priority="1467">
      <formula>#REF!&lt;&gt;""</formula>
    </cfRule>
    <cfRule type="expression" dxfId="5245" priority="1468">
      <formula>#REF!&lt;&gt;""</formula>
    </cfRule>
    <cfRule type="expression" dxfId="5244" priority="1469">
      <formula>#REF!&lt;&gt;""</formula>
    </cfRule>
    <cfRule type="expression" dxfId="5243" priority="1470">
      <formula>#REF!&lt;&gt;""</formula>
    </cfRule>
    <cfRule type="expression" dxfId="5242" priority="1471">
      <formula>#REF!&lt;&gt;""</formula>
    </cfRule>
    <cfRule type="expression" dxfId="5241" priority="1472">
      <formula>#REF!&lt;&gt;""</formula>
    </cfRule>
    <cfRule type="expression" dxfId="5240" priority="1473">
      <formula>#REF!&lt;&gt;""</formula>
    </cfRule>
    <cfRule type="expression" dxfId="5239" priority="1474">
      <formula>#REF!&lt;&gt;""</formula>
    </cfRule>
    <cfRule type="expression" dxfId="5238" priority="1475">
      <formula>#REF!&lt;&gt;""</formula>
    </cfRule>
  </conditionalFormatting>
  <conditionalFormatting sqref="F199">
    <cfRule type="expression" dxfId="5237" priority="1452">
      <formula>#REF!&lt;&gt;""</formula>
    </cfRule>
    <cfRule type="expression" dxfId="5236" priority="1453">
      <formula>#REF!&lt;&gt;""</formula>
    </cfRule>
    <cfRule type="expression" dxfId="5235" priority="1454">
      <formula>#REF!&lt;&gt;""</formula>
    </cfRule>
    <cfRule type="expression" dxfId="5234" priority="1455">
      <formula>#REF!&lt;&gt;""</formula>
    </cfRule>
    <cfRule type="expression" dxfId="5233" priority="1456">
      <formula>#REF!&lt;&gt;""</formula>
    </cfRule>
    <cfRule type="expression" dxfId="5232" priority="1457">
      <formula>#REF!&lt;&gt;""</formula>
    </cfRule>
    <cfRule type="expression" dxfId="5231" priority="1458">
      <formula>#REF!&lt;&gt;""</formula>
    </cfRule>
    <cfRule type="expression" dxfId="5230" priority="1459">
      <formula>#REF!&lt;&gt;""</formula>
    </cfRule>
    <cfRule type="expression" dxfId="5229" priority="1460">
      <formula>#REF!&lt;&gt;""</formula>
    </cfRule>
    <cfRule type="expression" dxfId="5228" priority="1461">
      <formula>#REF!&lt;&gt;""</formula>
    </cfRule>
    <cfRule type="expression" dxfId="5227" priority="1462">
      <formula>#REF!&lt;&gt;""</formula>
    </cfRule>
    <cfRule type="expression" dxfId="5226" priority="1463">
      <formula>#REF!&lt;&gt;""</formula>
    </cfRule>
  </conditionalFormatting>
  <conditionalFormatting sqref="F200">
    <cfRule type="expression" dxfId="5225" priority="1440">
      <formula>#REF!&lt;&gt;""</formula>
    </cfRule>
    <cfRule type="expression" dxfId="5224" priority="1441">
      <formula>#REF!&lt;&gt;""</formula>
    </cfRule>
    <cfRule type="expression" dxfId="5223" priority="1442">
      <formula>#REF!&lt;&gt;""</formula>
    </cfRule>
    <cfRule type="expression" dxfId="5222" priority="1443">
      <formula>#REF!&lt;&gt;""</formula>
    </cfRule>
    <cfRule type="expression" dxfId="5221" priority="1444">
      <formula>#REF!&lt;&gt;""</formula>
    </cfRule>
    <cfRule type="expression" dxfId="5220" priority="1445">
      <formula>#REF!&lt;&gt;""</formula>
    </cfRule>
    <cfRule type="expression" dxfId="5219" priority="1446">
      <formula>#REF!&lt;&gt;""</formula>
    </cfRule>
    <cfRule type="expression" dxfId="5218" priority="1447">
      <formula>#REF!&lt;&gt;""</formula>
    </cfRule>
    <cfRule type="expression" dxfId="5217" priority="1448">
      <formula>#REF!&lt;&gt;""</formula>
    </cfRule>
    <cfRule type="expression" dxfId="5216" priority="1449">
      <formula>#REF!&lt;&gt;""</formula>
    </cfRule>
    <cfRule type="expression" dxfId="5215" priority="1450">
      <formula>#REF!&lt;&gt;""</formula>
    </cfRule>
    <cfRule type="expression" dxfId="5214" priority="1451">
      <formula>#REF!&lt;&gt;""</formula>
    </cfRule>
  </conditionalFormatting>
  <conditionalFormatting sqref="F201">
    <cfRule type="expression" dxfId="5213" priority="1428">
      <formula>#REF!&lt;&gt;""</formula>
    </cfRule>
    <cfRule type="expression" dxfId="5212" priority="1429">
      <formula>#REF!&lt;&gt;""</formula>
    </cfRule>
    <cfRule type="expression" dxfId="5211" priority="1430">
      <formula>#REF!&lt;&gt;""</formula>
    </cfRule>
    <cfRule type="expression" dxfId="5210" priority="1431">
      <formula>#REF!&lt;&gt;""</formula>
    </cfRule>
    <cfRule type="expression" dxfId="5209" priority="1432">
      <formula>#REF!&lt;&gt;""</formula>
    </cfRule>
    <cfRule type="expression" dxfId="5208" priority="1433">
      <formula>#REF!&lt;&gt;""</formula>
    </cfRule>
    <cfRule type="expression" dxfId="5207" priority="1434">
      <formula>#REF!&lt;&gt;""</formula>
    </cfRule>
    <cfRule type="expression" dxfId="5206" priority="1435">
      <formula>#REF!&lt;&gt;""</formula>
    </cfRule>
    <cfRule type="expression" dxfId="5205" priority="1436">
      <formula>#REF!&lt;&gt;""</formula>
    </cfRule>
    <cfRule type="expression" dxfId="5204" priority="1437">
      <formula>#REF!&lt;&gt;""</formula>
    </cfRule>
    <cfRule type="expression" dxfId="5203" priority="1438">
      <formula>#REF!&lt;&gt;""</formula>
    </cfRule>
    <cfRule type="expression" dxfId="5202" priority="1439">
      <formula>#REF!&lt;&gt;""</formula>
    </cfRule>
  </conditionalFormatting>
  <conditionalFormatting sqref="F202">
    <cfRule type="expression" dxfId="5201" priority="1416">
      <formula>#REF!&lt;&gt;""</formula>
    </cfRule>
    <cfRule type="expression" dxfId="5200" priority="1417">
      <formula>#REF!&lt;&gt;""</formula>
    </cfRule>
    <cfRule type="expression" dxfId="5199" priority="1418">
      <formula>#REF!&lt;&gt;""</formula>
    </cfRule>
    <cfRule type="expression" dxfId="5198" priority="1419">
      <formula>#REF!&lt;&gt;""</formula>
    </cfRule>
    <cfRule type="expression" dxfId="5197" priority="1420">
      <formula>#REF!&lt;&gt;""</formula>
    </cfRule>
    <cfRule type="expression" dxfId="5196" priority="1421">
      <formula>#REF!&lt;&gt;""</formula>
    </cfRule>
    <cfRule type="expression" dxfId="5195" priority="1422">
      <formula>#REF!&lt;&gt;""</formula>
    </cfRule>
    <cfRule type="expression" dxfId="5194" priority="1423">
      <formula>#REF!&lt;&gt;""</formula>
    </cfRule>
    <cfRule type="expression" dxfId="5193" priority="1424">
      <formula>#REF!&lt;&gt;""</formula>
    </cfRule>
    <cfRule type="expression" dxfId="5192" priority="1425">
      <formula>#REF!&lt;&gt;""</formula>
    </cfRule>
    <cfRule type="expression" dxfId="5191" priority="1426">
      <formula>#REF!&lt;&gt;""</formula>
    </cfRule>
    <cfRule type="expression" dxfId="5190" priority="1427">
      <formula>#REF!&lt;&gt;""</formula>
    </cfRule>
  </conditionalFormatting>
  <conditionalFormatting sqref="F203">
    <cfRule type="expression" dxfId="5189" priority="1404">
      <formula>#REF!&lt;&gt;""</formula>
    </cfRule>
    <cfRule type="expression" dxfId="5188" priority="1405">
      <formula>#REF!&lt;&gt;""</formula>
    </cfRule>
    <cfRule type="expression" dxfId="5187" priority="1406">
      <formula>#REF!&lt;&gt;""</formula>
    </cfRule>
    <cfRule type="expression" dxfId="5186" priority="1407">
      <formula>#REF!&lt;&gt;""</formula>
    </cfRule>
    <cfRule type="expression" dxfId="5185" priority="1408">
      <formula>#REF!&lt;&gt;""</formula>
    </cfRule>
    <cfRule type="expression" dxfId="5184" priority="1409">
      <formula>#REF!&lt;&gt;""</formula>
    </cfRule>
    <cfRule type="expression" dxfId="5183" priority="1410">
      <formula>#REF!&lt;&gt;""</formula>
    </cfRule>
    <cfRule type="expression" dxfId="5182" priority="1411">
      <formula>#REF!&lt;&gt;""</formula>
    </cfRule>
    <cfRule type="expression" dxfId="5181" priority="1412">
      <formula>#REF!&lt;&gt;""</formula>
    </cfRule>
    <cfRule type="expression" dxfId="5180" priority="1413">
      <formula>#REF!&lt;&gt;""</formula>
    </cfRule>
    <cfRule type="expression" dxfId="5179" priority="1414">
      <formula>#REF!&lt;&gt;""</formula>
    </cfRule>
    <cfRule type="expression" dxfId="5178" priority="1415">
      <formula>#REF!&lt;&gt;""</formula>
    </cfRule>
  </conditionalFormatting>
  <conditionalFormatting sqref="F204">
    <cfRule type="expression" dxfId="5177" priority="1392">
      <formula>#REF!&lt;&gt;""</formula>
    </cfRule>
    <cfRule type="expression" dxfId="5176" priority="1393">
      <formula>#REF!&lt;&gt;""</formula>
    </cfRule>
    <cfRule type="expression" dxfId="5175" priority="1394">
      <formula>#REF!&lt;&gt;""</formula>
    </cfRule>
    <cfRule type="expression" dxfId="5174" priority="1395">
      <formula>#REF!&lt;&gt;""</formula>
    </cfRule>
    <cfRule type="expression" dxfId="5173" priority="1396">
      <formula>#REF!&lt;&gt;""</formula>
    </cfRule>
    <cfRule type="expression" dxfId="5172" priority="1397">
      <formula>#REF!&lt;&gt;""</formula>
    </cfRule>
    <cfRule type="expression" dxfId="5171" priority="1398">
      <formula>#REF!&lt;&gt;""</formula>
    </cfRule>
    <cfRule type="expression" dxfId="5170" priority="1399">
      <formula>#REF!&lt;&gt;""</formula>
    </cfRule>
    <cfRule type="expression" dxfId="5169" priority="1400">
      <formula>#REF!&lt;&gt;""</formula>
    </cfRule>
    <cfRule type="expression" dxfId="5168" priority="1401">
      <formula>#REF!&lt;&gt;""</formula>
    </cfRule>
    <cfRule type="expression" dxfId="5167" priority="1402">
      <formula>#REF!&lt;&gt;""</formula>
    </cfRule>
    <cfRule type="expression" dxfId="5166" priority="1403">
      <formula>#REF!&lt;&gt;""</formula>
    </cfRule>
  </conditionalFormatting>
  <conditionalFormatting sqref="F205">
    <cfRule type="expression" dxfId="5165" priority="1380">
      <formula>#REF!&lt;&gt;""</formula>
    </cfRule>
    <cfRule type="expression" dxfId="5164" priority="1381">
      <formula>#REF!&lt;&gt;""</formula>
    </cfRule>
    <cfRule type="expression" dxfId="5163" priority="1382">
      <formula>#REF!&lt;&gt;""</formula>
    </cfRule>
    <cfRule type="expression" dxfId="5162" priority="1383">
      <formula>#REF!&lt;&gt;""</formula>
    </cfRule>
    <cfRule type="expression" dxfId="5161" priority="1384">
      <formula>#REF!&lt;&gt;""</formula>
    </cfRule>
    <cfRule type="expression" dxfId="5160" priority="1385">
      <formula>#REF!&lt;&gt;""</formula>
    </cfRule>
    <cfRule type="expression" dxfId="5159" priority="1386">
      <formula>#REF!&lt;&gt;""</formula>
    </cfRule>
    <cfRule type="expression" dxfId="5158" priority="1387">
      <formula>#REF!&lt;&gt;""</formula>
    </cfRule>
    <cfRule type="expression" dxfId="5157" priority="1388">
      <formula>#REF!&lt;&gt;""</formula>
    </cfRule>
    <cfRule type="expression" dxfId="5156" priority="1389">
      <formula>#REF!&lt;&gt;""</formula>
    </cfRule>
    <cfRule type="expression" dxfId="5155" priority="1390">
      <formula>#REF!&lt;&gt;""</formula>
    </cfRule>
    <cfRule type="expression" dxfId="5154" priority="1391">
      <formula>#REF!&lt;&gt;""</formula>
    </cfRule>
  </conditionalFormatting>
  <conditionalFormatting sqref="F206">
    <cfRule type="expression" dxfId="5153" priority="1368">
      <formula>#REF!&lt;&gt;""</formula>
    </cfRule>
    <cfRule type="expression" dxfId="5152" priority="1369">
      <formula>#REF!&lt;&gt;""</formula>
    </cfRule>
    <cfRule type="expression" dxfId="5151" priority="1370">
      <formula>#REF!&lt;&gt;""</formula>
    </cfRule>
    <cfRule type="expression" dxfId="5150" priority="1371">
      <formula>#REF!&lt;&gt;""</formula>
    </cfRule>
    <cfRule type="expression" dxfId="5149" priority="1372">
      <formula>#REF!&lt;&gt;""</formula>
    </cfRule>
    <cfRule type="expression" dxfId="5148" priority="1373">
      <formula>#REF!&lt;&gt;""</formula>
    </cfRule>
    <cfRule type="expression" dxfId="5147" priority="1374">
      <formula>#REF!&lt;&gt;""</formula>
    </cfRule>
    <cfRule type="expression" dxfId="5146" priority="1375">
      <formula>#REF!&lt;&gt;""</formula>
    </cfRule>
    <cfRule type="expression" dxfId="5145" priority="1376">
      <formula>#REF!&lt;&gt;""</formula>
    </cfRule>
    <cfRule type="expression" dxfId="5144" priority="1377">
      <formula>#REF!&lt;&gt;""</formula>
    </cfRule>
    <cfRule type="expression" dxfId="5143" priority="1378">
      <formula>#REF!&lt;&gt;""</formula>
    </cfRule>
    <cfRule type="expression" dxfId="5142" priority="1379">
      <formula>#REF!&lt;&gt;""</formula>
    </cfRule>
  </conditionalFormatting>
  <conditionalFormatting sqref="F207">
    <cfRule type="expression" dxfId="5141" priority="1356">
      <formula>#REF!&lt;&gt;""</formula>
    </cfRule>
    <cfRule type="expression" dxfId="5140" priority="1357">
      <formula>#REF!&lt;&gt;""</formula>
    </cfRule>
    <cfRule type="expression" dxfId="5139" priority="1358">
      <formula>#REF!&lt;&gt;""</formula>
    </cfRule>
    <cfRule type="expression" dxfId="5138" priority="1359">
      <formula>#REF!&lt;&gt;""</formula>
    </cfRule>
    <cfRule type="expression" dxfId="5137" priority="1360">
      <formula>#REF!&lt;&gt;""</formula>
    </cfRule>
    <cfRule type="expression" dxfId="5136" priority="1361">
      <formula>#REF!&lt;&gt;""</formula>
    </cfRule>
    <cfRule type="expression" dxfId="5135" priority="1362">
      <formula>#REF!&lt;&gt;""</formula>
    </cfRule>
    <cfRule type="expression" dxfId="5134" priority="1363">
      <formula>#REF!&lt;&gt;""</formula>
    </cfRule>
    <cfRule type="expression" dxfId="5133" priority="1364">
      <formula>#REF!&lt;&gt;""</formula>
    </cfRule>
    <cfRule type="expression" dxfId="5132" priority="1365">
      <formula>#REF!&lt;&gt;""</formula>
    </cfRule>
    <cfRule type="expression" dxfId="5131" priority="1366">
      <formula>#REF!&lt;&gt;""</formula>
    </cfRule>
    <cfRule type="expression" dxfId="5130" priority="1367">
      <formula>#REF!&lt;&gt;""</formula>
    </cfRule>
  </conditionalFormatting>
  <conditionalFormatting sqref="F208">
    <cfRule type="expression" dxfId="5129" priority="1344">
      <formula>#REF!&lt;&gt;""</formula>
    </cfRule>
    <cfRule type="expression" dxfId="5128" priority="1345">
      <formula>#REF!&lt;&gt;""</formula>
    </cfRule>
    <cfRule type="expression" dxfId="5127" priority="1346">
      <formula>#REF!&lt;&gt;""</formula>
    </cfRule>
    <cfRule type="expression" dxfId="5126" priority="1347">
      <formula>#REF!&lt;&gt;""</formula>
    </cfRule>
    <cfRule type="expression" dxfId="5125" priority="1348">
      <formula>#REF!&lt;&gt;""</formula>
    </cfRule>
    <cfRule type="expression" dxfId="5124" priority="1349">
      <formula>#REF!&lt;&gt;""</formula>
    </cfRule>
    <cfRule type="expression" dxfId="5123" priority="1350">
      <formula>#REF!&lt;&gt;""</formula>
    </cfRule>
    <cfRule type="expression" dxfId="5122" priority="1351">
      <formula>#REF!&lt;&gt;""</formula>
    </cfRule>
    <cfRule type="expression" dxfId="5121" priority="1352">
      <formula>#REF!&lt;&gt;""</formula>
    </cfRule>
    <cfRule type="expression" dxfId="5120" priority="1353">
      <formula>#REF!&lt;&gt;""</formula>
    </cfRule>
    <cfRule type="expression" dxfId="5119" priority="1354">
      <formula>#REF!&lt;&gt;""</formula>
    </cfRule>
    <cfRule type="expression" dxfId="5118" priority="1355">
      <formula>#REF!&lt;&gt;""</formula>
    </cfRule>
  </conditionalFormatting>
  <conditionalFormatting sqref="F209">
    <cfRule type="expression" dxfId="5117" priority="1332">
      <formula>#REF!&lt;&gt;""</formula>
    </cfRule>
    <cfRule type="expression" dxfId="5116" priority="1333">
      <formula>#REF!&lt;&gt;""</formula>
    </cfRule>
    <cfRule type="expression" dxfId="5115" priority="1334">
      <formula>#REF!&lt;&gt;""</formula>
    </cfRule>
    <cfRule type="expression" dxfId="5114" priority="1335">
      <formula>#REF!&lt;&gt;""</formula>
    </cfRule>
    <cfRule type="expression" dxfId="5113" priority="1336">
      <formula>#REF!&lt;&gt;""</formula>
    </cfRule>
    <cfRule type="expression" dxfId="5112" priority="1337">
      <formula>#REF!&lt;&gt;""</formula>
    </cfRule>
    <cfRule type="expression" dxfId="5111" priority="1338">
      <formula>#REF!&lt;&gt;""</formula>
    </cfRule>
    <cfRule type="expression" dxfId="5110" priority="1339">
      <formula>#REF!&lt;&gt;""</formula>
    </cfRule>
    <cfRule type="expression" dxfId="5109" priority="1340">
      <formula>#REF!&lt;&gt;""</formula>
    </cfRule>
    <cfRule type="expression" dxfId="5108" priority="1341">
      <formula>#REF!&lt;&gt;""</formula>
    </cfRule>
    <cfRule type="expression" dxfId="5107" priority="1342">
      <formula>#REF!&lt;&gt;""</formula>
    </cfRule>
    <cfRule type="expression" dxfId="5106" priority="1343">
      <formula>#REF!&lt;&gt;""</formula>
    </cfRule>
  </conditionalFormatting>
  <conditionalFormatting sqref="F210">
    <cfRule type="expression" dxfId="5105" priority="1320">
      <formula>#REF!&lt;&gt;""</formula>
    </cfRule>
    <cfRule type="expression" dxfId="5104" priority="1321">
      <formula>#REF!&lt;&gt;""</formula>
    </cfRule>
    <cfRule type="expression" dxfId="5103" priority="1322">
      <formula>#REF!&lt;&gt;""</formula>
    </cfRule>
    <cfRule type="expression" dxfId="5102" priority="1323">
      <formula>#REF!&lt;&gt;""</formula>
    </cfRule>
    <cfRule type="expression" dxfId="5101" priority="1324">
      <formula>#REF!&lt;&gt;""</formula>
    </cfRule>
    <cfRule type="expression" dxfId="5100" priority="1325">
      <formula>#REF!&lt;&gt;""</formula>
    </cfRule>
    <cfRule type="expression" dxfId="5099" priority="1326">
      <formula>#REF!&lt;&gt;""</formula>
    </cfRule>
    <cfRule type="expression" dxfId="5098" priority="1327">
      <formula>#REF!&lt;&gt;""</formula>
    </cfRule>
    <cfRule type="expression" dxfId="5097" priority="1328">
      <formula>#REF!&lt;&gt;""</formula>
    </cfRule>
    <cfRule type="expression" dxfId="5096" priority="1329">
      <formula>#REF!&lt;&gt;""</formula>
    </cfRule>
    <cfRule type="expression" dxfId="5095" priority="1330">
      <formula>#REF!&lt;&gt;""</formula>
    </cfRule>
    <cfRule type="expression" dxfId="5094" priority="1331">
      <formula>#REF!&lt;&gt;""</formula>
    </cfRule>
  </conditionalFormatting>
  <conditionalFormatting sqref="F211">
    <cfRule type="expression" dxfId="5093" priority="1308">
      <formula>#REF!&lt;&gt;""</formula>
    </cfRule>
    <cfRule type="expression" dxfId="5092" priority="1309">
      <formula>#REF!&lt;&gt;""</formula>
    </cfRule>
    <cfRule type="expression" dxfId="5091" priority="1310">
      <formula>#REF!&lt;&gt;""</formula>
    </cfRule>
    <cfRule type="expression" dxfId="5090" priority="1311">
      <formula>#REF!&lt;&gt;""</formula>
    </cfRule>
    <cfRule type="expression" dxfId="5089" priority="1312">
      <formula>#REF!&lt;&gt;""</formula>
    </cfRule>
    <cfRule type="expression" dxfId="5088" priority="1313">
      <formula>#REF!&lt;&gt;""</formula>
    </cfRule>
    <cfRule type="expression" dxfId="5087" priority="1314">
      <formula>#REF!&lt;&gt;""</formula>
    </cfRule>
    <cfRule type="expression" dxfId="5086" priority="1315">
      <formula>#REF!&lt;&gt;""</formula>
    </cfRule>
    <cfRule type="expression" dxfId="5085" priority="1316">
      <formula>#REF!&lt;&gt;""</formula>
    </cfRule>
    <cfRule type="expression" dxfId="5084" priority="1317">
      <formula>#REF!&lt;&gt;""</formula>
    </cfRule>
    <cfRule type="expression" dxfId="5083" priority="1318">
      <formula>#REF!&lt;&gt;""</formula>
    </cfRule>
    <cfRule type="expression" dxfId="5082" priority="1319">
      <formula>#REF!&lt;&gt;""</formula>
    </cfRule>
  </conditionalFormatting>
  <conditionalFormatting sqref="F212">
    <cfRule type="expression" dxfId="5081" priority="1296">
      <formula>#REF!&lt;&gt;""</formula>
    </cfRule>
    <cfRule type="expression" dxfId="5080" priority="1297">
      <formula>#REF!&lt;&gt;""</formula>
    </cfRule>
    <cfRule type="expression" dxfId="5079" priority="1298">
      <formula>#REF!&lt;&gt;""</formula>
    </cfRule>
    <cfRule type="expression" dxfId="5078" priority="1299">
      <formula>#REF!&lt;&gt;""</formula>
    </cfRule>
    <cfRule type="expression" dxfId="5077" priority="1300">
      <formula>#REF!&lt;&gt;""</formula>
    </cfRule>
    <cfRule type="expression" dxfId="5076" priority="1301">
      <formula>#REF!&lt;&gt;""</formula>
    </cfRule>
    <cfRule type="expression" dxfId="5075" priority="1302">
      <formula>#REF!&lt;&gt;""</formula>
    </cfRule>
    <cfRule type="expression" dxfId="5074" priority="1303">
      <formula>#REF!&lt;&gt;""</formula>
    </cfRule>
    <cfRule type="expression" dxfId="5073" priority="1304">
      <formula>#REF!&lt;&gt;""</formula>
    </cfRule>
    <cfRule type="expression" dxfId="5072" priority="1305">
      <formula>#REF!&lt;&gt;""</formula>
    </cfRule>
    <cfRule type="expression" dxfId="5071" priority="1306">
      <formula>#REF!&lt;&gt;""</formula>
    </cfRule>
    <cfRule type="expression" dxfId="5070" priority="1307">
      <formula>#REF!&lt;&gt;""</formula>
    </cfRule>
  </conditionalFormatting>
  <conditionalFormatting sqref="F213">
    <cfRule type="expression" dxfId="5069" priority="1284">
      <formula>#REF!&lt;&gt;""</formula>
    </cfRule>
    <cfRule type="expression" dxfId="5068" priority="1285">
      <formula>#REF!&lt;&gt;""</formula>
    </cfRule>
    <cfRule type="expression" dxfId="5067" priority="1286">
      <formula>#REF!&lt;&gt;""</formula>
    </cfRule>
    <cfRule type="expression" dxfId="5066" priority="1287">
      <formula>#REF!&lt;&gt;""</formula>
    </cfRule>
    <cfRule type="expression" dxfId="5065" priority="1288">
      <formula>#REF!&lt;&gt;""</formula>
    </cfRule>
    <cfRule type="expression" dxfId="5064" priority="1289">
      <formula>#REF!&lt;&gt;""</formula>
    </cfRule>
    <cfRule type="expression" dxfId="5063" priority="1290">
      <formula>#REF!&lt;&gt;""</formula>
    </cfRule>
    <cfRule type="expression" dxfId="5062" priority="1291">
      <formula>#REF!&lt;&gt;""</formula>
    </cfRule>
    <cfRule type="expression" dxfId="5061" priority="1292">
      <formula>#REF!&lt;&gt;""</formula>
    </cfRule>
    <cfRule type="expression" dxfId="5060" priority="1293">
      <formula>#REF!&lt;&gt;""</formula>
    </cfRule>
    <cfRule type="expression" dxfId="5059" priority="1294">
      <formula>#REF!&lt;&gt;""</formula>
    </cfRule>
    <cfRule type="expression" dxfId="5058" priority="1295">
      <formula>#REF!&lt;&gt;""</formula>
    </cfRule>
  </conditionalFormatting>
  <conditionalFormatting sqref="F214">
    <cfRule type="expression" dxfId="5057" priority="1272">
      <formula>#REF!&lt;&gt;""</formula>
    </cfRule>
    <cfRule type="expression" dxfId="5056" priority="1273">
      <formula>#REF!&lt;&gt;""</formula>
    </cfRule>
    <cfRule type="expression" dxfId="5055" priority="1274">
      <formula>#REF!&lt;&gt;""</formula>
    </cfRule>
    <cfRule type="expression" dxfId="5054" priority="1275">
      <formula>#REF!&lt;&gt;""</formula>
    </cfRule>
    <cfRule type="expression" dxfId="5053" priority="1276">
      <formula>#REF!&lt;&gt;""</formula>
    </cfRule>
    <cfRule type="expression" dxfId="5052" priority="1277">
      <formula>#REF!&lt;&gt;""</formula>
    </cfRule>
    <cfRule type="expression" dxfId="5051" priority="1278">
      <formula>#REF!&lt;&gt;""</formula>
    </cfRule>
    <cfRule type="expression" dxfId="5050" priority="1279">
      <formula>#REF!&lt;&gt;""</formula>
    </cfRule>
    <cfRule type="expression" dxfId="5049" priority="1280">
      <formula>#REF!&lt;&gt;""</formula>
    </cfRule>
    <cfRule type="expression" dxfId="5048" priority="1281">
      <formula>#REF!&lt;&gt;""</formula>
    </cfRule>
    <cfRule type="expression" dxfId="5047" priority="1282">
      <formula>#REF!&lt;&gt;""</formula>
    </cfRule>
    <cfRule type="expression" dxfId="5046" priority="1283">
      <formula>#REF!&lt;&gt;""</formula>
    </cfRule>
  </conditionalFormatting>
  <conditionalFormatting sqref="F215">
    <cfRule type="expression" dxfId="5045" priority="1260">
      <formula>#REF!&lt;&gt;""</formula>
    </cfRule>
    <cfRule type="expression" dxfId="5044" priority="1261">
      <formula>#REF!&lt;&gt;""</formula>
    </cfRule>
    <cfRule type="expression" dxfId="5043" priority="1262">
      <formula>#REF!&lt;&gt;""</formula>
    </cfRule>
    <cfRule type="expression" dxfId="5042" priority="1263">
      <formula>#REF!&lt;&gt;""</formula>
    </cfRule>
    <cfRule type="expression" dxfId="5041" priority="1264">
      <formula>#REF!&lt;&gt;""</formula>
    </cfRule>
    <cfRule type="expression" dxfId="5040" priority="1265">
      <formula>#REF!&lt;&gt;""</formula>
    </cfRule>
    <cfRule type="expression" dxfId="5039" priority="1266">
      <formula>#REF!&lt;&gt;""</formula>
    </cfRule>
    <cfRule type="expression" dxfId="5038" priority="1267">
      <formula>#REF!&lt;&gt;""</formula>
    </cfRule>
    <cfRule type="expression" dxfId="5037" priority="1268">
      <formula>#REF!&lt;&gt;""</formula>
    </cfRule>
    <cfRule type="expression" dxfId="5036" priority="1269">
      <formula>#REF!&lt;&gt;""</formula>
    </cfRule>
    <cfRule type="expression" dxfId="5035" priority="1270">
      <formula>#REF!&lt;&gt;""</formula>
    </cfRule>
    <cfRule type="expression" dxfId="5034" priority="1271">
      <formula>#REF!&lt;&gt;""</formula>
    </cfRule>
  </conditionalFormatting>
  <conditionalFormatting sqref="F216">
    <cfRule type="expression" dxfId="5033" priority="1248">
      <formula>#REF!&lt;&gt;""</formula>
    </cfRule>
    <cfRule type="expression" dxfId="5032" priority="1249">
      <formula>#REF!&lt;&gt;""</formula>
    </cfRule>
    <cfRule type="expression" dxfId="5031" priority="1250">
      <formula>#REF!&lt;&gt;""</formula>
    </cfRule>
    <cfRule type="expression" dxfId="5030" priority="1251">
      <formula>#REF!&lt;&gt;""</formula>
    </cfRule>
    <cfRule type="expression" dxfId="5029" priority="1252">
      <formula>#REF!&lt;&gt;""</formula>
    </cfRule>
    <cfRule type="expression" dxfId="5028" priority="1253">
      <formula>#REF!&lt;&gt;""</formula>
    </cfRule>
    <cfRule type="expression" dxfId="5027" priority="1254">
      <formula>#REF!&lt;&gt;""</formula>
    </cfRule>
    <cfRule type="expression" dxfId="5026" priority="1255">
      <formula>#REF!&lt;&gt;""</formula>
    </cfRule>
    <cfRule type="expression" dxfId="5025" priority="1256">
      <formula>#REF!&lt;&gt;""</formula>
    </cfRule>
    <cfRule type="expression" dxfId="5024" priority="1257">
      <formula>#REF!&lt;&gt;""</formula>
    </cfRule>
    <cfRule type="expression" dxfId="5023" priority="1258">
      <formula>#REF!&lt;&gt;""</formula>
    </cfRule>
    <cfRule type="expression" dxfId="5022" priority="1259">
      <formula>#REF!&lt;&gt;""</formula>
    </cfRule>
  </conditionalFormatting>
  <conditionalFormatting sqref="F217">
    <cfRule type="expression" dxfId="5021" priority="1236">
      <formula>#REF!&lt;&gt;""</formula>
    </cfRule>
    <cfRule type="expression" dxfId="5020" priority="1237">
      <formula>#REF!&lt;&gt;""</formula>
    </cfRule>
    <cfRule type="expression" dxfId="5019" priority="1238">
      <formula>#REF!&lt;&gt;""</formula>
    </cfRule>
    <cfRule type="expression" dxfId="5018" priority="1239">
      <formula>#REF!&lt;&gt;""</formula>
    </cfRule>
    <cfRule type="expression" dxfId="5017" priority="1240">
      <formula>#REF!&lt;&gt;""</formula>
    </cfRule>
    <cfRule type="expression" dxfId="5016" priority="1241">
      <formula>#REF!&lt;&gt;""</formula>
    </cfRule>
    <cfRule type="expression" dxfId="5015" priority="1242">
      <formula>#REF!&lt;&gt;""</formula>
    </cfRule>
    <cfRule type="expression" dxfId="5014" priority="1243">
      <formula>#REF!&lt;&gt;""</formula>
    </cfRule>
    <cfRule type="expression" dxfId="5013" priority="1244">
      <formula>#REF!&lt;&gt;""</formula>
    </cfRule>
    <cfRule type="expression" dxfId="5012" priority="1245">
      <formula>#REF!&lt;&gt;""</formula>
    </cfRule>
    <cfRule type="expression" dxfId="5011" priority="1246">
      <formula>#REF!&lt;&gt;""</formula>
    </cfRule>
    <cfRule type="expression" dxfId="5010" priority="1247">
      <formula>#REF!&lt;&gt;""</formula>
    </cfRule>
  </conditionalFormatting>
  <conditionalFormatting sqref="F218">
    <cfRule type="expression" dxfId="5009" priority="1224">
      <formula>#REF!&lt;&gt;""</formula>
    </cfRule>
    <cfRule type="expression" dxfId="5008" priority="1225">
      <formula>#REF!&lt;&gt;""</formula>
    </cfRule>
    <cfRule type="expression" dxfId="5007" priority="1226">
      <formula>#REF!&lt;&gt;""</formula>
    </cfRule>
    <cfRule type="expression" dxfId="5006" priority="1227">
      <formula>#REF!&lt;&gt;""</formula>
    </cfRule>
    <cfRule type="expression" dxfId="5005" priority="1228">
      <formula>#REF!&lt;&gt;""</formula>
    </cfRule>
    <cfRule type="expression" dxfId="5004" priority="1229">
      <formula>#REF!&lt;&gt;""</formula>
    </cfRule>
    <cfRule type="expression" dxfId="5003" priority="1230">
      <formula>#REF!&lt;&gt;""</formula>
    </cfRule>
    <cfRule type="expression" dxfId="5002" priority="1231">
      <formula>#REF!&lt;&gt;""</formula>
    </cfRule>
    <cfRule type="expression" dxfId="5001" priority="1232">
      <formula>#REF!&lt;&gt;""</formula>
    </cfRule>
    <cfRule type="expression" dxfId="5000" priority="1233">
      <formula>#REF!&lt;&gt;""</formula>
    </cfRule>
    <cfRule type="expression" dxfId="4999" priority="1234">
      <formula>#REF!&lt;&gt;""</formula>
    </cfRule>
    <cfRule type="expression" dxfId="4998" priority="1235">
      <formula>#REF!&lt;&gt;""</formula>
    </cfRule>
  </conditionalFormatting>
  <conditionalFormatting sqref="F219">
    <cfRule type="expression" dxfId="4997" priority="1212">
      <formula>#REF!&lt;&gt;""</formula>
    </cfRule>
    <cfRule type="expression" dxfId="4996" priority="1213">
      <formula>#REF!&lt;&gt;""</formula>
    </cfRule>
    <cfRule type="expression" dxfId="4995" priority="1214">
      <formula>#REF!&lt;&gt;""</formula>
    </cfRule>
    <cfRule type="expression" dxfId="4994" priority="1215">
      <formula>#REF!&lt;&gt;""</formula>
    </cfRule>
    <cfRule type="expression" dxfId="4993" priority="1216">
      <formula>#REF!&lt;&gt;""</formula>
    </cfRule>
    <cfRule type="expression" dxfId="4992" priority="1217">
      <formula>#REF!&lt;&gt;""</formula>
    </cfRule>
    <cfRule type="expression" dxfId="4991" priority="1218">
      <formula>#REF!&lt;&gt;""</formula>
    </cfRule>
    <cfRule type="expression" dxfId="4990" priority="1219">
      <formula>#REF!&lt;&gt;""</formula>
    </cfRule>
    <cfRule type="expression" dxfId="4989" priority="1220">
      <formula>#REF!&lt;&gt;""</formula>
    </cfRule>
    <cfRule type="expression" dxfId="4988" priority="1221">
      <formula>#REF!&lt;&gt;""</formula>
    </cfRule>
    <cfRule type="expression" dxfId="4987" priority="1222">
      <formula>#REF!&lt;&gt;""</formula>
    </cfRule>
    <cfRule type="expression" dxfId="4986" priority="1223">
      <formula>#REF!&lt;&gt;""</formula>
    </cfRule>
  </conditionalFormatting>
  <conditionalFormatting sqref="F237">
    <cfRule type="expression" dxfId="4985" priority="1200">
      <formula>#REF!&lt;&gt;""</formula>
    </cfRule>
    <cfRule type="expression" dxfId="4984" priority="1201">
      <formula>#REF!&lt;&gt;""</formula>
    </cfRule>
    <cfRule type="expression" dxfId="4983" priority="1202">
      <formula>#REF!&lt;&gt;""</formula>
    </cfRule>
    <cfRule type="expression" dxfId="4982" priority="1203">
      <formula>#REF!&lt;&gt;""</formula>
    </cfRule>
    <cfRule type="expression" dxfId="4981" priority="1204">
      <formula>#REF!&lt;&gt;""</formula>
    </cfRule>
    <cfRule type="expression" dxfId="4980" priority="1205">
      <formula>#REF!&lt;&gt;""</formula>
    </cfRule>
    <cfRule type="expression" dxfId="4979" priority="1206">
      <formula>#REF!&lt;&gt;""</formula>
    </cfRule>
    <cfRule type="expression" dxfId="4978" priority="1207">
      <formula>#REF!&lt;&gt;""</formula>
    </cfRule>
    <cfRule type="expression" dxfId="4977" priority="1208">
      <formula>#REF!&lt;&gt;""</formula>
    </cfRule>
    <cfRule type="expression" dxfId="4976" priority="1209">
      <formula>#REF!&lt;&gt;""</formula>
    </cfRule>
    <cfRule type="expression" dxfId="4975" priority="1210">
      <formula>#REF!&lt;&gt;""</formula>
    </cfRule>
    <cfRule type="expression" dxfId="4974" priority="1211">
      <formula>#REF!&lt;&gt;""</formula>
    </cfRule>
  </conditionalFormatting>
  <conditionalFormatting sqref="F238">
    <cfRule type="expression" dxfId="4973" priority="1188">
      <formula>#REF!&lt;&gt;""</formula>
    </cfRule>
    <cfRule type="expression" dxfId="4972" priority="1189">
      <formula>#REF!&lt;&gt;""</formula>
    </cfRule>
    <cfRule type="expression" dxfId="4971" priority="1190">
      <formula>#REF!&lt;&gt;""</formula>
    </cfRule>
    <cfRule type="expression" dxfId="4970" priority="1191">
      <formula>#REF!&lt;&gt;""</formula>
    </cfRule>
    <cfRule type="expression" dxfId="4969" priority="1192">
      <formula>#REF!&lt;&gt;""</formula>
    </cfRule>
    <cfRule type="expression" dxfId="4968" priority="1193">
      <formula>#REF!&lt;&gt;""</formula>
    </cfRule>
    <cfRule type="expression" dxfId="4967" priority="1194">
      <formula>#REF!&lt;&gt;""</formula>
    </cfRule>
    <cfRule type="expression" dxfId="4966" priority="1195">
      <formula>#REF!&lt;&gt;""</formula>
    </cfRule>
    <cfRule type="expression" dxfId="4965" priority="1196">
      <formula>#REF!&lt;&gt;""</formula>
    </cfRule>
    <cfRule type="expression" dxfId="4964" priority="1197">
      <formula>#REF!&lt;&gt;""</formula>
    </cfRule>
    <cfRule type="expression" dxfId="4963" priority="1198">
      <formula>#REF!&lt;&gt;""</formula>
    </cfRule>
    <cfRule type="expression" dxfId="4962" priority="1199">
      <formula>#REF!&lt;&gt;""</formula>
    </cfRule>
  </conditionalFormatting>
  <conditionalFormatting sqref="F239">
    <cfRule type="expression" dxfId="4961" priority="1176">
      <formula>#REF!&lt;&gt;""</formula>
    </cfRule>
    <cfRule type="expression" dxfId="4960" priority="1177">
      <formula>#REF!&lt;&gt;""</formula>
    </cfRule>
    <cfRule type="expression" dxfId="4959" priority="1178">
      <formula>#REF!&lt;&gt;""</formula>
    </cfRule>
    <cfRule type="expression" dxfId="4958" priority="1179">
      <formula>#REF!&lt;&gt;""</formula>
    </cfRule>
    <cfRule type="expression" dxfId="4957" priority="1180">
      <formula>#REF!&lt;&gt;""</formula>
    </cfRule>
    <cfRule type="expression" dxfId="4956" priority="1181">
      <formula>#REF!&lt;&gt;""</formula>
    </cfRule>
    <cfRule type="expression" dxfId="4955" priority="1182">
      <formula>#REF!&lt;&gt;""</formula>
    </cfRule>
    <cfRule type="expression" dxfId="4954" priority="1183">
      <formula>#REF!&lt;&gt;""</formula>
    </cfRule>
    <cfRule type="expression" dxfId="4953" priority="1184">
      <formula>#REF!&lt;&gt;""</formula>
    </cfRule>
    <cfRule type="expression" dxfId="4952" priority="1185">
      <formula>#REF!&lt;&gt;""</formula>
    </cfRule>
    <cfRule type="expression" dxfId="4951" priority="1186">
      <formula>#REF!&lt;&gt;""</formula>
    </cfRule>
    <cfRule type="expression" dxfId="4950" priority="1187">
      <formula>#REF!&lt;&gt;""</formula>
    </cfRule>
  </conditionalFormatting>
  <conditionalFormatting sqref="F240">
    <cfRule type="expression" dxfId="4949" priority="1164">
      <formula>#REF!&lt;&gt;""</formula>
    </cfRule>
    <cfRule type="expression" dxfId="4948" priority="1165">
      <formula>#REF!&lt;&gt;""</formula>
    </cfRule>
    <cfRule type="expression" dxfId="4947" priority="1166">
      <formula>#REF!&lt;&gt;""</formula>
    </cfRule>
    <cfRule type="expression" dxfId="4946" priority="1167">
      <formula>#REF!&lt;&gt;""</formula>
    </cfRule>
    <cfRule type="expression" dxfId="4945" priority="1168">
      <formula>#REF!&lt;&gt;""</formula>
    </cfRule>
    <cfRule type="expression" dxfId="4944" priority="1169">
      <formula>#REF!&lt;&gt;""</formula>
    </cfRule>
    <cfRule type="expression" dxfId="4943" priority="1170">
      <formula>#REF!&lt;&gt;""</formula>
    </cfRule>
    <cfRule type="expression" dxfId="4942" priority="1171">
      <formula>#REF!&lt;&gt;""</formula>
    </cfRule>
    <cfRule type="expression" dxfId="4941" priority="1172">
      <formula>#REF!&lt;&gt;""</formula>
    </cfRule>
    <cfRule type="expression" dxfId="4940" priority="1173">
      <formula>#REF!&lt;&gt;""</formula>
    </cfRule>
    <cfRule type="expression" dxfId="4939" priority="1174">
      <formula>#REF!&lt;&gt;""</formula>
    </cfRule>
    <cfRule type="expression" dxfId="4938" priority="1175">
      <formula>#REF!&lt;&gt;""</formula>
    </cfRule>
  </conditionalFormatting>
  <conditionalFormatting sqref="F241">
    <cfRule type="expression" dxfId="4937" priority="1152">
      <formula>#REF!&lt;&gt;""</formula>
    </cfRule>
    <cfRule type="expression" dxfId="4936" priority="1153">
      <formula>#REF!&lt;&gt;""</formula>
    </cfRule>
    <cfRule type="expression" dxfId="4935" priority="1154">
      <formula>#REF!&lt;&gt;""</formula>
    </cfRule>
    <cfRule type="expression" dxfId="4934" priority="1155">
      <formula>#REF!&lt;&gt;""</formula>
    </cfRule>
    <cfRule type="expression" dxfId="4933" priority="1156">
      <formula>#REF!&lt;&gt;""</formula>
    </cfRule>
    <cfRule type="expression" dxfId="4932" priority="1157">
      <formula>#REF!&lt;&gt;""</formula>
    </cfRule>
    <cfRule type="expression" dxfId="4931" priority="1158">
      <formula>#REF!&lt;&gt;""</formula>
    </cfRule>
    <cfRule type="expression" dxfId="4930" priority="1159">
      <formula>#REF!&lt;&gt;""</formula>
    </cfRule>
    <cfRule type="expression" dxfId="4929" priority="1160">
      <formula>#REF!&lt;&gt;""</formula>
    </cfRule>
    <cfRule type="expression" dxfId="4928" priority="1161">
      <formula>#REF!&lt;&gt;""</formula>
    </cfRule>
    <cfRule type="expression" dxfId="4927" priority="1162">
      <formula>#REF!&lt;&gt;""</formula>
    </cfRule>
    <cfRule type="expression" dxfId="4926" priority="1163">
      <formula>#REF!&lt;&gt;""</formula>
    </cfRule>
  </conditionalFormatting>
  <conditionalFormatting sqref="F242">
    <cfRule type="expression" dxfId="4925" priority="1140">
      <formula>#REF!&lt;&gt;""</formula>
    </cfRule>
    <cfRule type="expression" dxfId="4924" priority="1141">
      <formula>#REF!&lt;&gt;""</formula>
    </cfRule>
    <cfRule type="expression" dxfId="4923" priority="1142">
      <formula>#REF!&lt;&gt;""</formula>
    </cfRule>
    <cfRule type="expression" dxfId="4922" priority="1143">
      <formula>#REF!&lt;&gt;""</formula>
    </cfRule>
    <cfRule type="expression" dxfId="4921" priority="1144">
      <formula>#REF!&lt;&gt;""</formula>
    </cfRule>
    <cfRule type="expression" dxfId="4920" priority="1145">
      <formula>#REF!&lt;&gt;""</formula>
    </cfRule>
    <cfRule type="expression" dxfId="4919" priority="1146">
      <formula>#REF!&lt;&gt;""</formula>
    </cfRule>
    <cfRule type="expression" dxfId="4918" priority="1147">
      <formula>#REF!&lt;&gt;""</formula>
    </cfRule>
    <cfRule type="expression" dxfId="4917" priority="1148">
      <formula>#REF!&lt;&gt;""</formula>
    </cfRule>
    <cfRule type="expression" dxfId="4916" priority="1149">
      <formula>#REF!&lt;&gt;""</formula>
    </cfRule>
    <cfRule type="expression" dxfId="4915" priority="1150">
      <formula>#REF!&lt;&gt;""</formula>
    </cfRule>
    <cfRule type="expression" dxfId="4914" priority="1151">
      <formula>#REF!&lt;&gt;""</formula>
    </cfRule>
  </conditionalFormatting>
  <conditionalFormatting sqref="F243">
    <cfRule type="expression" dxfId="4913" priority="1128">
      <formula>#REF!&lt;&gt;""</formula>
    </cfRule>
    <cfRule type="expression" dxfId="4912" priority="1129">
      <formula>#REF!&lt;&gt;""</formula>
    </cfRule>
    <cfRule type="expression" dxfId="4911" priority="1130">
      <formula>#REF!&lt;&gt;""</formula>
    </cfRule>
    <cfRule type="expression" dxfId="4910" priority="1131">
      <formula>#REF!&lt;&gt;""</formula>
    </cfRule>
    <cfRule type="expression" dxfId="4909" priority="1132">
      <formula>#REF!&lt;&gt;""</formula>
    </cfRule>
    <cfRule type="expression" dxfId="4908" priority="1133">
      <formula>#REF!&lt;&gt;""</formula>
    </cfRule>
    <cfRule type="expression" dxfId="4907" priority="1134">
      <formula>#REF!&lt;&gt;""</formula>
    </cfRule>
    <cfRule type="expression" dxfId="4906" priority="1135">
      <formula>#REF!&lt;&gt;""</formula>
    </cfRule>
    <cfRule type="expression" dxfId="4905" priority="1136">
      <formula>#REF!&lt;&gt;""</formula>
    </cfRule>
    <cfRule type="expression" dxfId="4904" priority="1137">
      <formula>#REF!&lt;&gt;""</formula>
    </cfRule>
    <cfRule type="expression" dxfId="4903" priority="1138">
      <formula>#REF!&lt;&gt;""</formula>
    </cfRule>
    <cfRule type="expression" dxfId="4902" priority="1139">
      <formula>#REF!&lt;&gt;""</formula>
    </cfRule>
  </conditionalFormatting>
  <conditionalFormatting sqref="F244">
    <cfRule type="expression" dxfId="4901" priority="1116">
      <formula>#REF!&lt;&gt;""</formula>
    </cfRule>
    <cfRule type="expression" dxfId="4900" priority="1117">
      <formula>#REF!&lt;&gt;""</formula>
    </cfRule>
    <cfRule type="expression" dxfId="4899" priority="1118">
      <formula>#REF!&lt;&gt;""</formula>
    </cfRule>
    <cfRule type="expression" dxfId="4898" priority="1119">
      <formula>#REF!&lt;&gt;""</formula>
    </cfRule>
    <cfRule type="expression" dxfId="4897" priority="1120">
      <formula>#REF!&lt;&gt;""</formula>
    </cfRule>
    <cfRule type="expression" dxfId="4896" priority="1121">
      <formula>#REF!&lt;&gt;""</formula>
    </cfRule>
    <cfRule type="expression" dxfId="4895" priority="1122">
      <formula>#REF!&lt;&gt;""</formula>
    </cfRule>
    <cfRule type="expression" dxfId="4894" priority="1123">
      <formula>#REF!&lt;&gt;""</formula>
    </cfRule>
    <cfRule type="expression" dxfId="4893" priority="1124">
      <formula>#REF!&lt;&gt;""</formula>
    </cfRule>
    <cfRule type="expression" dxfId="4892" priority="1125">
      <formula>#REF!&lt;&gt;""</formula>
    </cfRule>
    <cfRule type="expression" dxfId="4891" priority="1126">
      <formula>#REF!&lt;&gt;""</formula>
    </cfRule>
    <cfRule type="expression" dxfId="4890" priority="1127">
      <formula>#REF!&lt;&gt;""</formula>
    </cfRule>
  </conditionalFormatting>
  <conditionalFormatting sqref="F245">
    <cfRule type="expression" dxfId="4889" priority="1104">
      <formula>#REF!&lt;&gt;""</formula>
    </cfRule>
    <cfRule type="expression" dxfId="4888" priority="1105">
      <formula>#REF!&lt;&gt;""</formula>
    </cfRule>
    <cfRule type="expression" dxfId="4887" priority="1106">
      <formula>#REF!&lt;&gt;""</formula>
    </cfRule>
    <cfRule type="expression" dxfId="4886" priority="1107">
      <formula>#REF!&lt;&gt;""</formula>
    </cfRule>
    <cfRule type="expression" dxfId="4885" priority="1108">
      <formula>#REF!&lt;&gt;""</formula>
    </cfRule>
    <cfRule type="expression" dxfId="4884" priority="1109">
      <formula>#REF!&lt;&gt;""</formula>
    </cfRule>
    <cfRule type="expression" dxfId="4883" priority="1110">
      <formula>#REF!&lt;&gt;""</formula>
    </cfRule>
    <cfRule type="expression" dxfId="4882" priority="1111">
      <formula>#REF!&lt;&gt;""</formula>
    </cfRule>
    <cfRule type="expression" dxfId="4881" priority="1112">
      <formula>#REF!&lt;&gt;""</formula>
    </cfRule>
    <cfRule type="expression" dxfId="4880" priority="1113">
      <formula>#REF!&lt;&gt;""</formula>
    </cfRule>
    <cfRule type="expression" dxfId="4879" priority="1114">
      <formula>#REF!&lt;&gt;""</formula>
    </cfRule>
    <cfRule type="expression" dxfId="4878" priority="1115">
      <formula>#REF!&lt;&gt;""</formula>
    </cfRule>
  </conditionalFormatting>
  <conditionalFormatting sqref="F246">
    <cfRule type="expression" dxfId="4877" priority="1092">
      <formula>#REF!&lt;&gt;""</formula>
    </cfRule>
    <cfRule type="expression" dxfId="4876" priority="1093">
      <formula>#REF!&lt;&gt;""</formula>
    </cfRule>
    <cfRule type="expression" dxfId="4875" priority="1094">
      <formula>#REF!&lt;&gt;""</formula>
    </cfRule>
    <cfRule type="expression" dxfId="4874" priority="1095">
      <formula>#REF!&lt;&gt;""</formula>
    </cfRule>
    <cfRule type="expression" dxfId="4873" priority="1096">
      <formula>#REF!&lt;&gt;""</formula>
    </cfRule>
    <cfRule type="expression" dxfId="4872" priority="1097">
      <formula>#REF!&lt;&gt;""</formula>
    </cfRule>
    <cfRule type="expression" dxfId="4871" priority="1098">
      <formula>#REF!&lt;&gt;""</formula>
    </cfRule>
    <cfRule type="expression" dxfId="4870" priority="1099">
      <formula>#REF!&lt;&gt;""</formula>
    </cfRule>
    <cfRule type="expression" dxfId="4869" priority="1100">
      <formula>#REF!&lt;&gt;""</formula>
    </cfRule>
    <cfRule type="expression" dxfId="4868" priority="1101">
      <formula>#REF!&lt;&gt;""</formula>
    </cfRule>
    <cfRule type="expression" dxfId="4867" priority="1102">
      <formula>#REF!&lt;&gt;""</formula>
    </cfRule>
    <cfRule type="expression" dxfId="4866" priority="1103">
      <formula>#REF!&lt;&gt;""</formula>
    </cfRule>
  </conditionalFormatting>
  <conditionalFormatting sqref="F247">
    <cfRule type="expression" dxfId="4865" priority="1080">
      <formula>#REF!&lt;&gt;""</formula>
    </cfRule>
    <cfRule type="expression" dxfId="4864" priority="1081">
      <formula>#REF!&lt;&gt;""</formula>
    </cfRule>
    <cfRule type="expression" dxfId="4863" priority="1082">
      <formula>#REF!&lt;&gt;""</formula>
    </cfRule>
    <cfRule type="expression" dxfId="4862" priority="1083">
      <formula>#REF!&lt;&gt;""</formula>
    </cfRule>
    <cfRule type="expression" dxfId="4861" priority="1084">
      <formula>#REF!&lt;&gt;""</formula>
    </cfRule>
    <cfRule type="expression" dxfId="4860" priority="1085">
      <formula>#REF!&lt;&gt;""</formula>
    </cfRule>
    <cfRule type="expression" dxfId="4859" priority="1086">
      <formula>#REF!&lt;&gt;""</formula>
    </cfRule>
    <cfRule type="expression" dxfId="4858" priority="1087">
      <formula>#REF!&lt;&gt;""</formula>
    </cfRule>
    <cfRule type="expression" dxfId="4857" priority="1088">
      <formula>#REF!&lt;&gt;""</formula>
    </cfRule>
    <cfRule type="expression" dxfId="4856" priority="1089">
      <formula>#REF!&lt;&gt;""</formula>
    </cfRule>
    <cfRule type="expression" dxfId="4855" priority="1090">
      <formula>#REF!&lt;&gt;""</formula>
    </cfRule>
    <cfRule type="expression" dxfId="4854" priority="1091">
      <formula>#REF!&lt;&gt;""</formula>
    </cfRule>
  </conditionalFormatting>
  <conditionalFormatting sqref="F248">
    <cfRule type="expression" dxfId="4853" priority="1068">
      <formula>#REF!&lt;&gt;""</formula>
    </cfRule>
    <cfRule type="expression" dxfId="4852" priority="1069">
      <formula>#REF!&lt;&gt;""</formula>
    </cfRule>
    <cfRule type="expression" dxfId="4851" priority="1070">
      <formula>#REF!&lt;&gt;""</formula>
    </cfRule>
    <cfRule type="expression" dxfId="4850" priority="1071">
      <formula>#REF!&lt;&gt;""</formula>
    </cfRule>
    <cfRule type="expression" dxfId="4849" priority="1072">
      <formula>#REF!&lt;&gt;""</formula>
    </cfRule>
    <cfRule type="expression" dxfId="4848" priority="1073">
      <formula>#REF!&lt;&gt;""</formula>
    </cfRule>
    <cfRule type="expression" dxfId="4847" priority="1074">
      <formula>#REF!&lt;&gt;""</formula>
    </cfRule>
    <cfRule type="expression" dxfId="4846" priority="1075">
      <formula>#REF!&lt;&gt;""</formula>
    </cfRule>
    <cfRule type="expression" dxfId="4845" priority="1076">
      <formula>#REF!&lt;&gt;""</formula>
    </cfRule>
    <cfRule type="expression" dxfId="4844" priority="1077">
      <formula>#REF!&lt;&gt;""</formula>
    </cfRule>
    <cfRule type="expression" dxfId="4843" priority="1078">
      <formula>#REF!&lt;&gt;""</formula>
    </cfRule>
    <cfRule type="expression" dxfId="4842" priority="1079">
      <formula>#REF!&lt;&gt;""</formula>
    </cfRule>
  </conditionalFormatting>
  <conditionalFormatting sqref="F249">
    <cfRule type="expression" dxfId="4841" priority="1056">
      <formula>#REF!&lt;&gt;""</formula>
    </cfRule>
    <cfRule type="expression" dxfId="4840" priority="1057">
      <formula>#REF!&lt;&gt;""</formula>
    </cfRule>
    <cfRule type="expression" dxfId="4839" priority="1058">
      <formula>#REF!&lt;&gt;""</formula>
    </cfRule>
    <cfRule type="expression" dxfId="4838" priority="1059">
      <formula>#REF!&lt;&gt;""</formula>
    </cfRule>
    <cfRule type="expression" dxfId="4837" priority="1060">
      <formula>#REF!&lt;&gt;""</formula>
    </cfRule>
    <cfRule type="expression" dxfId="4836" priority="1061">
      <formula>#REF!&lt;&gt;""</formula>
    </cfRule>
    <cfRule type="expression" dxfId="4835" priority="1062">
      <formula>#REF!&lt;&gt;""</formula>
    </cfRule>
    <cfRule type="expression" dxfId="4834" priority="1063">
      <formula>#REF!&lt;&gt;""</formula>
    </cfRule>
    <cfRule type="expression" dxfId="4833" priority="1064">
      <formula>#REF!&lt;&gt;""</formula>
    </cfRule>
    <cfRule type="expression" dxfId="4832" priority="1065">
      <formula>#REF!&lt;&gt;""</formula>
    </cfRule>
    <cfRule type="expression" dxfId="4831" priority="1066">
      <formula>#REF!&lt;&gt;""</formula>
    </cfRule>
    <cfRule type="expression" dxfId="4830" priority="1067">
      <formula>#REF!&lt;&gt;""</formula>
    </cfRule>
  </conditionalFormatting>
  <conditionalFormatting sqref="F250">
    <cfRule type="expression" dxfId="4829" priority="1044">
      <formula>#REF!&lt;&gt;""</formula>
    </cfRule>
    <cfRule type="expression" dxfId="4828" priority="1045">
      <formula>#REF!&lt;&gt;""</formula>
    </cfRule>
    <cfRule type="expression" dxfId="4827" priority="1046">
      <formula>#REF!&lt;&gt;""</formula>
    </cfRule>
    <cfRule type="expression" dxfId="4826" priority="1047">
      <formula>#REF!&lt;&gt;""</formula>
    </cfRule>
    <cfRule type="expression" dxfId="4825" priority="1048">
      <formula>#REF!&lt;&gt;""</formula>
    </cfRule>
    <cfRule type="expression" dxfId="4824" priority="1049">
      <formula>#REF!&lt;&gt;""</formula>
    </cfRule>
    <cfRule type="expression" dxfId="4823" priority="1050">
      <formula>#REF!&lt;&gt;""</formula>
    </cfRule>
    <cfRule type="expression" dxfId="4822" priority="1051">
      <formula>#REF!&lt;&gt;""</formula>
    </cfRule>
    <cfRule type="expression" dxfId="4821" priority="1052">
      <formula>#REF!&lt;&gt;""</formula>
    </cfRule>
    <cfRule type="expression" dxfId="4820" priority="1053">
      <formula>#REF!&lt;&gt;""</formula>
    </cfRule>
    <cfRule type="expression" dxfId="4819" priority="1054">
      <formula>#REF!&lt;&gt;""</formula>
    </cfRule>
    <cfRule type="expression" dxfId="4818" priority="1055">
      <formula>#REF!&lt;&gt;""</formula>
    </cfRule>
  </conditionalFormatting>
  <conditionalFormatting sqref="F251">
    <cfRule type="expression" dxfId="4817" priority="1032">
      <formula>#REF!&lt;&gt;""</formula>
    </cfRule>
    <cfRule type="expression" dxfId="4816" priority="1033">
      <formula>#REF!&lt;&gt;""</formula>
    </cfRule>
    <cfRule type="expression" dxfId="4815" priority="1034">
      <formula>#REF!&lt;&gt;""</formula>
    </cfRule>
    <cfRule type="expression" dxfId="4814" priority="1035">
      <formula>#REF!&lt;&gt;""</formula>
    </cfRule>
    <cfRule type="expression" dxfId="4813" priority="1036">
      <formula>#REF!&lt;&gt;""</formula>
    </cfRule>
    <cfRule type="expression" dxfId="4812" priority="1037">
      <formula>#REF!&lt;&gt;""</formula>
    </cfRule>
    <cfRule type="expression" dxfId="4811" priority="1038">
      <formula>#REF!&lt;&gt;""</formula>
    </cfRule>
    <cfRule type="expression" dxfId="4810" priority="1039">
      <formula>#REF!&lt;&gt;""</formula>
    </cfRule>
    <cfRule type="expression" dxfId="4809" priority="1040">
      <formula>#REF!&lt;&gt;""</formula>
    </cfRule>
    <cfRule type="expression" dxfId="4808" priority="1041">
      <formula>#REF!&lt;&gt;""</formula>
    </cfRule>
    <cfRule type="expression" dxfId="4807" priority="1042">
      <formula>#REF!&lt;&gt;""</formula>
    </cfRule>
    <cfRule type="expression" dxfId="4806" priority="1043">
      <formula>#REF!&lt;&gt;""</formula>
    </cfRule>
  </conditionalFormatting>
  <conditionalFormatting sqref="F252">
    <cfRule type="expression" dxfId="4805" priority="1020">
      <formula>#REF!&lt;&gt;""</formula>
    </cfRule>
    <cfRule type="expression" dxfId="4804" priority="1021">
      <formula>#REF!&lt;&gt;""</formula>
    </cfRule>
    <cfRule type="expression" dxfId="4803" priority="1022">
      <formula>#REF!&lt;&gt;""</formula>
    </cfRule>
    <cfRule type="expression" dxfId="4802" priority="1023">
      <formula>#REF!&lt;&gt;""</formula>
    </cfRule>
    <cfRule type="expression" dxfId="4801" priority="1024">
      <formula>#REF!&lt;&gt;""</formula>
    </cfRule>
    <cfRule type="expression" dxfId="4800" priority="1025">
      <formula>#REF!&lt;&gt;""</formula>
    </cfRule>
    <cfRule type="expression" dxfId="4799" priority="1026">
      <formula>#REF!&lt;&gt;""</formula>
    </cfRule>
    <cfRule type="expression" dxfId="4798" priority="1027">
      <formula>#REF!&lt;&gt;""</formula>
    </cfRule>
    <cfRule type="expression" dxfId="4797" priority="1028">
      <formula>#REF!&lt;&gt;""</formula>
    </cfRule>
    <cfRule type="expression" dxfId="4796" priority="1029">
      <formula>#REF!&lt;&gt;""</formula>
    </cfRule>
    <cfRule type="expression" dxfId="4795" priority="1030">
      <formula>#REF!&lt;&gt;""</formula>
    </cfRule>
    <cfRule type="expression" dxfId="4794" priority="1031">
      <formula>#REF!&lt;&gt;""</formula>
    </cfRule>
  </conditionalFormatting>
  <conditionalFormatting sqref="F253">
    <cfRule type="expression" dxfId="4793" priority="1008">
      <formula>#REF!&lt;&gt;""</formula>
    </cfRule>
    <cfRule type="expression" dxfId="4792" priority="1009">
      <formula>#REF!&lt;&gt;""</formula>
    </cfRule>
    <cfRule type="expression" dxfId="4791" priority="1010">
      <formula>#REF!&lt;&gt;""</formula>
    </cfRule>
    <cfRule type="expression" dxfId="4790" priority="1011">
      <formula>#REF!&lt;&gt;""</formula>
    </cfRule>
    <cfRule type="expression" dxfId="4789" priority="1012">
      <formula>#REF!&lt;&gt;""</formula>
    </cfRule>
    <cfRule type="expression" dxfId="4788" priority="1013">
      <formula>#REF!&lt;&gt;""</formula>
    </cfRule>
    <cfRule type="expression" dxfId="4787" priority="1014">
      <formula>#REF!&lt;&gt;""</formula>
    </cfRule>
    <cfRule type="expression" dxfId="4786" priority="1015">
      <formula>#REF!&lt;&gt;""</formula>
    </cfRule>
    <cfRule type="expression" dxfId="4785" priority="1016">
      <formula>#REF!&lt;&gt;""</formula>
    </cfRule>
    <cfRule type="expression" dxfId="4784" priority="1017">
      <formula>#REF!&lt;&gt;""</formula>
    </cfRule>
    <cfRule type="expression" dxfId="4783" priority="1018">
      <formula>#REF!&lt;&gt;""</formula>
    </cfRule>
    <cfRule type="expression" dxfId="4782" priority="1019">
      <formula>#REF!&lt;&gt;""</formula>
    </cfRule>
  </conditionalFormatting>
  <conditionalFormatting sqref="F254">
    <cfRule type="expression" dxfId="4781" priority="996">
      <formula>#REF!&lt;&gt;""</formula>
    </cfRule>
    <cfRule type="expression" dxfId="4780" priority="997">
      <formula>#REF!&lt;&gt;""</formula>
    </cfRule>
    <cfRule type="expression" dxfId="4779" priority="998">
      <formula>#REF!&lt;&gt;""</formula>
    </cfRule>
    <cfRule type="expression" dxfId="4778" priority="999">
      <formula>#REF!&lt;&gt;""</formula>
    </cfRule>
    <cfRule type="expression" dxfId="4777" priority="1000">
      <formula>#REF!&lt;&gt;""</formula>
    </cfRule>
    <cfRule type="expression" dxfId="4776" priority="1001">
      <formula>#REF!&lt;&gt;""</formula>
    </cfRule>
    <cfRule type="expression" dxfId="4775" priority="1002">
      <formula>#REF!&lt;&gt;""</formula>
    </cfRule>
    <cfRule type="expression" dxfId="4774" priority="1003">
      <formula>#REF!&lt;&gt;""</formula>
    </cfRule>
    <cfRule type="expression" dxfId="4773" priority="1004">
      <formula>#REF!&lt;&gt;""</formula>
    </cfRule>
    <cfRule type="expression" dxfId="4772" priority="1005">
      <formula>#REF!&lt;&gt;""</formula>
    </cfRule>
    <cfRule type="expression" dxfId="4771" priority="1006">
      <formula>#REF!&lt;&gt;""</formula>
    </cfRule>
    <cfRule type="expression" dxfId="4770" priority="1007">
      <formula>#REF!&lt;&gt;""</formula>
    </cfRule>
  </conditionalFormatting>
  <conditionalFormatting sqref="F255">
    <cfRule type="expression" dxfId="4769" priority="984">
      <formula>#REF!&lt;&gt;""</formula>
    </cfRule>
    <cfRule type="expression" dxfId="4768" priority="985">
      <formula>#REF!&lt;&gt;""</formula>
    </cfRule>
    <cfRule type="expression" dxfId="4767" priority="986">
      <formula>#REF!&lt;&gt;""</formula>
    </cfRule>
    <cfRule type="expression" dxfId="4766" priority="987">
      <formula>#REF!&lt;&gt;""</formula>
    </cfRule>
    <cfRule type="expression" dxfId="4765" priority="988">
      <formula>#REF!&lt;&gt;""</formula>
    </cfRule>
    <cfRule type="expression" dxfId="4764" priority="989">
      <formula>#REF!&lt;&gt;""</formula>
    </cfRule>
    <cfRule type="expression" dxfId="4763" priority="990">
      <formula>#REF!&lt;&gt;""</formula>
    </cfRule>
    <cfRule type="expression" dxfId="4762" priority="991">
      <formula>#REF!&lt;&gt;""</formula>
    </cfRule>
    <cfRule type="expression" dxfId="4761" priority="992">
      <formula>#REF!&lt;&gt;""</formula>
    </cfRule>
    <cfRule type="expression" dxfId="4760" priority="993">
      <formula>#REF!&lt;&gt;""</formula>
    </cfRule>
    <cfRule type="expression" dxfId="4759" priority="994">
      <formula>#REF!&lt;&gt;""</formula>
    </cfRule>
    <cfRule type="expression" dxfId="4758" priority="995">
      <formula>#REF!&lt;&gt;""</formula>
    </cfRule>
  </conditionalFormatting>
  <conditionalFormatting sqref="F256">
    <cfRule type="expression" dxfId="4757" priority="972">
      <formula>#REF!&lt;&gt;""</formula>
    </cfRule>
    <cfRule type="expression" dxfId="4756" priority="973">
      <formula>#REF!&lt;&gt;""</formula>
    </cfRule>
    <cfRule type="expression" dxfId="4755" priority="974">
      <formula>#REF!&lt;&gt;""</formula>
    </cfRule>
    <cfRule type="expression" dxfId="4754" priority="975">
      <formula>#REF!&lt;&gt;""</formula>
    </cfRule>
    <cfRule type="expression" dxfId="4753" priority="976">
      <formula>#REF!&lt;&gt;""</formula>
    </cfRule>
    <cfRule type="expression" dxfId="4752" priority="977">
      <formula>#REF!&lt;&gt;""</formula>
    </cfRule>
    <cfRule type="expression" dxfId="4751" priority="978">
      <formula>#REF!&lt;&gt;""</formula>
    </cfRule>
    <cfRule type="expression" dxfId="4750" priority="979">
      <formula>#REF!&lt;&gt;""</formula>
    </cfRule>
    <cfRule type="expression" dxfId="4749" priority="980">
      <formula>#REF!&lt;&gt;""</formula>
    </cfRule>
    <cfRule type="expression" dxfId="4748" priority="981">
      <formula>#REF!&lt;&gt;""</formula>
    </cfRule>
    <cfRule type="expression" dxfId="4747" priority="982">
      <formula>#REF!&lt;&gt;""</formula>
    </cfRule>
    <cfRule type="expression" dxfId="4746" priority="983">
      <formula>#REF!&lt;&gt;""</formula>
    </cfRule>
  </conditionalFormatting>
  <conditionalFormatting sqref="F257">
    <cfRule type="expression" dxfId="4745" priority="960">
      <formula>#REF!&lt;&gt;""</formula>
    </cfRule>
    <cfRule type="expression" dxfId="4744" priority="961">
      <formula>#REF!&lt;&gt;""</formula>
    </cfRule>
    <cfRule type="expression" dxfId="4743" priority="962">
      <formula>#REF!&lt;&gt;""</formula>
    </cfRule>
    <cfRule type="expression" dxfId="4742" priority="963">
      <formula>#REF!&lt;&gt;""</formula>
    </cfRule>
    <cfRule type="expression" dxfId="4741" priority="964">
      <formula>#REF!&lt;&gt;""</formula>
    </cfRule>
    <cfRule type="expression" dxfId="4740" priority="965">
      <formula>#REF!&lt;&gt;""</formula>
    </cfRule>
    <cfRule type="expression" dxfId="4739" priority="966">
      <formula>#REF!&lt;&gt;""</formula>
    </cfRule>
    <cfRule type="expression" dxfId="4738" priority="967">
      <formula>#REF!&lt;&gt;""</formula>
    </cfRule>
    <cfRule type="expression" dxfId="4737" priority="968">
      <formula>#REF!&lt;&gt;""</formula>
    </cfRule>
    <cfRule type="expression" dxfId="4736" priority="969">
      <formula>#REF!&lt;&gt;""</formula>
    </cfRule>
    <cfRule type="expression" dxfId="4735" priority="970">
      <formula>#REF!&lt;&gt;""</formula>
    </cfRule>
    <cfRule type="expression" dxfId="4734" priority="971">
      <formula>#REF!&lt;&gt;""</formula>
    </cfRule>
  </conditionalFormatting>
  <conditionalFormatting sqref="F258">
    <cfRule type="expression" dxfId="4733" priority="948">
      <formula>#REF!&lt;&gt;""</formula>
    </cfRule>
    <cfRule type="expression" dxfId="4732" priority="949">
      <formula>#REF!&lt;&gt;""</formula>
    </cfRule>
    <cfRule type="expression" dxfId="4731" priority="950">
      <formula>#REF!&lt;&gt;""</formula>
    </cfRule>
    <cfRule type="expression" dxfId="4730" priority="951">
      <formula>#REF!&lt;&gt;""</formula>
    </cfRule>
    <cfRule type="expression" dxfId="4729" priority="952">
      <formula>#REF!&lt;&gt;""</formula>
    </cfRule>
    <cfRule type="expression" dxfId="4728" priority="953">
      <formula>#REF!&lt;&gt;""</formula>
    </cfRule>
    <cfRule type="expression" dxfId="4727" priority="954">
      <formula>#REF!&lt;&gt;""</formula>
    </cfRule>
    <cfRule type="expression" dxfId="4726" priority="955">
      <formula>#REF!&lt;&gt;""</formula>
    </cfRule>
    <cfRule type="expression" dxfId="4725" priority="956">
      <formula>#REF!&lt;&gt;""</formula>
    </cfRule>
    <cfRule type="expression" dxfId="4724" priority="957">
      <formula>#REF!&lt;&gt;""</formula>
    </cfRule>
    <cfRule type="expression" dxfId="4723" priority="958">
      <formula>#REF!&lt;&gt;""</formula>
    </cfRule>
    <cfRule type="expression" dxfId="4722" priority="959">
      <formula>#REF!&lt;&gt;""</formula>
    </cfRule>
  </conditionalFormatting>
  <conditionalFormatting sqref="F259">
    <cfRule type="expression" dxfId="4721" priority="936">
      <formula>#REF!&lt;&gt;""</formula>
    </cfRule>
    <cfRule type="expression" dxfId="4720" priority="937">
      <formula>#REF!&lt;&gt;""</formula>
    </cfRule>
    <cfRule type="expression" dxfId="4719" priority="938">
      <formula>#REF!&lt;&gt;""</formula>
    </cfRule>
    <cfRule type="expression" dxfId="4718" priority="939">
      <formula>#REF!&lt;&gt;""</formula>
    </cfRule>
    <cfRule type="expression" dxfId="4717" priority="940">
      <formula>#REF!&lt;&gt;""</formula>
    </cfRule>
    <cfRule type="expression" dxfId="4716" priority="941">
      <formula>#REF!&lt;&gt;""</formula>
    </cfRule>
    <cfRule type="expression" dxfId="4715" priority="942">
      <formula>#REF!&lt;&gt;""</formula>
    </cfRule>
    <cfRule type="expression" dxfId="4714" priority="943">
      <formula>#REF!&lt;&gt;""</formula>
    </cfRule>
    <cfRule type="expression" dxfId="4713" priority="944">
      <formula>#REF!&lt;&gt;""</formula>
    </cfRule>
    <cfRule type="expression" dxfId="4712" priority="945">
      <formula>#REF!&lt;&gt;""</formula>
    </cfRule>
    <cfRule type="expression" dxfId="4711" priority="946">
      <formula>#REF!&lt;&gt;""</formula>
    </cfRule>
    <cfRule type="expression" dxfId="4710" priority="947">
      <formula>#REF!&lt;&gt;""</formula>
    </cfRule>
  </conditionalFormatting>
  <conditionalFormatting sqref="F260">
    <cfRule type="expression" dxfId="4709" priority="924">
      <formula>#REF!&lt;&gt;""</formula>
    </cfRule>
    <cfRule type="expression" dxfId="4708" priority="925">
      <formula>#REF!&lt;&gt;""</formula>
    </cfRule>
    <cfRule type="expression" dxfId="4707" priority="926">
      <formula>#REF!&lt;&gt;""</formula>
    </cfRule>
    <cfRule type="expression" dxfId="4706" priority="927">
      <formula>#REF!&lt;&gt;""</formula>
    </cfRule>
    <cfRule type="expression" dxfId="4705" priority="928">
      <formula>#REF!&lt;&gt;""</formula>
    </cfRule>
    <cfRule type="expression" dxfId="4704" priority="929">
      <formula>#REF!&lt;&gt;""</formula>
    </cfRule>
    <cfRule type="expression" dxfId="4703" priority="930">
      <formula>#REF!&lt;&gt;""</formula>
    </cfRule>
    <cfRule type="expression" dxfId="4702" priority="931">
      <formula>#REF!&lt;&gt;""</formula>
    </cfRule>
    <cfRule type="expression" dxfId="4701" priority="932">
      <formula>#REF!&lt;&gt;""</formula>
    </cfRule>
    <cfRule type="expression" dxfId="4700" priority="933">
      <formula>#REF!&lt;&gt;""</formula>
    </cfRule>
    <cfRule type="expression" dxfId="4699" priority="934">
      <formula>#REF!&lt;&gt;""</formula>
    </cfRule>
    <cfRule type="expression" dxfId="4698" priority="935">
      <formula>#REF!&lt;&gt;""</formula>
    </cfRule>
  </conditionalFormatting>
  <conditionalFormatting sqref="F261">
    <cfRule type="expression" dxfId="4697" priority="912">
      <formula>#REF!&lt;&gt;""</formula>
    </cfRule>
    <cfRule type="expression" dxfId="4696" priority="913">
      <formula>#REF!&lt;&gt;""</formula>
    </cfRule>
    <cfRule type="expression" dxfId="4695" priority="914">
      <formula>#REF!&lt;&gt;""</formula>
    </cfRule>
    <cfRule type="expression" dxfId="4694" priority="915">
      <formula>#REF!&lt;&gt;""</formula>
    </cfRule>
    <cfRule type="expression" dxfId="4693" priority="916">
      <formula>#REF!&lt;&gt;""</formula>
    </cfRule>
    <cfRule type="expression" dxfId="4692" priority="917">
      <formula>#REF!&lt;&gt;""</formula>
    </cfRule>
    <cfRule type="expression" dxfId="4691" priority="918">
      <formula>#REF!&lt;&gt;""</formula>
    </cfRule>
    <cfRule type="expression" dxfId="4690" priority="919">
      <formula>#REF!&lt;&gt;""</formula>
    </cfRule>
    <cfRule type="expression" dxfId="4689" priority="920">
      <formula>#REF!&lt;&gt;""</formula>
    </cfRule>
    <cfRule type="expression" dxfId="4688" priority="921">
      <formula>#REF!&lt;&gt;""</formula>
    </cfRule>
    <cfRule type="expression" dxfId="4687" priority="922">
      <formula>#REF!&lt;&gt;""</formula>
    </cfRule>
    <cfRule type="expression" dxfId="4686" priority="923">
      <formula>#REF!&lt;&gt;""</formula>
    </cfRule>
  </conditionalFormatting>
  <conditionalFormatting sqref="F262">
    <cfRule type="expression" dxfId="4685" priority="900">
      <formula>#REF!&lt;&gt;""</formula>
    </cfRule>
    <cfRule type="expression" dxfId="4684" priority="901">
      <formula>#REF!&lt;&gt;""</formula>
    </cfRule>
    <cfRule type="expression" dxfId="4683" priority="902">
      <formula>#REF!&lt;&gt;""</formula>
    </cfRule>
    <cfRule type="expression" dxfId="4682" priority="903">
      <formula>#REF!&lt;&gt;""</formula>
    </cfRule>
    <cfRule type="expression" dxfId="4681" priority="904">
      <formula>#REF!&lt;&gt;""</formula>
    </cfRule>
    <cfRule type="expression" dxfId="4680" priority="905">
      <formula>#REF!&lt;&gt;""</formula>
    </cfRule>
    <cfRule type="expression" dxfId="4679" priority="906">
      <formula>#REF!&lt;&gt;""</formula>
    </cfRule>
    <cfRule type="expression" dxfId="4678" priority="907">
      <formula>#REF!&lt;&gt;""</formula>
    </cfRule>
    <cfRule type="expression" dxfId="4677" priority="908">
      <formula>#REF!&lt;&gt;""</formula>
    </cfRule>
    <cfRule type="expression" dxfId="4676" priority="909">
      <formula>#REF!&lt;&gt;""</formula>
    </cfRule>
    <cfRule type="expression" dxfId="4675" priority="910">
      <formula>#REF!&lt;&gt;""</formula>
    </cfRule>
    <cfRule type="expression" dxfId="4674" priority="911">
      <formula>#REF!&lt;&gt;""</formula>
    </cfRule>
  </conditionalFormatting>
  <conditionalFormatting sqref="F263">
    <cfRule type="expression" dxfId="4673" priority="888">
      <formula>#REF!&lt;&gt;""</formula>
    </cfRule>
    <cfRule type="expression" dxfId="4672" priority="889">
      <formula>#REF!&lt;&gt;""</formula>
    </cfRule>
    <cfRule type="expression" dxfId="4671" priority="890">
      <formula>#REF!&lt;&gt;""</formula>
    </cfRule>
    <cfRule type="expression" dxfId="4670" priority="891">
      <formula>#REF!&lt;&gt;""</formula>
    </cfRule>
    <cfRule type="expression" dxfId="4669" priority="892">
      <formula>#REF!&lt;&gt;""</formula>
    </cfRule>
    <cfRule type="expression" dxfId="4668" priority="893">
      <formula>#REF!&lt;&gt;""</formula>
    </cfRule>
    <cfRule type="expression" dxfId="4667" priority="894">
      <formula>#REF!&lt;&gt;""</formula>
    </cfRule>
    <cfRule type="expression" dxfId="4666" priority="895">
      <formula>#REF!&lt;&gt;""</formula>
    </cfRule>
    <cfRule type="expression" dxfId="4665" priority="896">
      <formula>#REF!&lt;&gt;""</formula>
    </cfRule>
    <cfRule type="expression" dxfId="4664" priority="897">
      <formula>#REF!&lt;&gt;""</formula>
    </cfRule>
    <cfRule type="expression" dxfId="4663" priority="898">
      <formula>#REF!&lt;&gt;""</formula>
    </cfRule>
    <cfRule type="expression" dxfId="4662" priority="899">
      <formula>#REF!&lt;&gt;""</formula>
    </cfRule>
  </conditionalFormatting>
  <conditionalFormatting sqref="F264">
    <cfRule type="expression" dxfId="4661" priority="876">
      <formula>#REF!&lt;&gt;""</formula>
    </cfRule>
    <cfRule type="expression" dxfId="4660" priority="877">
      <formula>#REF!&lt;&gt;""</formula>
    </cfRule>
    <cfRule type="expression" dxfId="4659" priority="878">
      <formula>#REF!&lt;&gt;""</formula>
    </cfRule>
    <cfRule type="expression" dxfId="4658" priority="879">
      <formula>#REF!&lt;&gt;""</formula>
    </cfRule>
    <cfRule type="expression" dxfId="4657" priority="880">
      <formula>#REF!&lt;&gt;""</formula>
    </cfRule>
    <cfRule type="expression" dxfId="4656" priority="881">
      <formula>#REF!&lt;&gt;""</formula>
    </cfRule>
    <cfRule type="expression" dxfId="4655" priority="882">
      <formula>#REF!&lt;&gt;""</formula>
    </cfRule>
    <cfRule type="expression" dxfId="4654" priority="883">
      <formula>#REF!&lt;&gt;""</formula>
    </cfRule>
    <cfRule type="expression" dxfId="4653" priority="884">
      <formula>#REF!&lt;&gt;""</formula>
    </cfRule>
    <cfRule type="expression" dxfId="4652" priority="885">
      <formula>#REF!&lt;&gt;""</formula>
    </cfRule>
    <cfRule type="expression" dxfId="4651" priority="886">
      <formula>#REF!&lt;&gt;""</formula>
    </cfRule>
    <cfRule type="expression" dxfId="4650" priority="887">
      <formula>#REF!&lt;&gt;""</formula>
    </cfRule>
  </conditionalFormatting>
  <conditionalFormatting sqref="F265">
    <cfRule type="expression" dxfId="4649" priority="864">
      <formula>#REF!&lt;&gt;""</formula>
    </cfRule>
    <cfRule type="expression" dxfId="4648" priority="865">
      <formula>#REF!&lt;&gt;""</formula>
    </cfRule>
    <cfRule type="expression" dxfId="4647" priority="866">
      <formula>#REF!&lt;&gt;""</formula>
    </cfRule>
    <cfRule type="expression" dxfId="4646" priority="867">
      <formula>#REF!&lt;&gt;""</formula>
    </cfRule>
    <cfRule type="expression" dxfId="4645" priority="868">
      <formula>#REF!&lt;&gt;""</formula>
    </cfRule>
    <cfRule type="expression" dxfId="4644" priority="869">
      <formula>#REF!&lt;&gt;""</formula>
    </cfRule>
    <cfRule type="expression" dxfId="4643" priority="870">
      <formula>#REF!&lt;&gt;""</formula>
    </cfRule>
    <cfRule type="expression" dxfId="4642" priority="871">
      <formula>#REF!&lt;&gt;""</formula>
    </cfRule>
    <cfRule type="expression" dxfId="4641" priority="872">
      <formula>#REF!&lt;&gt;""</formula>
    </cfRule>
    <cfRule type="expression" dxfId="4640" priority="873">
      <formula>#REF!&lt;&gt;""</formula>
    </cfRule>
    <cfRule type="expression" dxfId="4639" priority="874">
      <formula>#REF!&lt;&gt;""</formula>
    </cfRule>
    <cfRule type="expression" dxfId="4638" priority="875">
      <formula>#REF!&lt;&gt;""</formula>
    </cfRule>
  </conditionalFormatting>
  <conditionalFormatting sqref="F266">
    <cfRule type="expression" dxfId="4637" priority="852">
      <formula>#REF!&lt;&gt;""</formula>
    </cfRule>
    <cfRule type="expression" dxfId="4636" priority="853">
      <formula>#REF!&lt;&gt;""</formula>
    </cfRule>
    <cfRule type="expression" dxfId="4635" priority="854">
      <formula>#REF!&lt;&gt;""</formula>
    </cfRule>
    <cfRule type="expression" dxfId="4634" priority="855">
      <formula>#REF!&lt;&gt;""</formula>
    </cfRule>
    <cfRule type="expression" dxfId="4633" priority="856">
      <formula>#REF!&lt;&gt;""</formula>
    </cfRule>
    <cfRule type="expression" dxfId="4632" priority="857">
      <formula>#REF!&lt;&gt;""</formula>
    </cfRule>
    <cfRule type="expression" dxfId="4631" priority="858">
      <formula>#REF!&lt;&gt;""</formula>
    </cfRule>
    <cfRule type="expression" dxfId="4630" priority="859">
      <formula>#REF!&lt;&gt;""</formula>
    </cfRule>
    <cfRule type="expression" dxfId="4629" priority="860">
      <formula>#REF!&lt;&gt;""</formula>
    </cfRule>
    <cfRule type="expression" dxfId="4628" priority="861">
      <formula>#REF!&lt;&gt;""</formula>
    </cfRule>
    <cfRule type="expression" dxfId="4627" priority="862">
      <formula>#REF!&lt;&gt;""</formula>
    </cfRule>
    <cfRule type="expression" dxfId="4626" priority="863">
      <formula>#REF!&lt;&gt;""</formula>
    </cfRule>
  </conditionalFormatting>
  <conditionalFormatting sqref="F267">
    <cfRule type="expression" dxfId="4625" priority="840">
      <formula>#REF!&lt;&gt;""</formula>
    </cfRule>
    <cfRule type="expression" dxfId="4624" priority="841">
      <formula>#REF!&lt;&gt;""</formula>
    </cfRule>
    <cfRule type="expression" dxfId="4623" priority="842">
      <formula>#REF!&lt;&gt;""</formula>
    </cfRule>
    <cfRule type="expression" dxfId="4622" priority="843">
      <formula>#REF!&lt;&gt;""</formula>
    </cfRule>
    <cfRule type="expression" dxfId="4621" priority="844">
      <formula>#REF!&lt;&gt;""</formula>
    </cfRule>
    <cfRule type="expression" dxfId="4620" priority="845">
      <formula>#REF!&lt;&gt;""</formula>
    </cfRule>
    <cfRule type="expression" dxfId="4619" priority="846">
      <formula>#REF!&lt;&gt;""</formula>
    </cfRule>
    <cfRule type="expression" dxfId="4618" priority="847">
      <formula>#REF!&lt;&gt;""</formula>
    </cfRule>
    <cfRule type="expression" dxfId="4617" priority="848">
      <formula>#REF!&lt;&gt;""</formula>
    </cfRule>
    <cfRule type="expression" dxfId="4616" priority="849">
      <formula>#REF!&lt;&gt;""</formula>
    </cfRule>
    <cfRule type="expression" dxfId="4615" priority="850">
      <formula>#REF!&lt;&gt;""</formula>
    </cfRule>
    <cfRule type="expression" dxfId="4614" priority="851">
      <formula>#REF!&lt;&gt;""</formula>
    </cfRule>
  </conditionalFormatting>
  <conditionalFormatting sqref="F268">
    <cfRule type="expression" dxfId="4613" priority="828">
      <formula>#REF!&lt;&gt;""</formula>
    </cfRule>
    <cfRule type="expression" dxfId="4612" priority="829">
      <formula>#REF!&lt;&gt;""</formula>
    </cfRule>
    <cfRule type="expression" dxfId="4611" priority="830">
      <formula>#REF!&lt;&gt;""</formula>
    </cfRule>
    <cfRule type="expression" dxfId="4610" priority="831">
      <formula>#REF!&lt;&gt;""</formula>
    </cfRule>
    <cfRule type="expression" dxfId="4609" priority="832">
      <formula>#REF!&lt;&gt;""</formula>
    </cfRule>
    <cfRule type="expression" dxfId="4608" priority="833">
      <formula>#REF!&lt;&gt;""</formula>
    </cfRule>
    <cfRule type="expression" dxfId="4607" priority="834">
      <formula>#REF!&lt;&gt;""</formula>
    </cfRule>
    <cfRule type="expression" dxfId="4606" priority="835">
      <formula>#REF!&lt;&gt;""</formula>
    </cfRule>
    <cfRule type="expression" dxfId="4605" priority="836">
      <formula>#REF!&lt;&gt;""</formula>
    </cfRule>
    <cfRule type="expression" dxfId="4604" priority="837">
      <formula>#REF!&lt;&gt;""</formula>
    </cfRule>
    <cfRule type="expression" dxfId="4603" priority="838">
      <formula>#REF!&lt;&gt;""</formula>
    </cfRule>
    <cfRule type="expression" dxfId="4602" priority="839">
      <formula>#REF!&lt;&gt;""</formula>
    </cfRule>
  </conditionalFormatting>
  <conditionalFormatting sqref="F269">
    <cfRule type="expression" dxfId="4601" priority="816">
      <formula>#REF!&lt;&gt;""</formula>
    </cfRule>
    <cfRule type="expression" dxfId="4600" priority="817">
      <formula>#REF!&lt;&gt;""</formula>
    </cfRule>
    <cfRule type="expression" dxfId="4599" priority="818">
      <formula>#REF!&lt;&gt;""</formula>
    </cfRule>
    <cfRule type="expression" dxfId="4598" priority="819">
      <formula>#REF!&lt;&gt;""</formula>
    </cfRule>
    <cfRule type="expression" dxfId="4597" priority="820">
      <formula>#REF!&lt;&gt;""</formula>
    </cfRule>
    <cfRule type="expression" dxfId="4596" priority="821">
      <formula>#REF!&lt;&gt;""</formula>
    </cfRule>
    <cfRule type="expression" dxfId="4595" priority="822">
      <formula>#REF!&lt;&gt;""</formula>
    </cfRule>
    <cfRule type="expression" dxfId="4594" priority="823">
      <formula>#REF!&lt;&gt;""</formula>
    </cfRule>
    <cfRule type="expression" dxfId="4593" priority="824">
      <formula>#REF!&lt;&gt;""</formula>
    </cfRule>
    <cfRule type="expression" dxfId="4592" priority="825">
      <formula>#REF!&lt;&gt;""</formula>
    </cfRule>
    <cfRule type="expression" dxfId="4591" priority="826">
      <formula>#REF!&lt;&gt;""</formula>
    </cfRule>
    <cfRule type="expression" dxfId="4590" priority="827">
      <formula>#REF!&lt;&gt;""</formula>
    </cfRule>
  </conditionalFormatting>
  <conditionalFormatting sqref="F270">
    <cfRule type="expression" dxfId="4589" priority="804">
      <formula>#REF!&lt;&gt;""</formula>
    </cfRule>
    <cfRule type="expression" dxfId="4588" priority="805">
      <formula>#REF!&lt;&gt;""</formula>
    </cfRule>
    <cfRule type="expression" dxfId="4587" priority="806">
      <formula>#REF!&lt;&gt;""</formula>
    </cfRule>
    <cfRule type="expression" dxfId="4586" priority="807">
      <formula>#REF!&lt;&gt;""</formula>
    </cfRule>
    <cfRule type="expression" dxfId="4585" priority="808">
      <formula>#REF!&lt;&gt;""</formula>
    </cfRule>
    <cfRule type="expression" dxfId="4584" priority="809">
      <formula>#REF!&lt;&gt;""</formula>
    </cfRule>
    <cfRule type="expression" dxfId="4583" priority="810">
      <formula>#REF!&lt;&gt;""</formula>
    </cfRule>
    <cfRule type="expression" dxfId="4582" priority="811">
      <formula>#REF!&lt;&gt;""</formula>
    </cfRule>
    <cfRule type="expression" dxfId="4581" priority="812">
      <formula>#REF!&lt;&gt;""</formula>
    </cfRule>
    <cfRule type="expression" dxfId="4580" priority="813">
      <formula>#REF!&lt;&gt;""</formula>
    </cfRule>
    <cfRule type="expression" dxfId="4579" priority="814">
      <formula>#REF!&lt;&gt;""</formula>
    </cfRule>
    <cfRule type="expression" dxfId="4578" priority="815">
      <formula>#REF!&lt;&gt;""</formula>
    </cfRule>
  </conditionalFormatting>
  <conditionalFormatting sqref="F271">
    <cfRule type="expression" dxfId="4577" priority="792">
      <formula>#REF!&lt;&gt;""</formula>
    </cfRule>
    <cfRule type="expression" dxfId="4576" priority="793">
      <formula>#REF!&lt;&gt;""</formula>
    </cfRule>
    <cfRule type="expression" dxfId="4575" priority="794">
      <formula>#REF!&lt;&gt;""</formula>
    </cfRule>
    <cfRule type="expression" dxfId="4574" priority="795">
      <formula>#REF!&lt;&gt;""</formula>
    </cfRule>
    <cfRule type="expression" dxfId="4573" priority="796">
      <formula>#REF!&lt;&gt;""</formula>
    </cfRule>
    <cfRule type="expression" dxfId="4572" priority="797">
      <formula>#REF!&lt;&gt;""</formula>
    </cfRule>
    <cfRule type="expression" dxfId="4571" priority="798">
      <formula>#REF!&lt;&gt;""</formula>
    </cfRule>
    <cfRule type="expression" dxfId="4570" priority="799">
      <formula>#REF!&lt;&gt;""</formula>
    </cfRule>
    <cfRule type="expression" dxfId="4569" priority="800">
      <formula>#REF!&lt;&gt;""</formula>
    </cfRule>
    <cfRule type="expression" dxfId="4568" priority="801">
      <formula>#REF!&lt;&gt;""</formula>
    </cfRule>
    <cfRule type="expression" dxfId="4567" priority="802">
      <formula>#REF!&lt;&gt;""</formula>
    </cfRule>
    <cfRule type="expression" dxfId="4566" priority="803">
      <formula>#REF!&lt;&gt;""</formula>
    </cfRule>
  </conditionalFormatting>
  <conditionalFormatting sqref="F272">
    <cfRule type="expression" dxfId="4565" priority="780">
      <formula>#REF!&lt;&gt;""</formula>
    </cfRule>
    <cfRule type="expression" dxfId="4564" priority="781">
      <formula>#REF!&lt;&gt;""</formula>
    </cfRule>
    <cfRule type="expression" dxfId="4563" priority="782">
      <formula>#REF!&lt;&gt;""</formula>
    </cfRule>
    <cfRule type="expression" dxfId="4562" priority="783">
      <formula>#REF!&lt;&gt;""</formula>
    </cfRule>
    <cfRule type="expression" dxfId="4561" priority="784">
      <formula>#REF!&lt;&gt;""</formula>
    </cfRule>
    <cfRule type="expression" dxfId="4560" priority="785">
      <formula>#REF!&lt;&gt;""</formula>
    </cfRule>
    <cfRule type="expression" dxfId="4559" priority="786">
      <formula>#REF!&lt;&gt;""</formula>
    </cfRule>
    <cfRule type="expression" dxfId="4558" priority="787">
      <formula>#REF!&lt;&gt;""</formula>
    </cfRule>
    <cfRule type="expression" dxfId="4557" priority="788">
      <formula>#REF!&lt;&gt;""</formula>
    </cfRule>
    <cfRule type="expression" dxfId="4556" priority="789">
      <formula>#REF!&lt;&gt;""</formula>
    </cfRule>
    <cfRule type="expression" dxfId="4555" priority="790">
      <formula>#REF!&lt;&gt;""</formula>
    </cfRule>
    <cfRule type="expression" dxfId="4554" priority="791">
      <formula>#REF!&lt;&gt;""</formula>
    </cfRule>
  </conditionalFormatting>
  <conditionalFormatting sqref="F273">
    <cfRule type="expression" dxfId="4553" priority="768">
      <formula>#REF!&lt;&gt;""</formula>
    </cfRule>
    <cfRule type="expression" dxfId="4552" priority="769">
      <formula>#REF!&lt;&gt;""</formula>
    </cfRule>
    <cfRule type="expression" dxfId="4551" priority="770">
      <formula>#REF!&lt;&gt;""</formula>
    </cfRule>
    <cfRule type="expression" dxfId="4550" priority="771">
      <formula>#REF!&lt;&gt;""</formula>
    </cfRule>
    <cfRule type="expression" dxfId="4549" priority="772">
      <formula>#REF!&lt;&gt;""</formula>
    </cfRule>
    <cfRule type="expression" dxfId="4548" priority="773">
      <formula>#REF!&lt;&gt;""</formula>
    </cfRule>
    <cfRule type="expression" dxfId="4547" priority="774">
      <formula>#REF!&lt;&gt;""</formula>
    </cfRule>
    <cfRule type="expression" dxfId="4546" priority="775">
      <formula>#REF!&lt;&gt;""</formula>
    </cfRule>
    <cfRule type="expression" dxfId="4545" priority="776">
      <formula>#REF!&lt;&gt;""</formula>
    </cfRule>
    <cfRule type="expression" dxfId="4544" priority="777">
      <formula>#REF!&lt;&gt;""</formula>
    </cfRule>
    <cfRule type="expression" dxfId="4543" priority="778">
      <formula>#REF!&lt;&gt;""</formula>
    </cfRule>
    <cfRule type="expression" dxfId="4542" priority="779">
      <formula>#REF!&lt;&gt;""</formula>
    </cfRule>
  </conditionalFormatting>
  <conditionalFormatting sqref="F274">
    <cfRule type="expression" dxfId="4541" priority="756">
      <formula>#REF!&lt;&gt;""</formula>
    </cfRule>
    <cfRule type="expression" dxfId="4540" priority="757">
      <formula>#REF!&lt;&gt;""</formula>
    </cfRule>
    <cfRule type="expression" dxfId="4539" priority="758">
      <formula>#REF!&lt;&gt;""</formula>
    </cfRule>
    <cfRule type="expression" dxfId="4538" priority="759">
      <formula>#REF!&lt;&gt;""</formula>
    </cfRule>
    <cfRule type="expression" dxfId="4537" priority="760">
      <formula>#REF!&lt;&gt;""</formula>
    </cfRule>
    <cfRule type="expression" dxfId="4536" priority="761">
      <formula>#REF!&lt;&gt;""</formula>
    </cfRule>
    <cfRule type="expression" dxfId="4535" priority="762">
      <formula>#REF!&lt;&gt;""</formula>
    </cfRule>
    <cfRule type="expression" dxfId="4534" priority="763">
      <formula>#REF!&lt;&gt;""</formula>
    </cfRule>
    <cfRule type="expression" dxfId="4533" priority="764">
      <formula>#REF!&lt;&gt;""</formula>
    </cfRule>
    <cfRule type="expression" dxfId="4532" priority="765">
      <formula>#REF!&lt;&gt;""</formula>
    </cfRule>
    <cfRule type="expression" dxfId="4531" priority="766">
      <formula>#REF!&lt;&gt;""</formula>
    </cfRule>
    <cfRule type="expression" dxfId="4530" priority="767">
      <formula>#REF!&lt;&gt;""</formula>
    </cfRule>
  </conditionalFormatting>
  <conditionalFormatting sqref="F275">
    <cfRule type="expression" dxfId="4529" priority="744">
      <formula>#REF!&lt;&gt;""</formula>
    </cfRule>
    <cfRule type="expression" dxfId="4528" priority="745">
      <formula>#REF!&lt;&gt;""</formula>
    </cfRule>
    <cfRule type="expression" dxfId="4527" priority="746">
      <formula>#REF!&lt;&gt;""</formula>
    </cfRule>
    <cfRule type="expression" dxfId="4526" priority="747">
      <formula>#REF!&lt;&gt;""</formula>
    </cfRule>
    <cfRule type="expression" dxfId="4525" priority="748">
      <formula>#REF!&lt;&gt;""</formula>
    </cfRule>
    <cfRule type="expression" dxfId="4524" priority="749">
      <formula>#REF!&lt;&gt;""</formula>
    </cfRule>
    <cfRule type="expression" dxfId="4523" priority="750">
      <formula>#REF!&lt;&gt;""</formula>
    </cfRule>
    <cfRule type="expression" dxfId="4522" priority="751">
      <formula>#REF!&lt;&gt;""</formula>
    </cfRule>
    <cfRule type="expression" dxfId="4521" priority="752">
      <formula>#REF!&lt;&gt;""</formula>
    </cfRule>
    <cfRule type="expression" dxfId="4520" priority="753">
      <formula>#REF!&lt;&gt;""</formula>
    </cfRule>
    <cfRule type="expression" dxfId="4519" priority="754">
      <formula>#REF!&lt;&gt;""</formula>
    </cfRule>
    <cfRule type="expression" dxfId="4518" priority="755">
      <formula>#REF!&lt;&gt;""</formula>
    </cfRule>
  </conditionalFormatting>
  <conditionalFormatting sqref="F276">
    <cfRule type="expression" dxfId="4517" priority="732">
      <formula>#REF!&lt;&gt;""</formula>
    </cfRule>
    <cfRule type="expression" dxfId="4516" priority="733">
      <formula>#REF!&lt;&gt;""</formula>
    </cfRule>
    <cfRule type="expression" dxfId="4515" priority="734">
      <formula>#REF!&lt;&gt;""</formula>
    </cfRule>
    <cfRule type="expression" dxfId="4514" priority="735">
      <formula>#REF!&lt;&gt;""</formula>
    </cfRule>
    <cfRule type="expression" dxfId="4513" priority="736">
      <formula>#REF!&lt;&gt;""</formula>
    </cfRule>
    <cfRule type="expression" dxfId="4512" priority="737">
      <formula>#REF!&lt;&gt;""</formula>
    </cfRule>
    <cfRule type="expression" dxfId="4511" priority="738">
      <formula>#REF!&lt;&gt;""</formula>
    </cfRule>
    <cfRule type="expression" dxfId="4510" priority="739">
      <formula>#REF!&lt;&gt;""</formula>
    </cfRule>
    <cfRule type="expression" dxfId="4509" priority="740">
      <formula>#REF!&lt;&gt;""</formula>
    </cfRule>
    <cfRule type="expression" dxfId="4508" priority="741">
      <formula>#REF!&lt;&gt;""</formula>
    </cfRule>
    <cfRule type="expression" dxfId="4507" priority="742">
      <formula>#REF!&lt;&gt;""</formula>
    </cfRule>
    <cfRule type="expression" dxfId="4506" priority="743">
      <formula>#REF!&lt;&gt;""</formula>
    </cfRule>
  </conditionalFormatting>
  <conditionalFormatting sqref="F277">
    <cfRule type="expression" dxfId="4505" priority="720">
      <formula>#REF!&lt;&gt;""</formula>
    </cfRule>
    <cfRule type="expression" dxfId="4504" priority="721">
      <formula>#REF!&lt;&gt;""</formula>
    </cfRule>
    <cfRule type="expression" dxfId="4503" priority="722">
      <formula>#REF!&lt;&gt;""</formula>
    </cfRule>
    <cfRule type="expression" dxfId="4502" priority="723">
      <formula>#REF!&lt;&gt;""</formula>
    </cfRule>
    <cfRule type="expression" dxfId="4501" priority="724">
      <formula>#REF!&lt;&gt;""</formula>
    </cfRule>
    <cfRule type="expression" dxfId="4500" priority="725">
      <formula>#REF!&lt;&gt;""</formula>
    </cfRule>
    <cfRule type="expression" dxfId="4499" priority="726">
      <formula>#REF!&lt;&gt;""</formula>
    </cfRule>
    <cfRule type="expression" dxfId="4498" priority="727">
      <formula>#REF!&lt;&gt;""</formula>
    </cfRule>
    <cfRule type="expression" dxfId="4497" priority="728">
      <formula>#REF!&lt;&gt;""</formula>
    </cfRule>
    <cfRule type="expression" dxfId="4496" priority="729">
      <formula>#REF!&lt;&gt;""</formula>
    </cfRule>
    <cfRule type="expression" dxfId="4495" priority="730">
      <formula>#REF!&lt;&gt;""</formula>
    </cfRule>
    <cfRule type="expression" dxfId="4494" priority="731">
      <formula>#REF!&lt;&gt;""</formula>
    </cfRule>
  </conditionalFormatting>
  <conditionalFormatting sqref="F278">
    <cfRule type="expression" dxfId="4493" priority="708">
      <formula>#REF!&lt;&gt;""</formula>
    </cfRule>
    <cfRule type="expression" dxfId="4492" priority="709">
      <formula>#REF!&lt;&gt;""</formula>
    </cfRule>
    <cfRule type="expression" dxfId="4491" priority="710">
      <formula>#REF!&lt;&gt;""</formula>
    </cfRule>
    <cfRule type="expression" dxfId="4490" priority="711">
      <formula>#REF!&lt;&gt;""</formula>
    </cfRule>
    <cfRule type="expression" dxfId="4489" priority="712">
      <formula>#REF!&lt;&gt;""</formula>
    </cfRule>
    <cfRule type="expression" dxfId="4488" priority="713">
      <formula>#REF!&lt;&gt;""</formula>
    </cfRule>
    <cfRule type="expression" dxfId="4487" priority="714">
      <formula>#REF!&lt;&gt;""</formula>
    </cfRule>
    <cfRule type="expression" dxfId="4486" priority="715">
      <formula>#REF!&lt;&gt;""</formula>
    </cfRule>
    <cfRule type="expression" dxfId="4485" priority="716">
      <formula>#REF!&lt;&gt;""</formula>
    </cfRule>
    <cfRule type="expression" dxfId="4484" priority="717">
      <formula>#REF!&lt;&gt;""</formula>
    </cfRule>
    <cfRule type="expression" dxfId="4483" priority="718">
      <formula>#REF!&lt;&gt;""</formula>
    </cfRule>
    <cfRule type="expression" dxfId="4482" priority="719">
      <formula>#REF!&lt;&gt;""</formula>
    </cfRule>
  </conditionalFormatting>
  <conditionalFormatting sqref="F279">
    <cfRule type="expression" dxfId="4481" priority="696">
      <formula>#REF!&lt;&gt;""</formula>
    </cfRule>
    <cfRule type="expression" dxfId="4480" priority="697">
      <formula>#REF!&lt;&gt;""</formula>
    </cfRule>
    <cfRule type="expression" dxfId="4479" priority="698">
      <formula>#REF!&lt;&gt;""</formula>
    </cfRule>
    <cfRule type="expression" dxfId="4478" priority="699">
      <formula>#REF!&lt;&gt;""</formula>
    </cfRule>
    <cfRule type="expression" dxfId="4477" priority="700">
      <formula>#REF!&lt;&gt;""</formula>
    </cfRule>
    <cfRule type="expression" dxfId="4476" priority="701">
      <formula>#REF!&lt;&gt;""</formula>
    </cfRule>
    <cfRule type="expression" dxfId="4475" priority="702">
      <formula>#REF!&lt;&gt;""</formula>
    </cfRule>
    <cfRule type="expression" dxfId="4474" priority="703">
      <formula>#REF!&lt;&gt;""</formula>
    </cfRule>
    <cfRule type="expression" dxfId="4473" priority="704">
      <formula>#REF!&lt;&gt;""</formula>
    </cfRule>
    <cfRule type="expression" dxfId="4472" priority="705">
      <formula>#REF!&lt;&gt;""</formula>
    </cfRule>
    <cfRule type="expression" dxfId="4471" priority="706">
      <formula>#REF!&lt;&gt;""</formula>
    </cfRule>
    <cfRule type="expression" dxfId="4470" priority="707">
      <formula>#REF!&lt;&gt;""</formula>
    </cfRule>
  </conditionalFormatting>
  <conditionalFormatting sqref="F280">
    <cfRule type="expression" dxfId="4469" priority="684">
      <formula>#REF!&lt;&gt;""</formula>
    </cfRule>
    <cfRule type="expression" dxfId="4468" priority="685">
      <formula>#REF!&lt;&gt;""</formula>
    </cfRule>
    <cfRule type="expression" dxfId="4467" priority="686">
      <formula>#REF!&lt;&gt;""</formula>
    </cfRule>
    <cfRule type="expression" dxfId="4466" priority="687">
      <formula>#REF!&lt;&gt;""</formula>
    </cfRule>
    <cfRule type="expression" dxfId="4465" priority="688">
      <formula>#REF!&lt;&gt;""</formula>
    </cfRule>
    <cfRule type="expression" dxfId="4464" priority="689">
      <formula>#REF!&lt;&gt;""</formula>
    </cfRule>
    <cfRule type="expression" dxfId="4463" priority="690">
      <formula>#REF!&lt;&gt;""</formula>
    </cfRule>
    <cfRule type="expression" dxfId="4462" priority="691">
      <formula>#REF!&lt;&gt;""</formula>
    </cfRule>
    <cfRule type="expression" dxfId="4461" priority="692">
      <formula>#REF!&lt;&gt;""</formula>
    </cfRule>
    <cfRule type="expression" dxfId="4460" priority="693">
      <formula>#REF!&lt;&gt;""</formula>
    </cfRule>
    <cfRule type="expression" dxfId="4459" priority="694">
      <formula>#REF!&lt;&gt;""</formula>
    </cfRule>
    <cfRule type="expression" dxfId="4458" priority="695">
      <formula>#REF!&lt;&gt;""</formula>
    </cfRule>
  </conditionalFormatting>
  <conditionalFormatting sqref="F281">
    <cfRule type="expression" dxfId="4457" priority="672">
      <formula>#REF!&lt;&gt;""</formula>
    </cfRule>
    <cfRule type="expression" dxfId="4456" priority="673">
      <formula>#REF!&lt;&gt;""</formula>
    </cfRule>
    <cfRule type="expression" dxfId="4455" priority="674">
      <formula>#REF!&lt;&gt;""</formula>
    </cfRule>
    <cfRule type="expression" dxfId="4454" priority="675">
      <formula>#REF!&lt;&gt;""</formula>
    </cfRule>
    <cfRule type="expression" dxfId="4453" priority="676">
      <formula>#REF!&lt;&gt;""</formula>
    </cfRule>
    <cfRule type="expression" dxfId="4452" priority="677">
      <formula>#REF!&lt;&gt;""</formula>
    </cfRule>
    <cfRule type="expression" dxfId="4451" priority="678">
      <formula>#REF!&lt;&gt;""</formula>
    </cfRule>
    <cfRule type="expression" dxfId="4450" priority="679">
      <formula>#REF!&lt;&gt;""</formula>
    </cfRule>
    <cfRule type="expression" dxfId="4449" priority="680">
      <formula>#REF!&lt;&gt;""</formula>
    </cfRule>
    <cfRule type="expression" dxfId="4448" priority="681">
      <formula>#REF!&lt;&gt;""</formula>
    </cfRule>
    <cfRule type="expression" dxfId="4447" priority="682">
      <formula>#REF!&lt;&gt;""</formula>
    </cfRule>
    <cfRule type="expression" dxfId="4446" priority="683">
      <formula>#REF!&lt;&gt;""</formula>
    </cfRule>
  </conditionalFormatting>
  <conditionalFormatting sqref="F282">
    <cfRule type="expression" dxfId="4445" priority="660">
      <formula>#REF!&lt;&gt;""</formula>
    </cfRule>
    <cfRule type="expression" dxfId="4444" priority="661">
      <formula>#REF!&lt;&gt;""</formula>
    </cfRule>
    <cfRule type="expression" dxfId="4443" priority="662">
      <formula>#REF!&lt;&gt;""</formula>
    </cfRule>
    <cfRule type="expression" dxfId="4442" priority="663">
      <formula>#REF!&lt;&gt;""</formula>
    </cfRule>
    <cfRule type="expression" dxfId="4441" priority="664">
      <formula>#REF!&lt;&gt;""</formula>
    </cfRule>
    <cfRule type="expression" dxfId="4440" priority="665">
      <formula>#REF!&lt;&gt;""</formula>
    </cfRule>
    <cfRule type="expression" dxfId="4439" priority="666">
      <formula>#REF!&lt;&gt;""</formula>
    </cfRule>
    <cfRule type="expression" dxfId="4438" priority="667">
      <formula>#REF!&lt;&gt;""</formula>
    </cfRule>
    <cfRule type="expression" dxfId="4437" priority="668">
      <formula>#REF!&lt;&gt;""</formula>
    </cfRule>
    <cfRule type="expression" dxfId="4436" priority="669">
      <formula>#REF!&lt;&gt;""</formula>
    </cfRule>
    <cfRule type="expression" dxfId="4435" priority="670">
      <formula>#REF!&lt;&gt;""</formula>
    </cfRule>
    <cfRule type="expression" dxfId="4434" priority="671">
      <formula>#REF!&lt;&gt;""</formula>
    </cfRule>
  </conditionalFormatting>
  <conditionalFormatting sqref="F283">
    <cfRule type="expression" dxfId="4433" priority="648">
      <formula>#REF!&lt;&gt;""</formula>
    </cfRule>
    <cfRule type="expression" dxfId="4432" priority="649">
      <formula>#REF!&lt;&gt;""</formula>
    </cfRule>
    <cfRule type="expression" dxfId="4431" priority="650">
      <formula>#REF!&lt;&gt;""</formula>
    </cfRule>
    <cfRule type="expression" dxfId="4430" priority="651">
      <formula>#REF!&lt;&gt;""</formula>
    </cfRule>
    <cfRule type="expression" dxfId="4429" priority="652">
      <formula>#REF!&lt;&gt;""</formula>
    </cfRule>
    <cfRule type="expression" dxfId="4428" priority="653">
      <formula>#REF!&lt;&gt;""</formula>
    </cfRule>
    <cfRule type="expression" dxfId="4427" priority="654">
      <formula>#REF!&lt;&gt;""</formula>
    </cfRule>
    <cfRule type="expression" dxfId="4426" priority="655">
      <formula>#REF!&lt;&gt;""</formula>
    </cfRule>
    <cfRule type="expression" dxfId="4425" priority="656">
      <formula>#REF!&lt;&gt;""</formula>
    </cfRule>
    <cfRule type="expression" dxfId="4424" priority="657">
      <formula>#REF!&lt;&gt;""</formula>
    </cfRule>
    <cfRule type="expression" dxfId="4423" priority="658">
      <formula>#REF!&lt;&gt;""</formula>
    </cfRule>
    <cfRule type="expression" dxfId="4422" priority="659">
      <formula>#REF!&lt;&gt;""</formula>
    </cfRule>
  </conditionalFormatting>
  <conditionalFormatting sqref="F284">
    <cfRule type="expression" dxfId="4421" priority="636">
      <formula>#REF!&lt;&gt;""</formula>
    </cfRule>
    <cfRule type="expression" dxfId="4420" priority="637">
      <formula>#REF!&lt;&gt;""</formula>
    </cfRule>
    <cfRule type="expression" dxfId="4419" priority="638">
      <formula>#REF!&lt;&gt;""</formula>
    </cfRule>
    <cfRule type="expression" dxfId="4418" priority="639">
      <formula>#REF!&lt;&gt;""</formula>
    </cfRule>
    <cfRule type="expression" dxfId="4417" priority="640">
      <formula>#REF!&lt;&gt;""</formula>
    </cfRule>
    <cfRule type="expression" dxfId="4416" priority="641">
      <formula>#REF!&lt;&gt;""</formula>
    </cfRule>
    <cfRule type="expression" dxfId="4415" priority="642">
      <formula>#REF!&lt;&gt;""</formula>
    </cfRule>
    <cfRule type="expression" dxfId="4414" priority="643">
      <formula>#REF!&lt;&gt;""</formula>
    </cfRule>
    <cfRule type="expression" dxfId="4413" priority="644">
      <formula>#REF!&lt;&gt;""</formula>
    </cfRule>
    <cfRule type="expression" dxfId="4412" priority="645">
      <formula>#REF!&lt;&gt;""</formula>
    </cfRule>
    <cfRule type="expression" dxfId="4411" priority="646">
      <formula>#REF!&lt;&gt;""</formula>
    </cfRule>
    <cfRule type="expression" dxfId="4410" priority="647">
      <formula>#REF!&lt;&gt;""</formula>
    </cfRule>
  </conditionalFormatting>
  <conditionalFormatting sqref="F285">
    <cfRule type="expression" dxfId="4409" priority="624">
      <formula>#REF!&lt;&gt;""</formula>
    </cfRule>
    <cfRule type="expression" dxfId="4408" priority="625">
      <formula>#REF!&lt;&gt;""</formula>
    </cfRule>
    <cfRule type="expression" dxfId="4407" priority="626">
      <formula>#REF!&lt;&gt;""</formula>
    </cfRule>
    <cfRule type="expression" dxfId="4406" priority="627">
      <formula>#REF!&lt;&gt;""</formula>
    </cfRule>
    <cfRule type="expression" dxfId="4405" priority="628">
      <formula>#REF!&lt;&gt;""</formula>
    </cfRule>
    <cfRule type="expression" dxfId="4404" priority="629">
      <formula>#REF!&lt;&gt;""</formula>
    </cfRule>
    <cfRule type="expression" dxfId="4403" priority="630">
      <formula>#REF!&lt;&gt;""</formula>
    </cfRule>
    <cfRule type="expression" dxfId="4402" priority="631">
      <formula>#REF!&lt;&gt;""</formula>
    </cfRule>
    <cfRule type="expression" dxfId="4401" priority="632">
      <formula>#REF!&lt;&gt;""</formula>
    </cfRule>
    <cfRule type="expression" dxfId="4400" priority="633">
      <formula>#REF!&lt;&gt;""</formula>
    </cfRule>
    <cfRule type="expression" dxfId="4399" priority="634">
      <formula>#REF!&lt;&gt;""</formula>
    </cfRule>
    <cfRule type="expression" dxfId="4398" priority="635">
      <formula>#REF!&lt;&gt;""</formula>
    </cfRule>
  </conditionalFormatting>
  <conditionalFormatting sqref="F286">
    <cfRule type="expression" dxfId="4397" priority="612">
      <formula>#REF!&lt;&gt;""</formula>
    </cfRule>
    <cfRule type="expression" dxfId="4396" priority="613">
      <formula>#REF!&lt;&gt;""</formula>
    </cfRule>
    <cfRule type="expression" dxfId="4395" priority="614">
      <formula>#REF!&lt;&gt;""</formula>
    </cfRule>
    <cfRule type="expression" dxfId="4394" priority="615">
      <formula>#REF!&lt;&gt;""</formula>
    </cfRule>
    <cfRule type="expression" dxfId="4393" priority="616">
      <formula>#REF!&lt;&gt;""</formula>
    </cfRule>
    <cfRule type="expression" dxfId="4392" priority="617">
      <formula>#REF!&lt;&gt;""</formula>
    </cfRule>
    <cfRule type="expression" dxfId="4391" priority="618">
      <formula>#REF!&lt;&gt;""</formula>
    </cfRule>
    <cfRule type="expression" dxfId="4390" priority="619">
      <formula>#REF!&lt;&gt;""</formula>
    </cfRule>
    <cfRule type="expression" dxfId="4389" priority="620">
      <formula>#REF!&lt;&gt;""</formula>
    </cfRule>
    <cfRule type="expression" dxfId="4388" priority="621">
      <formula>#REF!&lt;&gt;""</formula>
    </cfRule>
    <cfRule type="expression" dxfId="4387" priority="622">
      <formula>#REF!&lt;&gt;""</formula>
    </cfRule>
    <cfRule type="expression" dxfId="4386" priority="623">
      <formula>#REF!&lt;&gt;""</formula>
    </cfRule>
  </conditionalFormatting>
  <conditionalFormatting sqref="F104:F153">
    <cfRule type="expression" dxfId="4385" priority="10" stopIfTrue="1">
      <formula>$G104&lt;&gt;"kg/p.km"</formula>
    </cfRule>
  </conditionalFormatting>
  <conditionalFormatting sqref="S1004">
    <cfRule type="expression" dxfId="4384" priority="11" stopIfTrue="1">
      <formula>"U100=kg/km"</formula>
    </cfRule>
  </conditionalFormatting>
  <conditionalFormatting sqref="A154:D154">
    <cfRule type="expression" dxfId="4383" priority="1944" stopIfTrue="1">
      <formula>AND(#REF!&lt;&gt;0,SUM(#REF!)&lt;&gt;0)</formula>
    </cfRule>
  </conditionalFormatting>
  <conditionalFormatting sqref="F220:G220 F354:G354">
    <cfRule type="expression" dxfId="4382" priority="1945" stopIfTrue="1">
      <formula>AND($F220&lt;&gt;0,SUM(#REF!)&lt;&gt;0)</formula>
    </cfRule>
  </conditionalFormatting>
  <conditionalFormatting sqref="F103">
    <cfRule type="expression" dxfId="4381" priority="8" stopIfTrue="1">
      <formula>$G103&lt;&gt;"kg/p.km"</formula>
    </cfRule>
  </conditionalFormatting>
  <conditionalFormatting sqref="G170:G219">
    <cfRule type="expression" dxfId="4380" priority="6" stopIfTrue="1">
      <formula>$H170&lt;&gt;"kg/p.km"</formula>
    </cfRule>
  </conditionalFormatting>
  <conditionalFormatting sqref="G237:G286">
    <cfRule type="expression" dxfId="4379" priority="4" stopIfTrue="1">
      <formula>$H237&lt;&gt;"kg/p.km"</formula>
    </cfRule>
  </conditionalFormatting>
  <conditionalFormatting sqref="G304:G353">
    <cfRule type="expression" dxfId="4378" priority="2" stopIfTrue="1">
      <formula>$H304&lt;&gt;"kg/p.km"</formula>
    </cfRule>
  </conditionalFormatting>
  <conditionalFormatting sqref="F52:F91">
    <cfRule type="expression" dxfId="4377" priority="1946">
      <formula>#REF!&lt;&gt;""</formula>
    </cfRule>
  </conditionalFormatting>
  <dataValidations count="2">
    <dataValidation showInputMessage="1" showErrorMessage="1" errorTitle="Qual o ano da frota?" error="Escolha o ano da frota." sqref="F103 G304:K353 G237:K286 G170:H219 E104:G153"/>
    <dataValidation type="custom" showInputMessage="1" showErrorMessage="1" errorTitle="Qual o ano da frota?" error="Existem fatores de emissão diferentes para frotas de anos diferentes. Escolha o ano da frota e caso haja frotas de anos diferentes, incluia em linhas diferentes para cada ano." sqref="A154:D154">
      <formula1>AND($D154&lt;&gt;0,#REF!=0)=FALSE</formula1>
    </dataValidation>
  </dataValidations>
  <pageMargins left="0.70866141732283472" right="0.70866141732283472" top="0.74803149606299213" bottom="0.74803149606299213" header="0.31496062992125984" footer="0.31496062992125984"/>
  <pageSetup scale="11" orientation="landscape" r:id="rId1"/>
  <headerFooter alignWithMargins="0">
    <oddFooter>&amp;L&amp;"Arial,Italic"&amp;9EPA Climate Leaders Simplified GHG Emissions Calculator (Direct 2.0)&amp;R&amp;"Arial,Italic"&amp;9&amp;P of &amp;N</oddFooter>
  </headerFooter>
  <drawing r:id="rId2"/>
  <extLst>
    <ext xmlns:x14="http://schemas.microsoft.com/office/spreadsheetml/2009/9/main" uri="{CCE6A557-97BC-4b89-ADB6-D9C93CAAB3DF}">
      <x14:dataValidations xmlns:xm="http://schemas.microsoft.com/office/excel/2006/main" count="5">
        <x14:dataValidation type="list" showInputMessage="1" showErrorMessage="1">
          <x14:formula1>
            <xm:f>'Fatores de Emissão'!$E$114:$E$149</xm:f>
          </x14:formula1>
          <xm:sqref>D104:D153</xm:sqref>
        </x14:dataValidation>
        <x14:dataValidation type="list" allowBlank="1" showInputMessage="1" showErrorMessage="1">
          <x14:formula1>
            <xm:f>'Fatores de Emissão'!$C$82:$C$97</xm:f>
          </x14:formula1>
          <xm:sqref>D42:E91</xm:sqref>
        </x14:dataValidation>
        <x14:dataValidation type="list" allowBlank="1" showInputMessage="1" showErrorMessage="1">
          <x14:formula1>
            <xm:f>'Fatores de Emissão'!$D$209:$D$216</xm:f>
          </x14:formula1>
          <xm:sqref>D304:E353</xm:sqref>
        </x14:dataValidation>
        <x14:dataValidation type="list" allowBlank="1" showInputMessage="1" showErrorMessage="1">
          <x14:formula1>
            <xm:f>'Fatores de Emissão'!$E$192</xm:f>
          </x14:formula1>
          <xm:sqref>D237:E286</xm:sqref>
        </x14:dataValidation>
        <x14:dataValidation type="list" allowBlank="1" showInputMessage="1" showErrorMessage="1">
          <x14:formula1>
            <xm:f>'Fatores de Emissão'!$E$181:$E$183</xm:f>
          </x14:formula1>
          <xm:sqref>D170:E219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pageSetUpPr fitToPage="1"/>
  </sheetPr>
  <dimension ref="A1:BT786"/>
  <sheetViews>
    <sheetView showGridLines="0" zoomScale="90" zoomScaleNormal="90" workbookViewId="0">
      <selection activeCell="I9" sqref="I9"/>
    </sheetView>
  </sheetViews>
  <sheetFormatPr defaultColWidth="0" defaultRowHeight="12.75" customHeight="1" zeroHeight="1" outlineLevelRow="2" x14ac:dyDescent="0.2"/>
  <cols>
    <col min="1" max="1" width="10.7109375" style="195" customWidth="1"/>
    <col min="2" max="2" width="15.42578125" style="195" customWidth="1"/>
    <col min="3" max="3" width="23.42578125" style="195" customWidth="1"/>
    <col min="4" max="4" width="73.140625" style="195" customWidth="1"/>
    <col min="5" max="5" width="13.140625" style="195" customWidth="1"/>
    <col min="6" max="6" width="12.7109375" style="195" customWidth="1"/>
    <col min="7" max="7" width="13.5703125" style="195" customWidth="1"/>
    <col min="8" max="8" width="16.140625" style="195" customWidth="1"/>
    <col min="9" max="9" width="15.28515625" style="195" customWidth="1"/>
    <col min="10" max="10" width="16.5703125" style="195" customWidth="1"/>
    <col min="11" max="16" width="10.7109375" style="195" customWidth="1"/>
    <col min="17" max="17" width="16.7109375" style="195" customWidth="1"/>
    <col min="18" max="18" width="17" style="195" bestFit="1" customWidth="1"/>
    <col min="19" max="19" width="13.42578125" style="195" customWidth="1"/>
    <col min="20" max="20" width="23.42578125" style="195" bestFit="1" customWidth="1"/>
    <col min="21" max="21" width="17" style="195" bestFit="1" customWidth="1"/>
    <col min="22" max="22" width="15" style="195" customWidth="1"/>
    <col min="23" max="23" width="10.5703125" style="195" bestFit="1" customWidth="1"/>
    <col min="24" max="24" width="10.42578125" style="195" bestFit="1" customWidth="1"/>
    <col min="25" max="25" width="10.5703125" style="195" bestFit="1" customWidth="1"/>
    <col min="26" max="26" width="10.28515625" style="195" bestFit="1" customWidth="1"/>
    <col min="27" max="27" width="10.5703125" style="195" customWidth="1"/>
    <col min="28" max="28" width="11.5703125" style="195" customWidth="1"/>
    <col min="29" max="29" width="10.5703125" style="195" customWidth="1"/>
    <col min="30" max="30" width="8.7109375" style="195" customWidth="1"/>
    <col min="31" max="31" width="10" style="195" bestFit="1" customWidth="1"/>
    <col min="32" max="32" width="8.7109375" style="195" customWidth="1"/>
    <col min="33" max="33" width="10.85546875" style="195" customWidth="1"/>
    <col min="34" max="34" width="10.7109375" style="195" customWidth="1"/>
    <col min="35" max="35" width="24.7109375" style="195" customWidth="1"/>
    <col min="36" max="36" width="20.7109375" style="195" customWidth="1"/>
    <col min="37" max="46" width="8.7109375" style="195" customWidth="1"/>
    <col min="47" max="47" width="10.7109375" style="195" customWidth="1"/>
    <col min="48" max="49" width="23.42578125" style="195" customWidth="1"/>
    <col min="50" max="50" width="15.140625" style="195" customWidth="1"/>
    <col min="51" max="53" width="15.7109375" style="195" customWidth="1"/>
    <col min="54" max="55" width="13.140625" style="195" customWidth="1"/>
    <col min="56" max="56" width="15.5703125" style="195" customWidth="1"/>
    <col min="57" max="57" width="15.7109375" style="195" customWidth="1"/>
    <col min="58" max="58" width="19.42578125" style="195" customWidth="1"/>
    <col min="59" max="61" width="10.7109375" style="195" customWidth="1"/>
    <col min="62" max="62" width="12.7109375" style="195" customWidth="1"/>
    <col min="63" max="64" width="24.42578125" style="195" customWidth="1"/>
    <col min="65" max="66" width="17.140625" style="195" customWidth="1"/>
    <col min="67" max="70" width="12.5703125" style="195" customWidth="1"/>
    <col min="71" max="71" width="15" style="195" customWidth="1"/>
    <col min="72" max="72" width="9.140625" style="195" customWidth="1"/>
    <col min="73" max="88" width="9.140625" style="195" hidden="1" customWidth="1"/>
    <col min="89" max="16384" width="9.140625" style="195" hidden="1"/>
  </cols>
  <sheetData>
    <row r="1" spans="1:28" x14ac:dyDescent="0.2">
      <c r="A1" s="339"/>
      <c r="B1" s="339"/>
      <c r="C1" s="339"/>
      <c r="D1" s="339"/>
      <c r="E1" s="339"/>
      <c r="F1" s="339"/>
      <c r="G1" s="339"/>
      <c r="H1" s="339"/>
      <c r="I1" s="339"/>
      <c r="J1" s="339"/>
      <c r="K1" s="339"/>
      <c r="L1" s="339"/>
      <c r="M1" s="339"/>
      <c r="N1" s="339"/>
      <c r="O1" s="339"/>
      <c r="P1" s="339"/>
      <c r="Q1" s="339"/>
      <c r="R1" s="339"/>
      <c r="S1" s="339"/>
      <c r="T1" s="339"/>
      <c r="U1" s="339"/>
      <c r="V1" s="339"/>
      <c r="W1" s="339"/>
      <c r="X1" s="339"/>
      <c r="Y1" s="339"/>
      <c r="Z1" s="339"/>
      <c r="AA1" s="339"/>
      <c r="AB1" s="339"/>
    </row>
    <row r="2" spans="1:28" x14ac:dyDescent="0.2">
      <c r="A2" s="290"/>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row>
    <row r="3" spans="1:28" ht="14.1" customHeight="1" x14ac:dyDescent="0.2">
      <c r="A3" s="290"/>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row>
    <row r="4" spans="1:28" ht="15.75" customHeight="1" x14ac:dyDescent="0.2">
      <c r="A4" s="290"/>
      <c r="B4" s="290"/>
      <c r="C4" s="290"/>
      <c r="D4" s="290"/>
      <c r="E4" s="290"/>
      <c r="F4" s="290"/>
      <c r="G4" s="290"/>
      <c r="H4" s="290"/>
      <c r="I4" s="290"/>
      <c r="J4" s="290"/>
      <c r="K4" s="290"/>
      <c r="L4" s="290"/>
      <c r="M4" s="290"/>
      <c r="N4" s="290"/>
      <c r="O4" s="290"/>
      <c r="P4" s="290"/>
      <c r="Q4" s="290"/>
      <c r="R4" s="290"/>
      <c r="S4" s="290"/>
      <c r="T4" s="290"/>
      <c r="U4" s="290"/>
      <c r="V4" s="290"/>
      <c r="W4" s="290"/>
      <c r="X4" s="290"/>
      <c r="Y4" s="290"/>
      <c r="Z4" s="290"/>
      <c r="AA4" s="290"/>
      <c r="AB4" s="290"/>
    </row>
    <row r="5" spans="1:28" ht="15.75" customHeight="1" x14ac:dyDescent="0.2">
      <c r="A5" s="290"/>
      <c r="B5" s="290"/>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row>
    <row r="6" spans="1:28" ht="15.75" customHeight="1" x14ac:dyDescent="0.2">
      <c r="A6" s="290"/>
      <c r="B6" s="290"/>
      <c r="C6" s="290"/>
      <c r="D6" s="290"/>
      <c r="E6" s="290"/>
      <c r="F6" s="290"/>
      <c r="G6" s="290"/>
      <c r="H6" s="290"/>
      <c r="I6" s="290"/>
      <c r="J6" s="290"/>
      <c r="K6" s="290"/>
      <c r="L6" s="290"/>
      <c r="M6" s="290"/>
      <c r="N6" s="290"/>
      <c r="O6" s="290"/>
      <c r="P6" s="290"/>
      <c r="Q6" s="290"/>
      <c r="R6" s="290"/>
      <c r="S6" s="290"/>
      <c r="T6" s="290"/>
      <c r="U6" s="290"/>
      <c r="V6" s="290"/>
      <c r="W6" s="290"/>
      <c r="X6" s="290"/>
      <c r="Y6" s="290"/>
      <c r="Z6" s="290"/>
      <c r="AA6" s="290"/>
      <c r="AB6" s="290"/>
    </row>
    <row r="7" spans="1:28" ht="15.75" customHeight="1" x14ac:dyDescent="0.2">
      <c r="A7" s="290"/>
      <c r="B7" s="290"/>
      <c r="C7" s="290"/>
      <c r="D7" s="290"/>
      <c r="E7" s="290"/>
      <c r="F7" s="290"/>
      <c r="G7" s="290"/>
      <c r="H7" s="290"/>
      <c r="I7" s="290"/>
      <c r="J7" s="290"/>
      <c r="K7" s="290"/>
      <c r="L7" s="290"/>
      <c r="M7" s="290"/>
      <c r="N7" s="290"/>
      <c r="O7" s="290"/>
      <c r="P7" s="290"/>
      <c r="Q7" s="290"/>
      <c r="R7" s="290"/>
      <c r="S7" s="290"/>
      <c r="T7" s="290"/>
      <c r="U7" s="290"/>
      <c r="V7" s="290"/>
      <c r="W7" s="290"/>
      <c r="X7" s="290"/>
      <c r="Y7" s="290"/>
      <c r="Z7" s="290"/>
      <c r="AA7" s="290"/>
      <c r="AB7" s="290"/>
    </row>
    <row r="8" spans="1:28" ht="15" customHeight="1" x14ac:dyDescent="0.2">
      <c r="A8" s="290"/>
      <c r="B8" s="290"/>
      <c r="C8" s="290"/>
      <c r="D8" s="290"/>
      <c r="E8" s="290"/>
      <c r="F8" s="290"/>
      <c r="G8" s="290"/>
      <c r="H8" s="290"/>
      <c r="I8" s="290"/>
      <c r="J8" s="290"/>
      <c r="K8" s="290"/>
      <c r="L8" s="290"/>
      <c r="M8" s="290"/>
      <c r="N8" s="290"/>
      <c r="O8" s="290"/>
      <c r="P8" s="290"/>
      <c r="Q8" s="290"/>
      <c r="R8" s="290"/>
      <c r="S8" s="290"/>
      <c r="T8" s="290"/>
      <c r="U8" s="290"/>
      <c r="V8" s="290"/>
      <c r="W8" s="290"/>
      <c r="X8" s="290"/>
      <c r="Y8" s="290"/>
      <c r="Z8" s="290"/>
      <c r="AA8" s="290"/>
      <c r="AB8" s="290"/>
    </row>
    <row r="9" spans="1:28" ht="15" customHeight="1" x14ac:dyDescent="0.2">
      <c r="A9" s="290"/>
      <c r="B9" s="290"/>
      <c r="C9" s="290"/>
      <c r="D9" s="290"/>
      <c r="E9" s="290"/>
      <c r="F9" s="290"/>
      <c r="G9" s="290"/>
      <c r="H9" s="290"/>
      <c r="I9" s="290"/>
      <c r="J9" s="290"/>
      <c r="K9" s="290"/>
      <c r="L9" s="290"/>
      <c r="M9" s="290"/>
      <c r="N9" s="290"/>
      <c r="O9" s="290"/>
      <c r="P9" s="290"/>
      <c r="Q9" s="290"/>
      <c r="R9" s="290"/>
      <c r="S9" s="290"/>
      <c r="T9" s="290"/>
      <c r="U9" s="290"/>
      <c r="V9" s="290"/>
      <c r="W9" s="290"/>
      <c r="X9" s="290"/>
      <c r="Y9" s="290"/>
      <c r="Z9" s="290"/>
      <c r="AA9" s="290"/>
      <c r="AB9" s="290"/>
    </row>
    <row r="10" spans="1:28" ht="15" customHeight="1" x14ac:dyDescent="0.2">
      <c r="A10" s="290"/>
      <c r="B10" s="290"/>
      <c r="C10" s="290"/>
      <c r="D10" s="290"/>
      <c r="E10" s="290"/>
      <c r="F10" s="290"/>
      <c r="G10" s="290"/>
      <c r="H10" s="290"/>
      <c r="I10" s="290"/>
      <c r="J10" s="290"/>
      <c r="K10" s="290"/>
      <c r="L10" s="290"/>
      <c r="M10" s="290"/>
      <c r="N10" s="290"/>
      <c r="O10" s="290"/>
      <c r="P10" s="290"/>
      <c r="Q10" s="290"/>
      <c r="R10" s="290"/>
      <c r="S10" s="290"/>
      <c r="T10" s="290"/>
      <c r="U10" s="290"/>
      <c r="V10" s="290"/>
      <c r="W10" s="290"/>
      <c r="X10" s="290"/>
      <c r="Y10" s="290"/>
      <c r="Z10" s="290"/>
      <c r="AA10" s="290"/>
      <c r="AB10" s="290"/>
    </row>
    <row r="11" spans="1:28" ht="15" customHeight="1" x14ac:dyDescent="0.3">
      <c r="A11" s="290"/>
      <c r="B11" s="208" t="s">
        <v>2216</v>
      </c>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row>
    <row r="12" spans="1:28" ht="15" customHeight="1" x14ac:dyDescent="0.2">
      <c r="A12" s="290"/>
      <c r="B12" s="290"/>
      <c r="C12" s="290"/>
      <c r="D12" s="290"/>
      <c r="E12" s="290"/>
      <c r="F12" s="290"/>
      <c r="G12" s="290"/>
      <c r="H12" s="290"/>
      <c r="I12" s="290"/>
      <c r="J12" s="290"/>
      <c r="K12" s="290"/>
      <c r="L12" s="290"/>
      <c r="M12" s="290"/>
      <c r="N12" s="290"/>
      <c r="O12" s="290"/>
      <c r="P12" s="290"/>
      <c r="Q12" s="290"/>
      <c r="R12" s="290"/>
      <c r="S12" s="290"/>
      <c r="T12" s="290"/>
      <c r="U12" s="290"/>
      <c r="V12" s="290"/>
      <c r="W12" s="290"/>
      <c r="X12" s="290"/>
      <c r="Y12" s="290"/>
      <c r="Z12" s="290"/>
      <c r="AA12" s="290"/>
      <c r="AB12" s="290"/>
    </row>
    <row r="13" spans="1:28" ht="15" customHeight="1" x14ac:dyDescent="0.2">
      <c r="A13" s="290"/>
      <c r="B13" s="331"/>
      <c r="C13" s="355" t="s">
        <v>142</v>
      </c>
      <c r="D13" s="1297">
        <f>IF(OR(Ano="Selecione",Ano=0),"Escolha o ano do inventário na aba 'Introdução'",Ano)</f>
        <v>2030</v>
      </c>
      <c r="E13" s="1297"/>
      <c r="F13" s="1297"/>
      <c r="G13" s="290"/>
      <c r="H13" s="290"/>
      <c r="I13" s="290"/>
      <c r="J13" s="290"/>
      <c r="K13" s="290"/>
      <c r="L13" s="290"/>
      <c r="M13" s="290"/>
      <c r="N13" s="290"/>
      <c r="O13" s="290"/>
      <c r="P13" s="290"/>
      <c r="Q13" s="290"/>
      <c r="R13" s="290"/>
      <c r="S13" s="290"/>
      <c r="T13" s="290"/>
      <c r="U13" s="290"/>
      <c r="V13" s="290"/>
      <c r="W13" s="290"/>
      <c r="X13" s="290"/>
      <c r="Y13" s="290"/>
      <c r="Z13" s="290"/>
      <c r="AA13" s="290"/>
      <c r="AB13" s="290"/>
    </row>
    <row r="14" spans="1:28" ht="15" customHeight="1" thickBot="1" x14ac:dyDescent="0.25">
      <c r="A14" s="290"/>
      <c r="B14" s="331"/>
      <c r="C14" s="355"/>
      <c r="D14" s="1144"/>
      <c r="E14" s="1144"/>
      <c r="F14" s="1144"/>
      <c r="G14" s="290"/>
      <c r="H14" s="290"/>
      <c r="I14" s="290"/>
      <c r="J14" s="290"/>
      <c r="K14" s="290"/>
      <c r="L14" s="290"/>
      <c r="M14" s="290"/>
      <c r="N14" s="290"/>
      <c r="O14" s="290"/>
      <c r="P14" s="290"/>
      <c r="Q14" s="290"/>
      <c r="R14" s="290"/>
      <c r="S14" s="290"/>
      <c r="T14" s="290"/>
      <c r="U14" s="290"/>
      <c r="V14" s="290"/>
      <c r="W14" s="290"/>
      <c r="X14" s="290"/>
      <c r="Y14" s="290"/>
      <c r="Z14" s="290"/>
      <c r="AA14" s="290"/>
      <c r="AB14" s="290"/>
    </row>
    <row r="15" spans="1:28" s="981" customFormat="1" ht="15" customHeight="1" x14ac:dyDescent="0.25">
      <c r="B15" s="1382" t="s">
        <v>2150</v>
      </c>
      <c r="C15" s="1383"/>
      <c r="D15" s="1383"/>
      <c r="E15" s="1383"/>
      <c r="F15" s="1383"/>
      <c r="G15" s="1383"/>
      <c r="H15" s="1383"/>
      <c r="I15" s="1384"/>
    </row>
    <row r="16" spans="1:28" s="981" customFormat="1" ht="15" customHeight="1" x14ac:dyDescent="0.25">
      <c r="B16" s="1385"/>
      <c r="C16" s="1386"/>
      <c r="D16" s="1386"/>
      <c r="E16" s="1386"/>
      <c r="F16" s="1386"/>
      <c r="G16" s="1386"/>
      <c r="H16" s="1386"/>
      <c r="I16" s="1387"/>
    </row>
    <row r="17" spans="1:58" s="981" customFormat="1" ht="6" customHeight="1" x14ac:dyDescent="0.25">
      <c r="B17" s="1385"/>
      <c r="C17" s="1386"/>
      <c r="D17" s="1386"/>
      <c r="E17" s="1386"/>
      <c r="F17" s="1386"/>
      <c r="G17" s="1386"/>
      <c r="H17" s="1386"/>
      <c r="I17" s="1387"/>
    </row>
    <row r="18" spans="1:58" s="981" customFormat="1" ht="5.25" customHeight="1" x14ac:dyDescent="0.25">
      <c r="B18" s="1385"/>
      <c r="C18" s="1386"/>
      <c r="D18" s="1386"/>
      <c r="E18" s="1386"/>
      <c r="F18" s="1386"/>
      <c r="G18" s="1386"/>
      <c r="H18" s="1386"/>
      <c r="I18" s="1387"/>
    </row>
    <row r="19" spans="1:58" s="981" customFormat="1" ht="2.25" customHeight="1" thickBot="1" x14ac:dyDescent="0.3">
      <c r="B19" s="1388"/>
      <c r="C19" s="1389"/>
      <c r="D19" s="1389"/>
      <c r="E19" s="1389"/>
      <c r="F19" s="1389"/>
      <c r="G19" s="1389"/>
      <c r="H19" s="1389"/>
      <c r="I19" s="1390"/>
    </row>
    <row r="20" spans="1:58" ht="15" customHeight="1" x14ac:dyDescent="0.2">
      <c r="A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row>
    <row r="21" spans="1:58" ht="15" customHeight="1" x14ac:dyDescent="0.25">
      <c r="A21" s="290"/>
      <c r="B21" s="292" t="s">
        <v>4</v>
      </c>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row>
    <row r="22" spans="1:58" ht="15" customHeight="1" x14ac:dyDescent="0.2">
      <c r="A22" s="290"/>
      <c r="B22" s="206" t="s">
        <v>2152</v>
      </c>
      <c r="C22" s="290"/>
      <c r="D22" s="290"/>
      <c r="E22" s="290"/>
      <c r="F22" s="290"/>
      <c r="G22" s="290"/>
      <c r="H22" s="290"/>
      <c r="I22" s="290"/>
      <c r="J22" s="290"/>
      <c r="K22" s="290"/>
      <c r="L22" s="290"/>
      <c r="M22" s="290"/>
      <c r="N22" s="290"/>
      <c r="O22" s="290"/>
      <c r="P22" s="290"/>
      <c r="Q22" s="290"/>
      <c r="R22" s="290"/>
      <c r="S22" s="290"/>
      <c r="T22" s="290"/>
      <c r="U22" s="290"/>
      <c r="V22" s="290"/>
      <c r="W22" s="290"/>
      <c r="X22" s="290"/>
      <c r="Y22" s="290"/>
      <c r="Z22" s="290"/>
      <c r="AA22" s="290"/>
      <c r="AB22" s="290"/>
    </row>
    <row r="23" spans="1:58" ht="15" customHeight="1" x14ac:dyDescent="0.2">
      <c r="A23" s="290"/>
      <c r="B23" s="456" t="s">
        <v>2140</v>
      </c>
      <c r="C23" s="290"/>
      <c r="D23" s="290"/>
      <c r="E23" s="290"/>
      <c r="F23" s="290"/>
      <c r="G23" s="290"/>
      <c r="H23" s="290"/>
      <c r="I23" s="290"/>
      <c r="J23" s="290"/>
      <c r="K23" s="290"/>
      <c r="L23" s="290"/>
      <c r="M23" s="290"/>
      <c r="N23" s="290"/>
      <c r="O23" s="290"/>
      <c r="P23" s="290"/>
      <c r="Q23" s="290"/>
      <c r="R23" s="290"/>
      <c r="S23" s="290"/>
      <c r="T23" s="290"/>
      <c r="U23" s="290"/>
      <c r="V23" s="290"/>
      <c r="W23" s="290"/>
      <c r="X23" s="290"/>
      <c r="Y23" s="290"/>
      <c r="Z23" s="290"/>
      <c r="AA23" s="290"/>
      <c r="AB23" s="290"/>
    </row>
    <row r="24" spans="1:58" ht="15" customHeight="1" x14ac:dyDescent="0.2">
      <c r="A24" s="290"/>
      <c r="B24" s="206" t="s">
        <v>2076</v>
      </c>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row>
    <row r="25" spans="1:58" ht="15" customHeight="1" x14ac:dyDescent="0.2">
      <c r="A25" s="290"/>
      <c r="B25" s="206" t="s">
        <v>2153</v>
      </c>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row>
    <row r="26" spans="1:58" ht="15" customHeight="1" x14ac:dyDescent="0.2">
      <c r="A26" s="290"/>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row>
    <row r="27" spans="1:58" ht="18" customHeight="1" x14ac:dyDescent="0.2">
      <c r="A27" s="411"/>
      <c r="B27" s="358" t="s">
        <v>2136</v>
      </c>
      <c r="C27" s="412"/>
      <c r="D27" s="413"/>
      <c r="E27" s="413"/>
      <c r="F27" s="413"/>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s="327"/>
      <c r="AG27" s="327"/>
      <c r="AH27" s="327"/>
      <c r="AI27" s="327"/>
      <c r="AJ27" s="327"/>
      <c r="AK27" s="327"/>
      <c r="AL27" s="327"/>
      <c r="AM27" s="327"/>
      <c r="AN27" s="327"/>
      <c r="AO27" s="327"/>
      <c r="AP27" s="327"/>
      <c r="AQ27" s="327"/>
      <c r="AR27" s="327"/>
      <c r="AS27" s="327"/>
      <c r="AT27" s="327"/>
      <c r="AU27" s="327"/>
      <c r="AV27" s="327"/>
      <c r="AW27" s="327"/>
      <c r="AX27" s="327"/>
      <c r="AY27" s="327"/>
      <c r="AZ27" s="327"/>
      <c r="BA27" s="327"/>
      <c r="BB27" s="327"/>
      <c r="BC27" s="327"/>
      <c r="BD27" s="327"/>
      <c r="BE27" s="327"/>
      <c r="BF27" s="414"/>
    </row>
    <row r="28" spans="1:58" ht="15" customHeight="1" outlineLevel="1" x14ac:dyDescent="0.2">
      <c r="A28" s="290"/>
      <c r="B28" s="331"/>
      <c r="C28" s="290"/>
      <c r="D28" s="290"/>
      <c r="E28" s="290"/>
      <c r="F28" s="290"/>
      <c r="G28" s="290"/>
      <c r="H28" s="290"/>
      <c r="I28" s="290"/>
      <c r="J28" s="290"/>
      <c r="K28" s="290"/>
      <c r="L28" s="290"/>
      <c r="M28" s="290"/>
      <c r="N28" s="290"/>
      <c r="O28" s="290"/>
      <c r="P28" s="290"/>
      <c r="Q28" s="290"/>
      <c r="R28" s="290"/>
      <c r="S28" s="290"/>
      <c r="T28" s="290"/>
      <c r="U28" s="290"/>
      <c r="V28" s="290"/>
      <c r="W28" s="290"/>
      <c r="X28" s="290"/>
      <c r="Y28" s="290"/>
      <c r="Z28" s="290"/>
      <c r="AA28" s="290"/>
      <c r="AB28" s="290"/>
    </row>
    <row r="29" spans="1:58" ht="15" customHeight="1" outlineLevel="1" x14ac:dyDescent="0.2">
      <c r="A29" s="290"/>
      <c r="B29" s="359" t="s">
        <v>124</v>
      </c>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row>
    <row r="30" spans="1:58" s="237" customFormat="1" ht="15" customHeight="1" outlineLevel="1" x14ac:dyDescent="0.25">
      <c r="A30" s="205"/>
      <c r="B30" s="1381" t="s">
        <v>1721</v>
      </c>
      <c r="C30" s="1381"/>
      <c r="D30" s="1381"/>
      <c r="E30" s="1381"/>
      <c r="F30" s="1381"/>
      <c r="G30" s="1381"/>
      <c r="H30" s="1381"/>
      <c r="I30" s="1381"/>
      <c r="J30" s="1381"/>
      <c r="K30" s="421"/>
      <c r="L30" s="205"/>
      <c r="M30" s="205"/>
      <c r="N30" s="205"/>
      <c r="O30" s="205"/>
      <c r="P30" s="205"/>
      <c r="Q30" s="205"/>
      <c r="R30" s="205"/>
      <c r="S30" s="205"/>
      <c r="T30" s="205"/>
      <c r="U30" s="205"/>
      <c r="V30" s="205"/>
      <c r="W30" s="205"/>
      <c r="X30" s="205"/>
      <c r="Y30" s="205"/>
      <c r="Z30" s="205"/>
      <c r="AA30" s="205"/>
      <c r="AB30" s="205"/>
    </row>
    <row r="31" spans="1:58" s="237" customFormat="1" ht="5.25" customHeight="1" outlineLevel="1" x14ac:dyDescent="0.25">
      <c r="A31" s="205"/>
      <c r="B31" s="1381"/>
      <c r="C31" s="1381"/>
      <c r="D31" s="1381"/>
      <c r="E31" s="1381"/>
      <c r="F31" s="1381"/>
      <c r="G31" s="1381"/>
      <c r="H31" s="1381"/>
      <c r="I31" s="1381"/>
      <c r="J31" s="1381"/>
      <c r="K31" s="421"/>
      <c r="L31" s="205"/>
      <c r="M31" s="205"/>
      <c r="N31" s="205"/>
      <c r="O31" s="205"/>
      <c r="P31" s="205"/>
      <c r="Q31" s="205"/>
      <c r="R31" s="205"/>
      <c r="S31" s="205"/>
      <c r="T31" s="205"/>
      <c r="U31" s="205"/>
      <c r="V31" s="205"/>
      <c r="W31" s="205"/>
      <c r="X31" s="205"/>
      <c r="Y31" s="205"/>
      <c r="Z31" s="205"/>
      <c r="AA31" s="205"/>
      <c r="AB31" s="205"/>
    </row>
    <row r="32" spans="1:58" s="237" customFormat="1" ht="20.25" customHeight="1" outlineLevel="1" x14ac:dyDescent="0.25">
      <c r="A32" s="205"/>
      <c r="B32" s="422" t="s">
        <v>1722</v>
      </c>
      <c r="C32" s="205"/>
      <c r="D32" s="205"/>
      <c r="E32" s="205"/>
      <c r="F32" s="205"/>
      <c r="G32" s="205"/>
      <c r="H32" s="205"/>
      <c r="I32" s="205"/>
      <c r="J32" s="205"/>
      <c r="K32" s="205"/>
      <c r="L32" s="205"/>
      <c r="M32" s="205"/>
      <c r="N32" s="205"/>
      <c r="O32" s="205"/>
      <c r="P32" s="205"/>
      <c r="Q32" s="205"/>
      <c r="R32" s="205"/>
      <c r="S32" s="205"/>
      <c r="T32" s="205"/>
      <c r="U32" s="205"/>
      <c r="V32" s="205"/>
      <c r="W32" s="205"/>
      <c r="X32" s="205"/>
      <c r="Y32" s="205"/>
      <c r="Z32" s="205"/>
      <c r="AA32" s="205"/>
      <c r="AB32" s="205"/>
    </row>
    <row r="33" spans="1:28" s="237" customFormat="1" ht="15" customHeight="1" outlineLevel="1" x14ac:dyDescent="0.25">
      <c r="A33" s="205"/>
      <c r="B33" s="206" t="s">
        <v>1723</v>
      </c>
      <c r="C33" s="205"/>
      <c r="D33" s="205"/>
      <c r="E33" s="205"/>
      <c r="F33" s="205"/>
      <c r="G33" s="205"/>
      <c r="H33" s="205"/>
      <c r="I33" s="205"/>
      <c r="J33" s="205"/>
      <c r="K33" s="205"/>
      <c r="L33" s="205"/>
      <c r="M33" s="205"/>
      <c r="N33" s="205"/>
      <c r="O33" s="205"/>
      <c r="P33" s="205"/>
      <c r="Q33" s="205"/>
      <c r="R33" s="205"/>
      <c r="S33" s="205"/>
      <c r="T33" s="205"/>
      <c r="U33" s="205"/>
      <c r="V33" s="205"/>
      <c r="W33" s="205"/>
      <c r="X33" s="205"/>
      <c r="Y33" s="205"/>
      <c r="Z33" s="205"/>
      <c r="AA33" s="205"/>
      <c r="AB33" s="205"/>
    </row>
    <row r="34" spans="1:28" s="237" customFormat="1" ht="15" customHeight="1" outlineLevel="1" x14ac:dyDescent="0.25">
      <c r="A34" s="205"/>
      <c r="B34" s="422"/>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row>
    <row r="35" spans="1:28" s="237" customFormat="1" ht="15" customHeight="1" outlineLevel="1" x14ac:dyDescent="0.25">
      <c r="A35" s="363"/>
      <c r="B35" s="423" t="s">
        <v>1724</v>
      </c>
      <c r="C35" s="373"/>
      <c r="D35" s="442"/>
      <c r="E35" s="442"/>
      <c r="F35" s="373"/>
      <c r="G35" s="373"/>
      <c r="H35" s="373"/>
      <c r="I35" s="373"/>
      <c r="J35" s="373"/>
      <c r="K35" s="373"/>
      <c r="L35" s="373"/>
      <c r="M35" s="373"/>
      <c r="N35" s="373"/>
      <c r="O35" s="373"/>
      <c r="P35" s="373"/>
      <c r="Q35" s="373"/>
      <c r="R35" s="373"/>
      <c r="S35" s="373"/>
      <c r="T35" s="373"/>
      <c r="U35" s="373"/>
      <c r="V35" s="363"/>
      <c r="W35" s="373"/>
      <c r="X35" s="373"/>
      <c r="Z35" s="373"/>
      <c r="AA35" s="373"/>
      <c r="AB35" s="373"/>
    </row>
    <row r="36" spans="1:28" s="237" customFormat="1" ht="15" customHeight="1" outlineLevel="1" x14ac:dyDescent="0.25">
      <c r="A36" s="363"/>
      <c r="B36" s="388"/>
      <c r="C36" s="373"/>
      <c r="D36" s="442"/>
      <c r="E36" s="442"/>
      <c r="F36" s="373"/>
      <c r="G36" s="373"/>
      <c r="H36" s="373"/>
      <c r="I36" s="373"/>
      <c r="J36" s="373"/>
      <c r="K36" s="373"/>
      <c r="L36" s="373"/>
      <c r="M36" s="373"/>
      <c r="N36" s="373"/>
      <c r="O36" s="373"/>
      <c r="P36" s="373"/>
      <c r="Q36" s="373"/>
      <c r="R36" s="373"/>
      <c r="S36" s="373"/>
      <c r="T36" s="373"/>
      <c r="U36" s="373"/>
      <c r="V36" s="363"/>
      <c r="W36" s="373"/>
      <c r="X36" s="373"/>
      <c r="Z36" s="373"/>
      <c r="AA36" s="373"/>
      <c r="AB36" s="373"/>
    </row>
    <row r="37" spans="1:28" s="237" customFormat="1" ht="15" customHeight="1" outlineLevel="1" x14ac:dyDescent="0.25">
      <c r="A37" s="363"/>
      <c r="B37" s="423" t="s">
        <v>1725</v>
      </c>
      <c r="C37" s="217"/>
      <c r="D37" s="424"/>
      <c r="E37" s="424"/>
      <c r="F37" s="373"/>
      <c r="G37" s="373"/>
      <c r="H37" s="373"/>
      <c r="I37" s="373"/>
      <c r="J37" s="373"/>
      <c r="K37" s="373"/>
      <c r="L37" s="373"/>
      <c r="M37" s="373"/>
      <c r="N37" s="373"/>
      <c r="O37" s="373"/>
      <c r="P37" s="373"/>
      <c r="Q37" s="373"/>
      <c r="R37" s="373"/>
      <c r="S37" s="363"/>
      <c r="T37" s="363"/>
      <c r="U37" s="363"/>
      <c r="V37" s="363"/>
      <c r="W37" s="363"/>
      <c r="X37" s="363"/>
      <c r="Y37" s="363"/>
      <c r="Z37" s="363"/>
      <c r="AA37" s="363"/>
      <c r="AB37" s="363"/>
    </row>
    <row r="38" spans="1:28" s="237" customFormat="1" ht="15" customHeight="1" outlineLevel="1" x14ac:dyDescent="0.25">
      <c r="A38" s="363"/>
      <c r="B38" s="1267" t="s">
        <v>1531</v>
      </c>
      <c r="C38" s="1267" t="s">
        <v>66</v>
      </c>
      <c r="D38" s="1267" t="s">
        <v>255</v>
      </c>
      <c r="E38" s="1267"/>
      <c r="F38" s="1249" t="s">
        <v>13</v>
      </c>
      <c r="G38" s="1269" t="s">
        <v>96</v>
      </c>
      <c r="H38" s="1267" t="s">
        <v>588</v>
      </c>
      <c r="I38" s="1267"/>
      <c r="J38" s="1267"/>
      <c r="K38" s="1249" t="s">
        <v>1408</v>
      </c>
      <c r="L38" s="1249" t="s">
        <v>1409</v>
      </c>
      <c r="M38" s="1249" t="s">
        <v>1410</v>
      </c>
      <c r="N38" s="1249" t="s">
        <v>1411</v>
      </c>
    </row>
    <row r="39" spans="1:28" s="237" customFormat="1" ht="15" customHeight="1" outlineLevel="1" x14ac:dyDescent="0.25">
      <c r="A39" s="363"/>
      <c r="B39" s="1267"/>
      <c r="C39" s="1267"/>
      <c r="D39" s="1267"/>
      <c r="E39" s="1267"/>
      <c r="F39" s="1266"/>
      <c r="G39" s="1270"/>
      <c r="H39" s="1267"/>
      <c r="I39" s="1267"/>
      <c r="J39" s="1267"/>
      <c r="K39" s="1266"/>
      <c r="L39" s="1266"/>
      <c r="M39" s="1266"/>
      <c r="N39" s="1266"/>
    </row>
    <row r="40" spans="1:28" s="237" customFormat="1" ht="30" customHeight="1" outlineLevel="1" x14ac:dyDescent="0.25">
      <c r="A40" s="363"/>
      <c r="B40" s="1267"/>
      <c r="C40" s="1267"/>
      <c r="D40" s="1267"/>
      <c r="E40" s="1267"/>
      <c r="F40" s="1250"/>
      <c r="G40" s="1271"/>
      <c r="H40" s="1146" t="s">
        <v>1857</v>
      </c>
      <c r="I40" s="1146" t="s">
        <v>1858</v>
      </c>
      <c r="J40" s="1146" t="s">
        <v>1859</v>
      </c>
      <c r="K40" s="1250"/>
      <c r="L40" s="1250"/>
      <c r="M40" s="1250"/>
      <c r="N40" s="1250"/>
    </row>
    <row r="41" spans="1:28" s="237" customFormat="1" ht="15" customHeight="1" outlineLevel="1" x14ac:dyDescent="0.25">
      <c r="A41" s="427" t="s">
        <v>606</v>
      </c>
      <c r="B41" s="444" t="s">
        <v>587</v>
      </c>
      <c r="C41" s="445" t="s">
        <v>2066</v>
      </c>
      <c r="D41" s="1272" t="s">
        <v>1728</v>
      </c>
      <c r="E41" s="1272"/>
      <c r="F41" s="446">
        <v>1000</v>
      </c>
      <c r="G41" s="447" t="s">
        <v>581</v>
      </c>
      <c r="H41" s="1108">
        <v>2.27</v>
      </c>
      <c r="I41" s="1109">
        <v>0</v>
      </c>
      <c r="J41" s="1109">
        <v>0</v>
      </c>
      <c r="K41" s="432">
        <v>2.27</v>
      </c>
      <c r="L41" s="1108">
        <v>0</v>
      </c>
      <c r="M41" s="1108">
        <v>0</v>
      </c>
      <c r="N41" s="433">
        <v>2.27</v>
      </c>
    </row>
    <row r="42" spans="1:28" s="237" customFormat="1" ht="15" customHeight="1" outlineLevel="1" x14ac:dyDescent="0.25">
      <c r="A42" s="363"/>
      <c r="B42" s="1145"/>
      <c r="C42" s="1145"/>
      <c r="D42" s="1268"/>
      <c r="E42" s="1268"/>
      <c r="F42" s="438"/>
      <c r="G42" s="1147" t="str">
        <f>IF(D42="","",VLOOKUP(D42,'Fatores de Emissão'!$C$82:$D$104,2,FALSE))</f>
        <v/>
      </c>
      <c r="H42" s="439" t="str">
        <f>IF(OR(D42="",D42="-"),"",VLOOKUP(D42,'Fatores de Emissão'!$C$82:$J$97,6,FALSE))</f>
        <v/>
      </c>
      <c r="I42" s="439" t="str">
        <f>IF(OR(D42="",D42="-"),"",VLOOKUP(D42,'Fatores de Emissão'!$C$82:$J$97,7,FALSE))</f>
        <v/>
      </c>
      <c r="J42" s="439" t="str">
        <f>IF(OR(D42="",D42="-"),"",VLOOKUP(D42,'Fatores de Emissão'!$C$82:$J$97,8,FALSE))</f>
        <v/>
      </c>
      <c r="K42" s="439" t="str">
        <f>IF(D42="","",IF(F42="",0,H42*$F42/1000))</f>
        <v/>
      </c>
      <c r="L42" s="439" t="str">
        <f>IF(D42="","",IF(F42="",0,I42*$F42/1000))</f>
        <v/>
      </c>
      <c r="M42" s="439" t="str">
        <f>IF(D42="","",IF(F42="",0,J42*$F42/1000))</f>
        <v/>
      </c>
      <c r="N42" s="441" t="str">
        <f t="shared" ref="N42:N91" si="0">IF(ISERR(K42*gwp_CO2+L42*gwp_CH4+M42*gwp_N2O),"",K42*gwp_CO2+L42*gwp_CH4+M42*gwp_N2O)</f>
        <v/>
      </c>
    </row>
    <row r="43" spans="1:28" s="237" customFormat="1" ht="15" customHeight="1" outlineLevel="1" x14ac:dyDescent="0.25">
      <c r="A43" s="363"/>
      <c r="B43" s="1145"/>
      <c r="C43" s="1145"/>
      <c r="D43" s="1268"/>
      <c r="E43" s="1268"/>
      <c r="F43" s="438"/>
      <c r="G43" s="1147" t="str">
        <f>IF(D43="","",VLOOKUP(D43,'Fatores de Emissão'!$C$82:$D$104,2,FALSE))</f>
        <v/>
      </c>
      <c r="H43" s="439" t="str">
        <f>IF(OR(D43="",D43="-"),"",VLOOKUP(D43,'Fatores de Emissão'!$C$82:$J$97,6,FALSE))</f>
        <v/>
      </c>
      <c r="I43" s="439" t="str">
        <f>IF(OR(D43="",D43="-"),"",VLOOKUP(D43,'Fatores de Emissão'!$C$82:$J$97,7,FALSE))</f>
        <v/>
      </c>
      <c r="J43" s="439" t="str">
        <f>IF(OR(D43="",D43="-"),"",VLOOKUP(D43,'Fatores de Emissão'!$C$82:$J$97,8,FALSE))</f>
        <v/>
      </c>
      <c r="K43" s="439" t="str">
        <f t="shared" ref="K43:K91" si="1">IF(D43="","",IF(F43="",0,H43*$F43/1000))</f>
        <v/>
      </c>
      <c r="L43" s="439" t="str">
        <f t="shared" ref="L43:L91" si="2">IF(D43="","",IF(F43="",0,I43*$F43/1000))</f>
        <v/>
      </c>
      <c r="M43" s="439" t="str">
        <f t="shared" ref="M43:M91" si="3">IF(D43="","",IF(F43="",0,J43*$F43/1000))</f>
        <v/>
      </c>
      <c r="N43" s="441" t="str">
        <f t="shared" si="0"/>
        <v/>
      </c>
    </row>
    <row r="44" spans="1:28" s="237" customFormat="1" ht="15" customHeight="1" outlineLevel="1" x14ac:dyDescent="0.25">
      <c r="A44" s="363"/>
      <c r="B44" s="1145"/>
      <c r="C44" s="1145"/>
      <c r="D44" s="1268"/>
      <c r="E44" s="1268"/>
      <c r="F44" s="438"/>
      <c r="G44" s="1147" t="str">
        <f>IF(D44="","",VLOOKUP(D44,'Fatores de Emissão'!$C$82:$D$104,2,FALSE))</f>
        <v/>
      </c>
      <c r="H44" s="439" t="str">
        <f>IF(OR(D44="",D44="-"),"",VLOOKUP(D44,'Fatores de Emissão'!$C$82:$J$97,6,FALSE))</f>
        <v/>
      </c>
      <c r="I44" s="439" t="str">
        <f>IF(OR(D44="",D44="-"),"",VLOOKUP(D44,'Fatores de Emissão'!$C$82:$J$97,7,FALSE))</f>
        <v/>
      </c>
      <c r="J44" s="439" t="str">
        <f>IF(OR(D44="",D44="-"),"",VLOOKUP(D44,'Fatores de Emissão'!$C$82:$J$97,8,FALSE))</f>
        <v/>
      </c>
      <c r="K44" s="439" t="str">
        <f t="shared" si="1"/>
        <v/>
      </c>
      <c r="L44" s="439" t="str">
        <f t="shared" si="2"/>
        <v/>
      </c>
      <c r="M44" s="439" t="str">
        <f t="shared" si="3"/>
        <v/>
      </c>
      <c r="N44" s="441" t="str">
        <f t="shared" si="0"/>
        <v/>
      </c>
    </row>
    <row r="45" spans="1:28" s="237" customFormat="1" ht="15" customHeight="1" outlineLevel="1" x14ac:dyDescent="0.25">
      <c r="A45" s="363"/>
      <c r="B45" s="1145"/>
      <c r="C45" s="1145"/>
      <c r="D45" s="1268"/>
      <c r="E45" s="1268"/>
      <c r="F45" s="438"/>
      <c r="G45" s="1147" t="str">
        <f>IF(D45="","",VLOOKUP(D45,'Fatores de Emissão'!$C$82:$D$104,2,FALSE))</f>
        <v/>
      </c>
      <c r="H45" s="439" t="str">
        <f>IF(OR(D45="",D45="-"),"",VLOOKUP(D45,'Fatores de Emissão'!$C$82:$J$97,6,FALSE))</f>
        <v/>
      </c>
      <c r="I45" s="439" t="str">
        <f>IF(OR(D45="",D45="-"),"",VLOOKUP(D45,'Fatores de Emissão'!$C$82:$J$97,7,FALSE))</f>
        <v/>
      </c>
      <c r="J45" s="439" t="str">
        <f>IF(OR(D45="",D45="-"),"",VLOOKUP(D45,'Fatores de Emissão'!$C$82:$J$97,8,FALSE))</f>
        <v/>
      </c>
      <c r="K45" s="439" t="str">
        <f t="shared" si="1"/>
        <v/>
      </c>
      <c r="L45" s="439" t="str">
        <f t="shared" si="2"/>
        <v/>
      </c>
      <c r="M45" s="439" t="str">
        <f t="shared" si="3"/>
        <v/>
      </c>
      <c r="N45" s="441" t="str">
        <f t="shared" si="0"/>
        <v/>
      </c>
    </row>
    <row r="46" spans="1:28" s="237" customFormat="1" ht="15" customHeight="1" outlineLevel="1" x14ac:dyDescent="0.25">
      <c r="A46" s="363"/>
      <c r="B46" s="1145"/>
      <c r="C46" s="1145"/>
      <c r="D46" s="1268"/>
      <c r="E46" s="1268"/>
      <c r="F46" s="438"/>
      <c r="G46" s="1147" t="str">
        <f>IF(D46="","",VLOOKUP(D46,'Fatores de Emissão'!$C$82:$D$104,2,FALSE))</f>
        <v/>
      </c>
      <c r="H46" s="439" t="str">
        <f>IF(OR(D46="",D46="-"),"",VLOOKUP(D46,'Fatores de Emissão'!$C$82:$J$97,6,FALSE))</f>
        <v/>
      </c>
      <c r="I46" s="439" t="str">
        <f>IF(OR(D46="",D46="-"),"",VLOOKUP(D46,'Fatores de Emissão'!$C$82:$J$97,7,FALSE))</f>
        <v/>
      </c>
      <c r="J46" s="439" t="str">
        <f>IF(OR(D46="",D46="-"),"",VLOOKUP(D46,'Fatores de Emissão'!$C$82:$J$97,8,FALSE))</f>
        <v/>
      </c>
      <c r="K46" s="439" t="str">
        <f t="shared" si="1"/>
        <v/>
      </c>
      <c r="L46" s="439" t="str">
        <f t="shared" si="2"/>
        <v/>
      </c>
      <c r="M46" s="439" t="str">
        <f t="shared" si="3"/>
        <v/>
      </c>
      <c r="N46" s="441" t="str">
        <f t="shared" si="0"/>
        <v/>
      </c>
    </row>
    <row r="47" spans="1:28" s="237" customFormat="1" ht="15" customHeight="1" outlineLevel="1" x14ac:dyDescent="0.25">
      <c r="A47" s="363"/>
      <c r="B47" s="1145"/>
      <c r="C47" s="1145"/>
      <c r="D47" s="1268"/>
      <c r="E47" s="1268"/>
      <c r="F47" s="438"/>
      <c r="G47" s="1147" t="str">
        <f>IF(D47="","",VLOOKUP(D47,'Fatores de Emissão'!$C$82:$D$104,2,FALSE))</f>
        <v/>
      </c>
      <c r="H47" s="439" t="str">
        <f>IF(OR(D47="",D47="-"),"",VLOOKUP(D47,'Fatores de Emissão'!$C$82:$J$97,6,FALSE))</f>
        <v/>
      </c>
      <c r="I47" s="439" t="str">
        <f>IF(OR(D47="",D47="-"),"",VLOOKUP(D47,'Fatores de Emissão'!$C$82:$J$97,7,FALSE))</f>
        <v/>
      </c>
      <c r="J47" s="439" t="str">
        <f>IF(OR(D47="",D47="-"),"",VLOOKUP(D47,'Fatores de Emissão'!$C$82:$J$97,8,FALSE))</f>
        <v/>
      </c>
      <c r="K47" s="439" t="str">
        <f t="shared" si="1"/>
        <v/>
      </c>
      <c r="L47" s="439" t="str">
        <f t="shared" si="2"/>
        <v/>
      </c>
      <c r="M47" s="439" t="str">
        <f t="shared" si="3"/>
        <v/>
      </c>
      <c r="N47" s="441" t="str">
        <f t="shared" si="0"/>
        <v/>
      </c>
    </row>
    <row r="48" spans="1:28" s="237" customFormat="1" ht="15" customHeight="1" outlineLevel="1" x14ac:dyDescent="0.25">
      <c r="A48" s="363"/>
      <c r="B48" s="1145"/>
      <c r="C48" s="1145"/>
      <c r="D48" s="1268"/>
      <c r="E48" s="1268"/>
      <c r="F48" s="438"/>
      <c r="G48" s="1147" t="str">
        <f>IF(D48="","",VLOOKUP(D48,'Fatores de Emissão'!$C$82:$D$104,2,FALSE))</f>
        <v/>
      </c>
      <c r="H48" s="439" t="str">
        <f>IF(OR(D48="",D48="-"),"",VLOOKUP(D48,'Fatores de Emissão'!$C$82:$J$97,6,FALSE))</f>
        <v/>
      </c>
      <c r="I48" s="439" t="str">
        <f>IF(OR(D48="",D48="-"),"",VLOOKUP(D48,'Fatores de Emissão'!$C$82:$J$97,7,FALSE))</f>
        <v/>
      </c>
      <c r="J48" s="439" t="str">
        <f>IF(OR(D48="",D48="-"),"",VLOOKUP(D48,'Fatores de Emissão'!$C$82:$J$97,8,FALSE))</f>
        <v/>
      </c>
      <c r="K48" s="439" t="str">
        <f t="shared" si="1"/>
        <v/>
      </c>
      <c r="L48" s="439" t="str">
        <f t="shared" si="2"/>
        <v/>
      </c>
      <c r="M48" s="439" t="str">
        <f t="shared" si="3"/>
        <v/>
      </c>
      <c r="N48" s="441" t="str">
        <f t="shared" si="0"/>
        <v/>
      </c>
    </row>
    <row r="49" spans="1:14" s="237" customFormat="1" ht="15" customHeight="1" outlineLevel="1" x14ac:dyDescent="0.25">
      <c r="A49" s="363"/>
      <c r="B49" s="1145"/>
      <c r="C49" s="1145"/>
      <c r="D49" s="1268"/>
      <c r="E49" s="1268"/>
      <c r="F49" s="438"/>
      <c r="G49" s="1147" t="str">
        <f>IF(D49="","",VLOOKUP(D49,'Fatores de Emissão'!$C$82:$D$104,2,FALSE))</f>
        <v/>
      </c>
      <c r="H49" s="439" t="str">
        <f>IF(OR(D49="",D49="-"),"",VLOOKUP(D49,'Fatores de Emissão'!$C$82:$J$97,6,FALSE))</f>
        <v/>
      </c>
      <c r="I49" s="439" t="str">
        <f>IF(OR(D49="",D49="-"),"",VLOOKUP(D49,'Fatores de Emissão'!$C$82:$J$97,7,FALSE))</f>
        <v/>
      </c>
      <c r="J49" s="439" t="str">
        <f>IF(OR(D49="",D49="-"),"",VLOOKUP(D49,'Fatores de Emissão'!$C$82:$J$97,8,FALSE))</f>
        <v/>
      </c>
      <c r="K49" s="439" t="str">
        <f t="shared" si="1"/>
        <v/>
      </c>
      <c r="L49" s="439" t="str">
        <f t="shared" si="2"/>
        <v/>
      </c>
      <c r="M49" s="439" t="str">
        <f t="shared" si="3"/>
        <v/>
      </c>
      <c r="N49" s="441" t="str">
        <f t="shared" si="0"/>
        <v/>
      </c>
    </row>
    <row r="50" spans="1:14" s="237" customFormat="1" ht="15" customHeight="1" outlineLevel="1" x14ac:dyDescent="0.25">
      <c r="A50" s="363"/>
      <c r="B50" s="1145"/>
      <c r="C50" s="1145"/>
      <c r="D50" s="1268"/>
      <c r="E50" s="1268"/>
      <c r="F50" s="438"/>
      <c r="G50" s="1147" t="str">
        <f>IF(D50="","",VLOOKUP(D50,'Fatores de Emissão'!$C$82:$D$104,2,FALSE))</f>
        <v/>
      </c>
      <c r="H50" s="439" t="str">
        <f>IF(OR(D50="",D50="-"),"",VLOOKUP(D50,'Fatores de Emissão'!$C$82:$J$97,6,FALSE))</f>
        <v/>
      </c>
      <c r="I50" s="439" t="str">
        <f>IF(OR(D50="",D50="-"),"",VLOOKUP(D50,'Fatores de Emissão'!$C$82:$J$97,7,FALSE))</f>
        <v/>
      </c>
      <c r="J50" s="439" t="str">
        <f>IF(OR(D50="",D50="-"),"",VLOOKUP(D50,'Fatores de Emissão'!$C$82:$J$97,8,FALSE))</f>
        <v/>
      </c>
      <c r="K50" s="439" t="str">
        <f t="shared" si="1"/>
        <v/>
      </c>
      <c r="L50" s="439" t="str">
        <f t="shared" si="2"/>
        <v/>
      </c>
      <c r="M50" s="439" t="str">
        <f t="shared" si="3"/>
        <v/>
      </c>
      <c r="N50" s="441" t="str">
        <f t="shared" si="0"/>
        <v/>
      </c>
    </row>
    <row r="51" spans="1:14" s="237" customFormat="1" ht="15" customHeight="1" outlineLevel="1" collapsed="1" x14ac:dyDescent="0.25">
      <c r="A51" s="363"/>
      <c r="B51" s="1145"/>
      <c r="C51" s="1145"/>
      <c r="D51" s="1268"/>
      <c r="E51" s="1268"/>
      <c r="F51" s="438"/>
      <c r="G51" s="1147" t="str">
        <f>IF(D51="","",VLOOKUP(D51,'Fatores de Emissão'!$C$82:$D$104,2,FALSE))</f>
        <v/>
      </c>
      <c r="H51" s="439" t="str">
        <f>IF(OR(D51="",D51="-"),"",VLOOKUP(D51,'Fatores de Emissão'!$C$82:$J$97,6,FALSE))</f>
        <v/>
      </c>
      <c r="I51" s="439" t="str">
        <f>IF(OR(D51="",D51="-"),"",VLOOKUP(D51,'Fatores de Emissão'!$C$82:$J$97,7,FALSE))</f>
        <v/>
      </c>
      <c r="J51" s="439" t="str">
        <f>IF(OR(D51="",D51="-"),"",VLOOKUP(D51,'Fatores de Emissão'!$C$82:$J$97,8,FALSE))</f>
        <v/>
      </c>
      <c r="K51" s="439" t="str">
        <f t="shared" si="1"/>
        <v/>
      </c>
      <c r="L51" s="439" t="str">
        <f t="shared" si="2"/>
        <v/>
      </c>
      <c r="M51" s="439" t="str">
        <f t="shared" si="3"/>
        <v/>
      </c>
      <c r="N51" s="441" t="str">
        <f t="shared" si="0"/>
        <v/>
      </c>
    </row>
    <row r="52" spans="1:14" s="237" customFormat="1" ht="15" hidden="1" customHeight="1" outlineLevel="2" x14ac:dyDescent="0.25">
      <c r="A52" s="363"/>
      <c r="B52" s="1145"/>
      <c r="C52" s="1145"/>
      <c r="D52" s="1268"/>
      <c r="E52" s="1268"/>
      <c r="F52" s="437"/>
      <c r="G52" s="1147" t="str">
        <f>IF(D52="","",VLOOKUP(D52,'Fatores de Emissão'!$C$82:$D$104,2,FALSE))</f>
        <v/>
      </c>
      <c r="H52" s="439" t="str">
        <f>IF(OR(D52="",D52="-"),"",VLOOKUP(D52,'Fatores de Emissão'!$C$82:$J$97,6,FALSE))</f>
        <v/>
      </c>
      <c r="I52" s="439" t="str">
        <f>IF(OR(D52="",D52="-"),"",VLOOKUP(D52,'Fatores de Emissão'!$C$82:$J$97,7,FALSE))</f>
        <v/>
      </c>
      <c r="J52" s="439" t="str">
        <f>IF(OR(D52="",D52="-"),"",VLOOKUP(D52,'Fatores de Emissão'!$C$82:$J$97,8,FALSE))</f>
        <v/>
      </c>
      <c r="K52" s="439" t="str">
        <f t="shared" si="1"/>
        <v/>
      </c>
      <c r="L52" s="439" t="str">
        <f t="shared" si="2"/>
        <v/>
      </c>
      <c r="M52" s="439" t="str">
        <f t="shared" si="3"/>
        <v/>
      </c>
      <c r="N52" s="441" t="str">
        <f t="shared" si="0"/>
        <v/>
      </c>
    </row>
    <row r="53" spans="1:14" s="237" customFormat="1" ht="15" hidden="1" customHeight="1" outlineLevel="2" x14ac:dyDescent="0.25">
      <c r="A53" s="363"/>
      <c r="B53" s="1145"/>
      <c r="C53" s="1145"/>
      <c r="D53" s="1268"/>
      <c r="E53" s="1268"/>
      <c r="F53" s="437"/>
      <c r="G53" s="1147" t="str">
        <f>IF(D53="","",VLOOKUP(D53,'Fatores de Emissão'!$C$82:$D$104,2,FALSE))</f>
        <v/>
      </c>
      <c r="H53" s="439" t="str">
        <f>IF(OR(D53="",D53="-"),"",VLOOKUP(D53,'Fatores de Emissão'!$C$82:$J$97,6,FALSE))</f>
        <v/>
      </c>
      <c r="I53" s="439" t="str">
        <f>IF(OR(D53="",D53="-"),"",VLOOKUP(D53,'Fatores de Emissão'!$C$82:$J$97,7,FALSE))</f>
        <v/>
      </c>
      <c r="J53" s="439" t="str">
        <f>IF(OR(D53="",D53="-"),"",VLOOKUP(D53,'Fatores de Emissão'!$C$82:$J$97,8,FALSE))</f>
        <v/>
      </c>
      <c r="K53" s="439" t="str">
        <f t="shared" si="1"/>
        <v/>
      </c>
      <c r="L53" s="439" t="str">
        <f t="shared" si="2"/>
        <v/>
      </c>
      <c r="M53" s="439" t="str">
        <f t="shared" si="3"/>
        <v/>
      </c>
      <c r="N53" s="441" t="str">
        <f t="shared" si="0"/>
        <v/>
      </c>
    </row>
    <row r="54" spans="1:14" s="237" customFormat="1" ht="15" hidden="1" customHeight="1" outlineLevel="2" x14ac:dyDescent="0.25">
      <c r="A54" s="363"/>
      <c r="B54" s="1145"/>
      <c r="C54" s="1145"/>
      <c r="D54" s="1268"/>
      <c r="E54" s="1268"/>
      <c r="F54" s="437"/>
      <c r="G54" s="1147" t="str">
        <f>IF(D54="","",VLOOKUP(D54,'Fatores de Emissão'!$C$82:$D$104,2,FALSE))</f>
        <v/>
      </c>
      <c r="H54" s="439" t="str">
        <f>IF(OR(D54="",D54="-"),"",VLOOKUP(D54,'Fatores de Emissão'!$C$82:$J$97,6,FALSE))</f>
        <v/>
      </c>
      <c r="I54" s="439" t="str">
        <f>IF(OR(D54="",D54="-"),"",VLOOKUP(D54,'Fatores de Emissão'!$C$82:$J$97,7,FALSE))</f>
        <v/>
      </c>
      <c r="J54" s="439" t="str">
        <f>IF(OR(D54="",D54="-"),"",VLOOKUP(D54,'Fatores de Emissão'!$C$82:$J$97,8,FALSE))</f>
        <v/>
      </c>
      <c r="K54" s="439" t="str">
        <f t="shared" si="1"/>
        <v/>
      </c>
      <c r="L54" s="439" t="str">
        <f t="shared" si="2"/>
        <v/>
      </c>
      <c r="M54" s="439" t="str">
        <f t="shared" si="3"/>
        <v/>
      </c>
      <c r="N54" s="441" t="str">
        <f t="shared" si="0"/>
        <v/>
      </c>
    </row>
    <row r="55" spans="1:14" s="237" customFormat="1" ht="15" hidden="1" customHeight="1" outlineLevel="2" x14ac:dyDescent="0.25">
      <c r="A55" s="363"/>
      <c r="B55" s="1145"/>
      <c r="C55" s="1145"/>
      <c r="D55" s="1268"/>
      <c r="E55" s="1268"/>
      <c r="F55" s="437"/>
      <c r="G55" s="1147" t="str">
        <f>IF(D55="","",VLOOKUP(D55,'Fatores de Emissão'!$C$82:$D$104,2,FALSE))</f>
        <v/>
      </c>
      <c r="H55" s="439" t="str">
        <f>IF(OR(D55="",D55="-"),"",VLOOKUP(D55,'Fatores de Emissão'!$C$82:$J$97,6,FALSE))</f>
        <v/>
      </c>
      <c r="I55" s="439" t="str">
        <f>IF(OR(D55="",D55="-"),"",VLOOKUP(D55,'Fatores de Emissão'!$C$82:$J$97,7,FALSE))</f>
        <v/>
      </c>
      <c r="J55" s="439" t="str">
        <f>IF(OR(D55="",D55="-"),"",VLOOKUP(D55,'Fatores de Emissão'!$C$82:$J$97,8,FALSE))</f>
        <v/>
      </c>
      <c r="K55" s="439" t="str">
        <f t="shared" si="1"/>
        <v/>
      </c>
      <c r="L55" s="439" t="str">
        <f t="shared" si="2"/>
        <v/>
      </c>
      <c r="M55" s="439" t="str">
        <f t="shared" si="3"/>
        <v/>
      </c>
      <c r="N55" s="441" t="str">
        <f t="shared" si="0"/>
        <v/>
      </c>
    </row>
    <row r="56" spans="1:14" s="237" customFormat="1" ht="15" hidden="1" customHeight="1" outlineLevel="2" x14ac:dyDescent="0.25">
      <c r="A56" s="363"/>
      <c r="B56" s="1145"/>
      <c r="C56" s="1145"/>
      <c r="D56" s="1268"/>
      <c r="E56" s="1268"/>
      <c r="F56" s="437"/>
      <c r="G56" s="1147" t="str">
        <f>IF(D56="","",VLOOKUP(D56,'Fatores de Emissão'!$C$82:$D$104,2,FALSE))</f>
        <v/>
      </c>
      <c r="H56" s="439" t="str">
        <f>IF(OR(D56="",D56="-"),"",VLOOKUP(D56,'Fatores de Emissão'!$C$82:$J$97,6,FALSE))</f>
        <v/>
      </c>
      <c r="I56" s="439" t="str">
        <f>IF(OR(D56="",D56="-"),"",VLOOKUP(D56,'Fatores de Emissão'!$C$82:$J$97,7,FALSE))</f>
        <v/>
      </c>
      <c r="J56" s="439" t="str">
        <f>IF(OR(D56="",D56="-"),"",VLOOKUP(D56,'Fatores de Emissão'!$C$82:$J$97,8,FALSE))</f>
        <v/>
      </c>
      <c r="K56" s="439" t="str">
        <f t="shared" si="1"/>
        <v/>
      </c>
      <c r="L56" s="439" t="str">
        <f t="shared" si="2"/>
        <v/>
      </c>
      <c r="M56" s="439" t="str">
        <f t="shared" si="3"/>
        <v/>
      </c>
      <c r="N56" s="441" t="str">
        <f t="shared" si="0"/>
        <v/>
      </c>
    </row>
    <row r="57" spans="1:14" s="237" customFormat="1" ht="15" hidden="1" customHeight="1" outlineLevel="2" x14ac:dyDescent="0.25">
      <c r="A57" s="363"/>
      <c r="B57" s="1145"/>
      <c r="C57" s="1145"/>
      <c r="D57" s="1268"/>
      <c r="E57" s="1268"/>
      <c r="F57" s="437"/>
      <c r="G57" s="1147" t="str">
        <f>IF(D57="","",VLOOKUP(D57,'Fatores de Emissão'!$C$82:$D$104,2,FALSE))</f>
        <v/>
      </c>
      <c r="H57" s="439" t="str">
        <f>IF(OR(D57="",D57="-"),"",VLOOKUP(D57,'Fatores de Emissão'!$C$82:$J$97,6,FALSE))</f>
        <v/>
      </c>
      <c r="I57" s="439" t="str">
        <f>IF(OR(D57="",D57="-"),"",VLOOKUP(D57,'Fatores de Emissão'!$C$82:$J$97,7,FALSE))</f>
        <v/>
      </c>
      <c r="J57" s="439" t="str">
        <f>IF(OR(D57="",D57="-"),"",VLOOKUP(D57,'Fatores de Emissão'!$C$82:$J$97,8,FALSE))</f>
        <v/>
      </c>
      <c r="K57" s="439" t="str">
        <f t="shared" si="1"/>
        <v/>
      </c>
      <c r="L57" s="439" t="str">
        <f t="shared" si="2"/>
        <v/>
      </c>
      <c r="M57" s="439" t="str">
        <f t="shared" si="3"/>
        <v/>
      </c>
      <c r="N57" s="441" t="str">
        <f t="shared" si="0"/>
        <v/>
      </c>
    </row>
    <row r="58" spans="1:14" s="237" customFormat="1" ht="15" hidden="1" customHeight="1" outlineLevel="2" x14ac:dyDescent="0.25">
      <c r="A58" s="363"/>
      <c r="B58" s="1145"/>
      <c r="C58" s="1145"/>
      <c r="D58" s="1268"/>
      <c r="E58" s="1268"/>
      <c r="F58" s="437"/>
      <c r="G58" s="1147" t="str">
        <f>IF(D58="","",VLOOKUP(D58,'Fatores de Emissão'!$C$82:$D$104,2,FALSE))</f>
        <v/>
      </c>
      <c r="H58" s="439" t="str">
        <f>IF(OR(D58="",D58="-"),"",VLOOKUP(D58,'Fatores de Emissão'!$C$82:$J$97,6,FALSE))</f>
        <v/>
      </c>
      <c r="I58" s="439" t="str">
        <f>IF(OR(D58="",D58="-"),"",VLOOKUP(D58,'Fatores de Emissão'!$C$82:$J$97,7,FALSE))</f>
        <v/>
      </c>
      <c r="J58" s="439" t="str">
        <f>IF(OR(D58="",D58="-"),"",VLOOKUP(D58,'Fatores de Emissão'!$C$82:$J$97,8,FALSE))</f>
        <v/>
      </c>
      <c r="K58" s="439" t="str">
        <f t="shared" si="1"/>
        <v/>
      </c>
      <c r="L58" s="439" t="str">
        <f t="shared" si="2"/>
        <v/>
      </c>
      <c r="M58" s="439" t="str">
        <f t="shared" si="3"/>
        <v/>
      </c>
      <c r="N58" s="441" t="str">
        <f t="shared" si="0"/>
        <v/>
      </c>
    </row>
    <row r="59" spans="1:14" s="237" customFormat="1" ht="15" hidden="1" customHeight="1" outlineLevel="2" x14ac:dyDescent="0.25">
      <c r="A59" s="363"/>
      <c r="B59" s="1145"/>
      <c r="C59" s="1145"/>
      <c r="D59" s="1268"/>
      <c r="E59" s="1268"/>
      <c r="F59" s="437"/>
      <c r="G59" s="1147" t="str">
        <f>IF(D59="","",VLOOKUP(D59,'Fatores de Emissão'!$C$82:$D$104,2,FALSE))</f>
        <v/>
      </c>
      <c r="H59" s="439" t="str">
        <f>IF(OR(D59="",D59="-"),"",VLOOKUP(D59,'Fatores de Emissão'!$C$82:$J$97,6,FALSE))</f>
        <v/>
      </c>
      <c r="I59" s="439" t="str">
        <f>IF(OR(D59="",D59="-"),"",VLOOKUP(D59,'Fatores de Emissão'!$C$82:$J$97,7,FALSE))</f>
        <v/>
      </c>
      <c r="J59" s="439" t="str">
        <f>IF(OR(D59="",D59="-"),"",VLOOKUP(D59,'Fatores de Emissão'!$C$82:$J$97,8,FALSE))</f>
        <v/>
      </c>
      <c r="K59" s="439" t="str">
        <f t="shared" si="1"/>
        <v/>
      </c>
      <c r="L59" s="439" t="str">
        <f t="shared" si="2"/>
        <v/>
      </c>
      <c r="M59" s="439" t="str">
        <f t="shared" si="3"/>
        <v/>
      </c>
      <c r="N59" s="441" t="str">
        <f t="shared" si="0"/>
        <v/>
      </c>
    </row>
    <row r="60" spans="1:14" s="237" customFormat="1" ht="15" hidden="1" customHeight="1" outlineLevel="2" x14ac:dyDescent="0.25">
      <c r="A60" s="363"/>
      <c r="B60" s="1145"/>
      <c r="C60" s="1145"/>
      <c r="D60" s="1268"/>
      <c r="E60" s="1268"/>
      <c r="F60" s="437"/>
      <c r="G60" s="1147" t="str">
        <f>IF(D60="","",VLOOKUP(D60,'Fatores de Emissão'!$C$82:$D$104,2,FALSE))</f>
        <v/>
      </c>
      <c r="H60" s="439" t="str">
        <f>IF(OR(D60="",D60="-"),"",VLOOKUP(D60,'Fatores de Emissão'!$C$82:$J$97,6,FALSE))</f>
        <v/>
      </c>
      <c r="I60" s="439" t="str">
        <f>IF(OR(D60="",D60="-"),"",VLOOKUP(D60,'Fatores de Emissão'!$C$82:$J$97,7,FALSE))</f>
        <v/>
      </c>
      <c r="J60" s="439" t="str">
        <f>IF(OR(D60="",D60="-"),"",VLOOKUP(D60,'Fatores de Emissão'!$C$82:$J$97,8,FALSE))</f>
        <v/>
      </c>
      <c r="K60" s="439" t="str">
        <f t="shared" si="1"/>
        <v/>
      </c>
      <c r="L60" s="439" t="str">
        <f t="shared" si="2"/>
        <v/>
      </c>
      <c r="M60" s="439" t="str">
        <f t="shared" si="3"/>
        <v/>
      </c>
      <c r="N60" s="441" t="str">
        <f t="shared" si="0"/>
        <v/>
      </c>
    </row>
    <row r="61" spans="1:14" s="237" customFormat="1" ht="15" hidden="1" customHeight="1" outlineLevel="2" x14ac:dyDescent="0.25">
      <c r="A61" s="363"/>
      <c r="B61" s="1145"/>
      <c r="C61" s="1145"/>
      <c r="D61" s="1268"/>
      <c r="E61" s="1268"/>
      <c r="F61" s="437"/>
      <c r="G61" s="1147" t="str">
        <f>IF(D61="","",VLOOKUP(D61,'Fatores de Emissão'!$C$82:$D$104,2,FALSE))</f>
        <v/>
      </c>
      <c r="H61" s="439" t="str">
        <f>IF(OR(D61="",D61="-"),"",VLOOKUP(D61,'Fatores de Emissão'!$C$82:$J$97,6,FALSE))</f>
        <v/>
      </c>
      <c r="I61" s="439" t="str">
        <f>IF(OR(D61="",D61="-"),"",VLOOKUP(D61,'Fatores de Emissão'!$C$82:$J$97,7,FALSE))</f>
        <v/>
      </c>
      <c r="J61" s="439" t="str">
        <f>IF(OR(D61="",D61="-"),"",VLOOKUP(D61,'Fatores de Emissão'!$C$82:$J$97,8,FALSE))</f>
        <v/>
      </c>
      <c r="K61" s="439" t="str">
        <f t="shared" si="1"/>
        <v/>
      </c>
      <c r="L61" s="439" t="str">
        <f t="shared" si="2"/>
        <v/>
      </c>
      <c r="M61" s="439" t="str">
        <f t="shared" si="3"/>
        <v/>
      </c>
      <c r="N61" s="441" t="str">
        <f t="shared" si="0"/>
        <v/>
      </c>
    </row>
    <row r="62" spans="1:14" s="237" customFormat="1" ht="15" hidden="1" customHeight="1" outlineLevel="2" x14ac:dyDescent="0.25">
      <c r="A62" s="363"/>
      <c r="B62" s="1145"/>
      <c r="C62" s="1145"/>
      <c r="D62" s="1268"/>
      <c r="E62" s="1268"/>
      <c r="F62" s="437"/>
      <c r="G62" s="1147" t="str">
        <f>IF(D62="","",VLOOKUP(D62,'Fatores de Emissão'!$C$82:$D$104,2,FALSE))</f>
        <v/>
      </c>
      <c r="H62" s="439" t="str">
        <f>IF(OR(D62="",D62="-"),"",VLOOKUP(D62,'Fatores de Emissão'!$C$82:$J$97,6,FALSE))</f>
        <v/>
      </c>
      <c r="I62" s="439" t="str">
        <f>IF(OR(D62="",D62="-"),"",VLOOKUP(D62,'Fatores de Emissão'!$C$82:$J$97,7,FALSE))</f>
        <v/>
      </c>
      <c r="J62" s="439" t="str">
        <f>IF(OR(D62="",D62="-"),"",VLOOKUP(D62,'Fatores de Emissão'!$C$82:$J$97,8,FALSE))</f>
        <v/>
      </c>
      <c r="K62" s="439" t="str">
        <f t="shared" si="1"/>
        <v/>
      </c>
      <c r="L62" s="439" t="str">
        <f t="shared" si="2"/>
        <v/>
      </c>
      <c r="M62" s="439" t="str">
        <f t="shared" si="3"/>
        <v/>
      </c>
      <c r="N62" s="441" t="str">
        <f t="shared" si="0"/>
        <v/>
      </c>
    </row>
    <row r="63" spans="1:14" s="237" customFormat="1" ht="15" hidden="1" customHeight="1" outlineLevel="2" x14ac:dyDescent="0.25">
      <c r="A63" s="363"/>
      <c r="B63" s="1145"/>
      <c r="C63" s="1145"/>
      <c r="D63" s="1268"/>
      <c r="E63" s="1268"/>
      <c r="F63" s="437"/>
      <c r="G63" s="1147" t="str">
        <f>IF(D63="","",VLOOKUP(D63,'Fatores de Emissão'!$C$82:$D$104,2,FALSE))</f>
        <v/>
      </c>
      <c r="H63" s="439" t="str">
        <f>IF(OR(D63="",D63="-"),"",VLOOKUP(D63,'Fatores de Emissão'!$C$82:$J$97,6,FALSE))</f>
        <v/>
      </c>
      <c r="I63" s="439" t="str">
        <f>IF(OR(D63="",D63="-"),"",VLOOKUP(D63,'Fatores de Emissão'!$C$82:$J$97,7,FALSE))</f>
        <v/>
      </c>
      <c r="J63" s="439" t="str">
        <f>IF(OR(D63="",D63="-"),"",VLOOKUP(D63,'Fatores de Emissão'!$C$82:$J$97,8,FALSE))</f>
        <v/>
      </c>
      <c r="K63" s="439" t="str">
        <f t="shared" si="1"/>
        <v/>
      </c>
      <c r="L63" s="439" t="str">
        <f t="shared" si="2"/>
        <v/>
      </c>
      <c r="M63" s="439" t="str">
        <f t="shared" si="3"/>
        <v/>
      </c>
      <c r="N63" s="441" t="str">
        <f t="shared" si="0"/>
        <v/>
      </c>
    </row>
    <row r="64" spans="1:14" s="237" customFormat="1" ht="15" hidden="1" customHeight="1" outlineLevel="2" x14ac:dyDescent="0.25">
      <c r="A64" s="363"/>
      <c r="B64" s="1145"/>
      <c r="C64" s="1145"/>
      <c r="D64" s="1268"/>
      <c r="E64" s="1268"/>
      <c r="F64" s="437"/>
      <c r="G64" s="1147" t="str">
        <f>IF(D64="","",VLOOKUP(D64,'Fatores de Emissão'!$C$82:$D$104,2,FALSE))</f>
        <v/>
      </c>
      <c r="H64" s="439" t="str">
        <f>IF(OR(D64="",D64="-"),"",VLOOKUP(D64,'Fatores de Emissão'!$C$82:$J$97,6,FALSE))</f>
        <v/>
      </c>
      <c r="I64" s="439" t="str">
        <f>IF(OR(D64="",D64="-"),"",VLOOKUP(D64,'Fatores de Emissão'!$C$82:$J$97,7,FALSE))</f>
        <v/>
      </c>
      <c r="J64" s="439" t="str">
        <f>IF(OR(D64="",D64="-"),"",VLOOKUP(D64,'Fatores de Emissão'!$C$82:$J$97,8,FALSE))</f>
        <v/>
      </c>
      <c r="K64" s="439" t="str">
        <f t="shared" si="1"/>
        <v/>
      </c>
      <c r="L64" s="439" t="str">
        <f t="shared" si="2"/>
        <v/>
      </c>
      <c r="M64" s="439" t="str">
        <f t="shared" si="3"/>
        <v/>
      </c>
      <c r="N64" s="441" t="str">
        <f t="shared" si="0"/>
        <v/>
      </c>
    </row>
    <row r="65" spans="1:14" s="237" customFormat="1" ht="15" hidden="1" customHeight="1" outlineLevel="2" x14ac:dyDescent="0.25">
      <c r="A65" s="363"/>
      <c r="B65" s="1145"/>
      <c r="C65" s="1145"/>
      <c r="D65" s="1268"/>
      <c r="E65" s="1268"/>
      <c r="F65" s="437"/>
      <c r="G65" s="1147" t="str">
        <f>IF(D65="","",VLOOKUP(D65,'Fatores de Emissão'!$C$82:$D$104,2,FALSE))</f>
        <v/>
      </c>
      <c r="H65" s="439" t="str">
        <f>IF(OR(D65="",D65="-"),"",VLOOKUP(D65,'Fatores de Emissão'!$C$82:$J$97,6,FALSE))</f>
        <v/>
      </c>
      <c r="I65" s="439" t="str">
        <f>IF(OR(D65="",D65="-"),"",VLOOKUP(D65,'Fatores de Emissão'!$C$82:$J$97,7,FALSE))</f>
        <v/>
      </c>
      <c r="J65" s="439" t="str">
        <f>IF(OR(D65="",D65="-"),"",VLOOKUP(D65,'Fatores de Emissão'!$C$82:$J$97,8,FALSE))</f>
        <v/>
      </c>
      <c r="K65" s="439" t="str">
        <f t="shared" si="1"/>
        <v/>
      </c>
      <c r="L65" s="439" t="str">
        <f t="shared" si="2"/>
        <v/>
      </c>
      <c r="M65" s="439" t="str">
        <f t="shared" si="3"/>
        <v/>
      </c>
      <c r="N65" s="441" t="str">
        <f t="shared" si="0"/>
        <v/>
      </c>
    </row>
    <row r="66" spans="1:14" s="237" customFormat="1" ht="15" hidden="1" customHeight="1" outlineLevel="2" x14ac:dyDescent="0.25">
      <c r="A66" s="363"/>
      <c r="B66" s="1145"/>
      <c r="C66" s="1145"/>
      <c r="D66" s="1268"/>
      <c r="E66" s="1268"/>
      <c r="F66" s="437"/>
      <c r="G66" s="1147" t="str">
        <f>IF(D66="","",VLOOKUP(D66,'Fatores de Emissão'!$C$82:$D$104,2,FALSE))</f>
        <v/>
      </c>
      <c r="H66" s="439" t="str">
        <f>IF(OR(D66="",D66="-"),"",VLOOKUP(D66,'Fatores de Emissão'!$C$82:$J$97,6,FALSE))</f>
        <v/>
      </c>
      <c r="I66" s="439" t="str">
        <f>IF(OR(D66="",D66="-"),"",VLOOKUP(D66,'Fatores de Emissão'!$C$82:$J$97,7,FALSE))</f>
        <v/>
      </c>
      <c r="J66" s="439" t="str">
        <f>IF(OR(D66="",D66="-"),"",VLOOKUP(D66,'Fatores de Emissão'!$C$82:$J$97,8,FALSE))</f>
        <v/>
      </c>
      <c r="K66" s="439" t="str">
        <f t="shared" si="1"/>
        <v/>
      </c>
      <c r="L66" s="439" t="str">
        <f t="shared" si="2"/>
        <v/>
      </c>
      <c r="M66" s="439" t="str">
        <f t="shared" si="3"/>
        <v/>
      </c>
      <c r="N66" s="441" t="str">
        <f t="shared" si="0"/>
        <v/>
      </c>
    </row>
    <row r="67" spans="1:14" s="237" customFormat="1" ht="15" hidden="1" customHeight="1" outlineLevel="2" x14ac:dyDescent="0.25">
      <c r="A67" s="363"/>
      <c r="B67" s="1145"/>
      <c r="C67" s="1145"/>
      <c r="D67" s="1268"/>
      <c r="E67" s="1268"/>
      <c r="F67" s="437"/>
      <c r="G67" s="1147" t="str">
        <f>IF(D67="","",VLOOKUP(D67,'Fatores de Emissão'!$C$82:$D$104,2,FALSE))</f>
        <v/>
      </c>
      <c r="H67" s="439" t="str">
        <f>IF(OR(D67="",D67="-"),"",VLOOKUP(D67,'Fatores de Emissão'!$C$82:$J$97,6,FALSE))</f>
        <v/>
      </c>
      <c r="I67" s="439" t="str">
        <f>IF(OR(D67="",D67="-"),"",VLOOKUP(D67,'Fatores de Emissão'!$C$82:$J$97,7,FALSE))</f>
        <v/>
      </c>
      <c r="J67" s="439" t="str">
        <f>IF(OR(D67="",D67="-"),"",VLOOKUP(D67,'Fatores de Emissão'!$C$82:$J$97,8,FALSE))</f>
        <v/>
      </c>
      <c r="K67" s="439" t="str">
        <f t="shared" si="1"/>
        <v/>
      </c>
      <c r="L67" s="439" t="str">
        <f t="shared" si="2"/>
        <v/>
      </c>
      <c r="M67" s="439" t="str">
        <f t="shared" si="3"/>
        <v/>
      </c>
      <c r="N67" s="441" t="str">
        <f t="shared" si="0"/>
        <v/>
      </c>
    </row>
    <row r="68" spans="1:14" s="237" customFormat="1" ht="15" hidden="1" customHeight="1" outlineLevel="2" x14ac:dyDescent="0.25">
      <c r="A68" s="363"/>
      <c r="B68" s="1145"/>
      <c r="C68" s="1145"/>
      <c r="D68" s="1268"/>
      <c r="E68" s="1268"/>
      <c r="F68" s="437"/>
      <c r="G68" s="1147" t="str">
        <f>IF(D68="","",VLOOKUP(D68,'Fatores de Emissão'!$C$82:$D$104,2,FALSE))</f>
        <v/>
      </c>
      <c r="H68" s="439" t="str">
        <f>IF(OR(D68="",D68="-"),"",VLOOKUP(D68,'Fatores de Emissão'!$C$82:$J$97,6,FALSE))</f>
        <v/>
      </c>
      <c r="I68" s="439" t="str">
        <f>IF(OR(D68="",D68="-"),"",VLOOKUP(D68,'Fatores de Emissão'!$C$82:$J$97,7,FALSE))</f>
        <v/>
      </c>
      <c r="J68" s="439" t="str">
        <f>IF(OR(D68="",D68="-"),"",VLOOKUP(D68,'Fatores de Emissão'!$C$82:$J$97,8,FALSE))</f>
        <v/>
      </c>
      <c r="K68" s="439" t="str">
        <f t="shared" si="1"/>
        <v/>
      </c>
      <c r="L68" s="439" t="str">
        <f t="shared" si="2"/>
        <v/>
      </c>
      <c r="M68" s="439" t="str">
        <f t="shared" si="3"/>
        <v/>
      </c>
      <c r="N68" s="441" t="str">
        <f t="shared" si="0"/>
        <v/>
      </c>
    </row>
    <row r="69" spans="1:14" s="237" customFormat="1" ht="15" hidden="1" customHeight="1" outlineLevel="2" x14ac:dyDescent="0.25">
      <c r="A69" s="363"/>
      <c r="B69" s="1145"/>
      <c r="C69" s="1145"/>
      <c r="D69" s="1268"/>
      <c r="E69" s="1268"/>
      <c r="F69" s="437"/>
      <c r="G69" s="1147" t="str">
        <f>IF(D69="","",VLOOKUP(D69,'Fatores de Emissão'!$C$82:$D$104,2,FALSE))</f>
        <v/>
      </c>
      <c r="H69" s="439" t="str">
        <f>IF(OR(D69="",D69="-"),"",VLOOKUP(D69,'Fatores de Emissão'!$C$82:$J$97,6,FALSE))</f>
        <v/>
      </c>
      <c r="I69" s="439" t="str">
        <f>IF(OR(D69="",D69="-"),"",VLOOKUP(D69,'Fatores de Emissão'!$C$82:$J$97,7,FALSE))</f>
        <v/>
      </c>
      <c r="J69" s="439" t="str">
        <f>IF(OR(D69="",D69="-"),"",VLOOKUP(D69,'Fatores de Emissão'!$C$82:$J$97,8,FALSE))</f>
        <v/>
      </c>
      <c r="K69" s="439" t="str">
        <f t="shared" si="1"/>
        <v/>
      </c>
      <c r="L69" s="439" t="str">
        <f t="shared" si="2"/>
        <v/>
      </c>
      <c r="M69" s="439" t="str">
        <f t="shared" si="3"/>
        <v/>
      </c>
      <c r="N69" s="441" t="str">
        <f t="shared" si="0"/>
        <v/>
      </c>
    </row>
    <row r="70" spans="1:14" s="237" customFormat="1" ht="15" hidden="1" customHeight="1" outlineLevel="2" x14ac:dyDescent="0.25">
      <c r="A70" s="363"/>
      <c r="B70" s="1145"/>
      <c r="C70" s="1145"/>
      <c r="D70" s="1268"/>
      <c r="E70" s="1268"/>
      <c r="F70" s="437"/>
      <c r="G70" s="1147" t="str">
        <f>IF(D70="","",VLOOKUP(D70,'Fatores de Emissão'!$C$82:$D$104,2,FALSE))</f>
        <v/>
      </c>
      <c r="H70" s="439" t="str">
        <f>IF(OR(D70="",D70="-"),"",VLOOKUP(D70,'Fatores de Emissão'!$C$82:$J$97,6,FALSE))</f>
        <v/>
      </c>
      <c r="I70" s="439" t="str">
        <f>IF(OR(D70="",D70="-"),"",VLOOKUP(D70,'Fatores de Emissão'!$C$82:$J$97,7,FALSE))</f>
        <v/>
      </c>
      <c r="J70" s="439" t="str">
        <f>IF(OR(D70="",D70="-"),"",VLOOKUP(D70,'Fatores de Emissão'!$C$82:$J$97,8,FALSE))</f>
        <v/>
      </c>
      <c r="K70" s="439" t="str">
        <f t="shared" si="1"/>
        <v/>
      </c>
      <c r="L70" s="439" t="str">
        <f t="shared" si="2"/>
        <v/>
      </c>
      <c r="M70" s="439" t="str">
        <f t="shared" si="3"/>
        <v/>
      </c>
      <c r="N70" s="441" t="str">
        <f t="shared" si="0"/>
        <v/>
      </c>
    </row>
    <row r="71" spans="1:14" s="237" customFormat="1" ht="15" hidden="1" customHeight="1" outlineLevel="2" x14ac:dyDescent="0.25">
      <c r="A71" s="363"/>
      <c r="B71" s="1145"/>
      <c r="C71" s="1145"/>
      <c r="D71" s="1268"/>
      <c r="E71" s="1268"/>
      <c r="F71" s="437"/>
      <c r="G71" s="1147" t="str">
        <f>IF(D71="","",VLOOKUP(D71,'Fatores de Emissão'!$C$82:$D$104,2,FALSE))</f>
        <v/>
      </c>
      <c r="H71" s="439" t="str">
        <f>IF(OR(D71="",D71="-"),"",VLOOKUP(D71,'Fatores de Emissão'!$C$82:$J$97,6,FALSE))</f>
        <v/>
      </c>
      <c r="I71" s="439" t="str">
        <f>IF(OR(D71="",D71="-"),"",VLOOKUP(D71,'Fatores de Emissão'!$C$82:$J$97,7,FALSE))</f>
        <v/>
      </c>
      <c r="J71" s="439" t="str">
        <f>IF(OR(D71="",D71="-"),"",VLOOKUP(D71,'Fatores de Emissão'!$C$82:$J$97,8,FALSE))</f>
        <v/>
      </c>
      <c r="K71" s="439" t="str">
        <f t="shared" si="1"/>
        <v/>
      </c>
      <c r="L71" s="439" t="str">
        <f t="shared" si="2"/>
        <v/>
      </c>
      <c r="M71" s="439" t="str">
        <f t="shared" si="3"/>
        <v/>
      </c>
      <c r="N71" s="441" t="str">
        <f t="shared" si="0"/>
        <v/>
      </c>
    </row>
    <row r="72" spans="1:14" s="237" customFormat="1" ht="15" hidden="1" customHeight="1" outlineLevel="2" x14ac:dyDescent="0.25">
      <c r="A72" s="363"/>
      <c r="B72" s="1145"/>
      <c r="C72" s="1145"/>
      <c r="D72" s="1268"/>
      <c r="E72" s="1268"/>
      <c r="F72" s="437"/>
      <c r="G72" s="1147" t="str">
        <f>IF(D72="","",VLOOKUP(D72,'Fatores de Emissão'!$C$82:$D$104,2,FALSE))</f>
        <v/>
      </c>
      <c r="H72" s="439" t="str">
        <f>IF(OR(D72="",D72="-"),"",VLOOKUP(D72,'Fatores de Emissão'!$C$82:$J$97,6,FALSE))</f>
        <v/>
      </c>
      <c r="I72" s="439" t="str">
        <f>IF(OR(D72="",D72="-"),"",VLOOKUP(D72,'Fatores de Emissão'!$C$82:$J$97,7,FALSE))</f>
        <v/>
      </c>
      <c r="J72" s="439" t="str">
        <f>IF(OR(D72="",D72="-"),"",VLOOKUP(D72,'Fatores de Emissão'!$C$82:$J$97,8,FALSE))</f>
        <v/>
      </c>
      <c r="K72" s="439" t="str">
        <f t="shared" si="1"/>
        <v/>
      </c>
      <c r="L72" s="439" t="str">
        <f t="shared" si="2"/>
        <v/>
      </c>
      <c r="M72" s="439" t="str">
        <f t="shared" si="3"/>
        <v/>
      </c>
      <c r="N72" s="441" t="str">
        <f t="shared" si="0"/>
        <v/>
      </c>
    </row>
    <row r="73" spans="1:14" s="237" customFormat="1" ht="15" hidden="1" customHeight="1" outlineLevel="2" x14ac:dyDescent="0.25">
      <c r="A73" s="363"/>
      <c r="B73" s="1145"/>
      <c r="C73" s="1145"/>
      <c r="D73" s="1268"/>
      <c r="E73" s="1268"/>
      <c r="F73" s="437"/>
      <c r="G73" s="1147" t="str">
        <f>IF(D73="","",VLOOKUP(D73,'Fatores de Emissão'!$C$82:$D$104,2,FALSE))</f>
        <v/>
      </c>
      <c r="H73" s="439" t="str">
        <f>IF(OR(D73="",D73="-"),"",VLOOKUP(D73,'Fatores de Emissão'!$C$82:$J$97,6,FALSE))</f>
        <v/>
      </c>
      <c r="I73" s="439" t="str">
        <f>IF(OR(D73="",D73="-"),"",VLOOKUP(D73,'Fatores de Emissão'!$C$82:$J$97,7,FALSE))</f>
        <v/>
      </c>
      <c r="J73" s="439" t="str">
        <f>IF(OR(D73="",D73="-"),"",VLOOKUP(D73,'Fatores de Emissão'!$C$82:$J$97,8,FALSE))</f>
        <v/>
      </c>
      <c r="K73" s="439" t="str">
        <f t="shared" si="1"/>
        <v/>
      </c>
      <c r="L73" s="439" t="str">
        <f t="shared" si="2"/>
        <v/>
      </c>
      <c r="M73" s="439" t="str">
        <f t="shared" si="3"/>
        <v/>
      </c>
      <c r="N73" s="441" t="str">
        <f t="shared" si="0"/>
        <v/>
      </c>
    </row>
    <row r="74" spans="1:14" s="237" customFormat="1" ht="15" hidden="1" customHeight="1" outlineLevel="2" x14ac:dyDescent="0.25">
      <c r="A74" s="363"/>
      <c r="B74" s="1145"/>
      <c r="C74" s="1145"/>
      <c r="D74" s="1268"/>
      <c r="E74" s="1268"/>
      <c r="F74" s="437"/>
      <c r="G74" s="1147" t="str">
        <f>IF(D74="","",VLOOKUP(D74,'Fatores de Emissão'!$C$82:$D$104,2,FALSE))</f>
        <v/>
      </c>
      <c r="H74" s="439" t="str">
        <f>IF(OR(D74="",D74="-"),"",VLOOKUP(D74,'Fatores de Emissão'!$C$82:$J$97,6,FALSE))</f>
        <v/>
      </c>
      <c r="I74" s="439" t="str">
        <f>IF(OR(D74="",D74="-"),"",VLOOKUP(D74,'Fatores de Emissão'!$C$82:$J$97,7,FALSE))</f>
        <v/>
      </c>
      <c r="J74" s="439" t="str">
        <f>IF(OR(D74="",D74="-"),"",VLOOKUP(D74,'Fatores de Emissão'!$C$82:$J$97,8,FALSE))</f>
        <v/>
      </c>
      <c r="K74" s="439" t="str">
        <f t="shared" si="1"/>
        <v/>
      </c>
      <c r="L74" s="439" t="str">
        <f t="shared" si="2"/>
        <v/>
      </c>
      <c r="M74" s="439" t="str">
        <f t="shared" si="3"/>
        <v/>
      </c>
      <c r="N74" s="441" t="str">
        <f t="shared" si="0"/>
        <v/>
      </c>
    </row>
    <row r="75" spans="1:14" s="237" customFormat="1" ht="15" hidden="1" customHeight="1" outlineLevel="2" x14ac:dyDescent="0.25">
      <c r="A75" s="363"/>
      <c r="B75" s="1145"/>
      <c r="C75" s="1145"/>
      <c r="D75" s="1268"/>
      <c r="E75" s="1268"/>
      <c r="F75" s="437"/>
      <c r="G75" s="1147" t="str">
        <f>IF(D75="","",VLOOKUP(D75,'Fatores de Emissão'!$C$82:$D$104,2,FALSE))</f>
        <v/>
      </c>
      <c r="H75" s="439" t="str">
        <f>IF(OR(D75="",D75="-"),"",VLOOKUP(D75,'Fatores de Emissão'!$C$82:$J$97,6,FALSE))</f>
        <v/>
      </c>
      <c r="I75" s="439" t="str">
        <f>IF(OR(D75="",D75="-"),"",VLOOKUP(D75,'Fatores de Emissão'!$C$82:$J$97,7,FALSE))</f>
        <v/>
      </c>
      <c r="J75" s="439" t="str">
        <f>IF(OR(D75="",D75="-"),"",VLOOKUP(D75,'Fatores de Emissão'!$C$82:$J$97,8,FALSE))</f>
        <v/>
      </c>
      <c r="K75" s="439" t="str">
        <f t="shared" si="1"/>
        <v/>
      </c>
      <c r="L75" s="439" t="str">
        <f t="shared" si="2"/>
        <v/>
      </c>
      <c r="M75" s="439" t="str">
        <f t="shared" si="3"/>
        <v/>
      </c>
      <c r="N75" s="441" t="str">
        <f t="shared" si="0"/>
        <v/>
      </c>
    </row>
    <row r="76" spans="1:14" s="237" customFormat="1" ht="15" hidden="1" customHeight="1" outlineLevel="2" x14ac:dyDescent="0.25">
      <c r="A76" s="363"/>
      <c r="B76" s="1145"/>
      <c r="C76" s="1145"/>
      <c r="D76" s="1268"/>
      <c r="E76" s="1268"/>
      <c r="F76" s="437"/>
      <c r="G76" s="1147" t="str">
        <f>IF(D76="","",VLOOKUP(D76,'Fatores de Emissão'!$C$82:$D$104,2,FALSE))</f>
        <v/>
      </c>
      <c r="H76" s="439" t="str">
        <f>IF(OR(D76="",D76="-"),"",VLOOKUP(D76,'Fatores de Emissão'!$C$82:$J$97,6,FALSE))</f>
        <v/>
      </c>
      <c r="I76" s="439" t="str">
        <f>IF(OR(D76="",D76="-"),"",VLOOKUP(D76,'Fatores de Emissão'!$C$82:$J$97,7,FALSE))</f>
        <v/>
      </c>
      <c r="J76" s="439" t="str">
        <f>IF(OR(D76="",D76="-"),"",VLOOKUP(D76,'Fatores de Emissão'!$C$82:$J$97,8,FALSE))</f>
        <v/>
      </c>
      <c r="K76" s="439" t="str">
        <f t="shared" si="1"/>
        <v/>
      </c>
      <c r="L76" s="439" t="str">
        <f t="shared" si="2"/>
        <v/>
      </c>
      <c r="M76" s="439" t="str">
        <f t="shared" si="3"/>
        <v/>
      </c>
      <c r="N76" s="441" t="str">
        <f t="shared" si="0"/>
        <v/>
      </c>
    </row>
    <row r="77" spans="1:14" s="237" customFormat="1" ht="15" hidden="1" customHeight="1" outlineLevel="2" x14ac:dyDescent="0.25">
      <c r="A77" s="363"/>
      <c r="B77" s="1145"/>
      <c r="C77" s="1145"/>
      <c r="D77" s="1268"/>
      <c r="E77" s="1268"/>
      <c r="F77" s="437"/>
      <c r="G77" s="1147" t="str">
        <f>IF(D77="","",VLOOKUP(D77,'Fatores de Emissão'!$C$82:$D$104,2,FALSE))</f>
        <v/>
      </c>
      <c r="H77" s="439" t="str">
        <f>IF(OR(D77="",D77="-"),"",VLOOKUP(D77,'Fatores de Emissão'!$C$82:$J$97,6,FALSE))</f>
        <v/>
      </c>
      <c r="I77" s="439" t="str">
        <f>IF(OR(D77="",D77="-"),"",VLOOKUP(D77,'Fatores de Emissão'!$C$82:$J$97,7,FALSE))</f>
        <v/>
      </c>
      <c r="J77" s="439" t="str">
        <f>IF(OR(D77="",D77="-"),"",VLOOKUP(D77,'Fatores de Emissão'!$C$82:$J$97,8,FALSE))</f>
        <v/>
      </c>
      <c r="K77" s="439" t="str">
        <f t="shared" si="1"/>
        <v/>
      </c>
      <c r="L77" s="439" t="str">
        <f t="shared" si="2"/>
        <v/>
      </c>
      <c r="M77" s="439" t="str">
        <f t="shared" si="3"/>
        <v/>
      </c>
      <c r="N77" s="441" t="str">
        <f t="shared" si="0"/>
        <v/>
      </c>
    </row>
    <row r="78" spans="1:14" s="237" customFormat="1" ht="15" hidden="1" customHeight="1" outlineLevel="2" x14ac:dyDescent="0.25">
      <c r="A78" s="363"/>
      <c r="B78" s="1145"/>
      <c r="C78" s="1145"/>
      <c r="D78" s="1268"/>
      <c r="E78" s="1268"/>
      <c r="F78" s="437"/>
      <c r="G78" s="1147" t="str">
        <f>IF(D78="","",VLOOKUP(D78,'Fatores de Emissão'!$C$82:$D$104,2,FALSE))</f>
        <v/>
      </c>
      <c r="H78" s="439" t="str">
        <f>IF(OR(D78="",D78="-"),"",VLOOKUP(D78,'Fatores de Emissão'!$C$82:$J$97,6,FALSE))</f>
        <v/>
      </c>
      <c r="I78" s="439" t="str">
        <f>IF(OR(D78="",D78="-"),"",VLOOKUP(D78,'Fatores de Emissão'!$C$82:$J$97,7,FALSE))</f>
        <v/>
      </c>
      <c r="J78" s="439" t="str">
        <f>IF(OR(D78="",D78="-"),"",VLOOKUP(D78,'Fatores de Emissão'!$C$82:$J$97,8,FALSE))</f>
        <v/>
      </c>
      <c r="K78" s="439" t="str">
        <f t="shared" si="1"/>
        <v/>
      </c>
      <c r="L78" s="439" t="str">
        <f t="shared" si="2"/>
        <v/>
      </c>
      <c r="M78" s="439" t="str">
        <f t="shared" si="3"/>
        <v/>
      </c>
      <c r="N78" s="441" t="str">
        <f t="shared" si="0"/>
        <v/>
      </c>
    </row>
    <row r="79" spans="1:14" s="237" customFormat="1" ht="15" hidden="1" customHeight="1" outlineLevel="2" x14ac:dyDescent="0.25">
      <c r="A79" s="363"/>
      <c r="B79" s="1145"/>
      <c r="C79" s="1145"/>
      <c r="D79" s="1268"/>
      <c r="E79" s="1268"/>
      <c r="F79" s="437"/>
      <c r="G79" s="1147" t="str">
        <f>IF(D79="","",VLOOKUP(D79,'Fatores de Emissão'!$C$82:$D$104,2,FALSE))</f>
        <v/>
      </c>
      <c r="H79" s="439" t="str">
        <f>IF(OR(D79="",D79="-"),"",VLOOKUP(D79,'Fatores de Emissão'!$C$82:$J$97,6,FALSE))</f>
        <v/>
      </c>
      <c r="I79" s="439" t="str">
        <f>IF(OR(D79="",D79="-"),"",VLOOKUP(D79,'Fatores de Emissão'!$C$82:$J$97,7,FALSE))</f>
        <v/>
      </c>
      <c r="J79" s="439" t="str">
        <f>IF(OR(D79="",D79="-"),"",VLOOKUP(D79,'Fatores de Emissão'!$C$82:$J$97,8,FALSE))</f>
        <v/>
      </c>
      <c r="K79" s="439" t="str">
        <f t="shared" si="1"/>
        <v/>
      </c>
      <c r="L79" s="439" t="str">
        <f t="shared" si="2"/>
        <v/>
      </c>
      <c r="M79" s="439" t="str">
        <f t="shared" si="3"/>
        <v/>
      </c>
      <c r="N79" s="441" t="str">
        <f t="shared" si="0"/>
        <v/>
      </c>
    </row>
    <row r="80" spans="1:14" s="237" customFormat="1" ht="15" hidden="1" customHeight="1" outlineLevel="2" x14ac:dyDescent="0.25">
      <c r="A80" s="363"/>
      <c r="B80" s="1145"/>
      <c r="C80" s="1145"/>
      <c r="D80" s="1268"/>
      <c r="E80" s="1268"/>
      <c r="F80" s="437"/>
      <c r="G80" s="1147" t="str">
        <f>IF(D80="","",VLOOKUP(D80,'Fatores de Emissão'!$C$82:$D$104,2,FALSE))</f>
        <v/>
      </c>
      <c r="H80" s="439" t="str">
        <f>IF(OR(D80="",D80="-"),"",VLOOKUP(D80,'Fatores de Emissão'!$C$82:$J$97,6,FALSE))</f>
        <v/>
      </c>
      <c r="I80" s="439" t="str">
        <f>IF(OR(D80="",D80="-"),"",VLOOKUP(D80,'Fatores de Emissão'!$C$82:$J$97,7,FALSE))</f>
        <v/>
      </c>
      <c r="J80" s="439" t="str">
        <f>IF(OR(D80="",D80="-"),"",VLOOKUP(D80,'Fatores de Emissão'!$C$82:$J$97,8,FALSE))</f>
        <v/>
      </c>
      <c r="K80" s="439" t="str">
        <f t="shared" si="1"/>
        <v/>
      </c>
      <c r="L80" s="439" t="str">
        <f t="shared" si="2"/>
        <v/>
      </c>
      <c r="M80" s="439" t="str">
        <f t="shared" si="3"/>
        <v/>
      </c>
      <c r="N80" s="441" t="str">
        <f t="shared" si="0"/>
        <v/>
      </c>
    </row>
    <row r="81" spans="1:28" s="237" customFormat="1" ht="15" hidden="1" customHeight="1" outlineLevel="2" x14ac:dyDescent="0.25">
      <c r="A81" s="363"/>
      <c r="B81" s="1145"/>
      <c r="C81" s="1145"/>
      <c r="D81" s="1268"/>
      <c r="E81" s="1268"/>
      <c r="F81" s="437"/>
      <c r="G81" s="1147" t="str">
        <f>IF(D81="","",VLOOKUP(D81,'Fatores de Emissão'!$C$82:$D$104,2,FALSE))</f>
        <v/>
      </c>
      <c r="H81" s="439" t="str">
        <f>IF(OR(D81="",D81="-"),"",VLOOKUP(D81,'Fatores de Emissão'!$C$82:$J$97,6,FALSE))</f>
        <v/>
      </c>
      <c r="I81" s="439" t="str">
        <f>IF(OR(D81="",D81="-"),"",VLOOKUP(D81,'Fatores de Emissão'!$C$82:$J$97,7,FALSE))</f>
        <v/>
      </c>
      <c r="J81" s="439" t="str">
        <f>IF(OR(D81="",D81="-"),"",VLOOKUP(D81,'Fatores de Emissão'!$C$82:$J$97,8,FALSE))</f>
        <v/>
      </c>
      <c r="K81" s="439" t="str">
        <f t="shared" si="1"/>
        <v/>
      </c>
      <c r="L81" s="439" t="str">
        <f t="shared" si="2"/>
        <v/>
      </c>
      <c r="M81" s="439" t="str">
        <f t="shared" si="3"/>
        <v/>
      </c>
      <c r="N81" s="441" t="str">
        <f t="shared" si="0"/>
        <v/>
      </c>
    </row>
    <row r="82" spans="1:28" s="237" customFormat="1" ht="15" hidden="1" customHeight="1" outlineLevel="2" x14ac:dyDescent="0.25">
      <c r="A82" s="363"/>
      <c r="B82" s="1145"/>
      <c r="C82" s="1145"/>
      <c r="D82" s="1268"/>
      <c r="E82" s="1268"/>
      <c r="F82" s="437"/>
      <c r="G82" s="1147" t="str">
        <f>IF(D82="","",VLOOKUP(D82,'Fatores de Emissão'!$C$82:$D$104,2,FALSE))</f>
        <v/>
      </c>
      <c r="H82" s="439" t="str">
        <f>IF(OR(D82="",D82="-"),"",VLOOKUP(D82,'Fatores de Emissão'!$C$82:$J$97,6,FALSE))</f>
        <v/>
      </c>
      <c r="I82" s="439" t="str">
        <f>IF(OR(D82="",D82="-"),"",VLOOKUP(D82,'Fatores de Emissão'!$C$82:$J$97,7,FALSE))</f>
        <v/>
      </c>
      <c r="J82" s="439" t="str">
        <f>IF(OR(D82="",D82="-"),"",VLOOKUP(D82,'Fatores de Emissão'!$C$82:$J$97,8,FALSE))</f>
        <v/>
      </c>
      <c r="K82" s="439" t="str">
        <f t="shared" si="1"/>
        <v/>
      </c>
      <c r="L82" s="439" t="str">
        <f t="shared" si="2"/>
        <v/>
      </c>
      <c r="M82" s="439" t="str">
        <f t="shared" si="3"/>
        <v/>
      </c>
      <c r="N82" s="441" t="str">
        <f t="shared" si="0"/>
        <v/>
      </c>
    </row>
    <row r="83" spans="1:28" s="237" customFormat="1" ht="15" hidden="1" customHeight="1" outlineLevel="2" x14ac:dyDescent="0.25">
      <c r="A83" s="363"/>
      <c r="B83" s="1145"/>
      <c r="C83" s="1145"/>
      <c r="D83" s="1268"/>
      <c r="E83" s="1268"/>
      <c r="F83" s="437"/>
      <c r="G83" s="1147" t="str">
        <f>IF(D83="","",VLOOKUP(D83,'Fatores de Emissão'!$C$82:$D$104,2,FALSE))</f>
        <v/>
      </c>
      <c r="H83" s="439" t="str">
        <f>IF(OR(D83="",D83="-"),"",VLOOKUP(D83,'Fatores de Emissão'!$C$82:$J$97,6,FALSE))</f>
        <v/>
      </c>
      <c r="I83" s="439" t="str">
        <f>IF(OR(D83="",D83="-"),"",VLOOKUP(D83,'Fatores de Emissão'!$C$82:$J$97,7,FALSE))</f>
        <v/>
      </c>
      <c r="J83" s="439" t="str">
        <f>IF(OR(D83="",D83="-"),"",VLOOKUP(D83,'Fatores de Emissão'!$C$82:$J$97,8,FALSE))</f>
        <v/>
      </c>
      <c r="K83" s="439" t="str">
        <f t="shared" si="1"/>
        <v/>
      </c>
      <c r="L83" s="439" t="str">
        <f t="shared" si="2"/>
        <v/>
      </c>
      <c r="M83" s="439" t="str">
        <f t="shared" si="3"/>
        <v/>
      </c>
      <c r="N83" s="441" t="str">
        <f t="shared" si="0"/>
        <v/>
      </c>
    </row>
    <row r="84" spans="1:28" s="237" customFormat="1" ht="15" hidden="1" customHeight="1" outlineLevel="2" x14ac:dyDescent="0.25">
      <c r="A84" s="363"/>
      <c r="B84" s="1145"/>
      <c r="C84" s="1145"/>
      <c r="D84" s="1268"/>
      <c r="E84" s="1268"/>
      <c r="F84" s="437"/>
      <c r="G84" s="1147" t="str">
        <f>IF(D84="","",VLOOKUP(D84,'Fatores de Emissão'!$C$82:$D$104,2,FALSE))</f>
        <v/>
      </c>
      <c r="H84" s="439" t="str">
        <f>IF(OR(D84="",D84="-"),"",VLOOKUP(D84,'Fatores de Emissão'!$C$82:$J$97,6,FALSE))</f>
        <v/>
      </c>
      <c r="I84" s="439" t="str">
        <f>IF(OR(D84="",D84="-"),"",VLOOKUP(D84,'Fatores de Emissão'!$C$82:$J$97,7,FALSE))</f>
        <v/>
      </c>
      <c r="J84" s="439" t="str">
        <f>IF(OR(D84="",D84="-"),"",VLOOKUP(D84,'Fatores de Emissão'!$C$82:$J$97,8,FALSE))</f>
        <v/>
      </c>
      <c r="K84" s="439" t="str">
        <f t="shared" si="1"/>
        <v/>
      </c>
      <c r="L84" s="439" t="str">
        <f t="shared" si="2"/>
        <v/>
      </c>
      <c r="M84" s="439" t="str">
        <f t="shared" si="3"/>
        <v/>
      </c>
      <c r="N84" s="441" t="str">
        <f t="shared" si="0"/>
        <v/>
      </c>
    </row>
    <row r="85" spans="1:28" s="237" customFormat="1" ht="15" hidden="1" customHeight="1" outlineLevel="2" x14ac:dyDescent="0.25">
      <c r="A85" s="363"/>
      <c r="B85" s="1145"/>
      <c r="C85" s="1145"/>
      <c r="D85" s="1268"/>
      <c r="E85" s="1268"/>
      <c r="F85" s="437"/>
      <c r="G85" s="1147" t="str">
        <f>IF(D85="","",VLOOKUP(D85,'Fatores de Emissão'!$C$82:$D$104,2,FALSE))</f>
        <v/>
      </c>
      <c r="H85" s="439" t="str">
        <f>IF(OR(D85="",D85="-"),"",VLOOKUP(D85,'Fatores de Emissão'!$C$82:$J$97,6,FALSE))</f>
        <v/>
      </c>
      <c r="I85" s="439" t="str">
        <f>IF(OR(D85="",D85="-"),"",VLOOKUP(D85,'Fatores de Emissão'!$C$82:$J$97,7,FALSE))</f>
        <v/>
      </c>
      <c r="J85" s="439" t="str">
        <f>IF(OR(D85="",D85="-"),"",VLOOKUP(D85,'Fatores de Emissão'!$C$82:$J$97,8,FALSE))</f>
        <v/>
      </c>
      <c r="K85" s="439" t="str">
        <f t="shared" si="1"/>
        <v/>
      </c>
      <c r="L85" s="439" t="str">
        <f t="shared" si="2"/>
        <v/>
      </c>
      <c r="M85" s="439" t="str">
        <f t="shared" si="3"/>
        <v/>
      </c>
      <c r="N85" s="441" t="str">
        <f t="shared" si="0"/>
        <v/>
      </c>
    </row>
    <row r="86" spans="1:28" s="237" customFormat="1" ht="15" hidden="1" customHeight="1" outlineLevel="2" x14ac:dyDescent="0.25">
      <c r="A86" s="363"/>
      <c r="B86" s="1145"/>
      <c r="C86" s="1145"/>
      <c r="D86" s="1268"/>
      <c r="E86" s="1268"/>
      <c r="F86" s="437"/>
      <c r="G86" s="1147" t="str">
        <f>IF(D86="","",VLOOKUP(D86,'Fatores de Emissão'!$C$82:$D$104,2,FALSE))</f>
        <v/>
      </c>
      <c r="H86" s="439" t="str">
        <f>IF(OR(D86="",D86="-"),"",VLOOKUP(D86,'Fatores de Emissão'!$C$82:$J$97,6,FALSE))</f>
        <v/>
      </c>
      <c r="I86" s="439" t="str">
        <f>IF(OR(D86="",D86="-"),"",VLOOKUP(D86,'Fatores de Emissão'!$C$82:$J$97,7,FALSE))</f>
        <v/>
      </c>
      <c r="J86" s="439" t="str">
        <f>IF(OR(D86="",D86="-"),"",VLOOKUP(D86,'Fatores de Emissão'!$C$82:$J$97,8,FALSE))</f>
        <v/>
      </c>
      <c r="K86" s="439" t="str">
        <f t="shared" si="1"/>
        <v/>
      </c>
      <c r="L86" s="439" t="str">
        <f t="shared" si="2"/>
        <v/>
      </c>
      <c r="M86" s="439" t="str">
        <f t="shared" si="3"/>
        <v/>
      </c>
      <c r="N86" s="441" t="str">
        <f t="shared" si="0"/>
        <v/>
      </c>
    </row>
    <row r="87" spans="1:28" s="237" customFormat="1" ht="15" hidden="1" customHeight="1" outlineLevel="2" x14ac:dyDescent="0.25">
      <c r="A87" s="363"/>
      <c r="B87" s="1145"/>
      <c r="C87" s="1145"/>
      <c r="D87" s="1268"/>
      <c r="E87" s="1268"/>
      <c r="F87" s="437"/>
      <c r="G87" s="1147" t="str">
        <f>IF(D87="","",VLOOKUP(D87,'Fatores de Emissão'!$C$82:$D$104,2,FALSE))</f>
        <v/>
      </c>
      <c r="H87" s="439" t="str">
        <f>IF(OR(D87="",D87="-"),"",VLOOKUP(D87,'Fatores de Emissão'!$C$82:$J$97,6,FALSE))</f>
        <v/>
      </c>
      <c r="I87" s="439" t="str">
        <f>IF(OR(D87="",D87="-"),"",VLOOKUP(D87,'Fatores de Emissão'!$C$82:$J$97,7,FALSE))</f>
        <v/>
      </c>
      <c r="J87" s="439" t="str">
        <f>IF(OR(D87="",D87="-"),"",VLOOKUP(D87,'Fatores de Emissão'!$C$82:$J$97,8,FALSE))</f>
        <v/>
      </c>
      <c r="K87" s="439" t="str">
        <f t="shared" si="1"/>
        <v/>
      </c>
      <c r="L87" s="439" t="str">
        <f t="shared" si="2"/>
        <v/>
      </c>
      <c r="M87" s="439" t="str">
        <f t="shared" si="3"/>
        <v/>
      </c>
      <c r="N87" s="441" t="str">
        <f t="shared" si="0"/>
        <v/>
      </c>
    </row>
    <row r="88" spans="1:28" s="237" customFormat="1" ht="15" hidden="1" customHeight="1" outlineLevel="2" x14ac:dyDescent="0.25">
      <c r="A88" s="363"/>
      <c r="B88" s="1145"/>
      <c r="C88" s="1145"/>
      <c r="D88" s="1268"/>
      <c r="E88" s="1268"/>
      <c r="F88" s="437"/>
      <c r="G88" s="1147" t="str">
        <f>IF(D88="","",VLOOKUP(D88,'Fatores de Emissão'!$C$82:$D$104,2,FALSE))</f>
        <v/>
      </c>
      <c r="H88" s="439" t="str">
        <f>IF(OR(D88="",D88="-"),"",VLOOKUP(D88,'Fatores de Emissão'!$C$82:$J$97,6,FALSE))</f>
        <v/>
      </c>
      <c r="I88" s="439" t="str">
        <f>IF(OR(D88="",D88="-"),"",VLOOKUP(D88,'Fatores de Emissão'!$C$82:$J$97,7,FALSE))</f>
        <v/>
      </c>
      <c r="J88" s="439" t="str">
        <f>IF(OR(D88="",D88="-"),"",VLOOKUP(D88,'Fatores de Emissão'!$C$82:$J$97,8,FALSE))</f>
        <v/>
      </c>
      <c r="K88" s="439" t="str">
        <f t="shared" si="1"/>
        <v/>
      </c>
      <c r="L88" s="439" t="str">
        <f t="shared" si="2"/>
        <v/>
      </c>
      <c r="M88" s="439" t="str">
        <f t="shared" si="3"/>
        <v/>
      </c>
      <c r="N88" s="441" t="str">
        <f t="shared" si="0"/>
        <v/>
      </c>
    </row>
    <row r="89" spans="1:28" s="237" customFormat="1" ht="15" hidden="1" customHeight="1" outlineLevel="2" x14ac:dyDescent="0.25">
      <c r="A89" s="363"/>
      <c r="B89" s="1145"/>
      <c r="C89" s="1145"/>
      <c r="D89" s="1268"/>
      <c r="E89" s="1268"/>
      <c r="F89" s="437"/>
      <c r="G89" s="1147" t="str">
        <f>IF(D89="","",VLOOKUP(D89,'Fatores de Emissão'!$C$82:$D$104,2,FALSE))</f>
        <v/>
      </c>
      <c r="H89" s="439" t="str">
        <f>IF(OR(D89="",D89="-"),"",VLOOKUP(D89,'Fatores de Emissão'!$C$82:$J$97,6,FALSE))</f>
        <v/>
      </c>
      <c r="I89" s="439" t="str">
        <f>IF(OR(D89="",D89="-"),"",VLOOKUP(D89,'Fatores de Emissão'!$C$82:$J$97,7,FALSE))</f>
        <v/>
      </c>
      <c r="J89" s="439" t="str">
        <f>IF(OR(D89="",D89="-"),"",VLOOKUP(D89,'Fatores de Emissão'!$C$82:$J$97,8,FALSE))</f>
        <v/>
      </c>
      <c r="K89" s="439" t="str">
        <f t="shared" si="1"/>
        <v/>
      </c>
      <c r="L89" s="439" t="str">
        <f t="shared" si="2"/>
        <v/>
      </c>
      <c r="M89" s="439" t="str">
        <f t="shared" si="3"/>
        <v/>
      </c>
      <c r="N89" s="441" t="str">
        <f t="shared" si="0"/>
        <v/>
      </c>
    </row>
    <row r="90" spans="1:28" s="237" customFormat="1" ht="15" hidden="1" customHeight="1" outlineLevel="2" x14ac:dyDescent="0.25">
      <c r="A90" s="363"/>
      <c r="B90" s="1145"/>
      <c r="C90" s="1145"/>
      <c r="D90" s="1268"/>
      <c r="E90" s="1268"/>
      <c r="F90" s="437"/>
      <c r="G90" s="1147" t="str">
        <f>IF(D90="","",VLOOKUP(D90,'Fatores de Emissão'!$C$82:$D$104,2,FALSE))</f>
        <v/>
      </c>
      <c r="H90" s="439" t="str">
        <f>IF(OR(D90="",D90="-"),"",VLOOKUP(D90,'Fatores de Emissão'!$C$82:$J$97,6,FALSE))</f>
        <v/>
      </c>
      <c r="I90" s="439" t="str">
        <f>IF(OR(D90="",D90="-"),"",VLOOKUP(D90,'Fatores de Emissão'!$C$82:$J$97,7,FALSE))</f>
        <v/>
      </c>
      <c r="J90" s="439" t="str">
        <f>IF(OR(D90="",D90="-"),"",VLOOKUP(D90,'Fatores de Emissão'!$C$82:$J$97,8,FALSE))</f>
        <v/>
      </c>
      <c r="K90" s="439" t="str">
        <f t="shared" si="1"/>
        <v/>
      </c>
      <c r="L90" s="439" t="str">
        <f t="shared" si="2"/>
        <v/>
      </c>
      <c r="M90" s="439" t="str">
        <f t="shared" si="3"/>
        <v/>
      </c>
      <c r="N90" s="441" t="str">
        <f t="shared" si="0"/>
        <v/>
      </c>
    </row>
    <row r="91" spans="1:28" s="237" customFormat="1" ht="15" hidden="1" customHeight="1" outlineLevel="2" x14ac:dyDescent="0.25">
      <c r="A91" s="363"/>
      <c r="B91" s="1145"/>
      <c r="C91" s="1145"/>
      <c r="D91" s="1268"/>
      <c r="E91" s="1268"/>
      <c r="F91" s="437"/>
      <c r="G91" s="1147" t="str">
        <f>IF(D91="","",VLOOKUP(D91,'Fatores de Emissão'!$C$82:$D$104,2,FALSE))</f>
        <v/>
      </c>
      <c r="H91" s="439" t="str">
        <f>IF(OR(D91="",D91="-"),"",VLOOKUP(D91,'Fatores de Emissão'!$C$82:$J$97,6,FALSE))</f>
        <v/>
      </c>
      <c r="I91" s="439" t="str">
        <f>IF(OR(D91="",D91="-"),"",VLOOKUP(D91,'Fatores de Emissão'!$C$82:$J$97,7,FALSE))</f>
        <v/>
      </c>
      <c r="J91" s="439" t="str">
        <f>IF(OR(D91="",D91="-"),"",VLOOKUP(D91,'Fatores de Emissão'!$C$82:$J$97,8,FALSE))</f>
        <v/>
      </c>
      <c r="K91" s="439" t="str">
        <f t="shared" si="1"/>
        <v/>
      </c>
      <c r="L91" s="439" t="str">
        <f t="shared" si="2"/>
        <v/>
      </c>
      <c r="M91" s="439" t="str">
        <f t="shared" si="3"/>
        <v/>
      </c>
      <c r="N91" s="441" t="str">
        <f t="shared" si="0"/>
        <v/>
      </c>
    </row>
    <row r="92" spans="1:28" s="237" customFormat="1" ht="15" customHeight="1" outlineLevel="1" x14ac:dyDescent="0.25">
      <c r="A92" s="363"/>
      <c r="B92" s="388"/>
      <c r="C92" s="373"/>
      <c r="D92" s="442"/>
      <c r="E92" s="442"/>
      <c r="F92" s="373"/>
      <c r="G92" s="373"/>
      <c r="H92" s="1243" t="s">
        <v>78</v>
      </c>
      <c r="I92" s="1243"/>
      <c r="J92" s="1243"/>
      <c r="K92" s="443">
        <f>SUM(K42:K91)</f>
        <v>0</v>
      </c>
      <c r="L92" s="443">
        <f>SUM(L42:L91)</f>
        <v>0</v>
      </c>
      <c r="M92" s="443">
        <f>SUM(M42:M91)</f>
        <v>0</v>
      </c>
      <c r="N92" s="443">
        <f>SUM(N42:N91)</f>
        <v>0</v>
      </c>
      <c r="O92" s="373"/>
      <c r="P92" s="373"/>
      <c r="Q92" s="373"/>
      <c r="R92" s="373"/>
      <c r="AA92" s="373"/>
      <c r="AB92" s="373"/>
    </row>
    <row r="93" spans="1:28" s="237" customFormat="1" ht="15" customHeight="1" outlineLevel="1" x14ac:dyDescent="0.25">
      <c r="A93" s="363"/>
      <c r="B93" s="388"/>
      <c r="C93" s="373"/>
      <c r="D93" s="442"/>
      <c r="E93" s="442"/>
      <c r="F93" s="373"/>
      <c r="G93" s="373"/>
      <c r="H93" s="373"/>
      <c r="I93" s="373"/>
      <c r="J93" s="373"/>
      <c r="K93" s="373"/>
      <c r="L93" s="373"/>
      <c r="M93" s="373"/>
      <c r="N93" s="373"/>
      <c r="O93" s="373"/>
      <c r="P93" s="373"/>
      <c r="Q93" s="373"/>
      <c r="R93" s="373"/>
      <c r="S93" s="373"/>
      <c r="T93" s="373"/>
      <c r="U93" s="373"/>
      <c r="V93" s="363"/>
      <c r="W93" s="373"/>
      <c r="X93" s="373"/>
      <c r="Z93" s="373"/>
      <c r="AA93" s="373"/>
      <c r="AB93" s="373"/>
    </row>
    <row r="94" spans="1:28" s="237" customFormat="1" ht="15" customHeight="1" outlineLevel="1" x14ac:dyDescent="0.25">
      <c r="A94" s="363"/>
      <c r="B94" s="423" t="s">
        <v>1740</v>
      </c>
      <c r="C94" s="217"/>
      <c r="D94" s="442"/>
      <c r="E94" s="442"/>
      <c r="F94" s="373"/>
      <c r="G94" s="373"/>
      <c r="H94" s="373"/>
      <c r="I94" s="373"/>
      <c r="K94" s="373"/>
      <c r="L94" s="373"/>
      <c r="M94" s="373"/>
      <c r="N94" s="373"/>
      <c r="O94" s="373"/>
      <c r="P94" s="373"/>
      <c r="Q94" s="373"/>
      <c r="R94" s="373"/>
      <c r="AB94" s="373"/>
    </row>
    <row r="95" spans="1:28" s="237" customFormat="1" ht="15" customHeight="1" outlineLevel="1" x14ac:dyDescent="0.25">
      <c r="A95" s="363"/>
      <c r="B95" s="448" t="s">
        <v>1866</v>
      </c>
      <c r="C95" s="217"/>
      <c r="D95" s="442"/>
      <c r="E95" s="442"/>
      <c r="F95" s="373"/>
      <c r="G95" s="373"/>
      <c r="H95" s="373"/>
      <c r="I95" s="373"/>
      <c r="K95" s="373"/>
      <c r="L95" s="373"/>
      <c r="M95" s="373"/>
      <c r="N95" s="373"/>
      <c r="O95" s="373"/>
      <c r="P95" s="373"/>
      <c r="Q95" s="373"/>
      <c r="R95" s="373"/>
      <c r="S95" s="373"/>
      <c r="T95" s="373"/>
      <c r="U95" s="373"/>
      <c r="V95" s="363"/>
      <c r="W95" s="373"/>
      <c r="X95" s="373"/>
      <c r="Y95" s="373"/>
      <c r="Z95" s="373"/>
      <c r="AA95" s="373"/>
      <c r="AB95" s="373"/>
    </row>
    <row r="96" spans="1:28" s="237" customFormat="1" ht="15" customHeight="1" outlineLevel="1" x14ac:dyDescent="0.25">
      <c r="A96" s="363"/>
      <c r="B96" s="448" t="s">
        <v>2149</v>
      </c>
      <c r="C96" s="217"/>
      <c r="D96" s="442"/>
      <c r="E96" s="442"/>
      <c r="F96" s="373"/>
      <c r="G96" s="373"/>
      <c r="H96" s="373"/>
      <c r="I96" s="373"/>
      <c r="K96" s="373"/>
      <c r="L96" s="373"/>
      <c r="M96" s="373"/>
      <c r="N96" s="373"/>
      <c r="O96" s="373"/>
      <c r="P96" s="373"/>
      <c r="Q96" s="373"/>
      <c r="R96" s="373"/>
      <c r="S96" s="373"/>
      <c r="T96" s="373"/>
      <c r="U96" s="373"/>
      <c r="V96" s="363"/>
      <c r="W96" s="373"/>
      <c r="X96" s="373"/>
      <c r="Y96" s="373"/>
      <c r="Z96" s="373"/>
      <c r="AA96" s="373"/>
      <c r="AB96" s="373"/>
    </row>
    <row r="97" spans="1:28" s="237" customFormat="1" ht="15" customHeight="1" outlineLevel="1" x14ac:dyDescent="0.25">
      <c r="A97" s="363"/>
      <c r="B97" s="449"/>
      <c r="C97" s="217"/>
      <c r="D97" s="442"/>
      <c r="E97" s="442"/>
      <c r="F97" s="373"/>
      <c r="G97" s="373"/>
      <c r="H97" s="373"/>
      <c r="I97" s="373"/>
      <c r="K97" s="373"/>
      <c r="L97" s="373"/>
      <c r="M97" s="373"/>
      <c r="N97" s="373"/>
      <c r="O97" s="373"/>
      <c r="P97" s="373"/>
      <c r="Q97" s="373"/>
      <c r="R97" s="373"/>
      <c r="S97" s="373"/>
      <c r="T97" s="373"/>
      <c r="U97" s="1106"/>
      <c r="V97" s="363"/>
      <c r="W97" s="373"/>
      <c r="X97" s="373"/>
      <c r="Y97" s="373"/>
      <c r="Z97" s="373"/>
      <c r="AA97" s="373"/>
      <c r="AB97" s="373"/>
    </row>
    <row r="98" spans="1:28" s="237" customFormat="1" ht="15" customHeight="1" outlineLevel="1" x14ac:dyDescent="0.25">
      <c r="A98" s="363"/>
      <c r="B98" s="423" t="s">
        <v>1741</v>
      </c>
      <c r="C98" s="217"/>
      <c r="D98" s="424"/>
      <c r="E98" s="424"/>
      <c r="F98" s="373"/>
      <c r="G98" s="373"/>
      <c r="H98" s="373"/>
      <c r="I98" s="373"/>
      <c r="J98" s="373"/>
      <c r="K98" s="373"/>
      <c r="L98" s="373"/>
      <c r="M98" s="373"/>
      <c r="N98" s="373"/>
      <c r="O98" s="373"/>
      <c r="P98" s="373"/>
      <c r="Q98" s="373"/>
      <c r="R98" s="373"/>
      <c r="S98" s="363"/>
      <c r="T98" s="363"/>
      <c r="U98" s="363"/>
      <c r="V98" s="363"/>
      <c r="W98" s="363"/>
      <c r="X98" s="363"/>
      <c r="Y98" s="363"/>
      <c r="Z98" s="363"/>
      <c r="AA98" s="363"/>
      <c r="AB98" s="363"/>
    </row>
    <row r="99" spans="1:28" s="237" customFormat="1" ht="15" customHeight="1" outlineLevel="1" x14ac:dyDescent="0.25">
      <c r="A99" s="363"/>
      <c r="B99" s="1267" t="s">
        <v>1860</v>
      </c>
      <c r="C99" s="1267" t="s">
        <v>1868</v>
      </c>
      <c r="D99" s="1267" t="s">
        <v>1870</v>
      </c>
      <c r="E99" s="1249" t="s">
        <v>1743</v>
      </c>
      <c r="F99" s="1249" t="s">
        <v>1742</v>
      </c>
      <c r="G99" s="1249" t="s">
        <v>1862</v>
      </c>
      <c r="H99" s="1284" t="s">
        <v>586</v>
      </c>
      <c r="I99" s="1285"/>
      <c r="J99" s="1255"/>
      <c r="K99" s="1249" t="s">
        <v>1408</v>
      </c>
      <c r="L99" s="1249" t="s">
        <v>1409</v>
      </c>
      <c r="M99" s="1249" t="s">
        <v>1410</v>
      </c>
      <c r="N99" s="1249" t="s">
        <v>1411</v>
      </c>
      <c r="O99" s="1267" t="s">
        <v>1412</v>
      </c>
    </row>
    <row r="100" spans="1:28" s="237" customFormat="1" ht="15" customHeight="1" outlineLevel="1" x14ac:dyDescent="0.25">
      <c r="A100" s="363"/>
      <c r="B100" s="1267"/>
      <c r="C100" s="1267"/>
      <c r="D100" s="1267"/>
      <c r="E100" s="1266"/>
      <c r="F100" s="1266"/>
      <c r="G100" s="1266"/>
      <c r="H100" s="1286"/>
      <c r="I100" s="1287"/>
      <c r="J100" s="1256"/>
      <c r="K100" s="1266"/>
      <c r="L100" s="1266"/>
      <c r="M100" s="1266"/>
      <c r="N100" s="1266"/>
      <c r="O100" s="1267"/>
    </row>
    <row r="101" spans="1:28" s="237" customFormat="1" ht="32.25" customHeight="1" outlineLevel="1" x14ac:dyDescent="0.25">
      <c r="A101" s="363"/>
      <c r="B101" s="1267"/>
      <c r="C101" s="1267"/>
      <c r="D101" s="1267"/>
      <c r="E101" s="1250"/>
      <c r="F101" s="1250"/>
      <c r="G101" s="1250"/>
      <c r="H101" s="1146" t="s">
        <v>1394</v>
      </c>
      <c r="I101" s="1146" t="s">
        <v>1863</v>
      </c>
      <c r="J101" s="1146" t="s">
        <v>1864</v>
      </c>
      <c r="K101" s="1250"/>
      <c r="L101" s="1250"/>
      <c r="M101" s="1250"/>
      <c r="N101" s="1250"/>
      <c r="O101" s="1267"/>
    </row>
    <row r="102" spans="1:28" s="237" customFormat="1" ht="15" customHeight="1" outlineLevel="1" x14ac:dyDescent="0.25">
      <c r="A102" s="427" t="s">
        <v>606</v>
      </c>
      <c r="B102" s="444" t="s">
        <v>607</v>
      </c>
      <c r="C102" s="445" t="s">
        <v>2138</v>
      </c>
      <c r="D102" s="445" t="s">
        <v>1601</v>
      </c>
      <c r="E102" s="446">
        <v>1000</v>
      </c>
      <c r="F102" s="438"/>
      <c r="G102" s="446" t="s">
        <v>1544</v>
      </c>
      <c r="H102" s="429">
        <v>2.2120000000000002</v>
      </c>
      <c r="I102" s="430">
        <v>5.6020000000000006E-4</v>
      </c>
      <c r="J102" s="431">
        <v>5.6020000000000009E-5</v>
      </c>
      <c r="K102" s="432">
        <v>0</v>
      </c>
      <c r="L102" s="430">
        <v>3.8259999999999995E-3</v>
      </c>
      <c r="M102" s="430">
        <v>3.8259999999999998E-4</v>
      </c>
      <c r="N102" s="433">
        <v>0.20966479999999998</v>
      </c>
      <c r="O102" s="434">
        <v>9.9508782577650816</v>
      </c>
    </row>
    <row r="103" spans="1:28" s="237" customFormat="1" ht="15" customHeight="1" outlineLevel="1" x14ac:dyDescent="0.25">
      <c r="A103" s="363"/>
      <c r="B103" s="1145"/>
      <c r="C103" s="436"/>
      <c r="D103" s="436"/>
      <c r="E103" s="438"/>
      <c r="F103" s="438"/>
      <c r="G103" s="1020" t="str">
        <f>IF(OR(D103="",D103="-"),"",VLOOKUP(D103,'Fatores de Emissão'!E114:K173,3,FALSE))</f>
        <v/>
      </c>
      <c r="H103" s="450" t="str">
        <f>IF(OR($D103="",$D103="-"),"",VLOOKUP($D103,'Fatores de Emissão'!$E$114:$K$173,2,FALSE))</f>
        <v/>
      </c>
      <c r="I103" s="450" t="str">
        <f>IF(OR($D103="",$D103="-"),"",VLOOKUP($D103,'Fatores de Emissão'!$E$114:$K$173,4,FALSE))</f>
        <v/>
      </c>
      <c r="J103" s="450" t="str">
        <f>IF(OR($D103="",$D103="-"),"",VLOOKUP($D103,'Fatores de Emissão'!$E$114:$K$173,6,FALSE))</f>
        <v/>
      </c>
      <c r="K103" s="450" t="str">
        <f>IF($D103="","",IF($G103="kg/km",H103*$E103/1000,IF($G103="kg/p.km",$E103*$F103*H103/1000/F103,$E103*#REF!*H103/1000)))</f>
        <v/>
      </c>
      <c r="L103" s="450" t="str">
        <f>IF($D103="","",IF($G103="kg/km",I103*$E103/1000,IF($G103="kg/p.km",$E103*$F103*I103/1000/F103,$E103*#REF!*I103/1000)))</f>
        <v/>
      </c>
      <c r="M103" s="450" t="str">
        <f>IF($D103="","",IF($G103="kg/km",J103*$E103/1000,IF($G103="kg/p.km",$E103*$F103*J103/1000/2,$E103*#REF!*J103/1000)))</f>
        <v/>
      </c>
      <c r="N103" s="451" t="str">
        <f>IFERROR(K103*gwp_CO2+L103*gwp_CH4+M103*gwp_N2O,"")</f>
        <v/>
      </c>
      <c r="O103" s="452"/>
    </row>
    <row r="104" spans="1:28" s="237" customFormat="1" ht="15" customHeight="1" outlineLevel="1" x14ac:dyDescent="0.25">
      <c r="A104" s="363"/>
      <c r="B104" s="1145"/>
      <c r="C104" s="436"/>
      <c r="D104" s="436"/>
      <c r="E104" s="438"/>
      <c r="F104" s="438"/>
      <c r="G104" s="1020" t="str">
        <f>IF(OR(D104="",D104="-"),"",VLOOKUP(D104,'Fatores de Emissão'!E116:K174,3,FALSE))</f>
        <v/>
      </c>
      <c r="H104" s="450" t="str">
        <f>IF(OR($D104="",$D104="-"),"",VLOOKUP($D104,'Fatores de Emissão'!$E$114:$K$173,2,FALSE))</f>
        <v/>
      </c>
      <c r="I104" s="450" t="str">
        <f>IF(OR($D104="",$D104="-"),"",VLOOKUP($D104,'Fatores de Emissão'!$E$114:$K$173,4,FALSE))</f>
        <v/>
      </c>
      <c r="J104" s="450" t="str">
        <f>IF(OR($D104="",$D104="-"),"",VLOOKUP($D104,'Fatores de Emissão'!$E$114:$K$173,6,FALSE))</f>
        <v/>
      </c>
      <c r="K104" s="450" t="str">
        <f>IF($D104="","",IF($G104="kg/km",H104*$E104/1000,IF($G104="kg/p.km",$E104*$F104*H104/1000/F104,$E104*#REF!*H104/1000)))</f>
        <v/>
      </c>
      <c r="L104" s="450" t="str">
        <f>IF($D104="","",IF($G104="kg/km",I104*$E104/1000,IF($G104="kg/p.km",$E104*$F104*I104/1000/F104,$E104*#REF!*I104/1000)))</f>
        <v/>
      </c>
      <c r="M104" s="450" t="str">
        <f>IF($D104="","",IF($G104="kg/km",J104*$E104/1000,IF($G104="kg/p.km",$E104*$F104*J104/1000/2,$E104*#REF!*J104/1000)))</f>
        <v/>
      </c>
      <c r="N104" s="451" t="str">
        <f t="shared" ref="N104:N152" si="4">IFERROR(K104*gwp_CO2+L104*gwp_CH4+M104*gwp_N2O,"")</f>
        <v/>
      </c>
      <c r="O104" s="452"/>
    </row>
    <row r="105" spans="1:28" s="237" customFormat="1" ht="15" customHeight="1" outlineLevel="1" x14ac:dyDescent="0.25">
      <c r="A105" s="363"/>
      <c r="B105" s="1145"/>
      <c r="C105" s="436"/>
      <c r="D105" s="436"/>
      <c r="E105" s="438"/>
      <c r="F105" s="438"/>
      <c r="G105" s="1020" t="str">
        <f>IF(OR(D105="",D105="-"),"",VLOOKUP(D105,'Fatores de Emissão'!E117:K174,3,FALSE))</f>
        <v/>
      </c>
      <c r="H105" s="450" t="str">
        <f>IF(OR($D105="",$D105="-"),"",VLOOKUP($D105,'Fatores de Emissão'!$E$114:$K$173,2,FALSE))</f>
        <v/>
      </c>
      <c r="I105" s="450" t="str">
        <f>IF(OR($D105="",$D105="-"),"",VLOOKUP($D105,'Fatores de Emissão'!$E$114:$K$173,4,FALSE))</f>
        <v/>
      </c>
      <c r="J105" s="450" t="str">
        <f>IF(OR($D105="",$D105="-"),"",VLOOKUP($D105,'Fatores de Emissão'!$E$114:$K$173,6,FALSE))</f>
        <v/>
      </c>
      <c r="K105" s="450" t="str">
        <f>IF($D105="","",IF($G105="kg/km",H105*$E105/1000,IF($G105="kg/p.km",$E105*$F105*H105/1000/F105,$E105*#REF!*H105/1000)))</f>
        <v/>
      </c>
      <c r="L105" s="450" t="str">
        <f>IF($D105="","",IF($G105="kg/km",I105*$E105/1000,IF($G105="kg/p.km",$E105*$F105*I105/1000/F105,$E105*#REF!*I105/1000)))</f>
        <v/>
      </c>
      <c r="M105" s="450" t="str">
        <f>IF($D105="","",IF($G105="kg/km",J105*$E105/1000,IF($G105="kg/p.km",$E105*$F105*J105/1000/2,$E105*#REF!*J105/1000)))</f>
        <v/>
      </c>
      <c r="N105" s="451" t="str">
        <f t="shared" si="4"/>
        <v/>
      </c>
      <c r="O105" s="452"/>
    </row>
    <row r="106" spans="1:28" s="237" customFormat="1" ht="15" customHeight="1" outlineLevel="1" x14ac:dyDescent="0.25">
      <c r="A106" s="363"/>
      <c r="B106" s="1145"/>
      <c r="C106" s="436"/>
      <c r="D106" s="436"/>
      <c r="E106" s="438"/>
      <c r="F106" s="438"/>
      <c r="G106" s="1020" t="str">
        <f>IF(OR(D106="",D106="-"),"",VLOOKUP(D106,'Fatores de Emissão'!E118:K174,3,FALSE))</f>
        <v/>
      </c>
      <c r="H106" s="450" t="str">
        <f>IF(OR($D106="",$D106="-"),"",VLOOKUP($D106,'Fatores de Emissão'!$E$114:$K$173,2,FALSE))</f>
        <v/>
      </c>
      <c r="I106" s="450" t="str">
        <f>IF(OR($D106="",$D106="-"),"",VLOOKUP($D106,'Fatores de Emissão'!$E$114:$K$173,4,FALSE))</f>
        <v/>
      </c>
      <c r="J106" s="450" t="str">
        <f>IF(OR($D106="",$D106="-"),"",VLOOKUP($D106,'Fatores de Emissão'!$E$114:$K$173,6,FALSE))</f>
        <v/>
      </c>
      <c r="K106" s="450" t="str">
        <f>IF($D106="","",IF($G106="kg/km",H106*$E106/1000,IF($G106="kg/p.km",$E106*$F106*H106/1000/F106,$E106*#REF!*H106/1000)))</f>
        <v/>
      </c>
      <c r="L106" s="450" t="str">
        <f>IF($D106="","",IF($G106="kg/km",I106*$E106/1000,IF($G106="kg/p.km",$E106*$F106*I106/1000/F106,$E106*#REF!*I106/1000)))</f>
        <v/>
      </c>
      <c r="M106" s="450" t="str">
        <f>IF($D106="","",IF($G106="kg/km",J106*$E106/1000,IF($G106="kg/p.km",$E106*$F106*J106/1000/2,$E106*#REF!*J106/1000)))</f>
        <v/>
      </c>
      <c r="N106" s="451" t="str">
        <f t="shared" si="4"/>
        <v/>
      </c>
      <c r="O106" s="452"/>
    </row>
    <row r="107" spans="1:28" s="237" customFormat="1" ht="15" customHeight="1" outlineLevel="1" x14ac:dyDescent="0.25">
      <c r="A107" s="363"/>
      <c r="B107" s="1145"/>
      <c r="C107" s="436"/>
      <c r="D107" s="436"/>
      <c r="E107" s="438"/>
      <c r="F107" s="438"/>
      <c r="G107" s="1020" t="str">
        <f>IF(OR(D107="",D107="-"),"",VLOOKUP(D107,'Fatores de Emissão'!E119:K174,3,FALSE))</f>
        <v/>
      </c>
      <c r="H107" s="450" t="str">
        <f>IF(OR($D107="",$D107="-"),"",VLOOKUP($D107,'Fatores de Emissão'!$E$114:$K$173,2,FALSE))</f>
        <v/>
      </c>
      <c r="I107" s="450" t="str">
        <f>IF(OR($D107="",$D107="-"),"",VLOOKUP($D107,'Fatores de Emissão'!$E$114:$K$173,4,FALSE))</f>
        <v/>
      </c>
      <c r="J107" s="450" t="str">
        <f>IF(OR($D107="",$D107="-"),"",VLOOKUP($D107,'Fatores de Emissão'!$E$114:$K$173,6,FALSE))</f>
        <v/>
      </c>
      <c r="K107" s="450" t="str">
        <f>IF($D107="","",IF($G107="kg/km",H107*$E107/1000,IF($G107="kg/p.km",$E107*$F107*H107/1000/F107,$E107*#REF!*H107/1000)))</f>
        <v/>
      </c>
      <c r="L107" s="450" t="str">
        <f>IF($D107="","",IF($G107="kg/km",I107*$E107/1000,IF($G107="kg/p.km",$E107*$F107*I107/1000/F107,$E107*#REF!*I107/1000)))</f>
        <v/>
      </c>
      <c r="M107" s="450" t="str">
        <f>IF($D107="","",IF($G107="kg/km",J107*$E107/1000,IF($G107="kg/p.km",$E107*$F107*J107/1000/2,$E107*#REF!*J107/1000)))</f>
        <v/>
      </c>
      <c r="N107" s="451" t="str">
        <f t="shared" si="4"/>
        <v/>
      </c>
      <c r="O107" s="452"/>
    </row>
    <row r="108" spans="1:28" s="237" customFormat="1" ht="15" customHeight="1" outlineLevel="1" x14ac:dyDescent="0.25">
      <c r="A108" s="363"/>
      <c r="B108" s="1145"/>
      <c r="C108" s="436"/>
      <c r="D108" s="436"/>
      <c r="E108" s="438"/>
      <c r="F108" s="438"/>
      <c r="G108" s="1020" t="str">
        <f>IF(OR(D108="",D108="-"),"",VLOOKUP(D108,'Fatores de Emissão'!E120:K174,3,FALSE))</f>
        <v/>
      </c>
      <c r="H108" s="450" t="str">
        <f>IF(OR($D108="",$D108="-"),"",VLOOKUP($D108,'Fatores de Emissão'!$E$114:$K$173,2,FALSE))</f>
        <v/>
      </c>
      <c r="I108" s="450" t="str">
        <f>IF(OR($D108="",$D108="-"),"",VLOOKUP($D108,'Fatores de Emissão'!$E$114:$K$173,4,FALSE))</f>
        <v/>
      </c>
      <c r="J108" s="450" t="str">
        <f>IF(OR($D108="",$D108="-"),"",VLOOKUP($D108,'Fatores de Emissão'!$E$114:$K$173,6,FALSE))</f>
        <v/>
      </c>
      <c r="K108" s="450" t="str">
        <f>IF($D108="","",IF($G108="kg/km",H108*$E108/1000,IF($G108="kg/p.km",$E108*$F108*H108/1000/F108,$E108*#REF!*H108/1000)))</f>
        <v/>
      </c>
      <c r="L108" s="450" t="str">
        <f>IF($D108="","",IF($G108="kg/km",I108*$E108/1000,IF($G108="kg/p.km",$E108*$F108*I108/1000/F108,$E108*#REF!*I108/1000)))</f>
        <v/>
      </c>
      <c r="M108" s="450" t="str">
        <f>IF($D108="","",IF($G108="kg/km",J108*$E108/1000,IF($G108="kg/p.km",$E108*$F108*J108/1000/2,$E108*#REF!*J108/1000)))</f>
        <v/>
      </c>
      <c r="N108" s="451" t="str">
        <f t="shared" si="4"/>
        <v/>
      </c>
      <c r="O108" s="452"/>
    </row>
    <row r="109" spans="1:28" s="237" customFormat="1" ht="15" customHeight="1" outlineLevel="1" x14ac:dyDescent="0.25">
      <c r="A109" s="363"/>
      <c r="B109" s="1145"/>
      <c r="C109" s="436"/>
      <c r="D109" s="436"/>
      <c r="E109" s="438"/>
      <c r="F109" s="438"/>
      <c r="G109" s="1020" t="str">
        <f>IF(OR(D109="",D109="-"),"",VLOOKUP(D109,'Fatores de Emissão'!E121:K174,3,FALSE))</f>
        <v/>
      </c>
      <c r="H109" s="450" t="str">
        <f>IF(OR($D109="",$D109="-"),"",VLOOKUP($D109,'Fatores de Emissão'!$E$114:$K$173,2,FALSE))</f>
        <v/>
      </c>
      <c r="I109" s="450" t="str">
        <f>IF(OR($D109="",$D109="-"),"",VLOOKUP($D109,'Fatores de Emissão'!$E$114:$K$173,4,FALSE))</f>
        <v/>
      </c>
      <c r="J109" s="450" t="str">
        <f>IF(OR($D109="",$D109="-"),"",VLOOKUP($D109,'Fatores de Emissão'!$E$114:$K$173,6,FALSE))</f>
        <v/>
      </c>
      <c r="K109" s="450" t="str">
        <f>IF($D109="","",IF($G109="kg/km",H109*$E109/1000,IF($G109="kg/p.km",$E109*$F109*H109/1000/F109,$E109*#REF!*H109/1000)))</f>
        <v/>
      </c>
      <c r="L109" s="450" t="str">
        <f>IF($D109="","",IF($G109="kg/km",I109*$E109/1000,IF($G109="kg/p.km",$E109*$F109*I109/1000/F109,$E109*#REF!*I109/1000)))</f>
        <v/>
      </c>
      <c r="M109" s="450" t="str">
        <f>IF($D109="","",IF($G109="kg/km",J109*$E109/1000,IF($G109="kg/p.km",$E109*$F109*J109/1000/2,$E109*#REF!*J109/1000)))</f>
        <v/>
      </c>
      <c r="N109" s="451" t="str">
        <f t="shared" si="4"/>
        <v/>
      </c>
      <c r="O109" s="452"/>
    </row>
    <row r="110" spans="1:28" s="237" customFormat="1" ht="15" customHeight="1" outlineLevel="1" x14ac:dyDescent="0.25">
      <c r="A110" s="363"/>
      <c r="B110" s="1145"/>
      <c r="C110" s="436"/>
      <c r="D110" s="436"/>
      <c r="E110" s="438"/>
      <c r="F110" s="438"/>
      <c r="G110" s="1020" t="str">
        <f>IF(OR(D110="",D110="-"),"",VLOOKUP(D110,'Fatores de Emissão'!E122:K174,3,FALSE))</f>
        <v/>
      </c>
      <c r="H110" s="450" t="str">
        <f>IF(OR($D110="",$D110="-"),"",VLOOKUP($D110,'Fatores de Emissão'!$E$114:$K$173,2,FALSE))</f>
        <v/>
      </c>
      <c r="I110" s="450" t="str">
        <f>IF(OR($D110="",$D110="-"),"",VLOOKUP($D110,'Fatores de Emissão'!$E$114:$K$173,4,FALSE))</f>
        <v/>
      </c>
      <c r="J110" s="450" t="str">
        <f>IF(OR($D110="",$D110="-"),"",VLOOKUP($D110,'Fatores de Emissão'!$E$114:$K$173,6,FALSE))</f>
        <v/>
      </c>
      <c r="K110" s="450" t="str">
        <f>IF($D110="","",IF($G110="kg/km",H110*$E110/1000,IF($G110="kg/p.km",$E110*$F110*H110/1000/F110,$E110*#REF!*H110/1000)))</f>
        <v/>
      </c>
      <c r="L110" s="450" t="str">
        <f>IF($D110="","",IF($G110="kg/km",I110*$E110/1000,IF($G110="kg/p.km",$E110*$F110*I110/1000/F110,$E110*#REF!*I110/1000)))</f>
        <v/>
      </c>
      <c r="M110" s="450" t="str">
        <f>IF($D110="","",IF($G110="kg/km",J110*$E110/1000,IF($G110="kg/p.km",$E110*$F110*J110/1000/2,$E110*#REF!*J110/1000)))</f>
        <v/>
      </c>
      <c r="N110" s="451" t="str">
        <f t="shared" si="4"/>
        <v/>
      </c>
      <c r="O110" s="452"/>
    </row>
    <row r="111" spans="1:28" s="237" customFormat="1" ht="15" customHeight="1" outlineLevel="1" x14ac:dyDescent="0.25">
      <c r="A111" s="363"/>
      <c r="B111" s="1145"/>
      <c r="C111" s="436"/>
      <c r="D111" s="436"/>
      <c r="E111" s="438"/>
      <c r="F111" s="438"/>
      <c r="G111" s="1020" t="str">
        <f>IF(OR(D111="",D111="-"),"",VLOOKUP(D111,'Fatores de Emissão'!E123:K174,3,FALSE))</f>
        <v/>
      </c>
      <c r="H111" s="450" t="str">
        <f>IF(OR($D111="",$D111="-"),"",VLOOKUP($D111,'Fatores de Emissão'!$E$114:$K$173,2,FALSE))</f>
        <v/>
      </c>
      <c r="I111" s="450" t="str">
        <f>IF(OR($D111="",$D111="-"),"",VLOOKUP($D111,'Fatores de Emissão'!$E$114:$K$173,4,FALSE))</f>
        <v/>
      </c>
      <c r="J111" s="450" t="str">
        <f>IF(OR($D111="",$D111="-"),"",VLOOKUP($D111,'Fatores de Emissão'!$E$114:$K$173,6,FALSE))</f>
        <v/>
      </c>
      <c r="K111" s="450" t="str">
        <f>IF($D111="","",IF($G111="kg/km",H111*$E111/1000,IF($G111="kg/p.km",$E111*$F111*H111/1000/F111,$E111*#REF!*H111/1000)))</f>
        <v/>
      </c>
      <c r="L111" s="450" t="str">
        <f>IF($D111="","",IF($G111="kg/km",I111*$E111/1000,IF($G111="kg/p.km",$E111*$F111*I111/1000/F111,$E111*#REF!*I111/1000)))</f>
        <v/>
      </c>
      <c r="M111" s="450" t="str">
        <f>IF($D111="","",IF($G111="kg/km",J111*$E111/1000,IF($G111="kg/p.km",$E111*$F111*J111/1000/2,$E111*#REF!*J111/1000)))</f>
        <v/>
      </c>
      <c r="N111" s="451" t="str">
        <f t="shared" si="4"/>
        <v/>
      </c>
      <c r="O111" s="452"/>
    </row>
    <row r="112" spans="1:28" s="237" customFormat="1" ht="15" customHeight="1" outlineLevel="1" collapsed="1" x14ac:dyDescent="0.25">
      <c r="A112" s="363"/>
      <c r="B112" s="1145"/>
      <c r="C112" s="436"/>
      <c r="D112" s="436"/>
      <c r="E112" s="438"/>
      <c r="F112" s="438"/>
      <c r="G112" s="1020" t="str">
        <f>IF(OR(D112="",D112="-"),"",VLOOKUP(D112,'Fatores de Emissão'!E124:K174,3,FALSE))</f>
        <v/>
      </c>
      <c r="H112" s="450" t="str">
        <f>IF(OR($D112="",$D112="-"),"",VLOOKUP($D112,'Fatores de Emissão'!$E$114:$K$173,2,FALSE))</f>
        <v/>
      </c>
      <c r="I112" s="450" t="str">
        <f>IF(OR($D112="",$D112="-"),"",VLOOKUP($D112,'Fatores de Emissão'!$E$114:$K$173,4,FALSE))</f>
        <v/>
      </c>
      <c r="J112" s="450" t="str">
        <f>IF(OR($D112="",$D112="-"),"",VLOOKUP($D112,'Fatores de Emissão'!$E$114:$K$173,6,FALSE))</f>
        <v/>
      </c>
      <c r="K112" s="450" t="str">
        <f>IF($D112="","",IF($G112="kg/km",H112*$E112/1000,IF($G112="kg/p.km",$E112*$F112*H112/1000/F112,$E112*#REF!*H112/1000)))</f>
        <v/>
      </c>
      <c r="L112" s="450" t="str">
        <f>IF($D112="","",IF($G112="kg/km",I112*$E112/1000,IF($G112="kg/p.km",$E112*$F112*I112/1000/F112,$E112*#REF!*I112/1000)))</f>
        <v/>
      </c>
      <c r="M112" s="450" t="str">
        <f>IF($D112="","",IF($G112="kg/km",J112*$E112/1000,IF($G112="kg/p.km",$E112*$F112*J112/1000/2,$E112*#REF!*J112/1000)))</f>
        <v/>
      </c>
      <c r="N112" s="451" t="str">
        <f t="shared" si="4"/>
        <v/>
      </c>
      <c r="O112" s="452"/>
    </row>
    <row r="113" spans="1:15" s="237" customFormat="1" ht="15" hidden="1" customHeight="1" outlineLevel="2" x14ac:dyDescent="0.25">
      <c r="A113" s="363"/>
      <c r="B113" s="1145"/>
      <c r="C113" s="436"/>
      <c r="D113" s="436"/>
      <c r="E113" s="438"/>
      <c r="F113" s="438"/>
      <c r="G113" s="1020" t="str">
        <f>IF(OR(D113="",D113="-"),"",VLOOKUP(D113,'Fatores de Emissão'!E125:K174,3,FALSE))</f>
        <v/>
      </c>
      <c r="H113" s="450" t="str">
        <f>IF(OR($D113="",$D113="-"),"",VLOOKUP($D113,'Fatores de Emissão'!$E$114:$K$173,2,FALSE))</f>
        <v/>
      </c>
      <c r="I113" s="450" t="str">
        <f>IF(OR($D113="",$D113="-"),"",VLOOKUP($D113,'Fatores de Emissão'!$E$114:$K$173,4,FALSE))</f>
        <v/>
      </c>
      <c r="J113" s="450" t="str">
        <f>IF(OR($D113="",$D113="-"),"",VLOOKUP($D113,'Fatores de Emissão'!$E$114:$K$173,6,FALSE))</f>
        <v/>
      </c>
      <c r="K113" s="450" t="str">
        <f>IF($D113="","",IF($G113="kg/km",H113*$E113/1000,IF($G113="kg/p.km",$E113*$F113*H113/1000/F113,$E113*#REF!*H113/1000)))</f>
        <v/>
      </c>
      <c r="L113" s="450" t="str">
        <f>IF($D113="","",IF($G113="kg/km",I113*$E113/1000,IF($G113="kg/p.km",$E113*$F113*I113/1000/F113,$E113*#REF!*I113/1000)))</f>
        <v/>
      </c>
      <c r="M113" s="450" t="str">
        <f>IF($D113="","",IF($G113="kg/km",J113*$E113/1000,IF($G113="kg/p.km",$E113*$F113*J113/1000/2,$E113*#REF!*J113/1000)))</f>
        <v/>
      </c>
      <c r="N113" s="451" t="str">
        <f t="shared" si="4"/>
        <v/>
      </c>
      <c r="O113" s="440"/>
    </row>
    <row r="114" spans="1:15" s="237" customFormat="1" ht="15" hidden="1" customHeight="1" outlineLevel="2" x14ac:dyDescent="0.25">
      <c r="A114" s="363"/>
      <c r="B114" s="1145"/>
      <c r="C114" s="436"/>
      <c r="D114" s="436"/>
      <c r="E114" s="438"/>
      <c r="F114" s="438"/>
      <c r="G114" s="1020" t="str">
        <f>IF(OR(D114="",D114="-"),"",VLOOKUP(D114,'Fatores de Emissão'!E126:K174,3,FALSE))</f>
        <v/>
      </c>
      <c r="H114" s="450" t="str">
        <f>IF(OR($D114="",$D114="-"),"",VLOOKUP($D114,'Fatores de Emissão'!$E$114:$K$173,2,FALSE))</f>
        <v/>
      </c>
      <c r="I114" s="450" t="str">
        <f>IF(OR($D114="",$D114="-"),"",VLOOKUP($D114,'Fatores de Emissão'!$E$114:$K$173,4,FALSE))</f>
        <v/>
      </c>
      <c r="J114" s="450" t="str">
        <f>IF(OR($D114="",$D114="-"),"",VLOOKUP($D114,'Fatores de Emissão'!$E$114:$K$173,6,FALSE))</f>
        <v/>
      </c>
      <c r="K114" s="450" t="str">
        <f>IF($D114="","",IF($G114="kg/km",H114*$E114/1000,IF($G114="kg/p.km",$E114*$F114*H114/1000/F114,$E114*#REF!*H114/1000)))</f>
        <v/>
      </c>
      <c r="L114" s="450" t="str">
        <f>IF($D114="","",IF($G114="kg/km",I114*$E114/1000,IF($G114="kg/p.km",$E114*$F114*I114/1000/F114,$E114*#REF!*I114/1000)))</f>
        <v/>
      </c>
      <c r="M114" s="450" t="str">
        <f>IF($D114="","",IF($G114="kg/km",J114*$E114/1000,IF($G114="kg/p.km",$E114*$F114*J114/1000/2,$E114*#REF!*J114/1000)))</f>
        <v/>
      </c>
      <c r="N114" s="451" t="str">
        <f t="shared" si="4"/>
        <v/>
      </c>
      <c r="O114" s="440"/>
    </row>
    <row r="115" spans="1:15" s="237" customFormat="1" ht="15" hidden="1" customHeight="1" outlineLevel="2" x14ac:dyDescent="0.25">
      <c r="A115" s="363"/>
      <c r="B115" s="1145"/>
      <c r="C115" s="436"/>
      <c r="D115" s="436"/>
      <c r="E115" s="438"/>
      <c r="F115" s="438"/>
      <c r="G115" s="1020" t="str">
        <f>IF(OR(D115="",D115="-"),"",VLOOKUP(D115,'Fatores de Emissão'!E127:K175,3,FALSE))</f>
        <v/>
      </c>
      <c r="H115" s="450" t="str">
        <f>IF(OR($D115="",$D115="-"),"",VLOOKUP($D115,'Fatores de Emissão'!$E$114:$K$173,2,FALSE))</f>
        <v/>
      </c>
      <c r="I115" s="450" t="str">
        <f>IF(OR($D115="",$D115="-"),"",VLOOKUP($D115,'Fatores de Emissão'!$E$114:$K$173,4,FALSE))</f>
        <v/>
      </c>
      <c r="J115" s="450" t="str">
        <f>IF(OR($D115="",$D115="-"),"",VLOOKUP($D115,'Fatores de Emissão'!$E$114:$K$173,6,FALSE))</f>
        <v/>
      </c>
      <c r="K115" s="450" t="str">
        <f>IF($D115="","",IF($G115="kg/km",H115*$E115/1000,IF($G115="kg/p.km",$E115*$F115*H115/1000/F115,$E115*#REF!*H115/1000)))</f>
        <v/>
      </c>
      <c r="L115" s="450" t="str">
        <f>IF($D115="","",IF($G115="kg/km",I115*$E115/1000,IF($G115="kg/p.km",$E115*$F115*I115/1000/F115,$E115*#REF!*I115/1000)))</f>
        <v/>
      </c>
      <c r="M115" s="450" t="str">
        <f>IF($D115="","",IF($G115="kg/km",J115*$E115/1000,IF($G115="kg/p.km",$E115*$F115*J115/1000/2,$E115*#REF!*J115/1000)))</f>
        <v/>
      </c>
      <c r="N115" s="451" t="str">
        <f t="shared" si="4"/>
        <v/>
      </c>
      <c r="O115" s="440"/>
    </row>
    <row r="116" spans="1:15" s="237" customFormat="1" ht="15" hidden="1" customHeight="1" outlineLevel="2" x14ac:dyDescent="0.25">
      <c r="A116" s="363"/>
      <c r="B116" s="1145"/>
      <c r="C116" s="436"/>
      <c r="D116" s="436"/>
      <c r="E116" s="438"/>
      <c r="F116" s="438"/>
      <c r="G116" s="1020" t="str">
        <f>IF(OR(D116="",D116="-"),"",VLOOKUP(D116,'Fatores de Emissão'!E128:K176,3,FALSE))</f>
        <v/>
      </c>
      <c r="H116" s="450" t="str">
        <f>IF(OR($D116="",$D116="-"),"",VLOOKUP($D116,'Fatores de Emissão'!$E$114:$K$173,2,FALSE))</f>
        <v/>
      </c>
      <c r="I116" s="450" t="str">
        <f>IF(OR($D116="",$D116="-"),"",VLOOKUP($D116,'Fatores de Emissão'!$E$114:$K$173,4,FALSE))</f>
        <v/>
      </c>
      <c r="J116" s="450" t="str">
        <f>IF(OR($D116="",$D116="-"),"",VLOOKUP($D116,'Fatores de Emissão'!$E$114:$K$173,6,FALSE))</f>
        <v/>
      </c>
      <c r="K116" s="450" t="str">
        <f>IF($D116="","",IF($G116="kg/km",H116*$E116/1000,IF($G116="kg/p.km",$E116*$F116*H116/1000/F116,$E116*#REF!*H116/1000)))</f>
        <v/>
      </c>
      <c r="L116" s="450" t="str">
        <f>IF($D116="","",IF($G116="kg/km",I116*$E116/1000,IF($G116="kg/p.km",$E116*$F116*I116/1000/F116,$E116*#REF!*I116/1000)))</f>
        <v/>
      </c>
      <c r="M116" s="450" t="str">
        <f>IF($D116="","",IF($G116="kg/km",J116*$E116/1000,IF($G116="kg/p.km",$E116*$F116*J116/1000/2,$E116*#REF!*J116/1000)))</f>
        <v/>
      </c>
      <c r="N116" s="451" t="str">
        <f t="shared" si="4"/>
        <v/>
      </c>
      <c r="O116" s="440"/>
    </row>
    <row r="117" spans="1:15" s="237" customFormat="1" ht="15" hidden="1" customHeight="1" outlineLevel="2" x14ac:dyDescent="0.25">
      <c r="A117" s="363"/>
      <c r="B117" s="1145"/>
      <c r="C117" s="436"/>
      <c r="D117" s="436"/>
      <c r="E117" s="438"/>
      <c r="F117" s="438"/>
      <c r="G117" s="1020" t="str">
        <f>IF(OR(D117="",D117="-"),"",VLOOKUP(D117,'Fatores de Emissão'!E129:K177,3,FALSE))</f>
        <v/>
      </c>
      <c r="H117" s="450" t="str">
        <f>IF(OR($D117="",$D117="-"),"",VLOOKUP($D117,'Fatores de Emissão'!$E$114:$K$173,2,FALSE))</f>
        <v/>
      </c>
      <c r="I117" s="450" t="str">
        <f>IF(OR($D117="",$D117="-"),"",VLOOKUP($D117,'Fatores de Emissão'!$E$114:$K$173,4,FALSE))</f>
        <v/>
      </c>
      <c r="J117" s="450" t="str">
        <f>IF(OR($D117="",$D117="-"),"",VLOOKUP($D117,'Fatores de Emissão'!$E$114:$K$173,6,FALSE))</f>
        <v/>
      </c>
      <c r="K117" s="450" t="str">
        <f>IF($D117="","",IF($G117="kg/km",H117*$E117/1000,IF($G117="kg/p.km",$E117*$F117*H117/1000/F117,$E117*#REF!*H117/1000)))</f>
        <v/>
      </c>
      <c r="L117" s="450" t="str">
        <f>IF($D117="","",IF($G117="kg/km",I117*$E117/1000,IF($G117="kg/p.km",$E117*$F117*I117/1000/F117,$E117*#REF!*I117/1000)))</f>
        <v/>
      </c>
      <c r="M117" s="450" t="str">
        <f>IF($D117="","",IF($G117="kg/km",J117*$E117/1000,IF($G117="kg/p.km",$E117*$F117*J117/1000/2,$E117*#REF!*J117/1000)))</f>
        <v/>
      </c>
      <c r="N117" s="451" t="str">
        <f t="shared" si="4"/>
        <v/>
      </c>
      <c r="O117" s="440"/>
    </row>
    <row r="118" spans="1:15" s="237" customFormat="1" ht="15" hidden="1" customHeight="1" outlineLevel="2" x14ac:dyDescent="0.25">
      <c r="A118" s="363"/>
      <c r="B118" s="1145"/>
      <c r="C118" s="436"/>
      <c r="D118" s="436"/>
      <c r="E118" s="438"/>
      <c r="F118" s="438"/>
      <c r="G118" s="1020" t="str">
        <f>IF(OR(D118="",D118="-"),"",VLOOKUP(D118,'Fatores de Emissão'!E130:K178,3,FALSE))</f>
        <v/>
      </c>
      <c r="H118" s="450" t="str">
        <f>IF(OR($D118="",$D118="-"),"",VLOOKUP($D118,'Fatores de Emissão'!$E$114:$K$173,2,FALSE))</f>
        <v/>
      </c>
      <c r="I118" s="450" t="str">
        <f>IF(OR($D118="",$D118="-"),"",VLOOKUP($D118,'Fatores de Emissão'!$E$114:$K$173,4,FALSE))</f>
        <v/>
      </c>
      <c r="J118" s="450" t="str">
        <f>IF(OR($D118="",$D118="-"),"",VLOOKUP($D118,'Fatores de Emissão'!$E$114:$K$173,6,FALSE))</f>
        <v/>
      </c>
      <c r="K118" s="450" t="str">
        <f>IF($D118="","",IF($G118="kg/km",H118*$E118/1000,IF($G118="kg/p.km",$E118*$F118*H118/1000/F118,$E118*#REF!*H118/1000)))</f>
        <v/>
      </c>
      <c r="L118" s="450" t="str">
        <f>IF($D118="","",IF($G118="kg/km",I118*$E118/1000,IF($G118="kg/p.km",$E118*$F118*I118/1000/F118,$E118*#REF!*I118/1000)))</f>
        <v/>
      </c>
      <c r="M118" s="450" t="str">
        <f>IF($D118="","",IF($G118="kg/km",J118*$E118/1000,IF($G118="kg/p.km",$E118*$F118*J118/1000/2,$E118*#REF!*J118/1000)))</f>
        <v/>
      </c>
      <c r="N118" s="451" t="str">
        <f t="shared" si="4"/>
        <v/>
      </c>
      <c r="O118" s="440"/>
    </row>
    <row r="119" spans="1:15" s="237" customFormat="1" ht="15" hidden="1" customHeight="1" outlineLevel="2" x14ac:dyDescent="0.25">
      <c r="A119" s="363"/>
      <c r="B119" s="1145"/>
      <c r="C119" s="436"/>
      <c r="D119" s="436"/>
      <c r="E119" s="438"/>
      <c r="F119" s="438"/>
      <c r="G119" s="1020" t="str">
        <f>IF(OR(D119="",D119="-"),"",VLOOKUP(D119,'Fatores de Emissão'!E131:K179,3,FALSE))</f>
        <v/>
      </c>
      <c r="H119" s="450" t="str">
        <f>IF(OR($D119="",$D119="-"),"",VLOOKUP($D119,'Fatores de Emissão'!$E$114:$K$173,2,FALSE))</f>
        <v/>
      </c>
      <c r="I119" s="450" t="str">
        <f>IF(OR($D119="",$D119="-"),"",VLOOKUP($D119,'Fatores de Emissão'!$E$114:$K$173,4,FALSE))</f>
        <v/>
      </c>
      <c r="J119" s="450" t="str">
        <f>IF(OR($D119="",$D119="-"),"",VLOOKUP($D119,'Fatores de Emissão'!$E$114:$K$173,6,FALSE))</f>
        <v/>
      </c>
      <c r="K119" s="450" t="str">
        <f>IF($D119="","",IF($G119="kg/km",H119*$E119/1000,IF($G119="kg/p.km",$E119*$F119*H119/1000/F119,$E119*#REF!*H119/1000)))</f>
        <v/>
      </c>
      <c r="L119" s="450" t="str">
        <f>IF($D119="","",IF($G119="kg/km",I119*$E119/1000,IF($G119="kg/p.km",$E119*$F119*I119/1000/F119,$E119*#REF!*I119/1000)))</f>
        <v/>
      </c>
      <c r="M119" s="450" t="str">
        <f>IF($D119="","",IF($G119="kg/km",J119*$E119/1000,IF($G119="kg/p.km",$E119*$F119*J119/1000/2,$E119*#REF!*J119/1000)))</f>
        <v/>
      </c>
      <c r="N119" s="451" t="str">
        <f t="shared" si="4"/>
        <v/>
      </c>
      <c r="O119" s="440"/>
    </row>
    <row r="120" spans="1:15" s="237" customFormat="1" ht="15" hidden="1" customHeight="1" outlineLevel="2" x14ac:dyDescent="0.25">
      <c r="A120" s="363"/>
      <c r="B120" s="1145"/>
      <c r="C120" s="436"/>
      <c r="D120" s="436"/>
      <c r="E120" s="438"/>
      <c r="F120" s="438"/>
      <c r="G120" s="1020" t="str">
        <f>IF(OR(D120="",D120="-"),"",VLOOKUP(D120,'Fatores de Emissão'!E132:K180,3,FALSE))</f>
        <v/>
      </c>
      <c r="H120" s="450" t="str">
        <f>IF(OR($D120="",$D120="-"),"",VLOOKUP($D120,'Fatores de Emissão'!$E$114:$K$173,2,FALSE))</f>
        <v/>
      </c>
      <c r="I120" s="450" t="str">
        <f>IF(OR($D120="",$D120="-"),"",VLOOKUP($D120,'Fatores de Emissão'!$E$114:$K$173,4,FALSE))</f>
        <v/>
      </c>
      <c r="J120" s="450" t="str">
        <f>IF(OR($D120="",$D120="-"),"",VLOOKUP($D120,'Fatores de Emissão'!$E$114:$K$173,6,FALSE))</f>
        <v/>
      </c>
      <c r="K120" s="450" t="str">
        <f>IF($D120="","",IF($G120="kg/km",H120*$E120/1000,IF($G120="kg/p.km",$E120*$F120*H120/1000/F120,$E120*#REF!*H120/1000)))</f>
        <v/>
      </c>
      <c r="L120" s="450" t="str">
        <f>IF($D120="","",IF($G120="kg/km",I120*$E120/1000,IF($G120="kg/p.km",$E120*$F120*I120/1000/F120,$E120*#REF!*I120/1000)))</f>
        <v/>
      </c>
      <c r="M120" s="450" t="str">
        <f>IF($D120="","",IF($G120="kg/km",J120*$E120/1000,IF($G120="kg/p.km",$E120*$F120*J120/1000/2,$E120*#REF!*J120/1000)))</f>
        <v/>
      </c>
      <c r="N120" s="451" t="str">
        <f t="shared" si="4"/>
        <v/>
      </c>
      <c r="O120" s="440"/>
    </row>
    <row r="121" spans="1:15" s="237" customFormat="1" ht="15" hidden="1" customHeight="1" outlineLevel="2" x14ac:dyDescent="0.25">
      <c r="A121" s="363"/>
      <c r="B121" s="1145"/>
      <c r="C121" s="436"/>
      <c r="D121" s="436"/>
      <c r="E121" s="438"/>
      <c r="F121" s="438"/>
      <c r="G121" s="1020" t="str">
        <f>IF(OR(D121="",D121="-"),"",VLOOKUP(D121,'Fatores de Emissão'!E133:K181,3,FALSE))</f>
        <v/>
      </c>
      <c r="H121" s="450" t="str">
        <f>IF(OR($D121="",$D121="-"),"",VLOOKUP($D121,'Fatores de Emissão'!$E$114:$K$173,2,FALSE))</f>
        <v/>
      </c>
      <c r="I121" s="450" t="str">
        <f>IF(OR($D121="",$D121="-"),"",VLOOKUP($D121,'Fatores de Emissão'!$E$114:$K$173,4,FALSE))</f>
        <v/>
      </c>
      <c r="J121" s="450" t="str">
        <f>IF(OR($D121="",$D121="-"),"",VLOOKUP($D121,'Fatores de Emissão'!$E$114:$K$173,6,FALSE))</f>
        <v/>
      </c>
      <c r="K121" s="450" t="str">
        <f>IF($D121="","",IF($G121="kg/km",H121*$E121/1000,IF($G121="kg/p.km",$E121*$F121*H121/1000/F121,$E121*#REF!*H121/1000)))</f>
        <v/>
      </c>
      <c r="L121" s="450" t="str">
        <f>IF($D121="","",IF($G121="kg/km",I121*$E121/1000,IF($G121="kg/p.km",$E121*$F121*I121/1000/F121,$E121*#REF!*I121/1000)))</f>
        <v/>
      </c>
      <c r="M121" s="450" t="str">
        <f>IF($D121="","",IF($G121="kg/km",J121*$E121/1000,IF($G121="kg/p.km",$E121*$F121*J121/1000/2,$E121*#REF!*J121/1000)))</f>
        <v/>
      </c>
      <c r="N121" s="451" t="str">
        <f t="shared" si="4"/>
        <v/>
      </c>
      <c r="O121" s="440"/>
    </row>
    <row r="122" spans="1:15" s="237" customFormat="1" ht="15" hidden="1" customHeight="1" outlineLevel="2" x14ac:dyDescent="0.25">
      <c r="A122" s="363"/>
      <c r="B122" s="1145"/>
      <c r="C122" s="436"/>
      <c r="D122" s="436"/>
      <c r="E122" s="438"/>
      <c r="F122" s="438"/>
      <c r="G122" s="1020" t="str">
        <f>IF(OR(D122="",D122="-"),"",VLOOKUP(D122,'Fatores de Emissão'!E134:K182,3,FALSE))</f>
        <v/>
      </c>
      <c r="H122" s="450" t="str">
        <f>IF(OR($D122="",$D122="-"),"",VLOOKUP($D122,'Fatores de Emissão'!$E$114:$K$173,2,FALSE))</f>
        <v/>
      </c>
      <c r="I122" s="450" t="str">
        <f>IF(OR($D122="",$D122="-"),"",VLOOKUP($D122,'Fatores de Emissão'!$E$114:$K$173,4,FALSE))</f>
        <v/>
      </c>
      <c r="J122" s="450" t="str">
        <f>IF(OR($D122="",$D122="-"),"",VLOOKUP($D122,'Fatores de Emissão'!$E$114:$K$173,6,FALSE))</f>
        <v/>
      </c>
      <c r="K122" s="450" t="str">
        <f>IF($D122="","",IF($G122="kg/km",H122*$E122/1000,IF($G122="kg/p.km",$E122*$F122*H122/1000/F122,$E122*#REF!*H122/1000)))</f>
        <v/>
      </c>
      <c r="L122" s="450" t="str">
        <f>IF($D122="","",IF($G122="kg/km",I122*$E122/1000,IF($G122="kg/p.km",$E122*$F122*I122/1000/F122,$E122*#REF!*I122/1000)))</f>
        <v/>
      </c>
      <c r="M122" s="450" t="str">
        <f>IF($D122="","",IF($G122="kg/km",J122*$E122/1000,IF($G122="kg/p.km",$E122*$F122*J122/1000/2,$E122*#REF!*J122/1000)))</f>
        <v/>
      </c>
      <c r="N122" s="451" t="str">
        <f t="shared" si="4"/>
        <v/>
      </c>
      <c r="O122" s="440"/>
    </row>
    <row r="123" spans="1:15" s="237" customFormat="1" ht="15" hidden="1" customHeight="1" outlineLevel="2" x14ac:dyDescent="0.25">
      <c r="A123" s="363"/>
      <c r="B123" s="1145"/>
      <c r="C123" s="436"/>
      <c r="D123" s="436"/>
      <c r="E123" s="438"/>
      <c r="F123" s="438"/>
      <c r="G123" s="1020" t="str">
        <f>IF(OR(D123="",D123="-"),"",VLOOKUP(D123,'Fatores de Emissão'!E135:K183,3,FALSE))</f>
        <v/>
      </c>
      <c r="H123" s="450" t="str">
        <f>IF(OR($D123="",$D123="-"),"",VLOOKUP($D123,'Fatores de Emissão'!$E$114:$K$173,2,FALSE))</f>
        <v/>
      </c>
      <c r="I123" s="450" t="str">
        <f>IF(OR($D123="",$D123="-"),"",VLOOKUP($D123,'Fatores de Emissão'!$E$114:$K$173,4,FALSE))</f>
        <v/>
      </c>
      <c r="J123" s="450" t="str">
        <f>IF(OR($D123="",$D123="-"),"",VLOOKUP($D123,'Fatores de Emissão'!$E$114:$K$173,6,FALSE))</f>
        <v/>
      </c>
      <c r="K123" s="450" t="str">
        <f>IF($D123="","",IF($G123="kg/km",H123*$E123/1000,IF($G123="kg/p.km",$E123*$F123*H123/1000/F123,$E123*#REF!*H123/1000)))</f>
        <v/>
      </c>
      <c r="L123" s="450" t="str">
        <f>IF($D123="","",IF($G123="kg/km",I123*$E123/1000,IF($G123="kg/p.km",$E123*$F123*I123/1000/F123,$E123*#REF!*I123/1000)))</f>
        <v/>
      </c>
      <c r="M123" s="450" t="str">
        <f>IF($D123="","",IF($G123="kg/km",J123*$E123/1000,IF($G123="kg/p.km",$E123*$F123*J123/1000/2,$E123*#REF!*J123/1000)))</f>
        <v/>
      </c>
      <c r="N123" s="451" t="str">
        <f t="shared" si="4"/>
        <v/>
      </c>
      <c r="O123" s="440"/>
    </row>
    <row r="124" spans="1:15" s="237" customFormat="1" ht="15" hidden="1" customHeight="1" outlineLevel="2" x14ac:dyDescent="0.25">
      <c r="A124" s="363"/>
      <c r="B124" s="1145"/>
      <c r="C124" s="436"/>
      <c r="D124" s="436"/>
      <c r="E124" s="438"/>
      <c r="F124" s="438"/>
      <c r="G124" s="1020" t="str">
        <f>IF(OR(D124="",D124="-"),"",VLOOKUP(D124,'Fatores de Emissão'!E136:K184,3,FALSE))</f>
        <v/>
      </c>
      <c r="H124" s="450" t="str">
        <f>IF(OR($D124="",$D124="-"),"",VLOOKUP($D124,'Fatores de Emissão'!$E$114:$K$173,2,FALSE))</f>
        <v/>
      </c>
      <c r="I124" s="450" t="str">
        <f>IF(OR($D124="",$D124="-"),"",VLOOKUP($D124,'Fatores de Emissão'!$E$114:$K$173,4,FALSE))</f>
        <v/>
      </c>
      <c r="J124" s="450" t="str">
        <f>IF(OR($D124="",$D124="-"),"",VLOOKUP($D124,'Fatores de Emissão'!$E$114:$K$173,6,FALSE))</f>
        <v/>
      </c>
      <c r="K124" s="450" t="str">
        <f>IF($D124="","",IF($G124="kg/km",H124*$E124/1000,IF($G124="kg/p.km",$E124*$F124*H124/1000/F124,$E124*#REF!*H124/1000)))</f>
        <v/>
      </c>
      <c r="L124" s="450" t="str">
        <f>IF($D124="","",IF($G124="kg/km",I124*$E124/1000,IF($G124="kg/p.km",$E124*$F124*I124/1000/F124,$E124*#REF!*I124/1000)))</f>
        <v/>
      </c>
      <c r="M124" s="450" t="str">
        <f>IF($D124="","",IF($G124="kg/km",J124*$E124/1000,IF($G124="kg/p.km",$E124*$F124*J124/1000/2,$E124*#REF!*J124/1000)))</f>
        <v/>
      </c>
      <c r="N124" s="451" t="str">
        <f t="shared" si="4"/>
        <v/>
      </c>
      <c r="O124" s="440"/>
    </row>
    <row r="125" spans="1:15" s="237" customFormat="1" ht="15" hidden="1" customHeight="1" outlineLevel="2" x14ac:dyDescent="0.25">
      <c r="A125" s="363"/>
      <c r="B125" s="1145"/>
      <c r="C125" s="436"/>
      <c r="D125" s="436"/>
      <c r="E125" s="438"/>
      <c r="F125" s="438"/>
      <c r="G125" s="1020" t="str">
        <f>IF(OR(D125="",D125="-"),"",VLOOKUP(D125,'Fatores de Emissão'!E137:K185,3,FALSE))</f>
        <v/>
      </c>
      <c r="H125" s="450" t="str">
        <f>IF(OR($D125="",$D125="-"),"",VLOOKUP($D125,'Fatores de Emissão'!$E$114:$K$173,2,FALSE))</f>
        <v/>
      </c>
      <c r="I125" s="450" t="str">
        <f>IF(OR($D125="",$D125="-"),"",VLOOKUP($D125,'Fatores de Emissão'!$E$114:$K$173,4,FALSE))</f>
        <v/>
      </c>
      <c r="J125" s="450" t="str">
        <f>IF(OR($D125="",$D125="-"),"",VLOOKUP($D125,'Fatores de Emissão'!$E$114:$K$173,6,FALSE))</f>
        <v/>
      </c>
      <c r="K125" s="450" t="str">
        <f>IF($D125="","",IF($G125="kg/km",H125*$E125/1000,IF($G125="kg/p.km",$E125*$F125*H125/1000/F125,$E125*#REF!*H125/1000)))</f>
        <v/>
      </c>
      <c r="L125" s="450" t="str">
        <f>IF($D125="","",IF($G125="kg/km",I125*$E125/1000,IF($G125="kg/p.km",$E125*$F125*I125/1000/F125,$E125*#REF!*I125/1000)))</f>
        <v/>
      </c>
      <c r="M125" s="450" t="str">
        <f>IF($D125="","",IF($G125="kg/km",J125*$E125/1000,IF($G125="kg/p.km",$E125*$F125*J125/1000/2,$E125*#REF!*J125/1000)))</f>
        <v/>
      </c>
      <c r="N125" s="451" t="str">
        <f t="shared" si="4"/>
        <v/>
      </c>
      <c r="O125" s="440"/>
    </row>
    <row r="126" spans="1:15" s="237" customFormat="1" ht="15" hidden="1" customHeight="1" outlineLevel="2" x14ac:dyDescent="0.25">
      <c r="A126" s="363"/>
      <c r="B126" s="1145"/>
      <c r="C126" s="436"/>
      <c r="D126" s="436"/>
      <c r="E126" s="438"/>
      <c r="F126" s="438"/>
      <c r="G126" s="1020" t="str">
        <f>IF(OR(D126="",D126="-"),"",VLOOKUP(D126,'Fatores de Emissão'!E138:K186,3,FALSE))</f>
        <v/>
      </c>
      <c r="H126" s="450" t="str">
        <f>IF(OR($D126="",$D126="-"),"",VLOOKUP($D126,'Fatores de Emissão'!$E$114:$K$173,2,FALSE))</f>
        <v/>
      </c>
      <c r="I126" s="450" t="str">
        <f>IF(OR($D126="",$D126="-"),"",VLOOKUP($D126,'Fatores de Emissão'!$E$114:$K$173,4,FALSE))</f>
        <v/>
      </c>
      <c r="J126" s="450" t="str">
        <f>IF(OR($D126="",$D126="-"),"",VLOOKUP($D126,'Fatores de Emissão'!$E$114:$K$173,6,FALSE))</f>
        <v/>
      </c>
      <c r="K126" s="450" t="str">
        <f>IF($D126="","",IF($G126="kg/km",H126*$E126/1000,IF($G126="kg/p.km",$E126*$F126*H126/1000/F126,$E126*#REF!*H126/1000)))</f>
        <v/>
      </c>
      <c r="L126" s="450" t="str">
        <f>IF($D126="","",IF($G126="kg/km",I126*$E126/1000,IF($G126="kg/p.km",$E126*$F126*I126/1000/F126,$E126*#REF!*I126/1000)))</f>
        <v/>
      </c>
      <c r="M126" s="450" t="str">
        <f>IF($D126="","",IF($G126="kg/km",J126*$E126/1000,IF($G126="kg/p.km",$E126*$F126*J126/1000/2,$E126*#REF!*J126/1000)))</f>
        <v/>
      </c>
      <c r="N126" s="451" t="str">
        <f t="shared" si="4"/>
        <v/>
      </c>
      <c r="O126" s="440"/>
    </row>
    <row r="127" spans="1:15" s="237" customFormat="1" ht="15" hidden="1" customHeight="1" outlineLevel="2" x14ac:dyDescent="0.25">
      <c r="A127" s="363"/>
      <c r="B127" s="1145"/>
      <c r="C127" s="436"/>
      <c r="D127" s="436"/>
      <c r="E127" s="438"/>
      <c r="F127" s="438"/>
      <c r="G127" s="1020" t="str">
        <f>IF(OR(D127="",D127="-"),"",VLOOKUP(D127,'Fatores de Emissão'!E139:K187,3,FALSE))</f>
        <v/>
      </c>
      <c r="H127" s="450" t="str">
        <f>IF(OR($D127="",$D127="-"),"",VLOOKUP($D127,'Fatores de Emissão'!$E$114:$K$173,2,FALSE))</f>
        <v/>
      </c>
      <c r="I127" s="450" t="str">
        <f>IF(OR($D127="",$D127="-"),"",VLOOKUP($D127,'Fatores de Emissão'!$E$114:$K$173,4,FALSE))</f>
        <v/>
      </c>
      <c r="J127" s="450" t="str">
        <f>IF(OR($D127="",$D127="-"),"",VLOOKUP($D127,'Fatores de Emissão'!$E$114:$K$173,6,FALSE))</f>
        <v/>
      </c>
      <c r="K127" s="450" t="str">
        <f>IF($D127="","",IF($G127="kg/km",H127*$E127/1000,IF($G127="kg/p.km",$E127*$F127*H127/1000/F127,$E127*#REF!*H127/1000)))</f>
        <v/>
      </c>
      <c r="L127" s="450" t="str">
        <f>IF($D127="","",IF($G127="kg/km",I127*$E127/1000,IF($G127="kg/p.km",$E127*$F127*I127/1000/F127,$E127*#REF!*I127/1000)))</f>
        <v/>
      </c>
      <c r="M127" s="450" t="str">
        <f>IF($D127="","",IF($G127="kg/km",J127*$E127/1000,IF($G127="kg/p.km",$E127*$F127*J127/1000/2,$E127*#REF!*J127/1000)))</f>
        <v/>
      </c>
      <c r="N127" s="451" t="str">
        <f t="shared" si="4"/>
        <v/>
      </c>
      <c r="O127" s="440"/>
    </row>
    <row r="128" spans="1:15" s="237" customFormat="1" ht="15" hidden="1" customHeight="1" outlineLevel="2" x14ac:dyDescent="0.25">
      <c r="A128" s="363"/>
      <c r="B128" s="1145"/>
      <c r="C128" s="436"/>
      <c r="D128" s="436"/>
      <c r="E128" s="438"/>
      <c r="F128" s="438"/>
      <c r="G128" s="1020" t="str">
        <f>IF(OR(D128="",D128="-"),"",VLOOKUP(D128,'Fatores de Emissão'!E140:K188,3,FALSE))</f>
        <v/>
      </c>
      <c r="H128" s="450" t="str">
        <f>IF(OR($D128="",$D128="-"),"",VLOOKUP($D128,'Fatores de Emissão'!$E$114:$K$173,2,FALSE))</f>
        <v/>
      </c>
      <c r="I128" s="450" t="str">
        <f>IF(OR($D128="",$D128="-"),"",VLOOKUP($D128,'Fatores de Emissão'!$E$114:$K$173,4,FALSE))</f>
        <v/>
      </c>
      <c r="J128" s="450" t="str">
        <f>IF(OR($D128="",$D128="-"),"",VLOOKUP($D128,'Fatores de Emissão'!$E$114:$K$173,6,FALSE))</f>
        <v/>
      </c>
      <c r="K128" s="450" t="str">
        <f>IF($D128="","",IF($G128="kg/km",H128*$E128/1000,IF($G128="kg/p.km",$E128*$F128*H128/1000/F128,$E128*#REF!*H128/1000)))</f>
        <v/>
      </c>
      <c r="L128" s="450" t="str">
        <f>IF($D128="","",IF($G128="kg/km",I128*$E128/1000,IF($G128="kg/p.km",$E128*$F128*I128/1000/F128,$E128*#REF!*I128/1000)))</f>
        <v/>
      </c>
      <c r="M128" s="450" t="str">
        <f>IF($D128="","",IF($G128="kg/km",J128*$E128/1000,IF($G128="kg/p.km",$E128*$F128*J128/1000/2,$E128*#REF!*J128/1000)))</f>
        <v/>
      </c>
      <c r="N128" s="451" t="str">
        <f t="shared" si="4"/>
        <v/>
      </c>
      <c r="O128" s="440"/>
    </row>
    <row r="129" spans="1:15" s="237" customFormat="1" ht="15" hidden="1" customHeight="1" outlineLevel="2" x14ac:dyDescent="0.25">
      <c r="A129" s="363"/>
      <c r="B129" s="1145"/>
      <c r="C129" s="436"/>
      <c r="D129" s="436"/>
      <c r="E129" s="438"/>
      <c r="F129" s="438"/>
      <c r="G129" s="1020" t="str">
        <f>IF(OR(D129="",D129="-"),"",VLOOKUP(D129,'Fatores de Emissão'!E141:K189,3,FALSE))</f>
        <v/>
      </c>
      <c r="H129" s="450" t="str">
        <f>IF(OR($D129="",$D129="-"),"",VLOOKUP($D129,'Fatores de Emissão'!$E$114:$K$173,2,FALSE))</f>
        <v/>
      </c>
      <c r="I129" s="450" t="str">
        <f>IF(OR($D129="",$D129="-"),"",VLOOKUP($D129,'Fatores de Emissão'!$E$114:$K$173,4,FALSE))</f>
        <v/>
      </c>
      <c r="J129" s="450" t="str">
        <f>IF(OR($D129="",$D129="-"),"",VLOOKUP($D129,'Fatores de Emissão'!$E$114:$K$173,6,FALSE))</f>
        <v/>
      </c>
      <c r="K129" s="450" t="str">
        <f>IF($D129="","",IF($G129="kg/km",H129*$E129/1000,IF($G129="kg/p.km",$E129*$F129*H129/1000/F129,$E129*#REF!*H129/1000)))</f>
        <v/>
      </c>
      <c r="L129" s="450" t="str">
        <f>IF($D129="","",IF($G129="kg/km",I129*$E129/1000,IF($G129="kg/p.km",$E129*$F129*I129/1000/F129,$E129*#REF!*I129/1000)))</f>
        <v/>
      </c>
      <c r="M129" s="450" t="str">
        <f>IF($D129="","",IF($G129="kg/km",J129*$E129/1000,IF($G129="kg/p.km",$E129*$F129*J129/1000/2,$E129*#REF!*J129/1000)))</f>
        <v/>
      </c>
      <c r="N129" s="451" t="str">
        <f t="shared" si="4"/>
        <v/>
      </c>
      <c r="O129" s="440"/>
    </row>
    <row r="130" spans="1:15" s="237" customFormat="1" ht="15" hidden="1" customHeight="1" outlineLevel="2" x14ac:dyDescent="0.25">
      <c r="A130" s="363"/>
      <c r="B130" s="1145"/>
      <c r="C130" s="436"/>
      <c r="D130" s="436"/>
      <c r="E130" s="438"/>
      <c r="F130" s="438"/>
      <c r="G130" s="1020" t="str">
        <f>IF(OR(D130="",D130="-"),"",VLOOKUP(D130,'Fatores de Emissão'!E142:K190,3,FALSE))</f>
        <v/>
      </c>
      <c r="H130" s="450" t="str">
        <f>IF(OR($D130="",$D130="-"),"",VLOOKUP($D130,'Fatores de Emissão'!$E$114:$K$173,2,FALSE))</f>
        <v/>
      </c>
      <c r="I130" s="450" t="str">
        <f>IF(OR($D130="",$D130="-"),"",VLOOKUP($D130,'Fatores de Emissão'!$E$114:$K$173,4,FALSE))</f>
        <v/>
      </c>
      <c r="J130" s="450" t="str">
        <f>IF(OR($D130="",$D130="-"),"",VLOOKUP($D130,'Fatores de Emissão'!$E$114:$K$173,6,FALSE))</f>
        <v/>
      </c>
      <c r="K130" s="450" t="str">
        <f>IF($D130="","",IF($G130="kg/km",H130*$E130/1000,IF($G130="kg/p.km",$E130*$F130*H130/1000/F130,$E130*#REF!*H130/1000)))</f>
        <v/>
      </c>
      <c r="L130" s="450" t="str">
        <f>IF($D130="","",IF($G130="kg/km",I130*$E130/1000,IF($G130="kg/p.km",$E130*$F130*I130/1000/F130,$E130*#REF!*I130/1000)))</f>
        <v/>
      </c>
      <c r="M130" s="450" t="str">
        <f>IF($D130="","",IF($G130="kg/km",J130*$E130/1000,IF($G130="kg/p.km",$E130*$F130*J130/1000/2,$E130*#REF!*J130/1000)))</f>
        <v/>
      </c>
      <c r="N130" s="451" t="str">
        <f t="shared" si="4"/>
        <v/>
      </c>
      <c r="O130" s="440"/>
    </row>
    <row r="131" spans="1:15" s="237" customFormat="1" ht="15" hidden="1" customHeight="1" outlineLevel="2" x14ac:dyDescent="0.25">
      <c r="A131" s="363"/>
      <c r="B131" s="1145"/>
      <c r="C131" s="436"/>
      <c r="D131" s="436"/>
      <c r="E131" s="438"/>
      <c r="F131" s="438"/>
      <c r="G131" s="1020" t="str">
        <f>IF(OR(D131="",D131="-"),"",VLOOKUP(D131,'Fatores de Emissão'!E143:K191,3,FALSE))</f>
        <v/>
      </c>
      <c r="H131" s="450" t="str">
        <f>IF(OR($D131="",$D131="-"),"",VLOOKUP($D131,'Fatores de Emissão'!$E$114:$K$173,2,FALSE))</f>
        <v/>
      </c>
      <c r="I131" s="450" t="str">
        <f>IF(OR($D131="",$D131="-"),"",VLOOKUP($D131,'Fatores de Emissão'!$E$114:$K$173,4,FALSE))</f>
        <v/>
      </c>
      <c r="J131" s="450" t="str">
        <f>IF(OR($D131="",$D131="-"),"",VLOOKUP($D131,'Fatores de Emissão'!$E$114:$K$173,6,FALSE))</f>
        <v/>
      </c>
      <c r="K131" s="450" t="str">
        <f>IF($D131="","",IF($G131="kg/km",H131*$E131/1000,IF($G131="kg/p.km",$E131*$F131*H131/1000/F131,$E131*#REF!*H131/1000)))</f>
        <v/>
      </c>
      <c r="L131" s="450" t="str">
        <f>IF($D131="","",IF($G131="kg/km",I131*$E131/1000,IF($G131="kg/p.km",$E131*$F131*I131/1000/F131,$E131*#REF!*I131/1000)))</f>
        <v/>
      </c>
      <c r="M131" s="450" t="str">
        <f>IF($D131="","",IF($G131="kg/km",J131*$E131/1000,IF($G131="kg/p.km",$E131*$F131*J131/1000/2,$E131*#REF!*J131/1000)))</f>
        <v/>
      </c>
      <c r="N131" s="451" t="str">
        <f t="shared" si="4"/>
        <v/>
      </c>
      <c r="O131" s="440"/>
    </row>
    <row r="132" spans="1:15" s="237" customFormat="1" ht="15" hidden="1" customHeight="1" outlineLevel="2" x14ac:dyDescent="0.25">
      <c r="A132" s="363"/>
      <c r="B132" s="1145"/>
      <c r="C132" s="436"/>
      <c r="D132" s="436"/>
      <c r="E132" s="438"/>
      <c r="F132" s="438"/>
      <c r="G132" s="1020" t="str">
        <f>IF(OR(D132="",D132="-"),"",VLOOKUP(D132,'Fatores de Emissão'!E144:K192,3,FALSE))</f>
        <v/>
      </c>
      <c r="H132" s="450" t="str">
        <f>IF(OR($D132="",$D132="-"),"",VLOOKUP($D132,'Fatores de Emissão'!$E$114:$K$173,2,FALSE))</f>
        <v/>
      </c>
      <c r="I132" s="450" t="str">
        <f>IF(OR($D132="",$D132="-"),"",VLOOKUP($D132,'Fatores de Emissão'!$E$114:$K$173,4,FALSE))</f>
        <v/>
      </c>
      <c r="J132" s="450" t="str">
        <f>IF(OR($D132="",$D132="-"),"",VLOOKUP($D132,'Fatores de Emissão'!$E$114:$K$173,6,FALSE))</f>
        <v/>
      </c>
      <c r="K132" s="450" t="str">
        <f>IF($D132="","",IF($G132="kg/km",H132*$E132/1000,IF($G132="kg/p.km",$E132*$F132*H132/1000/F132,$E132*#REF!*H132/1000)))</f>
        <v/>
      </c>
      <c r="L132" s="450" t="str">
        <f>IF($D132="","",IF($G132="kg/km",I132*$E132/1000,IF($G132="kg/p.km",$E132*$F132*I132/1000/F132,$E132*#REF!*I132/1000)))</f>
        <v/>
      </c>
      <c r="M132" s="450" t="str">
        <f>IF($D132="","",IF($G132="kg/km",J132*$E132/1000,IF($G132="kg/p.km",$E132*$F132*J132/1000/2,$E132*#REF!*J132/1000)))</f>
        <v/>
      </c>
      <c r="N132" s="451" t="str">
        <f t="shared" si="4"/>
        <v/>
      </c>
      <c r="O132" s="440"/>
    </row>
    <row r="133" spans="1:15" s="237" customFormat="1" ht="15" hidden="1" customHeight="1" outlineLevel="2" x14ac:dyDescent="0.25">
      <c r="A133" s="363"/>
      <c r="B133" s="1145"/>
      <c r="C133" s="436"/>
      <c r="D133" s="436"/>
      <c r="E133" s="438"/>
      <c r="F133" s="438"/>
      <c r="G133" s="1020" t="str">
        <f>IF(OR(D133="",D133="-"),"",VLOOKUP(D133,'Fatores de Emissão'!E145:K193,3,FALSE))</f>
        <v/>
      </c>
      <c r="H133" s="450" t="str">
        <f>IF(OR($D133="",$D133="-"),"",VLOOKUP($D133,'Fatores de Emissão'!$E$114:$K$173,2,FALSE))</f>
        <v/>
      </c>
      <c r="I133" s="450" t="str">
        <f>IF(OR($D133="",$D133="-"),"",VLOOKUP($D133,'Fatores de Emissão'!$E$114:$K$173,4,FALSE))</f>
        <v/>
      </c>
      <c r="J133" s="450" t="str">
        <f>IF(OR($D133="",$D133="-"),"",VLOOKUP($D133,'Fatores de Emissão'!$E$114:$K$173,6,FALSE))</f>
        <v/>
      </c>
      <c r="K133" s="450" t="str">
        <f>IF($D133="","",IF($G133="kg/km",H133*$E133/1000,IF($G133="kg/p.km",$E133*$F133*H133/1000/F133,$E133*#REF!*H133/1000)))</f>
        <v/>
      </c>
      <c r="L133" s="450" t="str">
        <f>IF($D133="","",IF($G133="kg/km",I133*$E133/1000,IF($G133="kg/p.km",$E133*$F133*I133/1000/F133,$E133*#REF!*I133/1000)))</f>
        <v/>
      </c>
      <c r="M133" s="450" t="str">
        <f>IF($D133="","",IF($G133="kg/km",J133*$E133/1000,IF($G133="kg/p.km",$E133*$F133*J133/1000/2,$E133*#REF!*J133/1000)))</f>
        <v/>
      </c>
      <c r="N133" s="451" t="str">
        <f t="shared" si="4"/>
        <v/>
      </c>
      <c r="O133" s="440"/>
    </row>
    <row r="134" spans="1:15" s="237" customFormat="1" ht="15" hidden="1" customHeight="1" outlineLevel="2" x14ac:dyDescent="0.25">
      <c r="A134" s="363"/>
      <c r="B134" s="1145"/>
      <c r="C134" s="436"/>
      <c r="D134" s="436"/>
      <c r="E134" s="438"/>
      <c r="F134" s="438"/>
      <c r="G134" s="1020" t="str">
        <f>IF(OR(D134="",D134="-"),"",VLOOKUP(D134,'Fatores de Emissão'!E146:K194,3,FALSE))</f>
        <v/>
      </c>
      <c r="H134" s="450" t="str">
        <f>IF(OR($D134="",$D134="-"),"",VLOOKUP($D134,'Fatores de Emissão'!$E$114:$K$173,2,FALSE))</f>
        <v/>
      </c>
      <c r="I134" s="450" t="str">
        <f>IF(OR($D134="",$D134="-"),"",VLOOKUP($D134,'Fatores de Emissão'!$E$114:$K$173,4,FALSE))</f>
        <v/>
      </c>
      <c r="J134" s="450" t="str">
        <f>IF(OR($D134="",$D134="-"),"",VLOOKUP($D134,'Fatores de Emissão'!$E$114:$K$173,6,FALSE))</f>
        <v/>
      </c>
      <c r="K134" s="450" t="str">
        <f>IF($D134="","",IF($G134="kg/km",H134*$E134/1000,IF($G134="kg/p.km",$E134*$F134*H134/1000/F134,$E134*#REF!*H134/1000)))</f>
        <v/>
      </c>
      <c r="L134" s="450" t="str">
        <f>IF($D134="","",IF($G134="kg/km",I134*$E134/1000,IF($G134="kg/p.km",$E134*$F134*I134/1000/F134,$E134*#REF!*I134/1000)))</f>
        <v/>
      </c>
      <c r="M134" s="450" t="str">
        <f>IF($D134="","",IF($G134="kg/km",J134*$E134/1000,IF($G134="kg/p.km",$E134*$F134*J134/1000/2,$E134*#REF!*J134/1000)))</f>
        <v/>
      </c>
      <c r="N134" s="451" t="str">
        <f t="shared" si="4"/>
        <v/>
      </c>
      <c r="O134" s="440"/>
    </row>
    <row r="135" spans="1:15" s="237" customFormat="1" ht="15" hidden="1" customHeight="1" outlineLevel="2" x14ac:dyDescent="0.25">
      <c r="A135" s="363"/>
      <c r="B135" s="1145"/>
      <c r="C135" s="436"/>
      <c r="D135" s="436"/>
      <c r="E135" s="438"/>
      <c r="F135" s="438"/>
      <c r="G135" s="1020" t="str">
        <f>IF(OR(D135="",D135="-"),"",VLOOKUP(D135,'Fatores de Emissão'!E147:K195,3,FALSE))</f>
        <v/>
      </c>
      <c r="H135" s="450" t="str">
        <f>IF(OR($D135="",$D135="-"),"",VLOOKUP($D135,'Fatores de Emissão'!$E$114:$K$173,2,FALSE))</f>
        <v/>
      </c>
      <c r="I135" s="450" t="str">
        <f>IF(OR($D135="",$D135="-"),"",VLOOKUP($D135,'Fatores de Emissão'!$E$114:$K$173,4,FALSE))</f>
        <v/>
      </c>
      <c r="J135" s="450" t="str">
        <f>IF(OR($D135="",$D135="-"),"",VLOOKUP($D135,'Fatores de Emissão'!$E$114:$K$173,6,FALSE))</f>
        <v/>
      </c>
      <c r="K135" s="450" t="str">
        <f>IF($D135="","",IF($G135="kg/km",H135*$E135/1000,IF($G135="kg/p.km",$E135*$F135*H135/1000/F135,$E135*#REF!*H135/1000)))</f>
        <v/>
      </c>
      <c r="L135" s="450" t="str">
        <f>IF($D135="","",IF($G135="kg/km",I135*$E135/1000,IF($G135="kg/p.km",$E135*$F135*I135/1000/F135,$E135*#REF!*I135/1000)))</f>
        <v/>
      </c>
      <c r="M135" s="450" t="str">
        <f>IF($D135="","",IF($G135="kg/km",J135*$E135/1000,IF($G135="kg/p.km",$E135*$F135*J135/1000/2,$E135*#REF!*J135/1000)))</f>
        <v/>
      </c>
      <c r="N135" s="451" t="str">
        <f t="shared" si="4"/>
        <v/>
      </c>
      <c r="O135" s="440"/>
    </row>
    <row r="136" spans="1:15" s="237" customFormat="1" ht="15" hidden="1" customHeight="1" outlineLevel="2" x14ac:dyDescent="0.25">
      <c r="A136" s="363"/>
      <c r="B136" s="1145"/>
      <c r="C136" s="436"/>
      <c r="D136" s="436"/>
      <c r="E136" s="438"/>
      <c r="F136" s="438"/>
      <c r="G136" s="1020" t="str">
        <f>IF(OR(D136="",D136="-"),"",VLOOKUP(D136,'Fatores de Emissão'!E148:K196,3,FALSE))</f>
        <v/>
      </c>
      <c r="H136" s="450" t="str">
        <f>IF(OR($D136="",$D136="-"),"",VLOOKUP($D136,'Fatores de Emissão'!$E$114:$K$173,2,FALSE))</f>
        <v/>
      </c>
      <c r="I136" s="450" t="str">
        <f>IF(OR($D136="",$D136="-"),"",VLOOKUP($D136,'Fatores de Emissão'!$E$114:$K$173,4,FALSE))</f>
        <v/>
      </c>
      <c r="J136" s="450" t="str">
        <f>IF(OR($D136="",$D136="-"),"",VLOOKUP($D136,'Fatores de Emissão'!$E$114:$K$173,6,FALSE))</f>
        <v/>
      </c>
      <c r="K136" s="450" t="str">
        <f>IF($D136="","",IF($G136="kg/km",H136*$E136/1000,IF($G136="kg/p.km",$E136*$F136*H136/1000/F136,$E136*#REF!*H136/1000)))</f>
        <v/>
      </c>
      <c r="L136" s="450" t="str">
        <f>IF($D136="","",IF($G136="kg/km",I136*$E136/1000,IF($G136="kg/p.km",$E136*$F136*I136/1000/F136,$E136*#REF!*I136/1000)))</f>
        <v/>
      </c>
      <c r="M136" s="450" t="str">
        <f>IF($D136="","",IF($G136="kg/km",J136*$E136/1000,IF($G136="kg/p.km",$E136*$F136*J136/1000/2,$E136*#REF!*J136/1000)))</f>
        <v/>
      </c>
      <c r="N136" s="451" t="str">
        <f t="shared" si="4"/>
        <v/>
      </c>
      <c r="O136" s="440"/>
    </row>
    <row r="137" spans="1:15" s="237" customFormat="1" ht="15" hidden="1" customHeight="1" outlineLevel="2" x14ac:dyDescent="0.25">
      <c r="A137" s="363"/>
      <c r="B137" s="1145"/>
      <c r="C137" s="436"/>
      <c r="D137" s="436"/>
      <c r="E137" s="438"/>
      <c r="F137" s="438"/>
      <c r="G137" s="1020" t="str">
        <f>IF(OR(D137="",D137="-"),"",VLOOKUP(D137,'Fatores de Emissão'!E149:K197,3,FALSE))</f>
        <v/>
      </c>
      <c r="H137" s="450" t="str">
        <f>IF(OR($D137="",$D137="-"),"",VLOOKUP($D137,'Fatores de Emissão'!$E$114:$K$173,2,FALSE))</f>
        <v/>
      </c>
      <c r="I137" s="450" t="str">
        <f>IF(OR($D137="",$D137="-"),"",VLOOKUP($D137,'Fatores de Emissão'!$E$114:$K$173,4,FALSE))</f>
        <v/>
      </c>
      <c r="J137" s="450" t="str">
        <f>IF(OR($D137="",$D137="-"),"",VLOOKUP($D137,'Fatores de Emissão'!$E$114:$K$173,6,FALSE))</f>
        <v/>
      </c>
      <c r="K137" s="450" t="str">
        <f>IF($D137="","",IF($G137="kg/km",H137*$E137/1000,IF($G137="kg/p.km",$E137*$F137*H137/1000/F137,$E137*#REF!*H137/1000)))</f>
        <v/>
      </c>
      <c r="L137" s="450" t="str">
        <f>IF($D137="","",IF($G137="kg/km",I137*$E137/1000,IF($G137="kg/p.km",$E137*$F137*I137/1000/F137,$E137*#REF!*I137/1000)))</f>
        <v/>
      </c>
      <c r="M137" s="450" t="str">
        <f>IF($D137="","",IF($G137="kg/km",J137*$E137/1000,IF($G137="kg/p.km",$E137*$F137*J137/1000/2,$E137*#REF!*J137/1000)))</f>
        <v/>
      </c>
      <c r="N137" s="451" t="str">
        <f t="shared" si="4"/>
        <v/>
      </c>
      <c r="O137" s="440"/>
    </row>
    <row r="138" spans="1:15" s="237" customFormat="1" ht="15" hidden="1" customHeight="1" outlineLevel="2" x14ac:dyDescent="0.25">
      <c r="A138" s="363"/>
      <c r="B138" s="1145"/>
      <c r="C138" s="436"/>
      <c r="D138" s="436"/>
      <c r="E138" s="438"/>
      <c r="F138" s="438"/>
      <c r="G138" s="1020" t="str">
        <f>IF(OR(D138="",D138="-"),"",VLOOKUP(D138,'Fatores de Emissão'!E150:K198,3,FALSE))</f>
        <v/>
      </c>
      <c r="H138" s="450" t="str">
        <f>IF(OR($D138="",$D138="-"),"",VLOOKUP($D138,'Fatores de Emissão'!$E$114:$K$173,2,FALSE))</f>
        <v/>
      </c>
      <c r="I138" s="450" t="str">
        <f>IF(OR($D138="",$D138="-"),"",VLOOKUP($D138,'Fatores de Emissão'!$E$114:$K$173,4,FALSE))</f>
        <v/>
      </c>
      <c r="J138" s="450" t="str">
        <f>IF(OR($D138="",$D138="-"),"",VLOOKUP($D138,'Fatores de Emissão'!$E$114:$K$173,6,FALSE))</f>
        <v/>
      </c>
      <c r="K138" s="450" t="str">
        <f>IF($D138="","",IF($G138="kg/km",H138*$E138/1000,IF($G138="kg/p.km",$E138*$F138*H138/1000/F138,$E138*#REF!*H138/1000)))</f>
        <v/>
      </c>
      <c r="L138" s="450" t="str">
        <f>IF($D138="","",IF($G138="kg/km",I138*$E138/1000,IF($G138="kg/p.km",$E138*$F138*I138/1000/F138,$E138*#REF!*I138/1000)))</f>
        <v/>
      </c>
      <c r="M138" s="450" t="str">
        <f>IF($D138="","",IF($G138="kg/km",J138*$E138/1000,IF($G138="kg/p.km",$E138*$F138*J138/1000/2,$E138*#REF!*J138/1000)))</f>
        <v/>
      </c>
      <c r="N138" s="451" t="str">
        <f t="shared" si="4"/>
        <v/>
      </c>
      <c r="O138" s="440"/>
    </row>
    <row r="139" spans="1:15" s="237" customFormat="1" ht="15" hidden="1" customHeight="1" outlineLevel="2" x14ac:dyDescent="0.25">
      <c r="A139" s="363"/>
      <c r="B139" s="1145"/>
      <c r="C139" s="436"/>
      <c r="D139" s="436"/>
      <c r="E139" s="438"/>
      <c r="F139" s="438"/>
      <c r="G139" s="1020" t="str">
        <f>IF(OR(D139="",D139="-"),"",VLOOKUP(D139,'Fatores de Emissão'!E151:K199,3,FALSE))</f>
        <v/>
      </c>
      <c r="H139" s="450" t="str">
        <f>IF(OR($D139="",$D139="-"),"",VLOOKUP($D139,'Fatores de Emissão'!$E$114:$K$173,2,FALSE))</f>
        <v/>
      </c>
      <c r="I139" s="450" t="str">
        <f>IF(OR($D139="",$D139="-"),"",VLOOKUP($D139,'Fatores de Emissão'!$E$114:$K$173,4,FALSE))</f>
        <v/>
      </c>
      <c r="J139" s="450" t="str">
        <f>IF(OR($D139="",$D139="-"),"",VLOOKUP($D139,'Fatores de Emissão'!$E$114:$K$173,6,FALSE))</f>
        <v/>
      </c>
      <c r="K139" s="450" t="str">
        <f>IF($D139="","",IF($G139="kg/km",H139*$E139/1000,IF($G139="kg/p.km",$E139*$F139*H139/1000/F139,$E139*#REF!*H139/1000)))</f>
        <v/>
      </c>
      <c r="L139" s="450" t="str">
        <f>IF($D139="","",IF($G139="kg/km",I139*$E139/1000,IF($G139="kg/p.km",$E139*$F139*I139/1000/F139,$E139*#REF!*I139/1000)))</f>
        <v/>
      </c>
      <c r="M139" s="450" t="str">
        <f>IF($D139="","",IF($G139="kg/km",J139*$E139/1000,IF($G139="kg/p.km",$E139*$F139*J139/1000/2,$E139*#REF!*J139/1000)))</f>
        <v/>
      </c>
      <c r="N139" s="451" t="str">
        <f t="shared" si="4"/>
        <v/>
      </c>
      <c r="O139" s="440"/>
    </row>
    <row r="140" spans="1:15" s="237" customFormat="1" ht="15" hidden="1" customHeight="1" outlineLevel="2" x14ac:dyDescent="0.25">
      <c r="A140" s="363"/>
      <c r="B140" s="1145"/>
      <c r="C140" s="436"/>
      <c r="D140" s="436"/>
      <c r="E140" s="438"/>
      <c r="F140" s="438"/>
      <c r="G140" s="1020" t="str">
        <f>IF(OR(D140="",D140="-"),"",VLOOKUP(D140,'Fatores de Emissão'!E152:K200,3,FALSE))</f>
        <v/>
      </c>
      <c r="H140" s="450" t="str">
        <f>IF(OR($D140="",$D140="-"),"",VLOOKUP($D140,'Fatores de Emissão'!$E$114:$K$173,2,FALSE))</f>
        <v/>
      </c>
      <c r="I140" s="450" t="str">
        <f>IF(OR($D140="",$D140="-"),"",VLOOKUP($D140,'Fatores de Emissão'!$E$114:$K$173,4,FALSE))</f>
        <v/>
      </c>
      <c r="J140" s="450" t="str">
        <f>IF(OR($D140="",$D140="-"),"",VLOOKUP($D140,'Fatores de Emissão'!$E$114:$K$173,6,FALSE))</f>
        <v/>
      </c>
      <c r="K140" s="450" t="str">
        <f>IF($D140="","",IF($G140="kg/km",H140*$E140/1000,IF($G140="kg/p.km",$E140*$F140*H140/1000/F140,$E140*#REF!*H140/1000)))</f>
        <v/>
      </c>
      <c r="L140" s="450" t="str">
        <f>IF($D140="","",IF($G140="kg/km",I140*$E140/1000,IF($G140="kg/p.km",$E140*$F140*I140/1000/F140,$E140*#REF!*I140/1000)))</f>
        <v/>
      </c>
      <c r="M140" s="450" t="str">
        <f>IF($D140="","",IF($G140="kg/km",J140*$E140/1000,IF($G140="kg/p.km",$E140*$F140*J140/1000/2,$E140*#REF!*J140/1000)))</f>
        <v/>
      </c>
      <c r="N140" s="451" t="str">
        <f t="shared" si="4"/>
        <v/>
      </c>
      <c r="O140" s="440"/>
    </row>
    <row r="141" spans="1:15" s="237" customFormat="1" ht="15" hidden="1" customHeight="1" outlineLevel="2" x14ac:dyDescent="0.25">
      <c r="A141" s="363"/>
      <c r="B141" s="1145"/>
      <c r="C141" s="436"/>
      <c r="D141" s="436"/>
      <c r="E141" s="438"/>
      <c r="F141" s="438"/>
      <c r="G141" s="1020" t="str">
        <f>IF(OR(D141="",D141="-"),"",VLOOKUP(D141,'Fatores de Emissão'!E153:K201,3,FALSE))</f>
        <v/>
      </c>
      <c r="H141" s="450" t="str">
        <f>IF(OR($D141="",$D141="-"),"",VLOOKUP($D141,'Fatores de Emissão'!$E$114:$K$173,2,FALSE))</f>
        <v/>
      </c>
      <c r="I141" s="450" t="str">
        <f>IF(OR($D141="",$D141="-"),"",VLOOKUP($D141,'Fatores de Emissão'!$E$114:$K$173,4,FALSE))</f>
        <v/>
      </c>
      <c r="J141" s="450" t="str">
        <f>IF(OR($D141="",$D141="-"),"",VLOOKUP($D141,'Fatores de Emissão'!$E$114:$K$173,6,FALSE))</f>
        <v/>
      </c>
      <c r="K141" s="450" t="str">
        <f>IF($D141="","",IF($G141="kg/km",H141*$E141/1000,IF($G141="kg/p.km",$E141*$F141*H141/1000/F141,$E141*#REF!*H141/1000)))</f>
        <v/>
      </c>
      <c r="L141" s="450" t="str">
        <f>IF($D141="","",IF($G141="kg/km",I141*$E141/1000,IF($G141="kg/p.km",$E141*$F141*I141/1000/F141,$E141*#REF!*I141/1000)))</f>
        <v/>
      </c>
      <c r="M141" s="450" t="str">
        <f>IF($D141="","",IF($G141="kg/km",J141*$E141/1000,IF($G141="kg/p.km",$E141*$F141*J141/1000/2,$E141*#REF!*J141/1000)))</f>
        <v/>
      </c>
      <c r="N141" s="451" t="str">
        <f t="shared" si="4"/>
        <v/>
      </c>
      <c r="O141" s="440"/>
    </row>
    <row r="142" spans="1:15" s="237" customFormat="1" ht="15" hidden="1" customHeight="1" outlineLevel="2" x14ac:dyDescent="0.25">
      <c r="A142" s="363"/>
      <c r="B142" s="1145"/>
      <c r="C142" s="436"/>
      <c r="D142" s="436"/>
      <c r="E142" s="438"/>
      <c r="F142" s="438"/>
      <c r="G142" s="1020" t="str">
        <f>IF(OR(D142="",D142="-"),"",VLOOKUP(D142,'Fatores de Emissão'!E154:K202,3,FALSE))</f>
        <v/>
      </c>
      <c r="H142" s="450" t="str">
        <f>IF(OR($D142="",$D142="-"),"",VLOOKUP($D142,'Fatores de Emissão'!$E$114:$K$173,2,FALSE))</f>
        <v/>
      </c>
      <c r="I142" s="450" t="str">
        <f>IF(OR($D142="",$D142="-"),"",VLOOKUP($D142,'Fatores de Emissão'!$E$114:$K$173,4,FALSE))</f>
        <v/>
      </c>
      <c r="J142" s="450" t="str">
        <f>IF(OR($D142="",$D142="-"),"",VLOOKUP($D142,'Fatores de Emissão'!$E$114:$K$173,6,FALSE))</f>
        <v/>
      </c>
      <c r="K142" s="450" t="str">
        <f>IF($D142="","",IF($G142="kg/km",H142*$E142/1000,IF($G142="kg/p.km",$E142*$F142*H142/1000/F142,$E142*#REF!*H142/1000)))</f>
        <v/>
      </c>
      <c r="L142" s="450" t="str">
        <f>IF($D142="","",IF($G142="kg/km",I142*$E142/1000,IF($G142="kg/p.km",$E142*$F142*I142/1000/F142,$E142*#REF!*I142/1000)))</f>
        <v/>
      </c>
      <c r="M142" s="450" t="str">
        <f>IF($D142="","",IF($G142="kg/km",J142*$E142/1000,IF($G142="kg/p.km",$E142*$F142*J142/1000/2,$E142*#REF!*J142/1000)))</f>
        <v/>
      </c>
      <c r="N142" s="451" t="str">
        <f t="shared" si="4"/>
        <v/>
      </c>
      <c r="O142" s="440"/>
    </row>
    <row r="143" spans="1:15" s="237" customFormat="1" ht="15" hidden="1" customHeight="1" outlineLevel="2" x14ac:dyDescent="0.25">
      <c r="A143" s="363"/>
      <c r="B143" s="1145"/>
      <c r="C143" s="436"/>
      <c r="D143" s="436"/>
      <c r="E143" s="438"/>
      <c r="F143" s="438"/>
      <c r="G143" s="1020" t="str">
        <f>IF(OR(D143="",D143="-"),"",VLOOKUP(D143,'Fatores de Emissão'!E155:K203,3,FALSE))</f>
        <v/>
      </c>
      <c r="H143" s="450" t="str">
        <f>IF(OR($D143="",$D143="-"),"",VLOOKUP($D143,'Fatores de Emissão'!$E$114:$K$173,2,FALSE))</f>
        <v/>
      </c>
      <c r="I143" s="450" t="str">
        <f>IF(OR($D143="",$D143="-"),"",VLOOKUP($D143,'Fatores de Emissão'!$E$114:$K$173,4,FALSE))</f>
        <v/>
      </c>
      <c r="J143" s="450" t="str">
        <f>IF(OR($D143="",$D143="-"),"",VLOOKUP($D143,'Fatores de Emissão'!$E$114:$K$173,6,FALSE))</f>
        <v/>
      </c>
      <c r="K143" s="450" t="str">
        <f>IF($D143="","",IF($G143="kg/km",H143*$E143/1000,IF($G143="kg/p.km",$E143*$F143*H143/1000/F143,$E143*#REF!*H143/1000)))</f>
        <v/>
      </c>
      <c r="L143" s="450" t="str">
        <f>IF($D143="","",IF($G143="kg/km",I143*$E143/1000,IF($G143="kg/p.km",$E143*$F143*I143/1000/F143,$E143*#REF!*I143/1000)))</f>
        <v/>
      </c>
      <c r="M143" s="450" t="str">
        <f>IF($D143="","",IF($G143="kg/km",J143*$E143/1000,IF($G143="kg/p.km",$E143*$F143*J143/1000/2,$E143*#REF!*J143/1000)))</f>
        <v/>
      </c>
      <c r="N143" s="451" t="str">
        <f t="shared" si="4"/>
        <v/>
      </c>
      <c r="O143" s="440"/>
    </row>
    <row r="144" spans="1:15" s="237" customFormat="1" ht="15" hidden="1" customHeight="1" outlineLevel="2" x14ac:dyDescent="0.25">
      <c r="A144" s="363"/>
      <c r="B144" s="1145"/>
      <c r="C144" s="436"/>
      <c r="D144" s="436"/>
      <c r="E144" s="438"/>
      <c r="F144" s="438"/>
      <c r="G144" s="1020" t="str">
        <f>IF(OR(D144="",D144="-"),"",VLOOKUP(D144,'Fatores de Emissão'!E156:K204,3,FALSE))</f>
        <v/>
      </c>
      <c r="H144" s="450" t="str">
        <f>IF(OR($D144="",$D144="-"),"",VLOOKUP($D144,'Fatores de Emissão'!$E$114:$K$173,2,FALSE))</f>
        <v/>
      </c>
      <c r="I144" s="450" t="str">
        <f>IF(OR($D144="",$D144="-"),"",VLOOKUP($D144,'Fatores de Emissão'!$E$114:$K$173,4,FALSE))</f>
        <v/>
      </c>
      <c r="J144" s="450" t="str">
        <f>IF(OR($D144="",$D144="-"),"",VLOOKUP($D144,'Fatores de Emissão'!$E$114:$K$173,6,FALSE))</f>
        <v/>
      </c>
      <c r="K144" s="450" t="str">
        <f>IF($D144="","",IF($G144="kg/km",H144*$E144/1000,IF($G144="kg/p.km",$E144*$F144*H144/1000/F144,$E144*#REF!*H144/1000)))</f>
        <v/>
      </c>
      <c r="L144" s="450" t="str">
        <f>IF($D144="","",IF($G144="kg/km",I144*$E144/1000,IF($G144="kg/p.km",$E144*$F144*I144/1000/F144,$E144*#REF!*I144/1000)))</f>
        <v/>
      </c>
      <c r="M144" s="450" t="str">
        <f>IF($D144="","",IF($G144="kg/km",J144*$E144/1000,IF($G144="kg/p.km",$E144*$F144*J144/1000/2,$E144*#REF!*J144/1000)))</f>
        <v/>
      </c>
      <c r="N144" s="451" t="str">
        <f t="shared" si="4"/>
        <v/>
      </c>
      <c r="O144" s="440"/>
    </row>
    <row r="145" spans="1:58" s="237" customFormat="1" ht="15" hidden="1" customHeight="1" outlineLevel="2" x14ac:dyDescent="0.25">
      <c r="A145" s="363"/>
      <c r="B145" s="1145"/>
      <c r="C145" s="436"/>
      <c r="D145" s="436"/>
      <c r="E145" s="438"/>
      <c r="F145" s="438"/>
      <c r="G145" s="1020" t="str">
        <f>IF(OR(D145="",D145="-"),"",VLOOKUP(D145,'Fatores de Emissão'!E157:K205,3,FALSE))</f>
        <v/>
      </c>
      <c r="H145" s="450" t="str">
        <f>IF(OR($D145="",$D145="-"),"",VLOOKUP($D145,'Fatores de Emissão'!$E$114:$K$173,2,FALSE))</f>
        <v/>
      </c>
      <c r="I145" s="450" t="str">
        <f>IF(OR($D145="",$D145="-"),"",VLOOKUP($D145,'Fatores de Emissão'!$E$114:$K$173,4,FALSE))</f>
        <v/>
      </c>
      <c r="J145" s="450" t="str">
        <f>IF(OR($D145="",$D145="-"),"",VLOOKUP($D145,'Fatores de Emissão'!$E$114:$K$173,6,FALSE))</f>
        <v/>
      </c>
      <c r="K145" s="450" t="str">
        <f>IF($D145="","",IF($G145="kg/km",H145*$E145/1000,IF($G145="kg/p.km",$E145*$F145*H145/1000/F145,$E145*#REF!*H145/1000)))</f>
        <v/>
      </c>
      <c r="L145" s="450" t="str">
        <f>IF($D145="","",IF($G145="kg/km",I145*$E145/1000,IF($G145="kg/p.km",$E145*$F145*I145/1000/F145,$E145*#REF!*I145/1000)))</f>
        <v/>
      </c>
      <c r="M145" s="450" t="str">
        <f>IF($D145="","",IF($G145="kg/km",J145*$E145/1000,IF($G145="kg/p.km",$E145*$F145*J145/1000/2,$E145*#REF!*J145/1000)))</f>
        <v/>
      </c>
      <c r="N145" s="451" t="str">
        <f t="shared" si="4"/>
        <v/>
      </c>
      <c r="O145" s="440"/>
    </row>
    <row r="146" spans="1:58" s="237" customFormat="1" ht="15" hidden="1" customHeight="1" outlineLevel="2" x14ac:dyDescent="0.25">
      <c r="A146" s="363"/>
      <c r="B146" s="1145"/>
      <c r="C146" s="436"/>
      <c r="D146" s="436"/>
      <c r="E146" s="438"/>
      <c r="F146" s="438"/>
      <c r="G146" s="1020" t="str">
        <f>IF(OR(D146="",D146="-"),"",VLOOKUP(D146,'Fatores de Emissão'!E158:K206,3,FALSE))</f>
        <v/>
      </c>
      <c r="H146" s="450" t="str">
        <f>IF(OR($D146="",$D146="-"),"",VLOOKUP($D146,'Fatores de Emissão'!$E$114:$K$173,2,FALSE))</f>
        <v/>
      </c>
      <c r="I146" s="450" t="str">
        <f>IF(OR($D146="",$D146="-"),"",VLOOKUP($D146,'Fatores de Emissão'!$E$114:$K$173,4,FALSE))</f>
        <v/>
      </c>
      <c r="J146" s="450" t="str">
        <f>IF(OR($D146="",$D146="-"),"",VLOOKUP($D146,'Fatores de Emissão'!$E$114:$K$173,6,FALSE))</f>
        <v/>
      </c>
      <c r="K146" s="450" t="str">
        <f>IF($D146="","",IF($G146="kg/km",H146*$E146/1000,IF($G146="kg/p.km",$E146*$F146*H146/1000/F146,$E146*#REF!*H146/1000)))</f>
        <v/>
      </c>
      <c r="L146" s="450" t="str">
        <f>IF($D146="","",IF($G146="kg/km",I146*$E146/1000,IF($G146="kg/p.km",$E146*$F146*I146/1000/F146,$E146*#REF!*I146/1000)))</f>
        <v/>
      </c>
      <c r="M146" s="450" t="str">
        <f>IF($D146="","",IF($G146="kg/km",J146*$E146/1000,IF($G146="kg/p.km",$E146*$F146*J146/1000/2,$E146*#REF!*J146/1000)))</f>
        <v/>
      </c>
      <c r="N146" s="451" t="str">
        <f t="shared" si="4"/>
        <v/>
      </c>
      <c r="O146" s="440"/>
    </row>
    <row r="147" spans="1:58" s="237" customFormat="1" ht="15" hidden="1" customHeight="1" outlineLevel="2" x14ac:dyDescent="0.25">
      <c r="A147" s="363"/>
      <c r="B147" s="1145"/>
      <c r="C147" s="436"/>
      <c r="D147" s="436"/>
      <c r="E147" s="438"/>
      <c r="F147" s="438"/>
      <c r="G147" s="1020" t="str">
        <f>IF(OR(D147="",D147="-"),"",VLOOKUP(D147,'Fatores de Emissão'!E159:K207,3,FALSE))</f>
        <v/>
      </c>
      <c r="H147" s="450" t="str">
        <f>IF(OR($D147="",$D147="-"),"",VLOOKUP($D147,'Fatores de Emissão'!$E$114:$K$173,2,FALSE))</f>
        <v/>
      </c>
      <c r="I147" s="450" t="str">
        <f>IF(OR($D147="",$D147="-"),"",VLOOKUP($D147,'Fatores de Emissão'!$E$114:$K$173,4,FALSE))</f>
        <v/>
      </c>
      <c r="J147" s="450" t="str">
        <f>IF(OR($D147="",$D147="-"),"",VLOOKUP($D147,'Fatores de Emissão'!$E$114:$K$173,6,FALSE))</f>
        <v/>
      </c>
      <c r="K147" s="450" t="str">
        <f>IF($D147="","",IF($G147="kg/km",H147*$E147/1000,IF($G147="kg/p.km",$E147*$F147*H147/1000/F147,$E147*#REF!*H147/1000)))</f>
        <v/>
      </c>
      <c r="L147" s="450" t="str">
        <f>IF($D147="","",IF($G147="kg/km",I147*$E147/1000,IF($G147="kg/p.km",$E147*$F147*I147/1000/F147,$E147*#REF!*I147/1000)))</f>
        <v/>
      </c>
      <c r="M147" s="450" t="str">
        <f>IF($D147="","",IF($G147="kg/km",J147*$E147/1000,IF($G147="kg/p.km",$E147*$F147*J147/1000/2,$E147*#REF!*J147/1000)))</f>
        <v/>
      </c>
      <c r="N147" s="451" t="str">
        <f t="shared" si="4"/>
        <v/>
      </c>
      <c r="O147" s="440"/>
    </row>
    <row r="148" spans="1:58" s="237" customFormat="1" ht="15" hidden="1" customHeight="1" outlineLevel="2" x14ac:dyDescent="0.25">
      <c r="A148" s="363"/>
      <c r="B148" s="1145"/>
      <c r="C148" s="436"/>
      <c r="D148" s="436"/>
      <c r="E148" s="438"/>
      <c r="F148" s="438"/>
      <c r="G148" s="1020" t="str">
        <f>IF(OR(D148="",D148="-"),"",VLOOKUP(D148,'Fatores de Emissão'!E160:K208,3,FALSE))</f>
        <v/>
      </c>
      <c r="H148" s="450" t="str">
        <f>IF(OR($D148="",$D148="-"),"",VLOOKUP($D148,'Fatores de Emissão'!$E$114:$K$173,2,FALSE))</f>
        <v/>
      </c>
      <c r="I148" s="450" t="str">
        <f>IF(OR($D148="",$D148="-"),"",VLOOKUP($D148,'Fatores de Emissão'!$E$114:$K$173,4,FALSE))</f>
        <v/>
      </c>
      <c r="J148" s="450" t="str">
        <f>IF(OR($D148="",$D148="-"),"",VLOOKUP($D148,'Fatores de Emissão'!$E$114:$K$173,6,FALSE))</f>
        <v/>
      </c>
      <c r="K148" s="450" t="str">
        <f>IF($D148="","",IF($G148="kg/km",H148*$E148/1000,IF($G148="kg/p.km",$E148*$F148*H148/1000/F148,$E148*#REF!*H148/1000)))</f>
        <v/>
      </c>
      <c r="L148" s="450" t="str">
        <f>IF($D148="","",IF($G148="kg/km",I148*$E148/1000,IF($G148="kg/p.km",$E148*$F148*I148/1000/F148,$E148*#REF!*I148/1000)))</f>
        <v/>
      </c>
      <c r="M148" s="450" t="str">
        <f>IF($D148="","",IF($G148="kg/km",J148*$E148/1000,IF($G148="kg/p.km",$E148*$F148*J148/1000/2,$E148*#REF!*J148/1000)))</f>
        <v/>
      </c>
      <c r="N148" s="451" t="str">
        <f t="shared" si="4"/>
        <v/>
      </c>
      <c r="O148" s="440"/>
    </row>
    <row r="149" spans="1:58" s="237" customFormat="1" ht="15" hidden="1" customHeight="1" outlineLevel="2" x14ac:dyDescent="0.25">
      <c r="A149" s="363"/>
      <c r="B149" s="1145"/>
      <c r="C149" s="436"/>
      <c r="D149" s="436"/>
      <c r="E149" s="438"/>
      <c r="F149" s="438"/>
      <c r="G149" s="1020" t="str">
        <f>IF(OR(D149="",D149="-"),"",VLOOKUP(D149,'Fatores de Emissão'!E161:K209,3,FALSE))</f>
        <v/>
      </c>
      <c r="H149" s="450" t="str">
        <f>IF(OR($D149="",$D149="-"),"",VLOOKUP($D149,'Fatores de Emissão'!$E$114:$K$173,2,FALSE))</f>
        <v/>
      </c>
      <c r="I149" s="450" t="str">
        <f>IF(OR($D149="",$D149="-"),"",VLOOKUP($D149,'Fatores de Emissão'!$E$114:$K$173,4,FALSE))</f>
        <v/>
      </c>
      <c r="J149" s="450" t="str">
        <f>IF(OR($D149="",$D149="-"),"",VLOOKUP($D149,'Fatores de Emissão'!$E$114:$K$173,6,FALSE))</f>
        <v/>
      </c>
      <c r="K149" s="450" t="str">
        <f>IF($D149="","",IF($G149="kg/km",H149*$E149/1000,IF($G149="kg/p.km",$E149*$F149*H149/1000/F149,$E149*#REF!*H149/1000)))</f>
        <v/>
      </c>
      <c r="L149" s="450" t="str">
        <f>IF($D149="","",IF($G149="kg/km",I149*$E149/1000,IF($G149="kg/p.km",$E149*$F149*I149/1000/F149,$E149*#REF!*I149/1000)))</f>
        <v/>
      </c>
      <c r="M149" s="450" t="str">
        <f>IF($D149="","",IF($G149="kg/km",J149*$E149/1000,IF($G149="kg/p.km",$E149*$F149*J149/1000/2,$E149*#REF!*J149/1000)))</f>
        <v/>
      </c>
      <c r="N149" s="451" t="str">
        <f t="shared" si="4"/>
        <v/>
      </c>
      <c r="O149" s="440"/>
    </row>
    <row r="150" spans="1:58" s="237" customFormat="1" ht="15" hidden="1" customHeight="1" outlineLevel="2" x14ac:dyDescent="0.25">
      <c r="A150" s="363"/>
      <c r="B150" s="1145"/>
      <c r="C150" s="436"/>
      <c r="D150" s="436"/>
      <c r="E150" s="438"/>
      <c r="F150" s="438"/>
      <c r="G150" s="1020" t="str">
        <f>IF(OR(D150="",D150="-"),"",VLOOKUP(D150,'Fatores de Emissão'!E162:K210,3,FALSE))</f>
        <v/>
      </c>
      <c r="H150" s="450" t="str">
        <f>IF(OR($D150="",$D150="-"),"",VLOOKUP($D150,'Fatores de Emissão'!$E$114:$K$173,2,FALSE))</f>
        <v/>
      </c>
      <c r="I150" s="450" t="str">
        <f>IF(OR($D150="",$D150="-"),"",VLOOKUP($D150,'Fatores de Emissão'!$E$114:$K$173,4,FALSE))</f>
        <v/>
      </c>
      <c r="J150" s="450" t="str">
        <f>IF(OR($D150="",$D150="-"),"",VLOOKUP($D150,'Fatores de Emissão'!$E$114:$K$173,6,FALSE))</f>
        <v/>
      </c>
      <c r="K150" s="450" t="str">
        <f>IF($D150="","",IF($G150="kg/km",H150*$E150/1000,IF($G150="kg/p.km",$E150*$F150*H150/1000/F150,$E150*#REF!*H150/1000)))</f>
        <v/>
      </c>
      <c r="L150" s="450" t="str">
        <f>IF($D150="","",IF($G150="kg/km",I150*$E150/1000,IF($G150="kg/p.km",$E150*$F150*I150/1000/F150,$E150*#REF!*I150/1000)))</f>
        <v/>
      </c>
      <c r="M150" s="450" t="str">
        <f>IF($D150="","",IF($G150="kg/km",J150*$E150/1000,IF($G150="kg/p.km",$E150*$F150*J150/1000/2,$E150*#REF!*J150/1000)))</f>
        <v/>
      </c>
      <c r="N150" s="451" t="str">
        <f t="shared" si="4"/>
        <v/>
      </c>
      <c r="O150" s="440"/>
    </row>
    <row r="151" spans="1:58" s="237" customFormat="1" ht="15" hidden="1" customHeight="1" outlineLevel="2" x14ac:dyDescent="0.25">
      <c r="A151" s="363"/>
      <c r="B151" s="1145"/>
      <c r="C151" s="436"/>
      <c r="D151" s="436"/>
      <c r="E151" s="438"/>
      <c r="F151" s="438"/>
      <c r="G151" s="1020" t="str">
        <f>IF(OR(D151="",D151="-"),"",VLOOKUP(D151,'Fatores de Emissão'!E163:K211,3,FALSE))</f>
        <v/>
      </c>
      <c r="H151" s="450" t="str">
        <f>IF(OR($D151="",$D151="-"),"",VLOOKUP($D151,'Fatores de Emissão'!$E$114:$K$173,2,FALSE))</f>
        <v/>
      </c>
      <c r="I151" s="450" t="str">
        <f>IF(OR($D151="",$D151="-"),"",VLOOKUP($D151,'Fatores de Emissão'!$E$114:$K$173,4,FALSE))</f>
        <v/>
      </c>
      <c r="J151" s="450" t="str">
        <f>IF(OR($D151="",$D151="-"),"",VLOOKUP($D151,'Fatores de Emissão'!$E$114:$K$173,6,FALSE))</f>
        <v/>
      </c>
      <c r="K151" s="450" t="str">
        <f>IF($D151="","",IF($G151="kg/km",H151*$E151/1000,IF($G151="kg/p.km",$E151*$F151*H151/1000/F151,$E151*#REF!*H151/1000)))</f>
        <v/>
      </c>
      <c r="L151" s="450" t="str">
        <f>IF($D151="","",IF($G151="kg/km",I151*$E151/1000,IF($G151="kg/p.km",$E151*$F151*I151/1000/F151,$E151*#REF!*I151/1000)))</f>
        <v/>
      </c>
      <c r="M151" s="450" t="str">
        <f>IF($D151="","",IF($G151="kg/km",J151*$E151/1000,IF($G151="kg/p.km",$E151*$F151*J151/1000/2,$E151*#REF!*J151/1000)))</f>
        <v/>
      </c>
      <c r="N151" s="451" t="str">
        <f t="shared" si="4"/>
        <v/>
      </c>
      <c r="O151" s="440"/>
    </row>
    <row r="152" spans="1:58" s="237" customFormat="1" ht="15" hidden="1" customHeight="1" outlineLevel="2" x14ac:dyDescent="0.25">
      <c r="A152" s="363"/>
      <c r="B152" s="1145"/>
      <c r="C152" s="436"/>
      <c r="D152" s="436"/>
      <c r="E152" s="438"/>
      <c r="F152" s="438"/>
      <c r="G152" s="1020" t="str">
        <f>IF(OR(D152="",D152="-"),"",VLOOKUP(D152,'Fatores de Emissão'!E164:K212,3,FALSE))</f>
        <v/>
      </c>
      <c r="H152" s="450" t="str">
        <f>IF(OR($D152="",$D152="-"),"",VLOOKUP($D152,'Fatores de Emissão'!$E$114:$K$173,2,FALSE))</f>
        <v/>
      </c>
      <c r="I152" s="450" t="str">
        <f>IF(OR($D152="",$D152="-"),"",VLOOKUP($D152,'Fatores de Emissão'!$E$114:$K$173,4,FALSE))</f>
        <v/>
      </c>
      <c r="J152" s="450" t="str">
        <f>IF(OR($D152="",$D152="-"),"",VLOOKUP($D152,'Fatores de Emissão'!$E$114:$K$173,6,FALSE))</f>
        <v/>
      </c>
      <c r="K152" s="450" t="str">
        <f>IF($D152="","",IF($G152="kg/km",H152*$E152/1000,IF($G152="kg/p.km",$E152*$F152*H152/1000/F152,$E152*#REF!*H152/1000)))</f>
        <v/>
      </c>
      <c r="L152" s="450" t="str">
        <f>IF($D152="","",IF($G152="kg/km",I152*$E152/1000,IF($G152="kg/p.km",$E152*$F152*I152/1000/F152,$E152*#REF!*I152/1000)))</f>
        <v/>
      </c>
      <c r="M152" s="450" t="str">
        <f>IF($D152="","",IF($G152="kg/km",J152*$E152/1000,IF($G152="kg/p.km",$E152*$F152*J152/1000/2,$E152*#REF!*J152/1000)))</f>
        <v/>
      </c>
      <c r="N152" s="451" t="str">
        <f t="shared" si="4"/>
        <v/>
      </c>
      <c r="O152" s="440"/>
    </row>
    <row r="153" spans="1:58" s="237" customFormat="1" ht="15" customHeight="1" outlineLevel="1" x14ac:dyDescent="0.25">
      <c r="A153" s="453"/>
      <c r="B153" s="453"/>
      <c r="C153" s="453"/>
      <c r="D153" s="453"/>
      <c r="E153" s="454"/>
      <c r="F153" s="454"/>
      <c r="I153" s="1018" t="s">
        <v>78</v>
      </c>
      <c r="J153" s="1019"/>
      <c r="K153" s="455">
        <f>SUM(K103:K152)</f>
        <v>0</v>
      </c>
      <c r="L153" s="455">
        <f>SUM(L103:L152)</f>
        <v>0</v>
      </c>
      <c r="M153" s="455">
        <f>SUM(M103:M152)</f>
        <v>0</v>
      </c>
      <c r="N153" s="455">
        <f>SUM(N103:N152)</f>
        <v>0</v>
      </c>
      <c r="O153" s="455">
        <f>SUM(O103:O152)</f>
        <v>0</v>
      </c>
    </row>
    <row r="154" spans="1:58" s="237" customFormat="1" ht="15" customHeight="1" collapsed="1" x14ac:dyDescent="0.25">
      <c r="A154" s="363"/>
      <c r="B154" s="388"/>
      <c r="C154" s="442"/>
      <c r="D154" s="442"/>
      <c r="E154" s="442"/>
      <c r="F154" s="363"/>
      <c r="G154" s="363"/>
      <c r="H154" s="363"/>
      <c r="I154" s="363"/>
      <c r="J154" s="363"/>
      <c r="K154" s="363"/>
      <c r="L154" s="363"/>
      <c r="M154" s="363"/>
      <c r="N154" s="363"/>
      <c r="O154" s="363"/>
      <c r="P154" s="363"/>
      <c r="Q154" s="363"/>
      <c r="R154" s="363"/>
      <c r="AI154" s="363"/>
      <c r="AJ154" s="363"/>
      <c r="AK154" s="363"/>
      <c r="AL154" s="363"/>
      <c r="AM154" s="363"/>
      <c r="AO154" s="363"/>
      <c r="AP154" s="363"/>
      <c r="AQ154" s="363"/>
    </row>
    <row r="155" spans="1:58" s="463" customFormat="1" ht="18" customHeight="1" x14ac:dyDescent="0.3">
      <c r="A155" s="458"/>
      <c r="B155" s="358" t="s">
        <v>2132</v>
      </c>
      <c r="C155" s="459"/>
      <c r="D155" s="460"/>
      <c r="E155" s="460"/>
      <c r="F155" s="460"/>
      <c r="G155" s="461"/>
      <c r="H155" s="461"/>
      <c r="I155" s="461"/>
      <c r="J155" s="461"/>
      <c r="K155" s="461"/>
      <c r="L155" s="461"/>
      <c r="M155" s="461"/>
      <c r="N155" s="461"/>
      <c r="O155" s="461"/>
      <c r="P155" s="461"/>
      <c r="Q155" s="461"/>
      <c r="R155" s="461"/>
      <c r="S155" s="461"/>
      <c r="T155" s="461"/>
      <c r="U155" s="461"/>
      <c r="V155" s="461"/>
      <c r="W155" s="461"/>
      <c r="X155" s="461"/>
      <c r="Y155" s="461"/>
      <c r="Z155" s="461"/>
      <c r="AA155" s="461"/>
      <c r="AB155" s="461"/>
      <c r="AC155" s="461"/>
      <c r="AD155" s="461"/>
      <c r="AE155" s="461"/>
      <c r="AF155" s="461"/>
      <c r="AG155" s="461"/>
      <c r="AH155" s="461"/>
      <c r="AI155" s="461"/>
      <c r="AJ155" s="461"/>
      <c r="AK155" s="461"/>
      <c r="AL155" s="461"/>
      <c r="AM155" s="461"/>
      <c r="AN155" s="461"/>
      <c r="AO155" s="461"/>
      <c r="AP155" s="461"/>
      <c r="AQ155" s="461"/>
      <c r="AR155" s="461"/>
      <c r="AS155" s="461"/>
      <c r="AT155" s="461"/>
      <c r="AU155" s="461"/>
      <c r="AV155" s="461"/>
      <c r="AW155" s="461"/>
      <c r="AX155" s="461"/>
      <c r="AY155" s="461"/>
      <c r="AZ155" s="461"/>
      <c r="BA155" s="461"/>
      <c r="BB155" s="461"/>
      <c r="BC155" s="461"/>
      <c r="BD155" s="461"/>
      <c r="BE155" s="461"/>
      <c r="BF155" s="462"/>
    </row>
    <row r="156" spans="1:58" ht="15" customHeight="1" outlineLevel="1" x14ac:dyDescent="0.2">
      <c r="A156" s="339"/>
      <c r="B156" s="342"/>
      <c r="C156" s="416"/>
      <c r="D156" s="416"/>
      <c r="E156" s="416"/>
      <c r="F156" s="339"/>
      <c r="G156" s="339"/>
      <c r="H156" s="339"/>
      <c r="I156" s="339"/>
      <c r="J156" s="339"/>
      <c r="K156" s="339"/>
      <c r="L156" s="339"/>
      <c r="M156" s="339"/>
      <c r="N156" s="339"/>
      <c r="O156" s="339"/>
      <c r="P156" s="339"/>
      <c r="Q156" s="339"/>
      <c r="R156" s="339"/>
      <c r="AI156" s="339"/>
      <c r="AJ156" s="339"/>
      <c r="AK156" s="339"/>
      <c r="AL156" s="339"/>
      <c r="AM156" s="339"/>
      <c r="AO156" s="339"/>
      <c r="AP156" s="339"/>
      <c r="AQ156" s="339"/>
    </row>
    <row r="157" spans="1:58" ht="15" customHeight="1" outlineLevel="1" x14ac:dyDescent="0.2">
      <c r="A157" s="339"/>
      <c r="B157" s="469" t="s">
        <v>124</v>
      </c>
      <c r="C157" s="416"/>
      <c r="D157" s="416"/>
      <c r="E157" s="416"/>
      <c r="F157" s="339"/>
      <c r="G157" s="339"/>
      <c r="H157" s="339"/>
      <c r="I157" s="339"/>
      <c r="J157" s="339"/>
      <c r="K157" s="339"/>
      <c r="L157" s="339"/>
      <c r="M157" s="339"/>
      <c r="N157" s="339"/>
      <c r="O157" s="339"/>
      <c r="P157" s="339"/>
      <c r="Q157" s="339"/>
      <c r="R157" s="339"/>
      <c r="AI157" s="339"/>
      <c r="AJ157" s="339"/>
      <c r="AK157" s="339"/>
      <c r="AL157" s="339"/>
      <c r="AM157" s="339"/>
      <c r="AO157" s="339"/>
      <c r="AP157" s="339"/>
      <c r="AQ157" s="339"/>
    </row>
    <row r="158" spans="1:58" s="237" customFormat="1" ht="15" customHeight="1" outlineLevel="1" x14ac:dyDescent="0.25">
      <c r="A158" s="363"/>
      <c r="B158" s="449" t="s">
        <v>2147</v>
      </c>
      <c r="C158" s="442"/>
      <c r="D158" s="442"/>
      <c r="E158" s="442"/>
      <c r="F158" s="363"/>
      <c r="G158" s="363"/>
      <c r="H158" s="363"/>
      <c r="I158" s="363"/>
      <c r="J158" s="363"/>
      <c r="K158" s="363"/>
      <c r="L158" s="363"/>
      <c r="M158" s="363"/>
      <c r="N158" s="363"/>
      <c r="O158" s="363"/>
      <c r="P158" s="363"/>
      <c r="Q158" s="363"/>
      <c r="R158" s="363"/>
      <c r="AI158" s="363"/>
      <c r="AJ158" s="363"/>
      <c r="AK158" s="363"/>
      <c r="AL158" s="363"/>
      <c r="AM158" s="363"/>
      <c r="AO158" s="363"/>
      <c r="AP158" s="363"/>
      <c r="AQ158" s="363"/>
    </row>
    <row r="159" spans="1:58" s="237" customFormat="1" ht="15" customHeight="1" outlineLevel="1" x14ac:dyDescent="0.25">
      <c r="A159" s="363"/>
      <c r="B159" s="470" t="s">
        <v>1880</v>
      </c>
      <c r="C159" s="442"/>
      <c r="D159" s="442"/>
      <c r="E159" s="442"/>
      <c r="F159" s="363"/>
      <c r="G159" s="363"/>
      <c r="H159" s="363"/>
      <c r="I159" s="363"/>
      <c r="J159" s="363"/>
      <c r="K159" s="363"/>
      <c r="L159" s="363"/>
      <c r="M159" s="363"/>
      <c r="N159" s="363"/>
      <c r="O159" s="363"/>
      <c r="P159" s="363"/>
      <c r="Q159" s="363"/>
      <c r="R159" s="363"/>
      <c r="AI159" s="363"/>
      <c r="AJ159" s="363"/>
      <c r="AK159" s="363"/>
      <c r="AL159" s="363"/>
      <c r="AM159" s="363"/>
      <c r="AO159" s="363"/>
      <c r="AP159" s="363"/>
      <c r="AQ159" s="363"/>
    </row>
    <row r="160" spans="1:58" s="237" customFormat="1" ht="15" customHeight="1" outlineLevel="1" x14ac:dyDescent="0.25">
      <c r="A160" s="363"/>
      <c r="B160" s="917" t="s">
        <v>2133</v>
      </c>
      <c r="C160" s="442"/>
      <c r="D160" s="442"/>
      <c r="E160" s="442"/>
      <c r="F160" s="363"/>
      <c r="G160" s="363"/>
      <c r="H160" s="363"/>
      <c r="I160" s="363"/>
      <c r="J160" s="363"/>
      <c r="K160" s="363"/>
      <c r="L160" s="363"/>
      <c r="M160" s="363"/>
      <c r="N160" s="363"/>
      <c r="O160" s="363"/>
      <c r="P160" s="363"/>
      <c r="Q160" s="363"/>
      <c r="R160" s="363"/>
      <c r="AI160" s="363"/>
      <c r="AJ160" s="363"/>
      <c r="AK160" s="363"/>
      <c r="AL160" s="363"/>
      <c r="AM160" s="363"/>
      <c r="AO160" s="363"/>
      <c r="AP160" s="363"/>
      <c r="AQ160" s="363"/>
    </row>
    <row r="161" spans="1:43" s="237" customFormat="1" ht="15" customHeight="1" outlineLevel="1" x14ac:dyDescent="0.25">
      <c r="A161" s="363"/>
      <c r="B161" s="206" t="s">
        <v>2128</v>
      </c>
      <c r="C161" s="442"/>
      <c r="D161" s="442"/>
      <c r="E161" s="442"/>
      <c r="F161" s="363"/>
      <c r="G161" s="363"/>
      <c r="H161" s="363"/>
      <c r="I161" s="363"/>
      <c r="J161" s="363"/>
      <c r="K161" s="363"/>
      <c r="L161" s="363"/>
      <c r="M161" s="363"/>
      <c r="N161" s="363"/>
      <c r="O161" s="363"/>
      <c r="P161" s="363"/>
      <c r="Q161" s="363"/>
      <c r="R161" s="363"/>
      <c r="AI161" s="363"/>
      <c r="AJ161" s="363"/>
      <c r="AK161" s="363"/>
      <c r="AL161" s="363"/>
      <c r="AM161" s="363"/>
      <c r="AO161" s="363"/>
      <c r="AP161" s="363"/>
      <c r="AQ161" s="363"/>
    </row>
    <row r="162" spans="1:43" s="237" customFormat="1" ht="15" customHeight="1" outlineLevel="1" x14ac:dyDescent="0.25">
      <c r="A162" s="363"/>
      <c r="B162" s="206"/>
      <c r="C162" s="442"/>
      <c r="D162" s="442"/>
      <c r="E162" s="442"/>
      <c r="F162" s="363"/>
      <c r="G162" s="363"/>
      <c r="H162" s="363"/>
      <c r="I162" s="363"/>
      <c r="J162" s="363"/>
      <c r="K162" s="363"/>
      <c r="L162" s="363"/>
      <c r="M162" s="363"/>
      <c r="N162" s="363"/>
      <c r="O162" s="363"/>
      <c r="P162" s="363"/>
      <c r="Q162" s="363"/>
      <c r="R162" s="363"/>
      <c r="AI162" s="363"/>
      <c r="AJ162" s="363"/>
      <c r="AK162" s="363"/>
      <c r="AL162" s="363"/>
      <c r="AM162" s="363"/>
      <c r="AO162" s="363"/>
      <c r="AP162" s="363"/>
      <c r="AQ162" s="363"/>
    </row>
    <row r="163" spans="1:43" s="237" customFormat="1" ht="15" customHeight="1" outlineLevel="1" x14ac:dyDescent="0.25">
      <c r="A163" s="363"/>
      <c r="B163" s="468" t="s">
        <v>1876</v>
      </c>
      <c r="C163" s="442"/>
      <c r="D163" s="442"/>
      <c r="E163" s="442"/>
      <c r="F163" s="363"/>
      <c r="G163" s="363"/>
      <c r="H163" s="363"/>
      <c r="I163" s="363"/>
      <c r="J163" s="363"/>
      <c r="K163" s="363"/>
      <c r="L163" s="363"/>
      <c r="M163" s="363"/>
      <c r="N163" s="363"/>
      <c r="O163" s="363"/>
      <c r="P163" s="363"/>
      <c r="Q163" s="363"/>
      <c r="R163" s="363"/>
      <c r="AI163" s="363"/>
      <c r="AJ163" s="363"/>
      <c r="AK163" s="363"/>
      <c r="AL163" s="363"/>
      <c r="AM163" s="363"/>
      <c r="AO163" s="363"/>
      <c r="AP163" s="363"/>
      <c r="AQ163" s="363"/>
    </row>
    <row r="164" spans="1:43" s="237" customFormat="1" ht="15" customHeight="1" outlineLevel="1" x14ac:dyDescent="0.25">
      <c r="A164" s="363"/>
      <c r="B164" s="1267" t="s">
        <v>1860</v>
      </c>
      <c r="C164" s="1267" t="s">
        <v>1868</v>
      </c>
      <c r="D164" s="1267" t="s">
        <v>1870</v>
      </c>
      <c r="E164" s="1267"/>
      <c r="F164" s="1249" t="s">
        <v>1743</v>
      </c>
      <c r="G164" s="1249" t="s">
        <v>1742</v>
      </c>
      <c r="H164" s="1249" t="s">
        <v>1862</v>
      </c>
      <c r="I164" s="1267" t="s">
        <v>588</v>
      </c>
      <c r="J164" s="1267"/>
      <c r="K164" s="1267"/>
      <c r="L164" s="1249" t="s">
        <v>1408</v>
      </c>
      <c r="M164" s="1249" t="s">
        <v>1409</v>
      </c>
      <c r="N164" s="1249" t="s">
        <v>1410</v>
      </c>
      <c r="O164" s="1249" t="s">
        <v>1411</v>
      </c>
      <c r="P164" s="1267" t="s">
        <v>1530</v>
      </c>
    </row>
    <row r="165" spans="1:43" s="237" customFormat="1" ht="15" customHeight="1" outlineLevel="1" x14ac:dyDescent="0.25">
      <c r="A165" s="363"/>
      <c r="B165" s="1267"/>
      <c r="C165" s="1267"/>
      <c r="D165" s="1267"/>
      <c r="E165" s="1267"/>
      <c r="F165" s="1266"/>
      <c r="G165" s="1266"/>
      <c r="H165" s="1266"/>
      <c r="I165" s="1267"/>
      <c r="J165" s="1267"/>
      <c r="K165" s="1267"/>
      <c r="L165" s="1266"/>
      <c r="M165" s="1266"/>
      <c r="N165" s="1266"/>
      <c r="O165" s="1266"/>
      <c r="P165" s="1267"/>
    </row>
    <row r="166" spans="1:43" s="237" customFormat="1" ht="17.25" customHeight="1" outlineLevel="1" x14ac:dyDescent="0.25">
      <c r="A166" s="363"/>
      <c r="B166" s="1267"/>
      <c r="C166" s="1267"/>
      <c r="D166" s="1267"/>
      <c r="E166" s="1267"/>
      <c r="F166" s="1250"/>
      <c r="G166" s="1250"/>
      <c r="H166" s="1250"/>
      <c r="I166" s="1146" t="s">
        <v>1394</v>
      </c>
      <c r="J166" s="1146" t="s">
        <v>1863</v>
      </c>
      <c r="K166" s="1146" t="s">
        <v>1864</v>
      </c>
      <c r="L166" s="1250"/>
      <c r="M166" s="1250"/>
      <c r="N166" s="1250"/>
      <c r="O166" s="1250"/>
      <c r="P166" s="1267"/>
    </row>
    <row r="167" spans="1:43" s="237" customFormat="1" ht="15" customHeight="1" outlineLevel="1" x14ac:dyDescent="0.25">
      <c r="A167" s="427"/>
      <c r="B167" s="444" t="s">
        <v>2134</v>
      </c>
      <c r="C167" s="1107" t="s">
        <v>2135</v>
      </c>
      <c r="D167" s="1272" t="s">
        <v>1871</v>
      </c>
      <c r="E167" s="1272"/>
      <c r="F167" s="446">
        <v>1000</v>
      </c>
      <c r="G167" s="446">
        <v>1</v>
      </c>
      <c r="H167" s="447" t="s">
        <v>1539</v>
      </c>
      <c r="I167" s="1108">
        <v>0.05</v>
      </c>
      <c r="J167" s="1109">
        <v>1.3853116368000001E-4</v>
      </c>
      <c r="K167" s="1109">
        <v>1.3853116368000001E-4</v>
      </c>
      <c r="L167" s="474">
        <v>0.05</v>
      </c>
      <c r="M167" s="474">
        <v>1.0795609539072E-3</v>
      </c>
      <c r="N167" s="474">
        <v>9.5547362723135993E-4</v>
      </c>
      <c r="O167" s="475">
        <v>0.05</v>
      </c>
      <c r="P167" s="476">
        <v>0</v>
      </c>
      <c r="Q167" s="477" t="s">
        <v>266</v>
      </c>
    </row>
    <row r="168" spans="1:43" s="237" customFormat="1" ht="15" customHeight="1" outlineLevel="1" x14ac:dyDescent="0.25">
      <c r="A168" s="363"/>
      <c r="B168" s="1145"/>
      <c r="C168" s="1145"/>
      <c r="D168" s="1268"/>
      <c r="E168" s="1268"/>
      <c r="F168" s="438"/>
      <c r="G168" s="438"/>
      <c r="H168" s="1020" t="str">
        <f>IF(OR(D168="",D168="-"),"",VLOOKUP(D168,'Fatores de Emissão'!$E$181:$K$184,3,FALSE))</f>
        <v/>
      </c>
      <c r="I168" s="1110" t="str">
        <f>IF(OR(D168="",D168="-"),"",VLOOKUP(D168,'Fatores de Emissão'!$E$181:$K$184,2,FALSE))</f>
        <v/>
      </c>
      <c r="J168" s="1110" t="str">
        <f>IF(OR(D168="",D168="-"),"",VLOOKUP(D168,'Fatores de Emissão'!$E$181:$K$184,4,FALSE))</f>
        <v/>
      </c>
      <c r="K168" s="1110" t="str">
        <f>IF(OR(D168="",D168="-"),"",VLOOKUP(D168,'Fatores de Emissão'!$E$181:$K$184,6,FALSE))</f>
        <v/>
      </c>
      <c r="L168" s="478" t="str">
        <f>IF($D168="","",IF($H168="kg/km",$F168*I168/1000,IF($H168="kg/p.km",$F168*$G168*I168/1000,$F168*#REF!*I168/1000)))</f>
        <v/>
      </c>
      <c r="M168" s="478" t="str">
        <f>IF($D168="","",IF($H168="kg/km",$F168*J168/1000,IF($H168="kg/p.km",$F168*$G168*J168/1000,$F168*#REF!*J168/1000)))</f>
        <v/>
      </c>
      <c r="N168" s="478" t="str">
        <f>IF($D168="","",IF($H168="kg/km",$F168*K168/1000,IF($H168="kg/p.km",$F168*$G168*K168/1000,$F168*#REF!*K168/1000)))</f>
        <v/>
      </c>
      <c r="O168" s="479" t="str">
        <f t="shared" ref="O168:O217" si="5">IF(ISERR(L168*gwp_CO2+M168*gwp_CH4+N168*gwp_N2O),"",L168*gwp_CO2+M168*gwp_CH4+N168*gwp_N2O)</f>
        <v/>
      </c>
      <c r="P168" s="480"/>
    </row>
    <row r="169" spans="1:43" s="237" customFormat="1" ht="15" customHeight="1" outlineLevel="1" x14ac:dyDescent="0.25">
      <c r="A169" s="363"/>
      <c r="B169" s="1145"/>
      <c r="C169" s="1145"/>
      <c r="D169" s="1268"/>
      <c r="E169" s="1268"/>
      <c r="F169" s="438"/>
      <c r="G169" s="438"/>
      <c r="H169" s="1020" t="str">
        <f>IF(OR(D169="",D169="-"),"",VLOOKUP(D169,'Fatores de Emissão'!$E$181:$K$184,3,FALSE))</f>
        <v/>
      </c>
      <c r="I169" s="1110" t="str">
        <f>IF(OR(D169="",D169="-"),"",VLOOKUP(D169,'Fatores de Emissão'!$E$181:$K$184,2,FALSE))</f>
        <v/>
      </c>
      <c r="J169" s="1110" t="str">
        <f>IF(OR(D169="",D169="-"),"",VLOOKUP(D169,'Fatores de Emissão'!$E$181:$K$184,4,FALSE))</f>
        <v/>
      </c>
      <c r="K169" s="1110" t="str">
        <f>IF(OR(D169="",D169="-"),"",VLOOKUP(D169,'Fatores de Emissão'!$E$181:$K$184,6,FALSE))</f>
        <v/>
      </c>
      <c r="L169" s="478" t="str">
        <f>IF($D169="","",IF($H169="kg/km",$F169*I169/1000,IF($H169="kg/p.km",$F169*$G169*I169/1000,$F169*#REF!*I169/1000)))</f>
        <v/>
      </c>
      <c r="M169" s="478" t="str">
        <f>IF($D169="","",IF($H169="kg/km",$F169*J169/1000,IF($H169="kg/p.km",$F169*$G169*J169/1000,$F169*#REF!*J169/1000)))</f>
        <v/>
      </c>
      <c r="N169" s="478" t="str">
        <f>IF($D169="","",IF($H169="kg/km",$F169*K169/1000,IF($H169="kg/p.km",$F169*$G169*K169/1000,$F169*#REF!*K169/1000)))</f>
        <v/>
      </c>
      <c r="O169" s="479" t="str">
        <f t="shared" si="5"/>
        <v/>
      </c>
      <c r="P169" s="480"/>
    </row>
    <row r="170" spans="1:43" s="237" customFormat="1" ht="15" customHeight="1" outlineLevel="1" x14ac:dyDescent="0.25">
      <c r="A170" s="363"/>
      <c r="B170" s="1145"/>
      <c r="C170" s="1145"/>
      <c r="D170" s="1268"/>
      <c r="E170" s="1268"/>
      <c r="F170" s="438"/>
      <c r="G170" s="438"/>
      <c r="H170" s="1020" t="str">
        <f>IF(OR(D170="",D170="-"),"",VLOOKUP(D170,'Fatores de Emissão'!$E$181:$K$184,3,FALSE))</f>
        <v/>
      </c>
      <c r="I170" s="478" t="str">
        <f>IF(OR(D170="",D170="-"),"",VLOOKUP(D170,'Fatores de Emissão'!$E$181:$K$184,2,FALSE))</f>
        <v/>
      </c>
      <c r="J170" s="478" t="str">
        <f>IF(OR(D170="",D170="-"),"",VLOOKUP(D170,'Fatores de Emissão'!$E$181:$K$184,4,FALSE))</f>
        <v/>
      </c>
      <c r="K170" s="478" t="str">
        <f>IF(OR(D170="",D170="-"),"",VLOOKUP(D170,'Fatores de Emissão'!$E$181:$K$184,6,FALSE))</f>
        <v/>
      </c>
      <c r="L170" s="478" t="str">
        <f>IF($D170="","",IF($H170="kg/km",$F170*I170/1000,IF($H170="kg/p.km",$F170*$G170*I170/1000,$F170*#REF!*I170/1000)))</f>
        <v/>
      </c>
      <c r="M170" s="478" t="str">
        <f>IF($D170="","",IF($H170="kg/km",$F170*J170/1000,IF($H170="kg/p.km",$F170*$G170*J170/1000,$F170*#REF!*J170/1000)))</f>
        <v/>
      </c>
      <c r="N170" s="478" t="str">
        <f>IF($D170="","",IF($H170="kg/km",$F170*K170/1000,IF($H170="kg/p.km",$F170*$G170*K170/1000,$F170*#REF!*K170/1000)))</f>
        <v/>
      </c>
      <c r="O170" s="479" t="str">
        <f t="shared" si="5"/>
        <v/>
      </c>
      <c r="P170" s="480"/>
    </row>
    <row r="171" spans="1:43" s="237" customFormat="1" ht="15" customHeight="1" outlineLevel="1" x14ac:dyDescent="0.25">
      <c r="A171" s="363"/>
      <c r="B171" s="1145"/>
      <c r="C171" s="1145"/>
      <c r="D171" s="1268"/>
      <c r="E171" s="1268"/>
      <c r="F171" s="438"/>
      <c r="G171" s="438"/>
      <c r="H171" s="1020" t="str">
        <f>IF(OR(D171="",D171="-"),"",VLOOKUP(D171,'Fatores de Emissão'!$E$181:$K$184,3,FALSE))</f>
        <v/>
      </c>
      <c r="I171" s="478" t="str">
        <f>IF(OR(D171="",D171="-"),"",VLOOKUP(D171,'Fatores de Emissão'!$E$181:$K$184,2,FALSE))</f>
        <v/>
      </c>
      <c r="J171" s="478" t="str">
        <f>IF(OR(D171="",D171="-"),"",VLOOKUP(D171,'Fatores de Emissão'!$E$181:$K$184,4,FALSE))</f>
        <v/>
      </c>
      <c r="K171" s="478" t="str">
        <f>IF(OR(D171="",D171="-"),"",VLOOKUP(D171,'Fatores de Emissão'!$E$181:$K$184,6,FALSE))</f>
        <v/>
      </c>
      <c r="L171" s="478" t="str">
        <f>IF($D171="","",IF($H171="kg/km",$F171*I171/1000,IF($H171="kg/p.km",$F171*$G171*I171/1000,$F171*#REF!*I171/1000)))</f>
        <v/>
      </c>
      <c r="M171" s="478" t="str">
        <f>IF($D171="","",IF($H171="kg/km",$F171*J171/1000,IF($H171="kg/p.km",$F171*$G171*J171/1000,$F171*#REF!*J171/1000)))</f>
        <v/>
      </c>
      <c r="N171" s="478" t="str">
        <f>IF($D171="","",IF($H171="kg/km",$F171*K171/1000,IF($H171="kg/p.km",$F171*$G171*K171/1000,$F171*#REF!*K171/1000)))</f>
        <v/>
      </c>
      <c r="O171" s="479" t="str">
        <f t="shared" si="5"/>
        <v/>
      </c>
      <c r="P171" s="480"/>
    </row>
    <row r="172" spans="1:43" s="237" customFormat="1" ht="15" customHeight="1" outlineLevel="1" x14ac:dyDescent="0.25">
      <c r="A172" s="363"/>
      <c r="B172" s="1145"/>
      <c r="C172" s="1145"/>
      <c r="D172" s="1268"/>
      <c r="E172" s="1268"/>
      <c r="F172" s="438"/>
      <c r="G172" s="438"/>
      <c r="H172" s="1020" t="str">
        <f>IF(OR(D172="",D172="-"),"",VLOOKUP(D172,'Fatores de Emissão'!$E$181:$K$184,3,FALSE))</f>
        <v/>
      </c>
      <c r="I172" s="478" t="str">
        <f>IF(OR(D172="",D172="-"),"",VLOOKUP(D172,'Fatores de Emissão'!$E$181:$K$184,2,FALSE))</f>
        <v/>
      </c>
      <c r="J172" s="478" t="str">
        <f>IF(OR(D172="",D172="-"),"",VLOOKUP(D172,'Fatores de Emissão'!$E$181:$K$184,4,FALSE))</f>
        <v/>
      </c>
      <c r="K172" s="478" t="str">
        <f>IF(OR(D172="",D172="-"),"",VLOOKUP(D172,'Fatores de Emissão'!$E$181:$K$184,6,FALSE))</f>
        <v/>
      </c>
      <c r="L172" s="478" t="str">
        <f>IF($D172="","",IF($H172="kg/km",$F172*I172/1000,IF($H172="kg/p.km",$F172*$G172*I172/1000,$F172*#REF!*I172/1000)))</f>
        <v/>
      </c>
      <c r="M172" s="478" t="str">
        <f>IF($D172="","",IF($H172="kg/km",$F172*J172/1000,IF($H172="kg/p.km",$F172*$G172*J172/1000,$F172*#REF!*J172/1000)))</f>
        <v/>
      </c>
      <c r="N172" s="478" t="str">
        <f>IF($D172="","",IF($H172="kg/km",$F172*K172/1000,IF($H172="kg/p.km",$F172*$G172*K172/1000,$F172*#REF!*K172/1000)))</f>
        <v/>
      </c>
      <c r="O172" s="479" t="str">
        <f t="shared" si="5"/>
        <v/>
      </c>
      <c r="P172" s="480"/>
    </row>
    <row r="173" spans="1:43" s="237" customFormat="1" ht="15" customHeight="1" outlineLevel="1" x14ac:dyDescent="0.25">
      <c r="A173" s="363"/>
      <c r="B173" s="1145"/>
      <c r="C173" s="1145"/>
      <c r="D173" s="1268"/>
      <c r="E173" s="1268"/>
      <c r="F173" s="438"/>
      <c r="G173" s="438"/>
      <c r="H173" s="1020" t="str">
        <f>IF(OR(D173="",D173="-"),"",VLOOKUP(D173,'Fatores de Emissão'!$E$181:$K$184,3,FALSE))</f>
        <v/>
      </c>
      <c r="I173" s="478" t="str">
        <f>IF(OR(D173="",D173="-"),"",VLOOKUP(D173,'Fatores de Emissão'!$E$181:$K$184,2,FALSE))</f>
        <v/>
      </c>
      <c r="J173" s="478" t="str">
        <f>IF(OR(D173="",D173="-"),"",VLOOKUP(D173,'Fatores de Emissão'!$E$181:$K$184,4,FALSE))</f>
        <v/>
      </c>
      <c r="K173" s="478" t="str">
        <f>IF(OR(D173="",D173="-"),"",VLOOKUP(D173,'Fatores de Emissão'!$E$181:$K$184,6,FALSE))</f>
        <v/>
      </c>
      <c r="L173" s="478" t="str">
        <f>IF($D173="","",IF($H173="kg/km",$F173*I173/1000,IF($H173="kg/p.km",$F173*$G173*I173/1000,$F173*#REF!*I173/1000)))</f>
        <v/>
      </c>
      <c r="M173" s="478" t="str">
        <f>IF($D173="","",IF($H173="kg/km",$F173*J173/1000,IF($H173="kg/p.km",$F173*$G173*J173/1000,$F173*#REF!*J173/1000)))</f>
        <v/>
      </c>
      <c r="N173" s="478" t="str">
        <f>IF($D173="","",IF($H173="kg/km",$F173*K173/1000,IF($H173="kg/p.km",$F173*$G173*K173/1000,$F173*#REF!*K173/1000)))</f>
        <v/>
      </c>
      <c r="O173" s="479" t="str">
        <f t="shared" si="5"/>
        <v/>
      </c>
      <c r="P173" s="480"/>
    </row>
    <row r="174" spans="1:43" s="237" customFormat="1" ht="15" customHeight="1" outlineLevel="1" x14ac:dyDescent="0.25">
      <c r="A174" s="363"/>
      <c r="B174" s="1145"/>
      <c r="C174" s="1145"/>
      <c r="D174" s="1268"/>
      <c r="E174" s="1268"/>
      <c r="F174" s="438"/>
      <c r="G174" s="438"/>
      <c r="H174" s="1020" t="str">
        <f>IF(OR(D174="",D174="-"),"",VLOOKUP(D174,'Fatores de Emissão'!$E$181:$K$184,3,FALSE))</f>
        <v/>
      </c>
      <c r="I174" s="478" t="str">
        <f>IF(OR(D174="",D174="-"),"",VLOOKUP(D174,'Fatores de Emissão'!$E$181:$K$184,2,FALSE))</f>
        <v/>
      </c>
      <c r="J174" s="478" t="str">
        <f>IF(OR(D174="",D174="-"),"",VLOOKUP(D174,'Fatores de Emissão'!$E$181:$K$184,4,FALSE))</f>
        <v/>
      </c>
      <c r="K174" s="478" t="str">
        <f>IF(OR(D174="",D174="-"),"",VLOOKUP(D174,'Fatores de Emissão'!$E$181:$K$184,6,FALSE))</f>
        <v/>
      </c>
      <c r="L174" s="478" t="str">
        <f>IF($D174="","",IF($H174="kg/km",$F174*I174/1000,IF($H174="kg/p.km",$F174*$G174*I174/1000,$F174*#REF!*I174/1000)))</f>
        <v/>
      </c>
      <c r="M174" s="478" t="str">
        <f>IF($D174="","",IF($H174="kg/km",$F174*J174/1000,IF($H174="kg/p.km",$F174*$G174*J174/1000,$F174*#REF!*J174/1000)))</f>
        <v/>
      </c>
      <c r="N174" s="478" t="str">
        <f>IF($D174="","",IF($H174="kg/km",$F174*K174/1000,IF($H174="kg/p.km",$F174*$G174*K174/1000,$F174*#REF!*K174/1000)))</f>
        <v/>
      </c>
      <c r="O174" s="479" t="str">
        <f t="shared" si="5"/>
        <v/>
      </c>
      <c r="P174" s="480"/>
    </row>
    <row r="175" spans="1:43" s="237" customFormat="1" ht="15" customHeight="1" outlineLevel="1" x14ac:dyDescent="0.25">
      <c r="A175" s="363"/>
      <c r="B175" s="1145"/>
      <c r="C175" s="1145"/>
      <c r="D175" s="1268"/>
      <c r="E175" s="1268"/>
      <c r="F175" s="438"/>
      <c r="G175" s="438"/>
      <c r="H175" s="1020" t="str">
        <f>IF(OR(D175="",D175="-"),"",VLOOKUP(D175,'Fatores de Emissão'!$E$181:$K$184,3,FALSE))</f>
        <v/>
      </c>
      <c r="I175" s="478" t="str">
        <f>IF(OR(D175="",D175="-"),"",VLOOKUP(D175,'Fatores de Emissão'!$E$181:$K$184,2,FALSE))</f>
        <v/>
      </c>
      <c r="J175" s="478" t="str">
        <f>IF(OR(D175="",D175="-"),"",VLOOKUP(D175,'Fatores de Emissão'!$E$181:$K$184,4,FALSE))</f>
        <v/>
      </c>
      <c r="K175" s="478" t="str">
        <f>IF(OR(D175="",D175="-"),"",VLOOKUP(D175,'Fatores de Emissão'!$E$181:$K$184,6,FALSE))</f>
        <v/>
      </c>
      <c r="L175" s="478" t="str">
        <f>IF($D175="","",IF($H175="kg/km",$F175*I175/1000,IF($H175="kg/p.km",$F175*$G175*I175/1000,$F175*#REF!*I175/1000)))</f>
        <v/>
      </c>
      <c r="M175" s="478" t="str">
        <f>IF($D175="","",IF($H175="kg/km",$F175*J175/1000,IF($H175="kg/p.km",$F175*$G175*J175/1000,$F175*#REF!*J175/1000)))</f>
        <v/>
      </c>
      <c r="N175" s="478" t="str">
        <f>IF($D175="","",IF($H175="kg/km",$F175*K175/1000,IF($H175="kg/p.km",$F175*$G175*K175/1000,$F175*#REF!*K175/1000)))</f>
        <v/>
      </c>
      <c r="O175" s="479" t="str">
        <f t="shared" si="5"/>
        <v/>
      </c>
      <c r="P175" s="480"/>
    </row>
    <row r="176" spans="1:43" s="237" customFormat="1" ht="15" customHeight="1" outlineLevel="1" x14ac:dyDescent="0.25">
      <c r="A176" s="363"/>
      <c r="B176" s="1145"/>
      <c r="C176" s="1145"/>
      <c r="D176" s="1268"/>
      <c r="E176" s="1268"/>
      <c r="F176" s="438"/>
      <c r="G176" s="438"/>
      <c r="H176" s="1020" t="str">
        <f>IF(OR(D176="",D176="-"),"",VLOOKUP(D176,'Fatores de Emissão'!$E$181:$K$184,3,FALSE))</f>
        <v/>
      </c>
      <c r="I176" s="478" t="str">
        <f>IF(OR(D176="",D176="-"),"",VLOOKUP(D176,'Fatores de Emissão'!$E$181:$K$184,2,FALSE))</f>
        <v/>
      </c>
      <c r="J176" s="478" t="str">
        <f>IF(OR(D176="",D176="-"),"",VLOOKUP(D176,'Fatores de Emissão'!$E$181:$K$184,4,FALSE))</f>
        <v/>
      </c>
      <c r="K176" s="478" t="str">
        <f>IF(OR(D176="",D176="-"),"",VLOOKUP(D176,'Fatores de Emissão'!$E$181:$K$184,6,FALSE))</f>
        <v/>
      </c>
      <c r="L176" s="478" t="str">
        <f>IF($D176="","",IF($H176="kg/km",$F176*I176/1000,IF($H176="kg/p.km",$F176*$G176*I176/1000,$F176*#REF!*I176/1000)))</f>
        <v/>
      </c>
      <c r="M176" s="478" t="str">
        <f>IF($D176="","",IF($H176="kg/km",$F176*J176/1000,IF($H176="kg/p.km",$F176*$G176*J176/1000,$F176*#REF!*J176/1000)))</f>
        <v/>
      </c>
      <c r="N176" s="478" t="str">
        <f>IF($D176="","",IF($H176="kg/km",$F176*K176/1000,IF($H176="kg/p.km",$F176*$G176*K176/1000,$F176*#REF!*K176/1000)))</f>
        <v/>
      </c>
      <c r="O176" s="479" t="str">
        <f t="shared" si="5"/>
        <v/>
      </c>
      <c r="P176" s="480"/>
    </row>
    <row r="177" spans="1:16" s="237" customFormat="1" ht="15" customHeight="1" outlineLevel="1" collapsed="1" x14ac:dyDescent="0.25">
      <c r="A177" s="363"/>
      <c r="B177" s="1145"/>
      <c r="C177" s="1145"/>
      <c r="D177" s="1268"/>
      <c r="E177" s="1268"/>
      <c r="F177" s="438"/>
      <c r="G177" s="438"/>
      <c r="H177" s="1020" t="str">
        <f>IF(OR(D177="",D177="-"),"",VLOOKUP(D177,'Fatores de Emissão'!$E$181:$K$184,3,FALSE))</f>
        <v/>
      </c>
      <c r="I177" s="478" t="str">
        <f>IF(OR(D177="",D177="-"),"",VLOOKUP(D177,'Fatores de Emissão'!$E$181:$K$184,2,FALSE))</f>
        <v/>
      </c>
      <c r="J177" s="478" t="str">
        <f>IF(OR(D177="",D177="-"),"",VLOOKUP(D177,'Fatores de Emissão'!$E$181:$K$184,4,FALSE))</f>
        <v/>
      </c>
      <c r="K177" s="478" t="str">
        <f>IF(OR(D177="",D177="-"),"",VLOOKUP(D177,'Fatores de Emissão'!$E$181:$K$184,6,FALSE))</f>
        <v/>
      </c>
      <c r="L177" s="478" t="str">
        <f>IF($D177="","",IF($H177="kg/km",$F177*I177/1000,IF($H177="kg/p.km",$F177*$G177*I177/1000,$F177*#REF!*I177/1000)))</f>
        <v/>
      </c>
      <c r="M177" s="478" t="str">
        <f>IF($D177="","",IF($H177="kg/km",$F177*J177/1000,IF($H177="kg/p.km",$F177*$G177*J177/1000,$F177*#REF!*J177/1000)))</f>
        <v/>
      </c>
      <c r="N177" s="478" t="str">
        <f>IF($D177="","",IF($H177="kg/km",$F177*K177/1000,IF($H177="kg/p.km",$F177*$G177*K177/1000,$F177*#REF!*K177/1000)))</f>
        <v/>
      </c>
      <c r="O177" s="479" t="str">
        <f t="shared" si="5"/>
        <v/>
      </c>
      <c r="P177" s="480"/>
    </row>
    <row r="178" spans="1:16" s="237" customFormat="1" ht="15" hidden="1" customHeight="1" outlineLevel="2" x14ac:dyDescent="0.25">
      <c r="A178" s="363"/>
      <c r="B178" s="1145"/>
      <c r="C178" s="1145"/>
      <c r="D178" s="1268"/>
      <c r="E178" s="1268"/>
      <c r="F178" s="438"/>
      <c r="G178" s="438"/>
      <c r="H178" s="1020" t="str">
        <f>IF(OR(D178="",D178="-"),"",VLOOKUP(D178,'Fatores de Emissão'!$E$181:$K$184,3,FALSE))</f>
        <v/>
      </c>
      <c r="I178" s="478" t="str">
        <f>IF(OR(D178="",D178="-"),"",VLOOKUP(D178,'Fatores de Emissão'!$E$181:$K$184,2,FALSE))</f>
        <v/>
      </c>
      <c r="J178" s="478" t="str">
        <f>IF(OR(D178="",D178="-"),"",VLOOKUP(D178,'Fatores de Emissão'!$E$181:$K$184,4,FALSE))</f>
        <v/>
      </c>
      <c r="K178" s="478" t="str">
        <f>IF(OR(D178="",D178="-"),"",VLOOKUP(D178,'Fatores de Emissão'!$E$181:$K$184,6,FALSE))</f>
        <v/>
      </c>
      <c r="L178" s="478" t="str">
        <f>IF($D178="","",IF($H178="kg/km",$F178*I178/1000,IF($H178="kg/p.km",$F178*$G178*I178/1000,$F178*#REF!*I178/1000)))</f>
        <v/>
      </c>
      <c r="M178" s="478" t="str">
        <f>IF($D178="","",IF($H178="kg/km",$F178*J178/1000,IF($H178="kg/p.km",$F178*$G178*J178/1000,$F178*#REF!*J178/1000)))</f>
        <v/>
      </c>
      <c r="N178" s="478" t="str">
        <f>IF($D178="","",IF($H178="kg/km",$F178*K178/1000,IF($H178="kg/p.km",$F178*$G178*K178/1000,$F178*#REF!*K178/1000)))</f>
        <v/>
      </c>
      <c r="O178" s="479" t="str">
        <f t="shared" si="5"/>
        <v/>
      </c>
      <c r="P178" s="480"/>
    </row>
    <row r="179" spans="1:16" s="237" customFormat="1" ht="15" hidden="1" customHeight="1" outlineLevel="2" x14ac:dyDescent="0.25">
      <c r="A179" s="363"/>
      <c r="B179" s="1145"/>
      <c r="C179" s="1145"/>
      <c r="D179" s="1268"/>
      <c r="E179" s="1268"/>
      <c r="F179" s="438"/>
      <c r="G179" s="438"/>
      <c r="H179" s="1020" t="str">
        <f>IF(OR(D179="",D179="-"),"",VLOOKUP(D179,'Fatores de Emissão'!$E$181:$K$184,3,FALSE))</f>
        <v/>
      </c>
      <c r="I179" s="478" t="str">
        <f>IF(OR(D179="",D179="-"),"",VLOOKUP(D179,'Fatores de Emissão'!$E$181:$K$184,2,FALSE))</f>
        <v/>
      </c>
      <c r="J179" s="478" t="str">
        <f>IF(OR(D179="",D179="-"),"",VLOOKUP(D179,'Fatores de Emissão'!$E$181:$K$184,4,FALSE))</f>
        <v/>
      </c>
      <c r="K179" s="478" t="str">
        <f>IF(OR(D179="",D179="-"),"",VLOOKUP(D179,'Fatores de Emissão'!$E$181:$K$184,6,FALSE))</f>
        <v/>
      </c>
      <c r="L179" s="478" t="str">
        <f>IF($D179="","",IF($H179="kg/km",$F179*I179/1000,IF($H179="kg/p.km",$F179*$G179*I179/1000,$F179*#REF!*I179/1000)))</f>
        <v/>
      </c>
      <c r="M179" s="478" t="str">
        <f>IF($D179="","",IF($H179="kg/km",$F179*J179/1000,IF($H179="kg/p.km",$F179*$G179*J179/1000,$F179*#REF!*J179/1000)))</f>
        <v/>
      </c>
      <c r="N179" s="478" t="str">
        <f>IF($D179="","",IF($H179="kg/km",$F179*K179/1000,IF($H179="kg/p.km",$F179*$G179*K179/1000,$F179*#REF!*K179/1000)))</f>
        <v/>
      </c>
      <c r="O179" s="479" t="str">
        <f t="shared" si="5"/>
        <v/>
      </c>
      <c r="P179" s="480"/>
    </row>
    <row r="180" spans="1:16" s="237" customFormat="1" ht="15" hidden="1" customHeight="1" outlineLevel="2" x14ac:dyDescent="0.25">
      <c r="A180" s="363"/>
      <c r="B180" s="1145"/>
      <c r="C180" s="1145"/>
      <c r="D180" s="1268"/>
      <c r="E180" s="1268"/>
      <c r="F180" s="438"/>
      <c r="G180" s="438"/>
      <c r="H180" s="1020" t="str">
        <f>IF(OR(D180="",D180="-"),"",VLOOKUP(D180,'Fatores de Emissão'!$E$181:$K$184,3,FALSE))</f>
        <v/>
      </c>
      <c r="I180" s="478" t="str">
        <f>IF(OR(D180="",D180="-"),"",VLOOKUP(D180,'Fatores de Emissão'!$E$181:$K$184,2,FALSE))</f>
        <v/>
      </c>
      <c r="J180" s="478" t="str">
        <f>IF(OR(D180="",D180="-"),"",VLOOKUP(D180,'Fatores de Emissão'!$E$181:$K$184,4,FALSE))</f>
        <v/>
      </c>
      <c r="K180" s="478" t="str">
        <f>IF(OR(D180="",D180="-"),"",VLOOKUP(D180,'Fatores de Emissão'!$E$181:$K$184,6,FALSE))</f>
        <v/>
      </c>
      <c r="L180" s="478" t="str">
        <f>IF($D180="","",IF($H180="kg/km",$F180*I180/1000,IF($H180="kg/p.km",$F180*$G180*I180/1000,$F180*#REF!*I180/1000)))</f>
        <v/>
      </c>
      <c r="M180" s="478" t="str">
        <f>IF($D180="","",IF($H180="kg/km",$F180*J180/1000,IF($H180="kg/p.km",$F180*$G180*J180/1000,$F180*#REF!*J180/1000)))</f>
        <v/>
      </c>
      <c r="N180" s="478" t="str">
        <f>IF($D180="","",IF($H180="kg/km",$F180*K180/1000,IF($H180="kg/p.km",$F180*$G180*K180/1000,$F180*#REF!*K180/1000)))</f>
        <v/>
      </c>
      <c r="O180" s="479" t="str">
        <f t="shared" si="5"/>
        <v/>
      </c>
      <c r="P180" s="480"/>
    </row>
    <row r="181" spans="1:16" s="237" customFormat="1" ht="15" hidden="1" customHeight="1" outlineLevel="2" x14ac:dyDescent="0.25">
      <c r="A181" s="363"/>
      <c r="B181" s="1145"/>
      <c r="C181" s="1145"/>
      <c r="D181" s="1268"/>
      <c r="E181" s="1268"/>
      <c r="F181" s="438"/>
      <c r="G181" s="438"/>
      <c r="H181" s="1020" t="str">
        <f>IF(OR(D181="",D181="-"),"",VLOOKUP(D181,'Fatores de Emissão'!$E$181:$K$184,3,FALSE))</f>
        <v/>
      </c>
      <c r="I181" s="478" t="str">
        <f>IF(OR(D181="",D181="-"),"",VLOOKUP(D181,'Fatores de Emissão'!$E$181:$K$184,2,FALSE))</f>
        <v/>
      </c>
      <c r="J181" s="478" t="str">
        <f>IF(OR(D181="",D181="-"),"",VLOOKUP(D181,'Fatores de Emissão'!$E$181:$K$184,4,FALSE))</f>
        <v/>
      </c>
      <c r="K181" s="478" t="str">
        <f>IF(OR(D181="",D181="-"),"",VLOOKUP(D181,'Fatores de Emissão'!$E$181:$K$184,6,FALSE))</f>
        <v/>
      </c>
      <c r="L181" s="478" t="str">
        <f>IF($D181="","",IF($H181="kg/km",$F181*I181/1000,IF($H181="kg/p.km",$F181*$G181*I181/1000,$F181*#REF!*I181/1000)))</f>
        <v/>
      </c>
      <c r="M181" s="478" t="str">
        <f>IF($D181="","",IF($H181="kg/km",$F181*J181/1000,IF($H181="kg/p.km",$F181*$G181*J181/1000,$F181*#REF!*J181/1000)))</f>
        <v/>
      </c>
      <c r="N181" s="478" t="str">
        <f>IF($D181="","",IF($H181="kg/km",$F181*K181/1000,IF($H181="kg/p.km",$F181*$G181*K181/1000,$F181*#REF!*K181/1000)))</f>
        <v/>
      </c>
      <c r="O181" s="479" t="str">
        <f t="shared" si="5"/>
        <v/>
      </c>
      <c r="P181" s="480"/>
    </row>
    <row r="182" spans="1:16" s="237" customFormat="1" ht="15" hidden="1" customHeight="1" outlineLevel="2" x14ac:dyDescent="0.25">
      <c r="A182" s="363"/>
      <c r="B182" s="1145"/>
      <c r="C182" s="1145"/>
      <c r="D182" s="1268"/>
      <c r="E182" s="1268"/>
      <c r="F182" s="438"/>
      <c r="G182" s="438"/>
      <c r="H182" s="1020" t="str">
        <f>IF(OR(D182="",D182="-"),"",VLOOKUP(D182,'Fatores de Emissão'!$E$181:$K$184,3,FALSE))</f>
        <v/>
      </c>
      <c r="I182" s="478" t="str">
        <f>IF(OR(D182="",D182="-"),"",VLOOKUP(D182,'Fatores de Emissão'!$E$181:$K$184,2,FALSE))</f>
        <v/>
      </c>
      <c r="J182" s="478" t="str">
        <f>IF(OR(D182="",D182="-"),"",VLOOKUP(D182,'Fatores de Emissão'!$E$181:$K$184,4,FALSE))</f>
        <v/>
      </c>
      <c r="K182" s="478" t="str">
        <f>IF(OR(D182="",D182="-"),"",VLOOKUP(D182,'Fatores de Emissão'!$E$181:$K$184,6,FALSE))</f>
        <v/>
      </c>
      <c r="L182" s="478" t="str">
        <f>IF($D182="","",IF($H182="kg/km",$F182*I182/1000,IF($H182="kg/p.km",$F182*$G182*I182/1000,$F182*#REF!*I182/1000)))</f>
        <v/>
      </c>
      <c r="M182" s="478" t="str">
        <f>IF($D182="","",IF($H182="kg/km",$F182*J182/1000,IF($H182="kg/p.km",$F182*$G182*J182/1000,$F182*#REF!*J182/1000)))</f>
        <v/>
      </c>
      <c r="N182" s="478" t="str">
        <f>IF($D182="","",IF($H182="kg/km",$F182*K182/1000,IF($H182="kg/p.km",$F182*$G182*K182/1000,$F182*#REF!*K182/1000)))</f>
        <v/>
      </c>
      <c r="O182" s="479" t="str">
        <f t="shared" si="5"/>
        <v/>
      </c>
      <c r="P182" s="480"/>
    </row>
    <row r="183" spans="1:16" s="237" customFormat="1" ht="15" hidden="1" customHeight="1" outlineLevel="2" x14ac:dyDescent="0.25">
      <c r="A183" s="363"/>
      <c r="B183" s="1145"/>
      <c r="C183" s="1145"/>
      <c r="D183" s="1268"/>
      <c r="E183" s="1268"/>
      <c r="F183" s="438"/>
      <c r="G183" s="438"/>
      <c r="H183" s="1020" t="str">
        <f>IF(OR(D183="",D183="-"),"",VLOOKUP(D183,'Fatores de Emissão'!$E$181:$K$184,3,FALSE))</f>
        <v/>
      </c>
      <c r="I183" s="478" t="str">
        <f>IF(OR(D183="",D183="-"),"",VLOOKUP(D183,'Fatores de Emissão'!$E$181:$K$184,2,FALSE))</f>
        <v/>
      </c>
      <c r="J183" s="478" t="str">
        <f>IF(OR(D183="",D183="-"),"",VLOOKUP(D183,'Fatores de Emissão'!$E$181:$K$184,4,FALSE))</f>
        <v/>
      </c>
      <c r="K183" s="478" t="str">
        <f>IF(OR(D183="",D183="-"),"",VLOOKUP(D183,'Fatores de Emissão'!$E$181:$K$184,6,FALSE))</f>
        <v/>
      </c>
      <c r="L183" s="478" t="str">
        <f>IF($D183="","",IF($H183="kg/km",$F183*I183/1000,IF($H183="kg/p.km",$F183*$G183*I183/1000,$F183*#REF!*I183/1000)))</f>
        <v/>
      </c>
      <c r="M183" s="478" t="str">
        <f>IF($D183="","",IF($H183="kg/km",$F183*J183/1000,IF($H183="kg/p.km",$F183*$G183*J183/1000,$F183*#REF!*J183/1000)))</f>
        <v/>
      </c>
      <c r="N183" s="478" t="str">
        <f>IF($D183="","",IF($H183="kg/km",$F183*K183/1000,IF($H183="kg/p.km",$F183*$G183*K183/1000,$F183*#REF!*K183/1000)))</f>
        <v/>
      </c>
      <c r="O183" s="479" t="str">
        <f t="shared" si="5"/>
        <v/>
      </c>
      <c r="P183" s="480"/>
    </row>
    <row r="184" spans="1:16" s="237" customFormat="1" ht="15" hidden="1" customHeight="1" outlineLevel="2" x14ac:dyDescent="0.25">
      <c r="A184" s="363"/>
      <c r="B184" s="1145"/>
      <c r="C184" s="1145"/>
      <c r="D184" s="1268"/>
      <c r="E184" s="1268"/>
      <c r="F184" s="438"/>
      <c r="G184" s="438"/>
      <c r="H184" s="1020" t="str">
        <f>IF(OR(D184="",D184="-"),"",VLOOKUP(D184,'Fatores de Emissão'!$E$181:$K$184,3,FALSE))</f>
        <v/>
      </c>
      <c r="I184" s="478" t="str">
        <f>IF(OR(D184="",D184="-"),"",VLOOKUP(D184,'Fatores de Emissão'!$E$181:$K$184,2,FALSE))</f>
        <v/>
      </c>
      <c r="J184" s="478" t="str">
        <f>IF(OR(D184="",D184="-"),"",VLOOKUP(D184,'Fatores de Emissão'!$E$181:$K$184,4,FALSE))</f>
        <v/>
      </c>
      <c r="K184" s="478" t="str">
        <f>IF(OR(D184="",D184="-"),"",VLOOKUP(D184,'Fatores de Emissão'!$E$181:$K$184,6,FALSE))</f>
        <v/>
      </c>
      <c r="L184" s="478" t="str">
        <f>IF($D184="","",IF($H184="kg/km",$F184*I184/1000,IF($H184="kg/p.km",$F184*$G184*I184/1000,$F184*#REF!*I184/1000)))</f>
        <v/>
      </c>
      <c r="M184" s="478" t="str">
        <f>IF($D184="","",IF($H184="kg/km",$F184*J184/1000,IF($H184="kg/p.km",$F184*$G184*J184/1000,$F184*#REF!*J184/1000)))</f>
        <v/>
      </c>
      <c r="N184" s="478" t="str">
        <f>IF($D184="","",IF($H184="kg/km",$F184*K184/1000,IF($H184="kg/p.km",$F184*$G184*K184/1000,$F184*#REF!*K184/1000)))</f>
        <v/>
      </c>
      <c r="O184" s="479" t="str">
        <f t="shared" si="5"/>
        <v/>
      </c>
      <c r="P184" s="480"/>
    </row>
    <row r="185" spans="1:16" s="237" customFormat="1" ht="15" hidden="1" customHeight="1" outlineLevel="2" x14ac:dyDescent="0.25">
      <c r="A185" s="363"/>
      <c r="B185" s="1145"/>
      <c r="C185" s="1145"/>
      <c r="D185" s="1268"/>
      <c r="E185" s="1268"/>
      <c r="F185" s="438"/>
      <c r="G185" s="438"/>
      <c r="H185" s="1020" t="str">
        <f>IF(OR(D185="",D185="-"),"",VLOOKUP(D185,'Fatores de Emissão'!$E$181:$K$184,3,FALSE))</f>
        <v/>
      </c>
      <c r="I185" s="478" t="str">
        <f>IF(OR(D185="",D185="-"),"",VLOOKUP(D185,'Fatores de Emissão'!$E$181:$K$184,2,FALSE))</f>
        <v/>
      </c>
      <c r="J185" s="478" t="str">
        <f>IF(OR(D185="",D185="-"),"",VLOOKUP(D185,'Fatores de Emissão'!$E$181:$K$184,4,FALSE))</f>
        <v/>
      </c>
      <c r="K185" s="478" t="str">
        <f>IF(OR(D185="",D185="-"),"",VLOOKUP(D185,'Fatores de Emissão'!$E$181:$K$184,6,FALSE))</f>
        <v/>
      </c>
      <c r="L185" s="478" t="str">
        <f>IF($D185="","",IF($H185="kg/km",$F185*I185/1000,IF($H185="kg/p.km",$F185*$G185*I185/1000,$F185*#REF!*I185/1000)))</f>
        <v/>
      </c>
      <c r="M185" s="478" t="str">
        <f>IF($D185="","",IF($H185="kg/km",$F185*J185/1000,IF($H185="kg/p.km",$F185*$G185*J185/1000,$F185*#REF!*J185/1000)))</f>
        <v/>
      </c>
      <c r="N185" s="478" t="str">
        <f>IF($D185="","",IF($H185="kg/km",$F185*K185/1000,IF($H185="kg/p.km",$F185*$G185*K185/1000,$F185*#REF!*K185/1000)))</f>
        <v/>
      </c>
      <c r="O185" s="479" t="str">
        <f t="shared" si="5"/>
        <v/>
      </c>
      <c r="P185" s="480"/>
    </row>
    <row r="186" spans="1:16" s="237" customFormat="1" ht="15" hidden="1" customHeight="1" outlineLevel="2" x14ac:dyDescent="0.25">
      <c r="A186" s="363"/>
      <c r="B186" s="1145"/>
      <c r="C186" s="1145"/>
      <c r="D186" s="1268"/>
      <c r="E186" s="1268"/>
      <c r="F186" s="438"/>
      <c r="G186" s="438"/>
      <c r="H186" s="1020" t="str">
        <f>IF(OR(D186="",D186="-"),"",VLOOKUP(D186,'Fatores de Emissão'!$E$181:$K$184,3,FALSE))</f>
        <v/>
      </c>
      <c r="I186" s="478" t="str">
        <f>IF(OR(D186="",D186="-"),"",VLOOKUP(D186,'Fatores de Emissão'!$E$181:$K$184,2,FALSE))</f>
        <v/>
      </c>
      <c r="J186" s="478" t="str">
        <f>IF(OR(D186="",D186="-"),"",VLOOKUP(D186,'Fatores de Emissão'!$E$181:$K$184,4,FALSE))</f>
        <v/>
      </c>
      <c r="K186" s="478" t="str">
        <f>IF(OR(D186="",D186="-"),"",VLOOKUP(D186,'Fatores de Emissão'!$E$181:$K$184,6,FALSE))</f>
        <v/>
      </c>
      <c r="L186" s="478" t="str">
        <f>IF($D186="","",IF($H186="kg/km",$F186*I186/1000,IF($H186="kg/p.km",$F186*$G186*I186/1000,$F186*#REF!*I186/1000)))</f>
        <v/>
      </c>
      <c r="M186" s="478" t="str">
        <f>IF($D186="","",IF($H186="kg/km",$F186*J186/1000,IF($H186="kg/p.km",$F186*$G186*J186/1000,$F186*#REF!*J186/1000)))</f>
        <v/>
      </c>
      <c r="N186" s="478" t="str">
        <f>IF($D186="","",IF($H186="kg/km",$F186*K186/1000,IF($H186="kg/p.km",$F186*$G186*K186/1000,$F186*#REF!*K186/1000)))</f>
        <v/>
      </c>
      <c r="O186" s="479" t="str">
        <f t="shared" si="5"/>
        <v/>
      </c>
      <c r="P186" s="480"/>
    </row>
    <row r="187" spans="1:16" s="237" customFormat="1" ht="15" hidden="1" customHeight="1" outlineLevel="2" x14ac:dyDescent="0.25">
      <c r="A187" s="363"/>
      <c r="B187" s="1145"/>
      <c r="C187" s="1145"/>
      <c r="D187" s="1268"/>
      <c r="E187" s="1268"/>
      <c r="F187" s="438"/>
      <c r="G187" s="438"/>
      <c r="H187" s="1020" t="str">
        <f>IF(OR(D187="",D187="-"),"",VLOOKUP(D187,'Fatores de Emissão'!$E$181:$K$184,3,FALSE))</f>
        <v/>
      </c>
      <c r="I187" s="478" t="str">
        <f>IF(OR(D187="",D187="-"),"",VLOOKUP(D187,'Fatores de Emissão'!$E$181:$K$184,2,FALSE))</f>
        <v/>
      </c>
      <c r="J187" s="478" t="str">
        <f>IF(OR(D187="",D187="-"),"",VLOOKUP(D187,'Fatores de Emissão'!$E$181:$K$184,4,FALSE))</f>
        <v/>
      </c>
      <c r="K187" s="478" t="str">
        <f>IF(OR(D187="",D187="-"),"",VLOOKUP(D187,'Fatores de Emissão'!$E$181:$K$184,6,FALSE))</f>
        <v/>
      </c>
      <c r="L187" s="478" t="str">
        <f>IF($D187="","",IF($H187="kg/km",$F187*I187/1000,IF($H187="kg/p.km",$F187*$G187*I187/1000,$F187*#REF!*I187/1000)))</f>
        <v/>
      </c>
      <c r="M187" s="478" t="str">
        <f>IF($D187="","",IF($H187="kg/km",$F187*J187/1000,IF($H187="kg/p.km",$F187*$G187*J187/1000,$F187*#REF!*J187/1000)))</f>
        <v/>
      </c>
      <c r="N187" s="478" t="str">
        <f>IF($D187="","",IF($H187="kg/km",$F187*K187/1000,IF($H187="kg/p.km",$F187*$G187*K187/1000,$F187*#REF!*K187/1000)))</f>
        <v/>
      </c>
      <c r="O187" s="479" t="str">
        <f t="shared" si="5"/>
        <v/>
      </c>
      <c r="P187" s="480"/>
    </row>
    <row r="188" spans="1:16" s="237" customFormat="1" ht="15" hidden="1" customHeight="1" outlineLevel="2" x14ac:dyDescent="0.25">
      <c r="A188" s="363"/>
      <c r="B188" s="1145"/>
      <c r="C188" s="1145"/>
      <c r="D188" s="1268"/>
      <c r="E188" s="1268"/>
      <c r="F188" s="438"/>
      <c r="G188" s="438"/>
      <c r="H188" s="1020" t="str">
        <f>IF(OR(D188="",D188="-"),"",VLOOKUP(D188,'Fatores de Emissão'!$E$181:$K$184,3,FALSE))</f>
        <v/>
      </c>
      <c r="I188" s="478" t="str">
        <f>IF(OR(D188="",D188="-"),"",VLOOKUP(D188,'Fatores de Emissão'!$E$181:$K$184,2,FALSE))</f>
        <v/>
      </c>
      <c r="J188" s="478" t="str">
        <f>IF(OR(D188="",D188="-"),"",VLOOKUP(D188,'Fatores de Emissão'!$E$181:$K$184,4,FALSE))</f>
        <v/>
      </c>
      <c r="K188" s="478" t="str">
        <f>IF(OR(D188="",D188="-"),"",VLOOKUP(D188,'Fatores de Emissão'!$E$181:$K$184,6,FALSE))</f>
        <v/>
      </c>
      <c r="L188" s="478" t="str">
        <f>IF($D188="","",IF($H188="kg/km",$F188*I188/1000,IF($H188="kg/p.km",$F188*$G188*I188/1000,$F188*#REF!*I188/1000)))</f>
        <v/>
      </c>
      <c r="M188" s="478" t="str">
        <f>IF($D188="","",IF($H188="kg/km",$F188*J188/1000,IF($H188="kg/p.km",$F188*$G188*J188/1000,$F188*#REF!*J188/1000)))</f>
        <v/>
      </c>
      <c r="N188" s="478" t="str">
        <f>IF($D188="","",IF($H188="kg/km",$F188*K188/1000,IF($H188="kg/p.km",$F188*$G188*K188/1000,$F188*#REF!*K188/1000)))</f>
        <v/>
      </c>
      <c r="O188" s="479" t="str">
        <f t="shared" si="5"/>
        <v/>
      </c>
      <c r="P188" s="480"/>
    </row>
    <row r="189" spans="1:16" s="237" customFormat="1" ht="15" hidden="1" customHeight="1" outlineLevel="2" x14ac:dyDescent="0.25">
      <c r="A189" s="363"/>
      <c r="B189" s="1145"/>
      <c r="C189" s="1145"/>
      <c r="D189" s="1268"/>
      <c r="E189" s="1268"/>
      <c r="F189" s="438"/>
      <c r="G189" s="438"/>
      <c r="H189" s="1020" t="str">
        <f>IF(OR(D189="",D189="-"),"",VLOOKUP(D189,'Fatores de Emissão'!$E$181:$K$184,3,FALSE))</f>
        <v/>
      </c>
      <c r="I189" s="478" t="str">
        <f>IF(OR(D189="",D189="-"),"",VLOOKUP(D189,'Fatores de Emissão'!$E$181:$K$184,2,FALSE))</f>
        <v/>
      </c>
      <c r="J189" s="478" t="str">
        <f>IF(OR(D189="",D189="-"),"",VLOOKUP(D189,'Fatores de Emissão'!$E$181:$K$184,4,FALSE))</f>
        <v/>
      </c>
      <c r="K189" s="478" t="str">
        <f>IF(OR(D189="",D189="-"),"",VLOOKUP(D189,'Fatores de Emissão'!$E$181:$K$184,6,FALSE))</f>
        <v/>
      </c>
      <c r="L189" s="478" t="str">
        <f>IF($D189="","",IF($H189="kg/km",$F189*I189/1000,IF($H189="kg/p.km",$F189*$G189*I189/1000,$F189*#REF!*I189/1000)))</f>
        <v/>
      </c>
      <c r="M189" s="478" t="str">
        <f>IF($D189="","",IF($H189="kg/km",$F189*J189/1000,IF($H189="kg/p.km",$F189*$G189*J189/1000,$F189*#REF!*J189/1000)))</f>
        <v/>
      </c>
      <c r="N189" s="478" t="str">
        <f>IF($D189="","",IF($H189="kg/km",$F189*K189/1000,IF($H189="kg/p.km",$F189*$G189*K189/1000,$F189*#REF!*K189/1000)))</f>
        <v/>
      </c>
      <c r="O189" s="479" t="str">
        <f t="shared" si="5"/>
        <v/>
      </c>
      <c r="P189" s="480"/>
    </row>
    <row r="190" spans="1:16" s="237" customFormat="1" ht="15" hidden="1" customHeight="1" outlineLevel="2" x14ac:dyDescent="0.25">
      <c r="A190" s="363"/>
      <c r="B190" s="1145"/>
      <c r="C190" s="1145"/>
      <c r="D190" s="1268"/>
      <c r="E190" s="1268"/>
      <c r="F190" s="438"/>
      <c r="G190" s="438"/>
      <c r="H190" s="1020" t="str">
        <f>IF(OR(D190="",D190="-"),"",VLOOKUP(D190,'Fatores de Emissão'!$E$181:$K$184,3,FALSE))</f>
        <v/>
      </c>
      <c r="I190" s="478" t="str">
        <f>IF(OR(D190="",D190="-"),"",VLOOKUP(D190,'Fatores de Emissão'!$E$181:$K$184,2,FALSE))</f>
        <v/>
      </c>
      <c r="J190" s="478" t="str">
        <f>IF(OR(D190="",D190="-"),"",VLOOKUP(D190,'Fatores de Emissão'!$E$181:$K$184,4,FALSE))</f>
        <v/>
      </c>
      <c r="K190" s="478" t="str">
        <f>IF(OR(D190="",D190="-"),"",VLOOKUP(D190,'Fatores de Emissão'!$E$181:$K$184,6,FALSE))</f>
        <v/>
      </c>
      <c r="L190" s="478" t="str">
        <f>IF($D190="","",IF($H190="kg/km",$F190*I190/1000,IF($H190="kg/p.km",$F190*$G190*I190/1000,$F190*#REF!*I190/1000)))</f>
        <v/>
      </c>
      <c r="M190" s="478" t="str">
        <f>IF($D190="","",IF($H190="kg/km",$F190*J190/1000,IF($H190="kg/p.km",$F190*$G190*J190/1000,$F190*#REF!*J190/1000)))</f>
        <v/>
      </c>
      <c r="N190" s="478" t="str">
        <f>IF($D190="","",IF($H190="kg/km",$F190*K190/1000,IF($H190="kg/p.km",$F190*$G190*K190/1000,$F190*#REF!*K190/1000)))</f>
        <v/>
      </c>
      <c r="O190" s="479" t="str">
        <f t="shared" si="5"/>
        <v/>
      </c>
      <c r="P190" s="480"/>
    </row>
    <row r="191" spans="1:16" s="237" customFormat="1" ht="15" hidden="1" customHeight="1" outlineLevel="2" x14ac:dyDescent="0.25">
      <c r="A191" s="363"/>
      <c r="B191" s="1145"/>
      <c r="C191" s="1145"/>
      <c r="D191" s="1268"/>
      <c r="E191" s="1268"/>
      <c r="F191" s="438"/>
      <c r="G191" s="438"/>
      <c r="H191" s="1020" t="str">
        <f>IF(OR(D191="",D191="-"),"",VLOOKUP(D191,'Fatores de Emissão'!$E$181:$K$184,3,FALSE))</f>
        <v/>
      </c>
      <c r="I191" s="478" t="str">
        <f>IF(OR(D191="",D191="-"),"",VLOOKUP(D191,'Fatores de Emissão'!$E$181:$K$184,2,FALSE))</f>
        <v/>
      </c>
      <c r="J191" s="478" t="str">
        <f>IF(OR(D191="",D191="-"),"",VLOOKUP(D191,'Fatores de Emissão'!$E$181:$K$184,4,FALSE))</f>
        <v/>
      </c>
      <c r="K191" s="478" t="str">
        <f>IF(OR(D191="",D191="-"),"",VLOOKUP(D191,'Fatores de Emissão'!$E$181:$K$184,6,FALSE))</f>
        <v/>
      </c>
      <c r="L191" s="478" t="str">
        <f>IF($D191="","",IF($H191="kg/km",$F191*I191/1000,IF($H191="kg/p.km",$F191*$G191*I191/1000,$F191*#REF!*I191/1000)))</f>
        <v/>
      </c>
      <c r="M191" s="478" t="str">
        <f>IF($D191="","",IF($H191="kg/km",$F191*J191/1000,IF($H191="kg/p.km",$F191*$G191*J191/1000,$F191*#REF!*J191/1000)))</f>
        <v/>
      </c>
      <c r="N191" s="478" t="str">
        <f>IF($D191="","",IF($H191="kg/km",$F191*K191/1000,IF($H191="kg/p.km",$F191*$G191*K191/1000,$F191*#REF!*K191/1000)))</f>
        <v/>
      </c>
      <c r="O191" s="479" t="str">
        <f t="shared" si="5"/>
        <v/>
      </c>
      <c r="P191" s="480"/>
    </row>
    <row r="192" spans="1:16" s="237" customFormat="1" ht="15" hidden="1" customHeight="1" outlineLevel="2" x14ac:dyDescent="0.25">
      <c r="A192" s="363"/>
      <c r="B192" s="1145"/>
      <c r="C192" s="1145"/>
      <c r="D192" s="1268"/>
      <c r="E192" s="1268"/>
      <c r="F192" s="438"/>
      <c r="G192" s="438"/>
      <c r="H192" s="1020" t="str">
        <f>IF(OR(D192="",D192="-"),"",VLOOKUP(D192,'Fatores de Emissão'!$E$181:$K$184,3,FALSE))</f>
        <v/>
      </c>
      <c r="I192" s="478" t="str">
        <f>IF(OR(D192="",D192="-"),"",VLOOKUP(D192,'Fatores de Emissão'!$E$181:$K$184,2,FALSE))</f>
        <v/>
      </c>
      <c r="J192" s="478" t="str">
        <f>IF(OR(D192="",D192="-"),"",VLOOKUP(D192,'Fatores de Emissão'!$E$181:$K$184,4,FALSE))</f>
        <v/>
      </c>
      <c r="K192" s="478" t="str">
        <f>IF(OR(D192="",D192="-"),"",VLOOKUP(D192,'Fatores de Emissão'!$E$181:$K$184,6,FALSE))</f>
        <v/>
      </c>
      <c r="L192" s="478" t="str">
        <f>IF($D192="","",IF($H192="kg/km",$F192*I192/1000,IF($H192="kg/p.km",$F192*$G192*I192/1000,$F192*#REF!*I192/1000)))</f>
        <v/>
      </c>
      <c r="M192" s="478" t="str">
        <f>IF($D192="","",IF($H192="kg/km",$F192*J192/1000,IF($H192="kg/p.km",$F192*$G192*J192/1000,$F192*#REF!*J192/1000)))</f>
        <v/>
      </c>
      <c r="N192" s="478" t="str">
        <f>IF($D192="","",IF($H192="kg/km",$F192*K192/1000,IF($H192="kg/p.km",$F192*$G192*K192/1000,$F192*#REF!*K192/1000)))</f>
        <v/>
      </c>
      <c r="O192" s="479" t="str">
        <f t="shared" si="5"/>
        <v/>
      </c>
      <c r="P192" s="480"/>
    </row>
    <row r="193" spans="1:16" s="237" customFormat="1" ht="15" hidden="1" customHeight="1" outlineLevel="2" x14ac:dyDescent="0.25">
      <c r="A193" s="363"/>
      <c r="B193" s="1145"/>
      <c r="C193" s="1145"/>
      <c r="D193" s="1268"/>
      <c r="E193" s="1268"/>
      <c r="F193" s="438"/>
      <c r="G193" s="438"/>
      <c r="H193" s="1020" t="str">
        <f>IF(OR(D193="",D193="-"),"",VLOOKUP(D193,'Fatores de Emissão'!$E$181:$K$184,3,FALSE))</f>
        <v/>
      </c>
      <c r="I193" s="478" t="str">
        <f>IF(OR(D193="",D193="-"),"",VLOOKUP(D193,'Fatores de Emissão'!$E$181:$K$184,2,FALSE))</f>
        <v/>
      </c>
      <c r="J193" s="478" t="str">
        <f>IF(OR(D193="",D193="-"),"",VLOOKUP(D193,'Fatores de Emissão'!$E$181:$K$184,4,FALSE))</f>
        <v/>
      </c>
      <c r="K193" s="478" t="str">
        <f>IF(OR(D193="",D193="-"),"",VLOOKUP(D193,'Fatores de Emissão'!$E$181:$K$184,6,FALSE))</f>
        <v/>
      </c>
      <c r="L193" s="478" t="str">
        <f>IF($D193="","",IF($H193="kg/km",$F193*I193/1000,IF($H193="kg/p.km",$F193*$G193*I193/1000,$F193*#REF!*I193/1000)))</f>
        <v/>
      </c>
      <c r="M193" s="478" t="str">
        <f>IF($D193="","",IF($H193="kg/km",$F193*J193/1000,IF($H193="kg/p.km",$F193*$G193*J193/1000,$F193*#REF!*J193/1000)))</f>
        <v/>
      </c>
      <c r="N193" s="478" t="str">
        <f>IF($D193="","",IF($H193="kg/km",$F193*K193/1000,IF($H193="kg/p.km",$F193*$G193*K193/1000,$F193*#REF!*K193/1000)))</f>
        <v/>
      </c>
      <c r="O193" s="479" t="str">
        <f t="shared" si="5"/>
        <v/>
      </c>
      <c r="P193" s="480"/>
    </row>
    <row r="194" spans="1:16" s="237" customFormat="1" ht="15" hidden="1" customHeight="1" outlineLevel="2" x14ac:dyDescent="0.25">
      <c r="A194" s="363"/>
      <c r="B194" s="1145"/>
      <c r="C194" s="1145"/>
      <c r="D194" s="1268"/>
      <c r="E194" s="1268"/>
      <c r="F194" s="438"/>
      <c r="G194" s="438"/>
      <c r="H194" s="1020" t="str">
        <f>IF(OR(D194="",D194="-"),"",VLOOKUP(D194,'Fatores de Emissão'!$E$181:$K$184,3,FALSE))</f>
        <v/>
      </c>
      <c r="I194" s="478" t="str">
        <f>IF(OR(D194="",D194="-"),"",VLOOKUP(D194,'Fatores de Emissão'!$E$181:$K$184,2,FALSE))</f>
        <v/>
      </c>
      <c r="J194" s="478" t="str">
        <f>IF(OR(D194="",D194="-"),"",VLOOKUP(D194,'Fatores de Emissão'!$E$181:$K$184,4,FALSE))</f>
        <v/>
      </c>
      <c r="K194" s="478" t="str">
        <f>IF(OR(D194="",D194="-"),"",VLOOKUP(D194,'Fatores de Emissão'!$E$181:$K$184,6,FALSE))</f>
        <v/>
      </c>
      <c r="L194" s="478" t="str">
        <f>IF($D194="","",IF($H194="kg/km",$F194*I194/1000,IF($H194="kg/p.km",$F194*$G194*I194/1000,$F194*#REF!*I194/1000)))</f>
        <v/>
      </c>
      <c r="M194" s="478" t="str">
        <f>IF($D194="","",IF($H194="kg/km",$F194*J194/1000,IF($H194="kg/p.km",$F194*$G194*J194/1000,$F194*#REF!*J194/1000)))</f>
        <v/>
      </c>
      <c r="N194" s="478" t="str">
        <f>IF($D194="","",IF($H194="kg/km",$F194*K194/1000,IF($H194="kg/p.km",$F194*$G194*K194/1000,$F194*#REF!*K194/1000)))</f>
        <v/>
      </c>
      <c r="O194" s="479" t="str">
        <f t="shared" si="5"/>
        <v/>
      </c>
      <c r="P194" s="480"/>
    </row>
    <row r="195" spans="1:16" s="237" customFormat="1" ht="15" hidden="1" customHeight="1" outlineLevel="2" x14ac:dyDescent="0.25">
      <c r="A195" s="363"/>
      <c r="B195" s="1145"/>
      <c r="C195" s="1145"/>
      <c r="D195" s="1268"/>
      <c r="E195" s="1268"/>
      <c r="F195" s="438"/>
      <c r="G195" s="438"/>
      <c r="H195" s="1020" t="str">
        <f>IF(OR(D195="",D195="-"),"",VLOOKUP(D195,'Fatores de Emissão'!$E$181:$K$184,3,FALSE))</f>
        <v/>
      </c>
      <c r="I195" s="478" t="str">
        <f>IF(OR(D195="",D195="-"),"",VLOOKUP(D195,'Fatores de Emissão'!$E$181:$K$184,2,FALSE))</f>
        <v/>
      </c>
      <c r="J195" s="478" t="str">
        <f>IF(OR(D195="",D195="-"),"",VLOOKUP(D195,'Fatores de Emissão'!$E$181:$K$184,4,FALSE))</f>
        <v/>
      </c>
      <c r="K195" s="478" t="str">
        <f>IF(OR(D195="",D195="-"),"",VLOOKUP(D195,'Fatores de Emissão'!$E$181:$K$184,6,FALSE))</f>
        <v/>
      </c>
      <c r="L195" s="478" t="str">
        <f>IF($D195="","",IF($H195="kg/km",$F195*I195/1000,IF($H195="kg/p.km",$F195*$G195*I195/1000,$F195*#REF!*I195/1000)))</f>
        <v/>
      </c>
      <c r="M195" s="478" t="str">
        <f>IF($D195="","",IF($H195="kg/km",$F195*J195/1000,IF($H195="kg/p.km",$F195*$G195*J195/1000,$F195*#REF!*J195/1000)))</f>
        <v/>
      </c>
      <c r="N195" s="478" t="str">
        <f>IF($D195="","",IF($H195="kg/km",$F195*K195/1000,IF($H195="kg/p.km",$F195*$G195*K195/1000,$F195*#REF!*K195/1000)))</f>
        <v/>
      </c>
      <c r="O195" s="479" t="str">
        <f t="shared" si="5"/>
        <v/>
      </c>
      <c r="P195" s="480"/>
    </row>
    <row r="196" spans="1:16" s="237" customFormat="1" ht="15" hidden="1" customHeight="1" outlineLevel="2" x14ac:dyDescent="0.25">
      <c r="A196" s="363"/>
      <c r="B196" s="1145"/>
      <c r="C196" s="1145"/>
      <c r="D196" s="1268"/>
      <c r="E196" s="1268"/>
      <c r="F196" s="438"/>
      <c r="G196" s="438"/>
      <c r="H196" s="1020" t="str">
        <f>IF(OR(D196="",D196="-"),"",VLOOKUP(D196,'Fatores de Emissão'!$E$181:$K$184,3,FALSE))</f>
        <v/>
      </c>
      <c r="I196" s="478" t="str">
        <f>IF(OR(D196="",D196="-"),"",VLOOKUP(D196,'Fatores de Emissão'!$E$181:$K$184,2,FALSE))</f>
        <v/>
      </c>
      <c r="J196" s="478" t="str">
        <f>IF(OR(D196="",D196="-"),"",VLOOKUP(D196,'Fatores de Emissão'!$E$181:$K$184,4,FALSE))</f>
        <v/>
      </c>
      <c r="K196" s="478" t="str">
        <f>IF(OR(D196="",D196="-"),"",VLOOKUP(D196,'Fatores de Emissão'!$E$181:$K$184,6,FALSE))</f>
        <v/>
      </c>
      <c r="L196" s="478" t="str">
        <f>IF($D196="","",IF($H196="kg/km",$F196*I196/1000,IF($H196="kg/p.km",$F196*$G196*I196/1000,$F196*#REF!*I196/1000)))</f>
        <v/>
      </c>
      <c r="M196" s="478" t="str">
        <f>IF($D196="","",IF($H196="kg/km",$F196*J196/1000,IF($H196="kg/p.km",$F196*$G196*J196/1000,$F196*#REF!*J196/1000)))</f>
        <v/>
      </c>
      <c r="N196" s="478" t="str">
        <f>IF($D196="","",IF($H196="kg/km",$F196*K196/1000,IF($H196="kg/p.km",$F196*$G196*K196/1000,$F196*#REF!*K196/1000)))</f>
        <v/>
      </c>
      <c r="O196" s="479" t="str">
        <f t="shared" si="5"/>
        <v/>
      </c>
      <c r="P196" s="480"/>
    </row>
    <row r="197" spans="1:16" s="237" customFormat="1" ht="15" hidden="1" customHeight="1" outlineLevel="2" x14ac:dyDescent="0.25">
      <c r="A197" s="363"/>
      <c r="B197" s="1145"/>
      <c r="C197" s="1145"/>
      <c r="D197" s="1268"/>
      <c r="E197" s="1268"/>
      <c r="F197" s="438"/>
      <c r="G197" s="438"/>
      <c r="H197" s="1020" t="str">
        <f>IF(OR(D197="",D197="-"),"",VLOOKUP(D197,'Fatores de Emissão'!$E$181:$K$184,3,FALSE))</f>
        <v/>
      </c>
      <c r="I197" s="478" t="str">
        <f>IF(OR(D197="",D197="-"),"",VLOOKUP(D197,'Fatores de Emissão'!$E$181:$K$184,2,FALSE))</f>
        <v/>
      </c>
      <c r="J197" s="478" t="str">
        <f>IF(OR(D197="",D197="-"),"",VLOOKUP(D197,'Fatores de Emissão'!$E$181:$K$184,4,FALSE))</f>
        <v/>
      </c>
      <c r="K197" s="478" t="str">
        <f>IF(OR(D197="",D197="-"),"",VLOOKUP(D197,'Fatores de Emissão'!$E$181:$K$184,6,FALSE))</f>
        <v/>
      </c>
      <c r="L197" s="478" t="str">
        <f>IF($D197="","",IF($H197="kg/km",$F197*I197/1000,IF($H197="kg/p.km",$F197*$G197*I197/1000,$F197*#REF!*I197/1000)))</f>
        <v/>
      </c>
      <c r="M197" s="478" t="str">
        <f>IF($D197="","",IF($H197="kg/km",$F197*J197/1000,IF($H197="kg/p.km",$F197*$G197*J197/1000,$F197*#REF!*J197/1000)))</f>
        <v/>
      </c>
      <c r="N197" s="478" t="str">
        <f>IF($D197="","",IF($H197="kg/km",$F197*K197/1000,IF($H197="kg/p.km",$F197*$G197*K197/1000,$F197*#REF!*K197/1000)))</f>
        <v/>
      </c>
      <c r="O197" s="479" t="str">
        <f t="shared" si="5"/>
        <v/>
      </c>
      <c r="P197" s="480"/>
    </row>
    <row r="198" spans="1:16" s="237" customFormat="1" ht="15" hidden="1" customHeight="1" outlineLevel="2" x14ac:dyDescent="0.25">
      <c r="A198" s="363"/>
      <c r="B198" s="1145"/>
      <c r="C198" s="1145"/>
      <c r="D198" s="1268"/>
      <c r="E198" s="1268"/>
      <c r="F198" s="438"/>
      <c r="G198" s="438"/>
      <c r="H198" s="1020" t="str">
        <f>IF(OR(D198="",D198="-"),"",VLOOKUP(D198,'Fatores de Emissão'!$E$181:$K$184,3,FALSE))</f>
        <v/>
      </c>
      <c r="I198" s="478" t="str">
        <f>IF(OR(D198="",D198="-"),"",VLOOKUP(D198,'Fatores de Emissão'!$E$181:$K$184,2,FALSE))</f>
        <v/>
      </c>
      <c r="J198" s="478" t="str">
        <f>IF(OR(D198="",D198="-"),"",VLOOKUP(D198,'Fatores de Emissão'!$E$181:$K$184,4,FALSE))</f>
        <v/>
      </c>
      <c r="K198" s="478" t="str">
        <f>IF(OR(D198="",D198="-"),"",VLOOKUP(D198,'Fatores de Emissão'!$E$181:$K$184,6,FALSE))</f>
        <v/>
      </c>
      <c r="L198" s="478" t="str">
        <f>IF($D198="","",IF($H198="kg/km",$F198*I198/1000,IF($H198="kg/p.km",$F198*$G198*I198/1000,$F198*#REF!*I198/1000)))</f>
        <v/>
      </c>
      <c r="M198" s="478" t="str">
        <f>IF($D198="","",IF($H198="kg/km",$F198*J198/1000,IF($H198="kg/p.km",$F198*$G198*J198/1000,$F198*#REF!*J198/1000)))</f>
        <v/>
      </c>
      <c r="N198" s="478" t="str">
        <f>IF($D198="","",IF($H198="kg/km",$F198*K198/1000,IF($H198="kg/p.km",$F198*$G198*K198/1000,$F198*#REF!*K198/1000)))</f>
        <v/>
      </c>
      <c r="O198" s="479" t="str">
        <f t="shared" si="5"/>
        <v/>
      </c>
      <c r="P198" s="480"/>
    </row>
    <row r="199" spans="1:16" s="237" customFormat="1" ht="15" hidden="1" customHeight="1" outlineLevel="2" x14ac:dyDescent="0.25">
      <c r="A199" s="363"/>
      <c r="B199" s="1145"/>
      <c r="C199" s="1145"/>
      <c r="D199" s="1268"/>
      <c r="E199" s="1268"/>
      <c r="F199" s="438"/>
      <c r="G199" s="438"/>
      <c r="H199" s="1020" t="str">
        <f>IF(OR(D199="",D199="-"),"",VLOOKUP(D199,'Fatores de Emissão'!$E$181:$K$184,3,FALSE))</f>
        <v/>
      </c>
      <c r="I199" s="478" t="str">
        <f>IF(OR(D199="",D199="-"),"",VLOOKUP(D199,'Fatores de Emissão'!$E$181:$K$184,2,FALSE))</f>
        <v/>
      </c>
      <c r="J199" s="478" t="str">
        <f>IF(OR(D199="",D199="-"),"",VLOOKUP(D199,'Fatores de Emissão'!$E$181:$K$184,4,FALSE))</f>
        <v/>
      </c>
      <c r="K199" s="478" t="str">
        <f>IF(OR(D199="",D199="-"),"",VLOOKUP(D199,'Fatores de Emissão'!$E$181:$K$184,6,FALSE))</f>
        <v/>
      </c>
      <c r="L199" s="478" t="str">
        <f>IF($D199="","",IF($H199="kg/km",$F199*I199/1000,IF($H199="kg/p.km",$F199*$G199*I199/1000,$F199*#REF!*I199/1000)))</f>
        <v/>
      </c>
      <c r="M199" s="478" t="str">
        <f>IF($D199="","",IF($H199="kg/km",$F199*J199/1000,IF($H199="kg/p.km",$F199*$G199*J199/1000,$F199*#REF!*J199/1000)))</f>
        <v/>
      </c>
      <c r="N199" s="478" t="str">
        <f>IF($D199="","",IF($H199="kg/km",$F199*K199/1000,IF($H199="kg/p.km",$F199*$G199*K199/1000,$F199*#REF!*K199/1000)))</f>
        <v/>
      </c>
      <c r="O199" s="479" t="str">
        <f t="shared" si="5"/>
        <v/>
      </c>
      <c r="P199" s="480"/>
    </row>
    <row r="200" spans="1:16" s="237" customFormat="1" ht="15" hidden="1" customHeight="1" outlineLevel="2" x14ac:dyDescent="0.25">
      <c r="A200" s="363"/>
      <c r="B200" s="1145"/>
      <c r="C200" s="1145"/>
      <c r="D200" s="1268"/>
      <c r="E200" s="1268"/>
      <c r="F200" s="438"/>
      <c r="G200" s="438"/>
      <c r="H200" s="1020" t="str">
        <f>IF(OR(D200="",D200="-"),"",VLOOKUP(D200,'Fatores de Emissão'!$E$181:$K$184,3,FALSE))</f>
        <v/>
      </c>
      <c r="I200" s="478" t="str">
        <f>IF(OR(D200="",D200="-"),"",VLOOKUP(D200,'Fatores de Emissão'!$E$181:$K$184,2,FALSE))</f>
        <v/>
      </c>
      <c r="J200" s="478" t="str">
        <f>IF(OR(D200="",D200="-"),"",VLOOKUP(D200,'Fatores de Emissão'!$E$181:$K$184,4,FALSE))</f>
        <v/>
      </c>
      <c r="K200" s="478" t="str">
        <f>IF(OR(D200="",D200="-"),"",VLOOKUP(D200,'Fatores de Emissão'!$E$181:$K$184,6,FALSE))</f>
        <v/>
      </c>
      <c r="L200" s="478" t="str">
        <f>IF($D200="","",IF($H200="kg/km",$F200*I200/1000,IF($H200="kg/p.km",$F200*$G200*I200/1000,$F200*#REF!*I200/1000)))</f>
        <v/>
      </c>
      <c r="M200" s="478" t="str">
        <f>IF($D200="","",IF($H200="kg/km",$F200*J200/1000,IF($H200="kg/p.km",$F200*$G200*J200/1000,$F200*#REF!*J200/1000)))</f>
        <v/>
      </c>
      <c r="N200" s="478" t="str">
        <f>IF($D200="","",IF($H200="kg/km",$F200*K200/1000,IF($H200="kg/p.km",$F200*$G200*K200/1000,$F200*#REF!*K200/1000)))</f>
        <v/>
      </c>
      <c r="O200" s="479" t="str">
        <f t="shared" si="5"/>
        <v/>
      </c>
      <c r="P200" s="480"/>
    </row>
    <row r="201" spans="1:16" s="237" customFormat="1" ht="15" hidden="1" customHeight="1" outlineLevel="2" x14ac:dyDescent="0.25">
      <c r="A201" s="363"/>
      <c r="B201" s="1145"/>
      <c r="C201" s="1145"/>
      <c r="D201" s="1268"/>
      <c r="E201" s="1268"/>
      <c r="F201" s="438"/>
      <c r="G201" s="438"/>
      <c r="H201" s="1020" t="str">
        <f>IF(OR(D201="",D201="-"),"",VLOOKUP(D201,'Fatores de Emissão'!$E$181:$K$184,3,FALSE))</f>
        <v/>
      </c>
      <c r="I201" s="478" t="str">
        <f>IF(OR(D201="",D201="-"),"",VLOOKUP(D201,'Fatores de Emissão'!$E$181:$K$184,2,FALSE))</f>
        <v/>
      </c>
      <c r="J201" s="478" t="str">
        <f>IF(OR(D201="",D201="-"),"",VLOOKUP(D201,'Fatores de Emissão'!$E$181:$K$184,4,FALSE))</f>
        <v/>
      </c>
      <c r="K201" s="478" t="str">
        <f>IF(OR(D201="",D201="-"),"",VLOOKUP(D201,'Fatores de Emissão'!$E$181:$K$184,6,FALSE))</f>
        <v/>
      </c>
      <c r="L201" s="478" t="str">
        <f>IF($D201="","",IF($H201="kg/km",$F201*I201/1000,IF($H201="kg/p.km",$F201*$G201*I201/1000,$F201*#REF!*I201/1000)))</f>
        <v/>
      </c>
      <c r="M201" s="478" t="str">
        <f>IF($D201="","",IF($H201="kg/km",$F201*J201/1000,IF($H201="kg/p.km",$F201*$G201*J201/1000,$F201*#REF!*J201/1000)))</f>
        <v/>
      </c>
      <c r="N201" s="478" t="str">
        <f>IF($D201="","",IF($H201="kg/km",$F201*K201/1000,IF($H201="kg/p.km",$F201*$G201*K201/1000,$F201*#REF!*K201/1000)))</f>
        <v/>
      </c>
      <c r="O201" s="479" t="str">
        <f t="shared" si="5"/>
        <v/>
      </c>
      <c r="P201" s="480"/>
    </row>
    <row r="202" spans="1:16" s="237" customFormat="1" ht="15" hidden="1" customHeight="1" outlineLevel="2" x14ac:dyDescent="0.25">
      <c r="A202" s="363"/>
      <c r="B202" s="1145"/>
      <c r="C202" s="1145"/>
      <c r="D202" s="1268"/>
      <c r="E202" s="1268"/>
      <c r="F202" s="438"/>
      <c r="G202" s="438"/>
      <c r="H202" s="1020" t="str">
        <f>IF(OR(D202="",D202="-"),"",VLOOKUP(D202,'Fatores de Emissão'!$E$181:$K$184,3,FALSE))</f>
        <v/>
      </c>
      <c r="I202" s="478" t="str">
        <f>IF(OR(D202="",D202="-"),"",VLOOKUP(D202,'Fatores de Emissão'!$E$181:$K$184,2,FALSE))</f>
        <v/>
      </c>
      <c r="J202" s="478" t="str">
        <f>IF(OR(D202="",D202="-"),"",VLOOKUP(D202,'Fatores de Emissão'!$E$181:$K$184,4,FALSE))</f>
        <v/>
      </c>
      <c r="K202" s="478" t="str">
        <f>IF(OR(D202="",D202="-"),"",VLOOKUP(D202,'Fatores de Emissão'!$E$181:$K$184,6,FALSE))</f>
        <v/>
      </c>
      <c r="L202" s="478" t="str">
        <f>IF($D202="","",IF($H202="kg/km",$F202*I202/1000,IF($H202="kg/p.km",$F202*$G202*I202/1000,$F202*#REF!*I202/1000)))</f>
        <v/>
      </c>
      <c r="M202" s="478" t="str">
        <f>IF($D202="","",IF($H202="kg/km",$F202*J202/1000,IF($H202="kg/p.km",$F202*$G202*J202/1000,$F202*#REF!*J202/1000)))</f>
        <v/>
      </c>
      <c r="N202" s="478" t="str">
        <f>IF($D202="","",IF($H202="kg/km",$F202*K202/1000,IF($H202="kg/p.km",$F202*$G202*K202/1000,$F202*#REF!*K202/1000)))</f>
        <v/>
      </c>
      <c r="O202" s="479" t="str">
        <f t="shared" si="5"/>
        <v/>
      </c>
      <c r="P202" s="480"/>
    </row>
    <row r="203" spans="1:16" s="237" customFormat="1" ht="15" hidden="1" customHeight="1" outlineLevel="2" x14ac:dyDescent="0.25">
      <c r="A203" s="363"/>
      <c r="B203" s="1145"/>
      <c r="C203" s="1145"/>
      <c r="D203" s="1268"/>
      <c r="E203" s="1268"/>
      <c r="F203" s="438"/>
      <c r="G203" s="438"/>
      <c r="H203" s="1020" t="str">
        <f>IF(OR(D203="",D203="-"),"",VLOOKUP(D203,'Fatores de Emissão'!$E$181:$K$184,3,FALSE))</f>
        <v/>
      </c>
      <c r="I203" s="478" t="str">
        <f>IF(OR(D203="",D203="-"),"",VLOOKUP(D203,'Fatores de Emissão'!$E$181:$K$184,2,FALSE))</f>
        <v/>
      </c>
      <c r="J203" s="478" t="str">
        <f>IF(OR(D203="",D203="-"),"",VLOOKUP(D203,'Fatores de Emissão'!$E$181:$K$184,4,FALSE))</f>
        <v/>
      </c>
      <c r="K203" s="478" t="str">
        <f>IF(OR(D203="",D203="-"),"",VLOOKUP(D203,'Fatores de Emissão'!$E$181:$K$184,6,FALSE))</f>
        <v/>
      </c>
      <c r="L203" s="478" t="str">
        <f>IF($D203="","",IF($H203="kg/km",$F203*I203/1000,IF($H203="kg/p.km",$F203*$G203*I203/1000,$F203*#REF!*I203/1000)))</f>
        <v/>
      </c>
      <c r="M203" s="478" t="str">
        <f>IF($D203="","",IF($H203="kg/km",$F203*J203/1000,IF($H203="kg/p.km",$F203*$G203*J203/1000,$F203*#REF!*J203/1000)))</f>
        <v/>
      </c>
      <c r="N203" s="478" t="str">
        <f>IF($D203="","",IF($H203="kg/km",$F203*K203/1000,IF($H203="kg/p.km",$F203*$G203*K203/1000,$F203*#REF!*K203/1000)))</f>
        <v/>
      </c>
      <c r="O203" s="479" t="str">
        <f t="shared" si="5"/>
        <v/>
      </c>
      <c r="P203" s="480"/>
    </row>
    <row r="204" spans="1:16" s="237" customFormat="1" ht="15" hidden="1" customHeight="1" outlineLevel="2" x14ac:dyDescent="0.25">
      <c r="A204" s="363"/>
      <c r="B204" s="1145"/>
      <c r="C204" s="1145"/>
      <c r="D204" s="1268"/>
      <c r="E204" s="1268"/>
      <c r="F204" s="438"/>
      <c r="G204" s="438"/>
      <c r="H204" s="1020" t="str">
        <f>IF(OR(D204="",D204="-"),"",VLOOKUP(D204,'Fatores de Emissão'!$E$181:$K$184,3,FALSE))</f>
        <v/>
      </c>
      <c r="I204" s="478" t="str">
        <f>IF(OR(D204="",D204="-"),"",VLOOKUP(D204,'Fatores de Emissão'!$E$181:$K$184,2,FALSE))</f>
        <v/>
      </c>
      <c r="J204" s="478" t="str">
        <f>IF(OR(D204="",D204="-"),"",VLOOKUP(D204,'Fatores de Emissão'!$E$181:$K$184,4,FALSE))</f>
        <v/>
      </c>
      <c r="K204" s="478" t="str">
        <f>IF(OR(D204="",D204="-"),"",VLOOKUP(D204,'Fatores de Emissão'!$E$181:$K$184,6,FALSE))</f>
        <v/>
      </c>
      <c r="L204" s="478" t="str">
        <f>IF($D204="","",IF($H204="kg/km",$F204*I204/1000,IF($H204="kg/p.km",$F204*$G204*I204/1000,$F204*#REF!*I204/1000)))</f>
        <v/>
      </c>
      <c r="M204" s="478" t="str">
        <f>IF($D204="","",IF($H204="kg/km",$F204*J204/1000,IF($H204="kg/p.km",$F204*$G204*J204/1000,$F204*#REF!*J204/1000)))</f>
        <v/>
      </c>
      <c r="N204" s="478" t="str">
        <f>IF($D204="","",IF($H204="kg/km",$F204*K204/1000,IF($H204="kg/p.km",$F204*$G204*K204/1000,$F204*#REF!*K204/1000)))</f>
        <v/>
      </c>
      <c r="O204" s="479" t="str">
        <f t="shared" si="5"/>
        <v/>
      </c>
      <c r="P204" s="480"/>
    </row>
    <row r="205" spans="1:16" s="237" customFormat="1" ht="15" hidden="1" customHeight="1" outlineLevel="2" x14ac:dyDescent="0.25">
      <c r="A205" s="363"/>
      <c r="B205" s="1145"/>
      <c r="C205" s="1145"/>
      <c r="D205" s="1268"/>
      <c r="E205" s="1268"/>
      <c r="F205" s="438"/>
      <c r="G205" s="438"/>
      <c r="H205" s="1020" t="str">
        <f>IF(OR(D205="",D205="-"),"",VLOOKUP(D205,'Fatores de Emissão'!$E$181:$K$184,3,FALSE))</f>
        <v/>
      </c>
      <c r="I205" s="478" t="str">
        <f>IF(OR(D205="",D205="-"),"",VLOOKUP(D205,'Fatores de Emissão'!$E$181:$K$184,2,FALSE))</f>
        <v/>
      </c>
      <c r="J205" s="478" t="str">
        <f>IF(OR(D205="",D205="-"),"",VLOOKUP(D205,'Fatores de Emissão'!$E$181:$K$184,4,FALSE))</f>
        <v/>
      </c>
      <c r="K205" s="478" t="str">
        <f>IF(OR(D205="",D205="-"),"",VLOOKUP(D205,'Fatores de Emissão'!$E$181:$K$184,6,FALSE))</f>
        <v/>
      </c>
      <c r="L205" s="478" t="str">
        <f>IF($D205="","",IF($H205="kg/km",$F205*I205/1000,IF($H205="kg/p.km",$F205*$G205*I205/1000,$F205*#REF!*I205/1000)))</f>
        <v/>
      </c>
      <c r="M205" s="478" t="str">
        <f>IF($D205="","",IF($H205="kg/km",$F205*J205/1000,IF($H205="kg/p.km",$F205*$G205*J205/1000,$F205*#REF!*J205/1000)))</f>
        <v/>
      </c>
      <c r="N205" s="478" t="str">
        <f>IF($D205="","",IF($H205="kg/km",$F205*K205/1000,IF($H205="kg/p.km",$F205*$G205*K205/1000,$F205*#REF!*K205/1000)))</f>
        <v/>
      </c>
      <c r="O205" s="479" t="str">
        <f t="shared" si="5"/>
        <v/>
      </c>
      <c r="P205" s="480"/>
    </row>
    <row r="206" spans="1:16" s="237" customFormat="1" ht="15" hidden="1" customHeight="1" outlineLevel="2" x14ac:dyDescent="0.25">
      <c r="A206" s="363"/>
      <c r="B206" s="1145"/>
      <c r="C206" s="1145"/>
      <c r="D206" s="1268"/>
      <c r="E206" s="1268"/>
      <c r="F206" s="438"/>
      <c r="G206" s="438"/>
      <c r="H206" s="1020" t="str">
        <f>IF(OR(D206="",D206="-"),"",VLOOKUP(D206,'Fatores de Emissão'!$E$181:$K$184,3,FALSE))</f>
        <v/>
      </c>
      <c r="I206" s="478" t="str">
        <f>IF(OR(D206="",D206="-"),"",VLOOKUP(D206,'Fatores de Emissão'!$E$181:$K$184,2,FALSE))</f>
        <v/>
      </c>
      <c r="J206" s="478" t="str">
        <f>IF(OR(D206="",D206="-"),"",VLOOKUP(D206,'Fatores de Emissão'!$E$181:$K$184,4,FALSE))</f>
        <v/>
      </c>
      <c r="K206" s="478" t="str">
        <f>IF(OR(D206="",D206="-"),"",VLOOKUP(D206,'Fatores de Emissão'!$E$181:$K$184,6,FALSE))</f>
        <v/>
      </c>
      <c r="L206" s="478" t="str">
        <f>IF($D206="","",IF($H206="kg/km",$F206*I206/1000,IF($H206="kg/p.km",$F206*$G206*I206/1000,$F206*#REF!*I206/1000)))</f>
        <v/>
      </c>
      <c r="M206" s="478" t="str">
        <f>IF($D206="","",IF($H206="kg/km",$F206*J206/1000,IF($H206="kg/p.km",$F206*$G206*J206/1000,$F206*#REF!*J206/1000)))</f>
        <v/>
      </c>
      <c r="N206" s="478" t="str">
        <f>IF($D206="","",IF($H206="kg/km",$F206*K206/1000,IF($H206="kg/p.km",$F206*$G206*K206/1000,$F206*#REF!*K206/1000)))</f>
        <v/>
      </c>
      <c r="O206" s="479" t="str">
        <f t="shared" si="5"/>
        <v/>
      </c>
      <c r="P206" s="480"/>
    </row>
    <row r="207" spans="1:16" s="237" customFormat="1" ht="15" hidden="1" customHeight="1" outlineLevel="2" x14ac:dyDescent="0.25">
      <c r="A207" s="363"/>
      <c r="B207" s="1145"/>
      <c r="C207" s="1145"/>
      <c r="D207" s="1268"/>
      <c r="E207" s="1268"/>
      <c r="F207" s="438"/>
      <c r="G207" s="438"/>
      <c r="H207" s="1020" t="str">
        <f>IF(OR(D207="",D207="-"),"",VLOOKUP(D207,'Fatores de Emissão'!$E$181:$K$184,3,FALSE))</f>
        <v/>
      </c>
      <c r="I207" s="478" t="str">
        <f>IF(OR(D207="",D207="-"),"",VLOOKUP(D207,'Fatores de Emissão'!$E$181:$K$184,2,FALSE))</f>
        <v/>
      </c>
      <c r="J207" s="478" t="str">
        <f>IF(OR(D207="",D207="-"),"",VLOOKUP(D207,'Fatores de Emissão'!$E$181:$K$184,4,FALSE))</f>
        <v/>
      </c>
      <c r="K207" s="478" t="str">
        <f>IF(OR(D207="",D207="-"),"",VLOOKUP(D207,'Fatores de Emissão'!$E$181:$K$184,6,FALSE))</f>
        <v/>
      </c>
      <c r="L207" s="478" t="str">
        <f>IF($D207="","",IF($H207="kg/km",$F207*I207/1000,IF($H207="kg/p.km",$F207*$G207*I207/1000,$F207*#REF!*I207/1000)))</f>
        <v/>
      </c>
      <c r="M207" s="478" t="str">
        <f>IF($D207="","",IF($H207="kg/km",$F207*J207/1000,IF($H207="kg/p.km",$F207*$G207*J207/1000,$F207*#REF!*J207/1000)))</f>
        <v/>
      </c>
      <c r="N207" s="478" t="str">
        <f>IF($D207="","",IF($H207="kg/km",$F207*K207/1000,IF($H207="kg/p.km",$F207*$G207*K207/1000,$F207*#REF!*K207/1000)))</f>
        <v/>
      </c>
      <c r="O207" s="479" t="str">
        <f t="shared" si="5"/>
        <v/>
      </c>
      <c r="P207" s="480"/>
    </row>
    <row r="208" spans="1:16" s="237" customFormat="1" ht="15" hidden="1" customHeight="1" outlineLevel="2" x14ac:dyDescent="0.25">
      <c r="A208" s="363"/>
      <c r="B208" s="1145"/>
      <c r="C208" s="1145"/>
      <c r="D208" s="1268"/>
      <c r="E208" s="1268"/>
      <c r="F208" s="438"/>
      <c r="G208" s="438"/>
      <c r="H208" s="1020" t="str">
        <f>IF(OR(D208="",D208="-"),"",VLOOKUP(D208,'Fatores de Emissão'!$E$181:$K$184,3,FALSE))</f>
        <v/>
      </c>
      <c r="I208" s="478" t="str">
        <f>IF(OR(D208="",D208="-"),"",VLOOKUP(D208,'Fatores de Emissão'!$E$181:$K$184,2,FALSE))</f>
        <v/>
      </c>
      <c r="J208" s="478" t="str">
        <f>IF(OR(D208="",D208="-"),"",VLOOKUP(D208,'Fatores de Emissão'!$E$181:$K$184,4,FALSE))</f>
        <v/>
      </c>
      <c r="K208" s="478" t="str">
        <f>IF(OR(D208="",D208="-"),"",VLOOKUP(D208,'Fatores de Emissão'!$E$181:$K$184,6,FALSE))</f>
        <v/>
      </c>
      <c r="L208" s="478" t="str">
        <f>IF($D208="","",IF($H208="kg/km",$F208*I208/1000,IF($H208="kg/p.km",$F208*$G208*I208/1000,$F208*#REF!*I208/1000)))</f>
        <v/>
      </c>
      <c r="M208" s="478" t="str">
        <f>IF($D208="","",IF($H208="kg/km",$F208*J208/1000,IF($H208="kg/p.km",$F208*$G208*J208/1000,$F208*#REF!*J208/1000)))</f>
        <v/>
      </c>
      <c r="N208" s="478" t="str">
        <f>IF($D208="","",IF($H208="kg/km",$F208*K208/1000,IF($H208="kg/p.km",$F208*$G208*K208/1000,$F208*#REF!*K208/1000)))</f>
        <v/>
      </c>
      <c r="O208" s="479" t="str">
        <f t="shared" si="5"/>
        <v/>
      </c>
      <c r="P208" s="480"/>
    </row>
    <row r="209" spans="1:58" s="237" customFormat="1" ht="15" hidden="1" customHeight="1" outlineLevel="2" x14ac:dyDescent="0.25">
      <c r="A209" s="363"/>
      <c r="B209" s="1145"/>
      <c r="C209" s="1145"/>
      <c r="D209" s="1268"/>
      <c r="E209" s="1268"/>
      <c r="F209" s="438"/>
      <c r="G209" s="438"/>
      <c r="H209" s="1020" t="str">
        <f>IF(OR(D209="",D209="-"),"",VLOOKUP(D209,'Fatores de Emissão'!$E$181:$K$184,3,FALSE))</f>
        <v/>
      </c>
      <c r="I209" s="478" t="str">
        <f>IF(OR(D209="",D209="-"),"",VLOOKUP(D209,'Fatores de Emissão'!$E$181:$K$184,2,FALSE))</f>
        <v/>
      </c>
      <c r="J209" s="478" t="str">
        <f>IF(OR(D209="",D209="-"),"",VLOOKUP(D209,'Fatores de Emissão'!$E$181:$K$184,4,FALSE))</f>
        <v/>
      </c>
      <c r="K209" s="478" t="str">
        <f>IF(OR(D209="",D209="-"),"",VLOOKUP(D209,'Fatores de Emissão'!$E$181:$K$184,6,FALSE))</f>
        <v/>
      </c>
      <c r="L209" s="478" t="str">
        <f>IF($D209="","",IF($H209="kg/km",$F209*I209/1000,IF($H209="kg/p.km",$F209*$G209*I209/1000,$F209*#REF!*I209/1000)))</f>
        <v/>
      </c>
      <c r="M209" s="478" t="str">
        <f>IF($D209="","",IF($H209="kg/km",$F209*J209/1000,IF($H209="kg/p.km",$F209*$G209*J209/1000,$F209*#REF!*J209/1000)))</f>
        <v/>
      </c>
      <c r="N209" s="478" t="str">
        <f>IF($D209="","",IF($H209="kg/km",$F209*K209/1000,IF($H209="kg/p.km",$F209*$G209*K209/1000,$F209*#REF!*K209/1000)))</f>
        <v/>
      </c>
      <c r="O209" s="479" t="str">
        <f t="shared" si="5"/>
        <v/>
      </c>
      <c r="P209" s="480"/>
    </row>
    <row r="210" spans="1:58" s="237" customFormat="1" ht="15" hidden="1" customHeight="1" outlineLevel="2" x14ac:dyDescent="0.25">
      <c r="A210" s="363"/>
      <c r="B210" s="1145"/>
      <c r="C210" s="1145"/>
      <c r="D210" s="1268"/>
      <c r="E210" s="1268"/>
      <c r="F210" s="438"/>
      <c r="G210" s="438"/>
      <c r="H210" s="1020" t="str">
        <f>IF(OR(D210="",D210="-"),"",VLOOKUP(D210,'Fatores de Emissão'!$E$181:$K$184,3,FALSE))</f>
        <v/>
      </c>
      <c r="I210" s="478" t="str">
        <f>IF(OR(D210="",D210="-"),"",VLOOKUP(D210,'Fatores de Emissão'!$E$181:$K$184,2,FALSE))</f>
        <v/>
      </c>
      <c r="J210" s="478" t="str">
        <f>IF(OR(D210="",D210="-"),"",VLOOKUP(D210,'Fatores de Emissão'!$E$181:$K$184,4,FALSE))</f>
        <v/>
      </c>
      <c r="K210" s="478" t="str">
        <f>IF(OR(D210="",D210="-"),"",VLOOKUP(D210,'Fatores de Emissão'!$E$181:$K$184,6,FALSE))</f>
        <v/>
      </c>
      <c r="L210" s="478" t="str">
        <f>IF($D210="","",IF($H210="kg/km",$F210*I210/1000,IF($H210="kg/p.km",$F210*$G210*I210/1000,$F210*#REF!*I210/1000)))</f>
        <v/>
      </c>
      <c r="M210" s="478" t="str">
        <f>IF($D210="","",IF($H210="kg/km",$F210*J210/1000,IF($H210="kg/p.km",$F210*$G210*J210/1000,$F210*#REF!*J210/1000)))</f>
        <v/>
      </c>
      <c r="N210" s="478" t="str">
        <f>IF($D210="","",IF($H210="kg/km",$F210*K210/1000,IF($H210="kg/p.km",$F210*$G210*K210/1000,$F210*#REF!*K210/1000)))</f>
        <v/>
      </c>
      <c r="O210" s="479" t="str">
        <f t="shared" si="5"/>
        <v/>
      </c>
      <c r="P210" s="480"/>
    </row>
    <row r="211" spans="1:58" s="237" customFormat="1" ht="15" hidden="1" customHeight="1" outlineLevel="2" x14ac:dyDescent="0.25">
      <c r="A211" s="363"/>
      <c r="B211" s="1145"/>
      <c r="C211" s="1145"/>
      <c r="D211" s="1268"/>
      <c r="E211" s="1268"/>
      <c r="F211" s="438"/>
      <c r="G211" s="438"/>
      <c r="H211" s="1020" t="str">
        <f>IF(OR(D211="",D211="-"),"",VLOOKUP(D211,'Fatores de Emissão'!$E$181:$K$184,3,FALSE))</f>
        <v/>
      </c>
      <c r="I211" s="478" t="str">
        <f>IF(OR(D211="",D211="-"),"",VLOOKUP(D211,'Fatores de Emissão'!$E$181:$K$184,2,FALSE))</f>
        <v/>
      </c>
      <c r="J211" s="478" t="str">
        <f>IF(OR(D211="",D211="-"),"",VLOOKUP(D211,'Fatores de Emissão'!$E$181:$K$184,4,FALSE))</f>
        <v/>
      </c>
      <c r="K211" s="478" t="str">
        <f>IF(OR(D211="",D211="-"),"",VLOOKUP(D211,'Fatores de Emissão'!$E$181:$K$184,6,FALSE))</f>
        <v/>
      </c>
      <c r="L211" s="478" t="str">
        <f>IF($D211="","",IF($H211="kg/km",$F211*I211/1000,IF($H211="kg/p.km",$F211*$G211*I211/1000,$F211*#REF!*I211/1000)))</f>
        <v/>
      </c>
      <c r="M211" s="478" t="str">
        <f>IF($D211="","",IF($H211="kg/km",$F211*J211/1000,IF($H211="kg/p.km",$F211*$G211*J211/1000,$F211*#REF!*J211/1000)))</f>
        <v/>
      </c>
      <c r="N211" s="478" t="str">
        <f>IF($D211="","",IF($H211="kg/km",$F211*K211/1000,IF($H211="kg/p.km",$F211*$G211*K211/1000,$F211*#REF!*K211/1000)))</f>
        <v/>
      </c>
      <c r="O211" s="479" t="str">
        <f t="shared" si="5"/>
        <v/>
      </c>
      <c r="P211" s="480"/>
    </row>
    <row r="212" spans="1:58" s="237" customFormat="1" ht="15" hidden="1" customHeight="1" outlineLevel="2" x14ac:dyDescent="0.25">
      <c r="A212" s="363"/>
      <c r="B212" s="1145"/>
      <c r="C212" s="1145"/>
      <c r="D212" s="1268"/>
      <c r="E212" s="1268"/>
      <c r="F212" s="438"/>
      <c r="G212" s="438"/>
      <c r="H212" s="1020" t="str">
        <f>IF(OR(D212="",D212="-"),"",VLOOKUP(D212,'Fatores de Emissão'!$E$181:$K$184,3,FALSE))</f>
        <v/>
      </c>
      <c r="I212" s="478" t="str">
        <f>IF(OR(D212="",D212="-"),"",VLOOKUP(D212,'Fatores de Emissão'!$E$181:$K$184,2,FALSE))</f>
        <v/>
      </c>
      <c r="J212" s="478" t="str">
        <f>IF(OR(D212="",D212="-"),"",VLOOKUP(D212,'Fatores de Emissão'!$E$181:$K$184,4,FALSE))</f>
        <v/>
      </c>
      <c r="K212" s="478" t="str">
        <f>IF(OR(D212="",D212="-"),"",VLOOKUP(D212,'Fatores de Emissão'!$E$181:$K$184,6,FALSE))</f>
        <v/>
      </c>
      <c r="L212" s="478" t="str">
        <f>IF($D212="","",IF($H212="kg/km",$F212*I212/1000,IF($H212="kg/p.km",$F212*$G212*I212/1000,$F212*#REF!*I212/1000)))</f>
        <v/>
      </c>
      <c r="M212" s="478" t="str">
        <f>IF($D212="","",IF($H212="kg/km",$F212*J212/1000,IF($H212="kg/p.km",$F212*$G212*J212/1000,$F212*#REF!*J212/1000)))</f>
        <v/>
      </c>
      <c r="N212" s="478" t="str">
        <f>IF($D212="","",IF($H212="kg/km",$F212*K212/1000,IF($H212="kg/p.km",$F212*$G212*K212/1000,$F212*#REF!*K212/1000)))</f>
        <v/>
      </c>
      <c r="O212" s="479" t="str">
        <f t="shared" si="5"/>
        <v/>
      </c>
      <c r="P212" s="480"/>
    </row>
    <row r="213" spans="1:58" s="237" customFormat="1" ht="15" hidden="1" customHeight="1" outlineLevel="2" x14ac:dyDescent="0.25">
      <c r="A213" s="363"/>
      <c r="B213" s="1145"/>
      <c r="C213" s="1145"/>
      <c r="D213" s="1268"/>
      <c r="E213" s="1268"/>
      <c r="F213" s="438"/>
      <c r="G213" s="438"/>
      <c r="H213" s="1020" t="str">
        <f>IF(OR(D213="",D213="-"),"",VLOOKUP(D213,'Fatores de Emissão'!$E$181:$K$184,3,FALSE))</f>
        <v/>
      </c>
      <c r="I213" s="478" t="str">
        <f>IF(OR(D213="",D213="-"),"",VLOOKUP(D213,'Fatores de Emissão'!$E$181:$K$184,2,FALSE))</f>
        <v/>
      </c>
      <c r="J213" s="478" t="str">
        <f>IF(OR(D213="",D213="-"),"",VLOOKUP(D213,'Fatores de Emissão'!$E$181:$K$184,4,FALSE))</f>
        <v/>
      </c>
      <c r="K213" s="478" t="str">
        <f>IF(OR(D213="",D213="-"),"",VLOOKUP(D213,'Fatores de Emissão'!$E$181:$K$184,6,FALSE))</f>
        <v/>
      </c>
      <c r="L213" s="478" t="str">
        <f>IF($D213="","",IF($H213="kg/km",$F213*I213/1000,IF($H213="kg/p.km",$F213*$G213*I213/1000,$F213*#REF!*I213/1000)))</f>
        <v/>
      </c>
      <c r="M213" s="478" t="str">
        <f>IF($D213="","",IF($H213="kg/km",$F213*J213/1000,IF($H213="kg/p.km",$F213*$G213*J213/1000,$F213*#REF!*J213/1000)))</f>
        <v/>
      </c>
      <c r="N213" s="478" t="str">
        <f>IF($D213="","",IF($H213="kg/km",$F213*K213/1000,IF($H213="kg/p.km",$F213*$G213*K213/1000,$F213*#REF!*K213/1000)))</f>
        <v/>
      </c>
      <c r="O213" s="479" t="str">
        <f t="shared" si="5"/>
        <v/>
      </c>
      <c r="P213" s="480"/>
    </row>
    <row r="214" spans="1:58" s="237" customFormat="1" ht="15" hidden="1" customHeight="1" outlineLevel="2" x14ac:dyDescent="0.25">
      <c r="A214" s="363"/>
      <c r="B214" s="1145"/>
      <c r="C214" s="1145"/>
      <c r="D214" s="1268"/>
      <c r="E214" s="1268"/>
      <c r="F214" s="438"/>
      <c r="G214" s="438"/>
      <c r="H214" s="1020" t="str">
        <f>IF(OR(D214="",D214="-"),"",VLOOKUP(D214,'Fatores de Emissão'!$E$181:$K$184,3,FALSE))</f>
        <v/>
      </c>
      <c r="I214" s="478" t="str">
        <f>IF(OR(D214="",D214="-"),"",VLOOKUP(D214,'Fatores de Emissão'!$E$181:$K$184,2,FALSE))</f>
        <v/>
      </c>
      <c r="J214" s="478" t="str">
        <f>IF(OR(D214="",D214="-"),"",VLOOKUP(D214,'Fatores de Emissão'!$E$181:$K$184,4,FALSE))</f>
        <v/>
      </c>
      <c r="K214" s="478" t="str">
        <f>IF(OR(D214="",D214="-"),"",VLOOKUP(D214,'Fatores de Emissão'!$E$181:$K$184,6,FALSE))</f>
        <v/>
      </c>
      <c r="L214" s="478" t="str">
        <f>IF($D214="","",IF($H214="kg/km",$F214*I214/1000,IF($H214="kg/p.km",$F214*$G214*I214/1000,$F214*#REF!*I214/1000)))</f>
        <v/>
      </c>
      <c r="M214" s="478" t="str">
        <f>IF($D214="","",IF($H214="kg/km",$F214*J214/1000,IF($H214="kg/p.km",$F214*$G214*J214/1000,$F214*#REF!*J214/1000)))</f>
        <v/>
      </c>
      <c r="N214" s="478" t="str">
        <f>IF($D214="","",IF($H214="kg/km",$F214*K214/1000,IF($H214="kg/p.km",$F214*$G214*K214/1000,$F214*#REF!*K214/1000)))</f>
        <v/>
      </c>
      <c r="O214" s="479" t="str">
        <f t="shared" si="5"/>
        <v/>
      </c>
      <c r="P214" s="480"/>
    </row>
    <row r="215" spans="1:58" s="237" customFormat="1" ht="15" hidden="1" customHeight="1" outlineLevel="2" x14ac:dyDescent="0.25">
      <c r="A215" s="363"/>
      <c r="B215" s="1145"/>
      <c r="C215" s="1145"/>
      <c r="D215" s="1268"/>
      <c r="E215" s="1268"/>
      <c r="F215" s="438"/>
      <c r="G215" s="438"/>
      <c r="H215" s="1020" t="str">
        <f>IF(OR(D215="",D215="-"),"",VLOOKUP(D215,'Fatores de Emissão'!$E$181:$K$184,3,FALSE))</f>
        <v/>
      </c>
      <c r="I215" s="478" t="str">
        <f>IF(OR(D215="",D215="-"),"",VLOOKUP(D215,'Fatores de Emissão'!$E$181:$K$184,2,FALSE))</f>
        <v/>
      </c>
      <c r="J215" s="478" t="str">
        <f>IF(OR(D215="",D215="-"),"",VLOOKUP(D215,'Fatores de Emissão'!$E$181:$K$184,4,FALSE))</f>
        <v/>
      </c>
      <c r="K215" s="478" t="str">
        <f>IF(OR(D215="",D215="-"),"",VLOOKUP(D215,'Fatores de Emissão'!$E$181:$K$184,6,FALSE))</f>
        <v/>
      </c>
      <c r="L215" s="478" t="str">
        <f>IF($D215="","",IF($H215="kg/km",$F215*I215/1000,IF($H215="kg/p.km",$F215*$G215*I215/1000,$F215*#REF!*I215/1000)))</f>
        <v/>
      </c>
      <c r="M215" s="478" t="str">
        <f>IF($D215="","",IF($H215="kg/km",$F215*J215/1000,IF($H215="kg/p.km",$F215*$G215*J215/1000,$F215*#REF!*J215/1000)))</f>
        <v/>
      </c>
      <c r="N215" s="478" t="str">
        <f>IF($D215="","",IF($H215="kg/km",$F215*K215/1000,IF($H215="kg/p.km",$F215*$G215*K215/1000,$F215*#REF!*K215/1000)))</f>
        <v/>
      </c>
      <c r="O215" s="479" t="str">
        <f t="shared" si="5"/>
        <v/>
      </c>
      <c r="P215" s="480"/>
    </row>
    <row r="216" spans="1:58" s="237" customFormat="1" ht="15" hidden="1" customHeight="1" outlineLevel="2" x14ac:dyDescent="0.25">
      <c r="A216" s="363"/>
      <c r="B216" s="1145"/>
      <c r="C216" s="1145"/>
      <c r="D216" s="1268"/>
      <c r="E216" s="1268"/>
      <c r="F216" s="438"/>
      <c r="G216" s="438"/>
      <c r="H216" s="1020" t="str">
        <f>IF(OR(D216="",D216="-"),"",VLOOKUP(D216,'Fatores de Emissão'!$E$181:$K$184,3,FALSE))</f>
        <v/>
      </c>
      <c r="I216" s="478" t="str">
        <f>IF(OR(D216="",D216="-"),"",VLOOKUP(D216,'Fatores de Emissão'!$E$181:$K$184,2,FALSE))</f>
        <v/>
      </c>
      <c r="J216" s="478" t="str">
        <f>IF(OR(D216="",D216="-"),"",VLOOKUP(D216,'Fatores de Emissão'!$E$181:$K$184,4,FALSE))</f>
        <v/>
      </c>
      <c r="K216" s="478" t="str">
        <f>IF(OR(D216="",D216="-"),"",VLOOKUP(D216,'Fatores de Emissão'!$E$181:$K$184,6,FALSE))</f>
        <v/>
      </c>
      <c r="L216" s="478" t="str">
        <f>IF($D216="","",IF($H216="kg/km",$F216*I216/1000,IF($H216="kg/p.km",$F216*$G216*I216/1000,$F216*#REF!*I216/1000)))</f>
        <v/>
      </c>
      <c r="M216" s="478" t="str">
        <f>IF($D216="","",IF($H216="kg/km",$F216*J216/1000,IF($H216="kg/p.km",$F216*$G216*J216/1000,$F216*#REF!*J216/1000)))</f>
        <v/>
      </c>
      <c r="N216" s="478" t="str">
        <f>IF($D216="","",IF($H216="kg/km",$F216*K216/1000,IF($H216="kg/p.km",$F216*$G216*K216/1000,$F216*#REF!*K216/1000)))</f>
        <v/>
      </c>
      <c r="O216" s="479" t="str">
        <f t="shared" si="5"/>
        <v/>
      </c>
      <c r="P216" s="480"/>
    </row>
    <row r="217" spans="1:58" s="237" customFormat="1" ht="15" hidden="1" customHeight="1" outlineLevel="2" x14ac:dyDescent="0.25">
      <c r="A217" s="363"/>
      <c r="B217" s="1145"/>
      <c r="C217" s="1145"/>
      <c r="D217" s="1268"/>
      <c r="E217" s="1268"/>
      <c r="F217" s="438"/>
      <c r="G217" s="438"/>
      <c r="H217" s="1020" t="str">
        <f>IF(OR(D217="",D217="-"),"",VLOOKUP(D217,'Fatores de Emissão'!$E$181:$K$184,3,FALSE))</f>
        <v/>
      </c>
      <c r="I217" s="478" t="str">
        <f>IF(OR(D217="",D217="-"),"",VLOOKUP(D217,'Fatores de Emissão'!$E$181:$K$184,2,FALSE))</f>
        <v/>
      </c>
      <c r="J217" s="478" t="str">
        <f>IF(OR(D217="",D217="-"),"",VLOOKUP(D217,'Fatores de Emissão'!$E$181:$K$184,4,FALSE))</f>
        <v/>
      </c>
      <c r="K217" s="478" t="str">
        <f>IF(OR(D217="",D217="-"),"",VLOOKUP(D217,'Fatores de Emissão'!$E$181:$K$184,6,FALSE))</f>
        <v/>
      </c>
      <c r="L217" s="478" t="str">
        <f>IF($D217="","",IF($H217="kg/km",$F217*I217/1000,IF($H217="kg/p.km",$F217*$G217*I217/1000,$F217*#REF!*I217/1000)))</f>
        <v/>
      </c>
      <c r="M217" s="478" t="str">
        <f>IF($D217="","",IF($H217="kg/km",$F217*J217/1000,IF($H217="kg/p.km",$F217*$G217*J217/1000,$F217*#REF!*J217/1000)))</f>
        <v/>
      </c>
      <c r="N217" s="478" t="str">
        <f>IF($D217="","",IF($H217="kg/km",$F217*K217/1000,IF($H217="kg/p.km",$F217*$G217*K217/1000,$F217*#REF!*K217/1000)))</f>
        <v/>
      </c>
      <c r="O217" s="479" t="str">
        <f t="shared" si="5"/>
        <v/>
      </c>
      <c r="P217" s="480"/>
    </row>
    <row r="218" spans="1:58" s="237" customFormat="1" ht="15" customHeight="1" outlineLevel="1" x14ac:dyDescent="0.25">
      <c r="A218" s="363"/>
      <c r="B218" s="449"/>
      <c r="C218" s="363"/>
      <c r="D218" s="363"/>
      <c r="E218" s="363"/>
      <c r="F218" s="363"/>
      <c r="G218" s="363"/>
      <c r="H218" s="363"/>
      <c r="I218" s="1273" t="s">
        <v>78</v>
      </c>
      <c r="J218" s="1274"/>
      <c r="K218" s="1275"/>
      <c r="L218" s="455">
        <f>SUM(L168:L217)</f>
        <v>0</v>
      </c>
      <c r="M218" s="455">
        <f>SUM(M168:M217)</f>
        <v>0</v>
      </c>
      <c r="N218" s="455">
        <f>SUM(N168:N217)</f>
        <v>0</v>
      </c>
      <c r="O218" s="455">
        <f>SUM(O168:O217)</f>
        <v>0</v>
      </c>
      <c r="P218" s="455">
        <f>SUM(P168:P217)</f>
        <v>0</v>
      </c>
    </row>
    <row r="219" spans="1:58" s="237" customFormat="1" ht="15" customHeight="1" x14ac:dyDescent="0.25">
      <c r="A219" s="363"/>
      <c r="B219" s="388"/>
      <c r="C219" s="373"/>
      <c r="D219" s="442"/>
      <c r="E219" s="442"/>
      <c r="F219" s="373"/>
      <c r="G219" s="373"/>
      <c r="H219" s="373"/>
      <c r="I219" s="373"/>
      <c r="J219" s="373"/>
      <c r="K219" s="373"/>
      <c r="L219" s="373"/>
      <c r="M219" s="373"/>
      <c r="N219" s="373"/>
      <c r="O219" s="373"/>
      <c r="P219" s="373"/>
      <c r="Q219" s="373"/>
      <c r="R219" s="373"/>
      <c r="S219" s="373"/>
      <c r="T219" s="373"/>
      <c r="U219" s="373"/>
      <c r="V219" s="363"/>
      <c r="W219" s="373"/>
      <c r="X219" s="373"/>
      <c r="Z219" s="373"/>
      <c r="AA219" s="373"/>
      <c r="AB219" s="373"/>
    </row>
    <row r="220" spans="1:58" s="463" customFormat="1" ht="18" customHeight="1" x14ac:dyDescent="0.3">
      <c r="A220" s="458"/>
      <c r="B220" s="358" t="s">
        <v>2145</v>
      </c>
      <c r="C220" s="459"/>
      <c r="D220" s="460"/>
      <c r="E220" s="460"/>
      <c r="F220" s="460"/>
      <c r="G220" s="461"/>
      <c r="H220" s="461"/>
      <c r="I220" s="461"/>
      <c r="J220" s="461"/>
      <c r="K220" s="461"/>
      <c r="L220" s="461"/>
      <c r="M220" s="461"/>
      <c r="N220" s="461"/>
      <c r="O220" s="461"/>
      <c r="P220" s="461"/>
      <c r="Q220" s="461"/>
      <c r="R220" s="461"/>
      <c r="S220" s="461"/>
      <c r="T220" s="461"/>
      <c r="U220" s="461"/>
      <c r="V220" s="461"/>
      <c r="W220" s="461"/>
      <c r="X220" s="461"/>
      <c r="Y220" s="461"/>
      <c r="Z220" s="461"/>
      <c r="AA220" s="461"/>
      <c r="AB220" s="461"/>
      <c r="AC220" s="461"/>
      <c r="AD220" s="461"/>
      <c r="AE220" s="461"/>
      <c r="AF220" s="461"/>
      <c r="AG220" s="461"/>
      <c r="AH220" s="461"/>
      <c r="AI220" s="461"/>
      <c r="AJ220" s="461"/>
      <c r="AK220" s="461"/>
      <c r="AL220" s="461"/>
      <c r="AM220" s="461"/>
      <c r="AN220" s="461"/>
      <c r="AO220" s="461"/>
      <c r="AP220" s="461"/>
      <c r="AQ220" s="461"/>
      <c r="AR220" s="461"/>
      <c r="AS220" s="461"/>
      <c r="AT220" s="461"/>
      <c r="AU220" s="461"/>
      <c r="AV220" s="461"/>
      <c r="AW220" s="461"/>
      <c r="AX220" s="461"/>
      <c r="AY220" s="461"/>
      <c r="AZ220" s="461"/>
      <c r="BA220" s="461"/>
      <c r="BB220" s="461"/>
      <c r="BC220" s="461"/>
      <c r="BD220" s="461"/>
      <c r="BE220" s="461"/>
      <c r="BF220" s="462"/>
    </row>
    <row r="221" spans="1:58" ht="15" customHeight="1" outlineLevel="1" x14ac:dyDescent="0.2">
      <c r="A221" s="339"/>
      <c r="B221" s="342"/>
      <c r="C221" s="416"/>
      <c r="D221" s="416"/>
      <c r="E221" s="416"/>
      <c r="F221" s="339"/>
      <c r="G221" s="339"/>
      <c r="H221" s="339"/>
      <c r="I221" s="339"/>
      <c r="J221" s="339"/>
      <c r="K221" s="339"/>
      <c r="L221" s="339"/>
      <c r="M221" s="339"/>
      <c r="N221" s="339"/>
      <c r="O221" s="339"/>
      <c r="P221" s="339"/>
      <c r="Q221" s="339"/>
      <c r="R221" s="339"/>
      <c r="AI221" s="339"/>
      <c r="AJ221" s="339"/>
      <c r="AK221" s="339"/>
      <c r="AL221" s="339"/>
      <c r="AM221" s="339"/>
      <c r="AO221" s="339"/>
      <c r="AP221" s="339"/>
      <c r="AQ221" s="339"/>
    </row>
    <row r="222" spans="1:58" ht="15" customHeight="1" outlineLevel="1" x14ac:dyDescent="0.2">
      <c r="A222" s="339"/>
      <c r="B222" s="469" t="s">
        <v>124</v>
      </c>
      <c r="C222" s="416"/>
      <c r="D222" s="416"/>
      <c r="E222" s="416"/>
      <c r="F222" s="339"/>
      <c r="G222" s="339"/>
      <c r="H222" s="339"/>
      <c r="I222" s="339"/>
      <c r="J222" s="339"/>
      <c r="K222" s="339"/>
      <c r="L222" s="339"/>
      <c r="M222" s="339"/>
      <c r="N222" s="339"/>
      <c r="O222" s="339"/>
      <c r="P222" s="339"/>
      <c r="Q222" s="339"/>
      <c r="R222" s="339"/>
      <c r="AI222" s="339"/>
      <c r="AJ222" s="339"/>
      <c r="AK222" s="339"/>
      <c r="AL222" s="339"/>
      <c r="AM222" s="339"/>
      <c r="AO222" s="339"/>
      <c r="AP222" s="339"/>
      <c r="AQ222" s="339"/>
    </row>
    <row r="223" spans="1:58" s="237" customFormat="1" ht="15" customHeight="1" outlineLevel="1" x14ac:dyDescent="0.25">
      <c r="A223" s="363"/>
      <c r="B223" s="449" t="s">
        <v>2126</v>
      </c>
      <c r="C223" s="442"/>
      <c r="D223" s="442"/>
      <c r="E223" s="442"/>
      <c r="F223" s="363"/>
      <c r="G223" s="363"/>
      <c r="H223" s="363"/>
      <c r="I223" s="363"/>
      <c r="J223" s="363"/>
      <c r="K223" s="363"/>
      <c r="L223" s="363"/>
      <c r="M223" s="363"/>
      <c r="N223" s="363"/>
      <c r="O223" s="363"/>
      <c r="P223" s="363"/>
      <c r="Q223" s="363"/>
      <c r="R223" s="363"/>
      <c r="AI223" s="363"/>
      <c r="AJ223" s="363"/>
      <c r="AK223" s="363"/>
      <c r="AL223" s="363"/>
      <c r="AM223" s="363"/>
      <c r="AO223" s="363"/>
      <c r="AP223" s="363"/>
      <c r="AQ223" s="363"/>
    </row>
    <row r="224" spans="1:58" s="237" customFormat="1" ht="15" customHeight="1" outlineLevel="1" x14ac:dyDescent="0.25">
      <c r="A224" s="363"/>
      <c r="B224" s="470" t="s">
        <v>1880</v>
      </c>
      <c r="C224" s="442"/>
      <c r="D224" s="442"/>
      <c r="E224" s="442"/>
      <c r="F224" s="363"/>
      <c r="G224" s="363"/>
      <c r="H224" s="363"/>
      <c r="I224" s="363"/>
      <c r="J224" s="363"/>
      <c r="K224" s="363"/>
      <c r="L224" s="363"/>
      <c r="M224" s="363"/>
      <c r="N224" s="363"/>
      <c r="O224" s="363"/>
      <c r="P224" s="363"/>
      <c r="Q224" s="363"/>
      <c r="R224" s="363"/>
      <c r="AI224" s="363"/>
      <c r="AJ224" s="363"/>
      <c r="AK224" s="363"/>
      <c r="AL224" s="363"/>
      <c r="AM224" s="363"/>
      <c r="AO224" s="363"/>
      <c r="AP224" s="363"/>
      <c r="AQ224" s="363"/>
    </row>
    <row r="225" spans="1:43" s="237" customFormat="1" ht="15" customHeight="1" outlineLevel="1" x14ac:dyDescent="0.25">
      <c r="A225" s="363"/>
      <c r="B225" s="917" t="s">
        <v>2127</v>
      </c>
      <c r="C225" s="442"/>
      <c r="D225" s="442"/>
      <c r="E225" s="442"/>
      <c r="F225" s="363"/>
      <c r="G225" s="363"/>
      <c r="H225" s="363"/>
      <c r="I225" s="363"/>
      <c r="J225" s="363"/>
      <c r="K225" s="363"/>
      <c r="L225" s="363"/>
      <c r="M225" s="363"/>
      <c r="N225" s="363"/>
      <c r="O225" s="363"/>
      <c r="P225" s="363"/>
      <c r="Q225" s="363"/>
      <c r="R225" s="363"/>
      <c r="AI225" s="363"/>
      <c r="AJ225" s="363"/>
      <c r="AK225" s="363"/>
      <c r="AL225" s="363"/>
      <c r="AM225" s="363"/>
      <c r="AO225" s="363"/>
      <c r="AP225" s="363"/>
      <c r="AQ225" s="363"/>
    </row>
    <row r="226" spans="1:43" s="237" customFormat="1" ht="15" customHeight="1" outlineLevel="1" x14ac:dyDescent="0.25">
      <c r="A226" s="363"/>
      <c r="B226" s="470" t="s">
        <v>2146</v>
      </c>
      <c r="C226" s="442"/>
      <c r="D226" s="442"/>
      <c r="E226" s="442"/>
      <c r="F226" s="363"/>
      <c r="G226" s="363"/>
      <c r="H226" s="363"/>
      <c r="I226" s="363"/>
      <c r="J226" s="363"/>
      <c r="K226" s="363"/>
      <c r="L226" s="363"/>
      <c r="M226" s="363"/>
      <c r="N226" s="363"/>
      <c r="O226" s="363"/>
      <c r="P226" s="363"/>
      <c r="Q226" s="363"/>
      <c r="R226" s="363"/>
      <c r="AI226" s="363"/>
      <c r="AJ226" s="363"/>
      <c r="AK226" s="363"/>
      <c r="AL226" s="363"/>
      <c r="AM226" s="363"/>
      <c r="AO226" s="363"/>
      <c r="AP226" s="363"/>
      <c r="AQ226" s="363"/>
    </row>
    <row r="227" spans="1:43" s="237" customFormat="1" ht="15" customHeight="1" outlineLevel="1" x14ac:dyDescent="0.25">
      <c r="A227" s="363"/>
      <c r="B227" s="206" t="s">
        <v>2128</v>
      </c>
      <c r="C227" s="442"/>
      <c r="D227" s="442"/>
      <c r="E227" s="442"/>
      <c r="F227" s="363"/>
      <c r="G227" s="363"/>
      <c r="H227" s="363"/>
      <c r="I227" s="363"/>
      <c r="J227" s="363"/>
      <c r="K227" s="363"/>
      <c r="L227" s="363"/>
      <c r="M227" s="363"/>
      <c r="N227" s="363"/>
      <c r="O227" s="363"/>
      <c r="P227" s="363"/>
      <c r="Q227" s="363"/>
      <c r="R227" s="363"/>
      <c r="AI227" s="363"/>
      <c r="AJ227" s="363"/>
      <c r="AK227" s="363"/>
      <c r="AL227" s="363"/>
      <c r="AM227" s="363"/>
      <c r="AO227" s="363"/>
      <c r="AP227" s="363"/>
      <c r="AQ227" s="363"/>
    </row>
    <row r="228" spans="1:43" s="237" customFormat="1" ht="15" customHeight="1" outlineLevel="1" x14ac:dyDescent="0.25">
      <c r="A228" s="363"/>
      <c r="B228" s="481"/>
      <c r="C228" s="442"/>
      <c r="D228" s="442"/>
      <c r="E228" s="442"/>
      <c r="F228" s="363"/>
      <c r="G228" s="363"/>
      <c r="H228" s="363"/>
      <c r="I228" s="363"/>
      <c r="J228" s="363"/>
      <c r="K228" s="363"/>
      <c r="L228" s="363"/>
      <c r="M228" s="363"/>
      <c r="N228" s="363"/>
      <c r="O228" s="363"/>
      <c r="P228" s="363"/>
      <c r="Q228" s="363"/>
      <c r="R228" s="363"/>
      <c r="AI228" s="363"/>
      <c r="AJ228" s="363"/>
      <c r="AK228" s="363"/>
      <c r="AL228" s="363"/>
      <c r="AM228" s="363"/>
      <c r="AO228" s="363"/>
      <c r="AP228" s="363"/>
      <c r="AQ228" s="363"/>
    </row>
    <row r="229" spans="1:43" s="237" customFormat="1" ht="15" customHeight="1" outlineLevel="1" x14ac:dyDescent="0.25">
      <c r="A229" s="363"/>
      <c r="B229" s="468" t="s">
        <v>1883</v>
      </c>
      <c r="C229" s="442"/>
      <c r="D229" s="442"/>
      <c r="E229" s="442"/>
      <c r="F229" s="363"/>
      <c r="G229" s="363"/>
      <c r="H229" s="363"/>
      <c r="I229" s="363"/>
      <c r="J229" s="363"/>
      <c r="K229" s="363"/>
      <c r="L229" s="363"/>
      <c r="M229" s="363"/>
      <c r="N229" s="363"/>
      <c r="O229" s="363"/>
      <c r="P229" s="363"/>
      <c r="Q229" s="363"/>
      <c r="R229" s="363"/>
      <c r="AI229" s="363"/>
      <c r="AJ229" s="363"/>
      <c r="AK229" s="363"/>
      <c r="AL229" s="363"/>
      <c r="AM229" s="363"/>
      <c r="AO229" s="363"/>
      <c r="AP229" s="363"/>
      <c r="AQ229" s="363"/>
    </row>
    <row r="230" spans="1:43" s="237" customFormat="1" ht="15" customHeight="1" outlineLevel="1" x14ac:dyDescent="0.25">
      <c r="A230" s="363"/>
      <c r="B230" s="1267" t="s">
        <v>2120</v>
      </c>
      <c r="C230" s="1267" t="s">
        <v>1868</v>
      </c>
      <c r="D230" s="1267" t="s">
        <v>1577</v>
      </c>
      <c r="E230" s="1267"/>
      <c r="F230" s="1249" t="s">
        <v>1743</v>
      </c>
      <c r="G230" s="1249" t="s">
        <v>1742</v>
      </c>
      <c r="H230" s="1249" t="s">
        <v>1862</v>
      </c>
      <c r="I230" s="1267" t="s">
        <v>588</v>
      </c>
      <c r="J230" s="1267"/>
      <c r="K230" s="1267"/>
      <c r="L230" s="1249" t="s">
        <v>1408</v>
      </c>
      <c r="M230" s="1249" t="s">
        <v>1409</v>
      </c>
      <c r="N230" s="1249" t="s">
        <v>1410</v>
      </c>
      <c r="O230" s="1249" t="s">
        <v>1411</v>
      </c>
      <c r="P230" s="1267" t="s">
        <v>1530</v>
      </c>
    </row>
    <row r="231" spans="1:43" s="237" customFormat="1" ht="15" customHeight="1" outlineLevel="1" x14ac:dyDescent="0.25">
      <c r="A231" s="363"/>
      <c r="B231" s="1267"/>
      <c r="C231" s="1267"/>
      <c r="D231" s="1267"/>
      <c r="E231" s="1267"/>
      <c r="F231" s="1266"/>
      <c r="G231" s="1266"/>
      <c r="H231" s="1266"/>
      <c r="I231" s="1267"/>
      <c r="J231" s="1267"/>
      <c r="K231" s="1267"/>
      <c r="L231" s="1266"/>
      <c r="M231" s="1266"/>
      <c r="N231" s="1266"/>
      <c r="O231" s="1266"/>
      <c r="P231" s="1267"/>
    </row>
    <row r="232" spans="1:43" s="237" customFormat="1" ht="20.25" customHeight="1" outlineLevel="1" x14ac:dyDescent="0.25">
      <c r="A232" s="363"/>
      <c r="B232" s="1267"/>
      <c r="C232" s="1267"/>
      <c r="D232" s="1267"/>
      <c r="E232" s="1267"/>
      <c r="F232" s="1250"/>
      <c r="G232" s="1250"/>
      <c r="H232" s="1250"/>
      <c r="I232" s="1146" t="s">
        <v>1394</v>
      </c>
      <c r="J232" s="1146" t="s">
        <v>1863</v>
      </c>
      <c r="K232" s="1146" t="s">
        <v>1864</v>
      </c>
      <c r="L232" s="1250"/>
      <c r="M232" s="1250"/>
      <c r="N232" s="1250"/>
      <c r="O232" s="1250"/>
      <c r="P232" s="1267"/>
    </row>
    <row r="233" spans="1:43" s="237" customFormat="1" ht="15" customHeight="1" outlineLevel="1" x14ac:dyDescent="0.25">
      <c r="A233" s="427" t="s">
        <v>606</v>
      </c>
      <c r="B233" s="444" t="s">
        <v>2130</v>
      </c>
      <c r="C233" s="1107" t="s">
        <v>2131</v>
      </c>
      <c r="D233" s="1276" t="s">
        <v>1877</v>
      </c>
      <c r="E233" s="1277"/>
      <c r="F233" s="482">
        <v>1000</v>
      </c>
      <c r="G233" s="482">
        <v>2</v>
      </c>
      <c r="H233" s="483" t="s">
        <v>1539</v>
      </c>
      <c r="I233" s="484">
        <v>0.12</v>
      </c>
      <c r="J233" s="485">
        <v>1.3853116368000001E-4</v>
      </c>
      <c r="K233" s="485">
        <v>1.3853116368000001E-4</v>
      </c>
      <c r="L233" s="486">
        <v>0.23</v>
      </c>
      <c r="M233" s="486">
        <v>8.6962938000119985E-5</v>
      </c>
      <c r="N233" s="486">
        <v>8.6962938000119985E-5</v>
      </c>
      <c r="O233" s="485">
        <v>0.23</v>
      </c>
      <c r="P233" s="486">
        <v>0</v>
      </c>
    </row>
    <row r="234" spans="1:43" s="237" customFormat="1" ht="15" customHeight="1" outlineLevel="1" x14ac:dyDescent="0.25">
      <c r="A234" s="363"/>
      <c r="B234" s="1145"/>
      <c r="C234" s="1145"/>
      <c r="D234" s="1268"/>
      <c r="E234" s="1268"/>
      <c r="F234" s="438"/>
      <c r="G234" s="438"/>
      <c r="H234" s="1020" t="str">
        <f>IF(OR(D234="",D234="-"),"",VLOOKUP(D234,'Fatores de Emissão'!$E$192:$K$201,3,FALSE))</f>
        <v/>
      </c>
      <c r="I234" s="1111" t="str">
        <f>IF(OR(D234="",D234="-"),"",VLOOKUP(D234,'Fatores de Emissão'!$E$192:$K$201,2,FALSE))</f>
        <v/>
      </c>
      <c r="J234" s="1111" t="str">
        <f>IF(OR(D234="",D234="-"),"",VLOOKUP(D234,'Fatores de Emissão'!$E$192:$K$201,4,FALSE))</f>
        <v/>
      </c>
      <c r="K234" s="1111" t="str">
        <f>IF(OR(D234="",D234="-"),"",VLOOKUP(D234,'Fatores de Emissão'!$E$192:$K$201,6,FALSE))</f>
        <v/>
      </c>
      <c r="L234" s="478" t="str">
        <f>IF($D234="","",IF($H234="kg/p.km",$F234*$G234*I234/1000,$F234*#REF!*I234/1000))</f>
        <v/>
      </c>
      <c r="M234" s="478" t="str">
        <f>IF($D234="","",IF($H234="kg/p.km",$F234*$G234*J234/1000,$F234*#REF!*J234/1000))</f>
        <v/>
      </c>
      <c r="N234" s="478" t="str">
        <f>IF($D234="","",IF($H234="kg/p.km",$F234*$G234*K234/1000,$F234*#REF!*K234/1000))</f>
        <v/>
      </c>
      <c r="O234" s="451" t="str">
        <f>IF(ISERR(L234*gwp_CO2+M234*gwp_CH4+N234*gwp_N2O),"",L234*gwp_CO2+M234*gwp_CH4+N234*gwp_N2O)</f>
        <v/>
      </c>
      <c r="P234" s="452"/>
    </row>
    <row r="235" spans="1:43" s="237" customFormat="1" ht="15" customHeight="1" outlineLevel="1" x14ac:dyDescent="0.25">
      <c r="A235" s="363"/>
      <c r="B235" s="1145"/>
      <c r="C235" s="1145"/>
      <c r="D235" s="1268"/>
      <c r="E235" s="1268"/>
      <c r="F235" s="438"/>
      <c r="G235" s="438"/>
      <c r="H235" s="1020" t="str">
        <f>IF(OR(D235="",D235="-"),"",VLOOKUP(D235,'Fatores de Emissão'!$E$192:$K$201,3,FALSE))</f>
        <v/>
      </c>
      <c r="I235" s="1111" t="str">
        <f>IF(OR(D235="",D235="-"),"",VLOOKUP(D235,'Fatores de Emissão'!$E$192:$K$201,2,FALSE))</f>
        <v/>
      </c>
      <c r="J235" s="1111" t="str">
        <f>IF(OR(D235="",D235="-"),"",VLOOKUP(D235,'Fatores de Emissão'!$E$192:$K$201,4,FALSE))</f>
        <v/>
      </c>
      <c r="K235" s="1111" t="str">
        <f>IF(OR(D235="",D235="-"),"",VLOOKUP(D235,'Fatores de Emissão'!$E$192:$K$201,6,FALSE))</f>
        <v/>
      </c>
      <c r="L235" s="478" t="str">
        <f>IF($D235="","",IF($H235="kg/p.km",$F235*$G235*I235/1000,$F235*#REF!*I235/1000))</f>
        <v/>
      </c>
      <c r="M235" s="478" t="str">
        <f>IF($D235="","",IF($H235="kg/p.km",$F235*$G235*J235/1000,$F235*#REF!*J235/1000))</f>
        <v/>
      </c>
      <c r="N235" s="478" t="str">
        <f>IF($D235="","",IF($H235="kg/p.km",$F235*$G235*K235/1000,$F235*#REF!*K235/1000))</f>
        <v/>
      </c>
      <c r="O235" s="451" t="str">
        <f t="shared" ref="O235:O283" si="6">IF(ISERR(L235*gwp_CO2+M235*gwp_CH4+N235*gwp_N2O),"",L235*gwp_CO2+M235*gwp_CH4+N235*gwp_N2O)</f>
        <v/>
      </c>
      <c r="P235" s="452"/>
    </row>
    <row r="236" spans="1:43" s="237" customFormat="1" ht="15" customHeight="1" outlineLevel="1" x14ac:dyDescent="0.25">
      <c r="A236" s="363"/>
      <c r="B236" s="1145"/>
      <c r="C236" s="1145"/>
      <c r="D236" s="1268"/>
      <c r="E236" s="1268"/>
      <c r="F236" s="438"/>
      <c r="G236" s="438"/>
      <c r="H236" s="1020" t="str">
        <f>IF(OR(D236="",D236="-"),"",VLOOKUP(D236,'Fatores de Emissão'!$E$192:$K$201,3,FALSE))</f>
        <v/>
      </c>
      <c r="I236" s="1111" t="str">
        <f>IF(OR(D236="",D236="-"),"",VLOOKUP(D236,'Fatores de Emissão'!$E$192:$K$201,2,FALSE))</f>
        <v/>
      </c>
      <c r="J236" s="1111" t="str">
        <f>IF(OR(D236="",D236="-"),"",VLOOKUP(D236,'Fatores de Emissão'!$E$192:$K$201,4,FALSE))</f>
        <v/>
      </c>
      <c r="K236" s="1111" t="str">
        <f>IF(OR(D236="",D236="-"),"",VLOOKUP(D236,'Fatores de Emissão'!$E$192:$K$201,6,FALSE))</f>
        <v/>
      </c>
      <c r="L236" s="478" t="str">
        <f>IF($D236="","",IF($H236="kg/p.km",$F236*$G236*I236/1000,$F236*#REF!*I236/1000))</f>
        <v/>
      </c>
      <c r="M236" s="478" t="str">
        <f>IF($D236="","",IF($H236="kg/p.km",$F236*$G236*J236/1000,$F236*#REF!*J236/1000))</f>
        <v/>
      </c>
      <c r="N236" s="478" t="str">
        <f>IF($D236="","",IF($H236="kg/p.km",$F236*$G236*K236/1000,$F236*#REF!*K236/1000))</f>
        <v/>
      </c>
      <c r="O236" s="451" t="str">
        <f t="shared" si="6"/>
        <v/>
      </c>
      <c r="P236" s="452"/>
    </row>
    <row r="237" spans="1:43" s="237" customFormat="1" ht="15" customHeight="1" outlineLevel="1" x14ac:dyDescent="0.25">
      <c r="A237" s="363"/>
      <c r="B237" s="1145"/>
      <c r="C237" s="1145"/>
      <c r="D237" s="1268"/>
      <c r="E237" s="1268"/>
      <c r="F237" s="438"/>
      <c r="G237" s="438"/>
      <c r="H237" s="1020" t="str">
        <f>IF(OR(D237="",D237="-"),"",VLOOKUP(D237,'Fatores de Emissão'!$E$192:$K$201,3,FALSE))</f>
        <v/>
      </c>
      <c r="I237" s="1111" t="str">
        <f>IF(OR(D237="",D237="-"),"",VLOOKUP(D237,'Fatores de Emissão'!$E$192:$K$201,2,FALSE))</f>
        <v/>
      </c>
      <c r="J237" s="1111" t="str">
        <f>IF(OR(D237="",D237="-"),"",VLOOKUP(D237,'Fatores de Emissão'!$E$192:$K$201,4,FALSE))</f>
        <v/>
      </c>
      <c r="K237" s="1111" t="str">
        <f>IF(OR(D237="",D237="-"),"",VLOOKUP(D237,'Fatores de Emissão'!$E$192:$K$201,6,FALSE))</f>
        <v/>
      </c>
      <c r="L237" s="478" t="str">
        <f>IF($D237="","",IF($H237="kg/p.km",$F237*$G237*I237/1000,$F237*#REF!*I237/1000))</f>
        <v/>
      </c>
      <c r="M237" s="478" t="str">
        <f>IF($D237="","",IF($H237="kg/p.km",$F237*$G237*J237/1000,$F237*#REF!*J237/1000))</f>
        <v/>
      </c>
      <c r="N237" s="478" t="str">
        <f>IF($D237="","",IF($H237="kg/p.km",$F237*$G237*K237/1000,$F237*#REF!*K237/1000))</f>
        <v/>
      </c>
      <c r="O237" s="451" t="str">
        <f t="shared" si="6"/>
        <v/>
      </c>
      <c r="P237" s="452"/>
    </row>
    <row r="238" spans="1:43" s="237" customFormat="1" ht="15" customHeight="1" outlineLevel="1" x14ac:dyDescent="0.25">
      <c r="A238" s="363"/>
      <c r="B238" s="1145"/>
      <c r="C238" s="1145"/>
      <c r="D238" s="1268"/>
      <c r="E238" s="1268"/>
      <c r="F238" s="438"/>
      <c r="G238" s="438"/>
      <c r="H238" s="1020" t="str">
        <f>IF(OR(D238="",D238="-"),"",VLOOKUP(D238,'Fatores de Emissão'!$E$192:$K$201,3,FALSE))</f>
        <v/>
      </c>
      <c r="I238" s="1111" t="str">
        <f>IF(OR(D238="",D238="-"),"",VLOOKUP(D238,'Fatores de Emissão'!$E$192:$K$201,2,FALSE))</f>
        <v/>
      </c>
      <c r="J238" s="1111" t="str">
        <f>IF(OR(D238="",D238="-"),"",VLOOKUP(D238,'Fatores de Emissão'!$E$192:$K$201,4,FALSE))</f>
        <v/>
      </c>
      <c r="K238" s="1111" t="str">
        <f>IF(OR(D238="",D238="-"),"",VLOOKUP(D238,'Fatores de Emissão'!$E$192:$K$201,6,FALSE))</f>
        <v/>
      </c>
      <c r="L238" s="478" t="str">
        <f>IF($D238="","",IF($H238="kg/p.km",$F238*$G238*I238/1000,$F238*#REF!*I238/1000))</f>
        <v/>
      </c>
      <c r="M238" s="478" t="str">
        <f>IF($D238="","",IF($H238="kg/p.km",$F238*$G238*J238/1000,$F238*#REF!*J238/1000))</f>
        <v/>
      </c>
      <c r="N238" s="478" t="str">
        <f>IF($D238="","",IF($H238="kg/p.km",$F238*$G238*K238/1000,$F238*#REF!*K238/1000))</f>
        <v/>
      </c>
      <c r="O238" s="451" t="str">
        <f t="shared" si="6"/>
        <v/>
      </c>
      <c r="P238" s="452"/>
    </row>
    <row r="239" spans="1:43" s="237" customFormat="1" ht="15" customHeight="1" outlineLevel="1" x14ac:dyDescent="0.25">
      <c r="A239" s="363"/>
      <c r="B239" s="1145"/>
      <c r="C239" s="1145"/>
      <c r="D239" s="1268"/>
      <c r="E239" s="1268"/>
      <c r="F239" s="438"/>
      <c r="G239" s="438"/>
      <c r="H239" s="1020" t="str">
        <f>IF(OR(D239="",D239="-"),"",VLOOKUP(D239,'Fatores de Emissão'!$E$192:$K$201,3,FALSE))</f>
        <v/>
      </c>
      <c r="I239" s="1111" t="str">
        <f>IF(OR(D239="",D239="-"),"",VLOOKUP(D239,'Fatores de Emissão'!$E$192:$K$201,2,FALSE))</f>
        <v/>
      </c>
      <c r="J239" s="1111" t="str">
        <f>IF(OR(D239="",D239="-"),"",VLOOKUP(D239,'Fatores de Emissão'!$E$192:$K$201,4,FALSE))</f>
        <v/>
      </c>
      <c r="K239" s="1111" t="str">
        <f>IF(OR(D239="",D239="-"),"",VLOOKUP(D239,'Fatores de Emissão'!$E$192:$K$201,6,FALSE))</f>
        <v/>
      </c>
      <c r="L239" s="478" t="str">
        <f>IF($D239="","",IF($H239="kg/p.km",$F239*$G239*I239/1000,$F239*#REF!*I239/1000))</f>
        <v/>
      </c>
      <c r="M239" s="478" t="str">
        <f>IF($D239="","",IF($H239="kg/p.km",$F239*$G239*J239/1000,$F239*#REF!*J239/1000))</f>
        <v/>
      </c>
      <c r="N239" s="478" t="str">
        <f>IF($D239="","",IF($H239="kg/p.km",$F239*$G239*K239/1000,$F239*#REF!*K239/1000))</f>
        <v/>
      </c>
      <c r="O239" s="451" t="str">
        <f t="shared" si="6"/>
        <v/>
      </c>
      <c r="P239" s="452"/>
    </row>
    <row r="240" spans="1:43" s="237" customFormat="1" ht="15" customHeight="1" outlineLevel="1" x14ac:dyDescent="0.25">
      <c r="A240" s="363"/>
      <c r="B240" s="1145"/>
      <c r="C240" s="1145"/>
      <c r="D240" s="1268"/>
      <c r="E240" s="1268"/>
      <c r="F240" s="438"/>
      <c r="G240" s="438"/>
      <c r="H240" s="1020" t="str">
        <f>IF(OR(D240="",D240="-"),"",VLOOKUP(D240,'Fatores de Emissão'!$E$192:$K$201,3,FALSE))</f>
        <v/>
      </c>
      <c r="I240" s="1111" t="str">
        <f>IF(OR(D240="",D240="-"),"",VLOOKUP(D240,'Fatores de Emissão'!$E$192:$K$201,2,FALSE))</f>
        <v/>
      </c>
      <c r="J240" s="1111" t="str">
        <f>IF(OR(D240="",D240="-"),"",VLOOKUP(D240,'Fatores de Emissão'!$E$192:$K$201,4,FALSE))</f>
        <v/>
      </c>
      <c r="K240" s="1111" t="str">
        <f>IF(OR(D240="",D240="-"),"",VLOOKUP(D240,'Fatores de Emissão'!$E$192:$K$201,6,FALSE))</f>
        <v/>
      </c>
      <c r="L240" s="478" t="str">
        <f>IF($D240="","",IF($H240="kg/p.km",$F240*$G240*I240/1000,$F240*#REF!*I240/1000))</f>
        <v/>
      </c>
      <c r="M240" s="478" t="str">
        <f>IF($D240="","",IF($H240="kg/p.km",$F240*$G240*J240/1000,$F240*#REF!*J240/1000))</f>
        <v/>
      </c>
      <c r="N240" s="478" t="str">
        <f>IF($D240="","",IF($H240="kg/p.km",$F240*$G240*K240/1000,$F240*#REF!*K240/1000))</f>
        <v/>
      </c>
      <c r="O240" s="451" t="str">
        <f t="shared" si="6"/>
        <v/>
      </c>
      <c r="P240" s="452"/>
    </row>
    <row r="241" spans="1:16" s="237" customFormat="1" ht="15" customHeight="1" outlineLevel="1" x14ac:dyDescent="0.25">
      <c r="A241" s="363"/>
      <c r="B241" s="1145"/>
      <c r="C241" s="1145"/>
      <c r="D241" s="1268"/>
      <c r="E241" s="1268"/>
      <c r="F241" s="438"/>
      <c r="G241" s="438"/>
      <c r="H241" s="1020" t="str">
        <f>IF(OR(D241="",D241="-"),"",VLOOKUP(D241,'Fatores de Emissão'!$E$192:$K$201,3,FALSE))</f>
        <v/>
      </c>
      <c r="I241" s="1111" t="str">
        <f>IF(OR(D241="",D241="-"),"",VLOOKUP(D241,'Fatores de Emissão'!$E$192:$K$201,2,FALSE))</f>
        <v/>
      </c>
      <c r="J241" s="1111" t="str">
        <f>IF(OR(D241="",D241="-"),"",VLOOKUP(D241,'Fatores de Emissão'!$E$192:$K$201,4,FALSE))</f>
        <v/>
      </c>
      <c r="K241" s="1111" t="str">
        <f>IF(OR(D241="",D241="-"),"",VLOOKUP(D241,'Fatores de Emissão'!$E$192:$K$201,6,FALSE))</f>
        <v/>
      </c>
      <c r="L241" s="478" t="str">
        <f>IF($D241="","",IF($H241="kg/p.km",$F241*$G241*I241/1000,$F241*#REF!*I241/1000))</f>
        <v/>
      </c>
      <c r="M241" s="478" t="str">
        <f>IF($D241="","",IF($H241="kg/p.km",$F241*$G241*J241/1000,$F241*#REF!*J241/1000))</f>
        <v/>
      </c>
      <c r="N241" s="478" t="str">
        <f>IF($D241="","",IF($H241="kg/p.km",$F241*$G241*K241/1000,$F241*#REF!*K241/1000))</f>
        <v/>
      </c>
      <c r="O241" s="451" t="str">
        <f t="shared" si="6"/>
        <v/>
      </c>
      <c r="P241" s="452"/>
    </row>
    <row r="242" spans="1:16" s="237" customFormat="1" ht="15" customHeight="1" outlineLevel="1" x14ac:dyDescent="0.25">
      <c r="A242" s="363"/>
      <c r="B242" s="1145"/>
      <c r="C242" s="1145"/>
      <c r="D242" s="1268"/>
      <c r="E242" s="1268"/>
      <c r="F242" s="438"/>
      <c r="G242" s="438"/>
      <c r="H242" s="1020" t="str">
        <f>IF(OR(D242="",D242="-"),"",VLOOKUP(D242,'Fatores de Emissão'!$E$192:$K$201,3,FALSE))</f>
        <v/>
      </c>
      <c r="I242" s="1111" t="str">
        <f>IF(OR(D242="",D242="-"),"",VLOOKUP(D242,'Fatores de Emissão'!$E$192:$K$201,2,FALSE))</f>
        <v/>
      </c>
      <c r="J242" s="1111" t="str">
        <f>IF(OR(D242="",D242="-"),"",VLOOKUP(D242,'Fatores de Emissão'!$E$192:$K$201,4,FALSE))</f>
        <v/>
      </c>
      <c r="K242" s="1111" t="str">
        <f>IF(OR(D242="",D242="-"),"",VLOOKUP(D242,'Fatores de Emissão'!$E$192:$K$201,6,FALSE))</f>
        <v/>
      </c>
      <c r="L242" s="478" t="str">
        <f>IF($D242="","",IF($H242="kg/p.km",$F242*$G242*I242/1000,$F242*#REF!*I242/1000))</f>
        <v/>
      </c>
      <c r="M242" s="478" t="str">
        <f>IF($D242="","",IF($H242="kg/p.km",$F242*$G242*J242/1000,$F242*#REF!*J242/1000))</f>
        <v/>
      </c>
      <c r="N242" s="478" t="str">
        <f>IF($D242="","",IF($H242="kg/p.km",$F242*$G242*K242/1000,$F242*#REF!*K242/1000))</f>
        <v/>
      </c>
      <c r="O242" s="451" t="str">
        <f t="shared" si="6"/>
        <v/>
      </c>
      <c r="P242" s="452"/>
    </row>
    <row r="243" spans="1:16" s="237" customFormat="1" ht="15" customHeight="1" outlineLevel="1" collapsed="1" x14ac:dyDescent="0.25">
      <c r="A243" s="363"/>
      <c r="B243" s="1145"/>
      <c r="C243" s="1145"/>
      <c r="D243" s="1268"/>
      <c r="E243" s="1268"/>
      <c r="F243" s="438"/>
      <c r="G243" s="438"/>
      <c r="H243" s="1020" t="str">
        <f>IF(OR(D243="",D243="-"),"",VLOOKUP(D243,'Fatores de Emissão'!$E$192:$K$201,3,FALSE))</f>
        <v/>
      </c>
      <c r="I243" s="1111" t="str">
        <f>IF(OR(D243="",D243="-"),"",VLOOKUP(D243,'Fatores de Emissão'!$E$192:$K$201,2,FALSE))</f>
        <v/>
      </c>
      <c r="J243" s="1111" t="str">
        <f>IF(OR(D243="",D243="-"),"",VLOOKUP(D243,'Fatores de Emissão'!$E$192:$K$201,4,FALSE))</f>
        <v/>
      </c>
      <c r="K243" s="1111" t="str">
        <f>IF(OR(D243="",D243="-"),"",VLOOKUP(D243,'Fatores de Emissão'!$E$192:$K$201,6,FALSE))</f>
        <v/>
      </c>
      <c r="L243" s="478" t="str">
        <f>IF($D243="","",IF($H243="kg/p.km",$F243*$G243*I243/1000,$F243*#REF!*I243/1000))</f>
        <v/>
      </c>
      <c r="M243" s="478" t="str">
        <f>IF($D243="","",IF($H243="kg/p.km",$F243*$G243*J243/1000,$F243*#REF!*J243/1000))</f>
        <v/>
      </c>
      <c r="N243" s="478" t="str">
        <f>IF($D243="","",IF($H243="kg/p.km",$F243*$G243*K243/1000,$F243*#REF!*K243/1000))</f>
        <v/>
      </c>
      <c r="O243" s="451" t="str">
        <f t="shared" si="6"/>
        <v/>
      </c>
      <c r="P243" s="452"/>
    </row>
    <row r="244" spans="1:16" s="237" customFormat="1" ht="15" hidden="1" customHeight="1" outlineLevel="2" x14ac:dyDescent="0.25">
      <c r="A244" s="363"/>
      <c r="B244" s="1145"/>
      <c r="C244" s="1145"/>
      <c r="D244" s="1268"/>
      <c r="E244" s="1268"/>
      <c r="F244" s="438"/>
      <c r="G244" s="438"/>
      <c r="H244" s="1020" t="str">
        <f>IF(OR(D244="",D244="-"),"",VLOOKUP(D244,'Fatores de Emissão'!$E$192:$K$201,3,FALSE))</f>
        <v/>
      </c>
      <c r="I244" s="1111" t="str">
        <f>IF(OR(D244="",D244="-"),"",VLOOKUP(D244,'Fatores de Emissão'!$E$192:$K$201,2,FALSE))</f>
        <v/>
      </c>
      <c r="J244" s="1111" t="str">
        <f>IF(OR(D244="",D244="-"),"",VLOOKUP(D244,'Fatores de Emissão'!$E$192:$K$201,4,FALSE))</f>
        <v/>
      </c>
      <c r="K244" s="1111" t="str">
        <f>IF(OR(D244="",D244="-"),"",VLOOKUP(D244,'Fatores de Emissão'!$E$192:$K$201,6,FALSE))</f>
        <v/>
      </c>
      <c r="L244" s="478" t="str">
        <f>IF($D244="","",IF($H244="kg/p.km",$F244*$G244*I244/1000,$F244*#REF!*I244/1000))</f>
        <v/>
      </c>
      <c r="M244" s="478" t="str">
        <f>IF($D244="","",IF($H244="kg/p.km",$F244*$G244*J244/1000,$F244*#REF!*J244/1000))</f>
        <v/>
      </c>
      <c r="N244" s="478" t="str">
        <f>IF($D244="","",IF($H244="kg/p.km",$F244*$G244*K244/1000,$F244*#REF!*K244/1000))</f>
        <v/>
      </c>
      <c r="O244" s="451" t="str">
        <f t="shared" si="6"/>
        <v/>
      </c>
      <c r="P244" s="452"/>
    </row>
    <row r="245" spans="1:16" s="237" customFormat="1" ht="15" hidden="1" customHeight="1" outlineLevel="2" x14ac:dyDescent="0.25">
      <c r="A245" s="363"/>
      <c r="B245" s="1145"/>
      <c r="C245" s="1145"/>
      <c r="D245" s="1268"/>
      <c r="E245" s="1268"/>
      <c r="F245" s="438"/>
      <c r="G245" s="438"/>
      <c r="H245" s="1020" t="str">
        <f>IF(OR(D245="",D245="-"),"",VLOOKUP(D245,'Fatores de Emissão'!$E$192:$K$201,3,FALSE))</f>
        <v/>
      </c>
      <c r="I245" s="1111" t="str">
        <f>IF(OR(D245="",D245="-"),"",VLOOKUP(D245,'Fatores de Emissão'!$E$192:$K$201,2,FALSE))</f>
        <v/>
      </c>
      <c r="J245" s="1111" t="str">
        <f>IF(OR(D245="",D245="-"),"",VLOOKUP(D245,'Fatores de Emissão'!$E$192:$K$201,4,FALSE))</f>
        <v/>
      </c>
      <c r="K245" s="1111" t="str">
        <f>IF(OR(D245="",D245="-"),"",VLOOKUP(D245,'Fatores de Emissão'!$E$192:$K$201,6,FALSE))</f>
        <v/>
      </c>
      <c r="L245" s="478" t="str">
        <f>IF($D245="","",IF($H245="kg/p.km",$F245*$G245*I245/1000,$F245*#REF!*I245/1000))</f>
        <v/>
      </c>
      <c r="M245" s="478" t="str">
        <f>IF($D245="","",IF($H245="kg/p.km",$F245*$G245*J245/1000,$F245*#REF!*J245/1000))</f>
        <v/>
      </c>
      <c r="N245" s="478" t="str">
        <f>IF($D245="","",IF($H245="kg/p.km",$F245*$G245*K245/1000,$F245*#REF!*K245/1000))</f>
        <v/>
      </c>
      <c r="O245" s="451" t="str">
        <f t="shared" si="6"/>
        <v/>
      </c>
      <c r="P245" s="452"/>
    </row>
    <row r="246" spans="1:16" s="237" customFormat="1" ht="15" hidden="1" customHeight="1" outlineLevel="2" x14ac:dyDescent="0.25">
      <c r="A246" s="363"/>
      <c r="B246" s="1145"/>
      <c r="C246" s="1145"/>
      <c r="D246" s="1268"/>
      <c r="E246" s="1268"/>
      <c r="F246" s="438"/>
      <c r="G246" s="438"/>
      <c r="H246" s="1020" t="str">
        <f>IF(OR(D246="",D246="-"),"",VLOOKUP(D246,'Fatores de Emissão'!$E$192:$K$201,3,FALSE))</f>
        <v/>
      </c>
      <c r="I246" s="1111" t="str">
        <f>IF(OR(D246="",D246="-"),"",VLOOKUP(D246,'Fatores de Emissão'!$E$192:$K$201,2,FALSE))</f>
        <v/>
      </c>
      <c r="J246" s="1111" t="str">
        <f>IF(OR(D246="",D246="-"),"",VLOOKUP(D246,'Fatores de Emissão'!$E$192:$K$201,4,FALSE))</f>
        <v/>
      </c>
      <c r="K246" s="1111" t="str">
        <f>IF(OR(D246="",D246="-"),"",VLOOKUP(D246,'Fatores de Emissão'!$E$192:$K$201,6,FALSE))</f>
        <v/>
      </c>
      <c r="L246" s="478" t="str">
        <f>IF($D246="","",IF($H246="kg/p.km",$F246*$G246*I246/1000,$F246*#REF!*I246/1000))</f>
        <v/>
      </c>
      <c r="M246" s="478" t="str">
        <f>IF($D246="","",IF($H246="kg/p.km",$F246*$G246*J246/1000,$F246*#REF!*J246/1000))</f>
        <v/>
      </c>
      <c r="N246" s="478" t="str">
        <f>IF($D246="","",IF($H246="kg/p.km",$F246*$G246*K246/1000,$F246*#REF!*K246/1000))</f>
        <v/>
      </c>
      <c r="O246" s="451" t="str">
        <f t="shared" si="6"/>
        <v/>
      </c>
      <c r="P246" s="452"/>
    </row>
    <row r="247" spans="1:16" s="237" customFormat="1" ht="15" hidden="1" customHeight="1" outlineLevel="2" x14ac:dyDescent="0.25">
      <c r="A247" s="363"/>
      <c r="B247" s="1145"/>
      <c r="C247" s="1145"/>
      <c r="D247" s="1268"/>
      <c r="E247" s="1268"/>
      <c r="F247" s="438"/>
      <c r="G247" s="438"/>
      <c r="H247" s="1020" t="str">
        <f>IF(OR(D247="",D247="-"),"",VLOOKUP(D247,'Fatores de Emissão'!$E$192:$K$201,3,FALSE))</f>
        <v/>
      </c>
      <c r="I247" s="1111" t="str">
        <f>IF(OR(D247="",D247="-"),"",VLOOKUP(D247,'Fatores de Emissão'!$E$192:$K$201,2,FALSE))</f>
        <v/>
      </c>
      <c r="J247" s="1111" t="str">
        <f>IF(OR(D247="",D247="-"),"",VLOOKUP(D247,'Fatores de Emissão'!$E$192:$K$201,4,FALSE))</f>
        <v/>
      </c>
      <c r="K247" s="1111" t="str">
        <f>IF(OR(D247="",D247="-"),"",VLOOKUP(D247,'Fatores de Emissão'!$E$192:$K$201,6,FALSE))</f>
        <v/>
      </c>
      <c r="L247" s="478" t="str">
        <f>IF($D247="","",IF($H247="kg/p.km",$F247*$G247*I247/1000,$F247*#REF!*I247/1000))</f>
        <v/>
      </c>
      <c r="M247" s="478" t="str">
        <f>IF($D247="","",IF($H247="kg/p.km",$F247*$G247*J247/1000,$F247*#REF!*J247/1000))</f>
        <v/>
      </c>
      <c r="N247" s="478" t="str">
        <f>IF($D247="","",IF($H247="kg/p.km",$F247*$G247*K247/1000,$F247*#REF!*K247/1000))</f>
        <v/>
      </c>
      <c r="O247" s="451" t="str">
        <f t="shared" si="6"/>
        <v/>
      </c>
      <c r="P247" s="452"/>
    </row>
    <row r="248" spans="1:16" s="237" customFormat="1" ht="15" hidden="1" customHeight="1" outlineLevel="2" x14ac:dyDescent="0.25">
      <c r="A248" s="363"/>
      <c r="B248" s="1145"/>
      <c r="C248" s="1145"/>
      <c r="D248" s="1268"/>
      <c r="E248" s="1268"/>
      <c r="F248" s="438"/>
      <c r="G248" s="438"/>
      <c r="H248" s="1020" t="str">
        <f>IF(OR(D248="",D248="-"),"",VLOOKUP(D248,'Fatores de Emissão'!$E$192:$K$201,3,FALSE))</f>
        <v/>
      </c>
      <c r="I248" s="1111" t="str">
        <f>IF(OR(D248="",D248="-"),"",VLOOKUP(D248,'Fatores de Emissão'!$E$192:$K$201,2,FALSE))</f>
        <v/>
      </c>
      <c r="J248" s="1111" t="str">
        <f>IF(OR(D248="",D248="-"),"",VLOOKUP(D248,'Fatores de Emissão'!$E$192:$K$201,4,FALSE))</f>
        <v/>
      </c>
      <c r="K248" s="1111" t="str">
        <f>IF(OR(D248="",D248="-"),"",VLOOKUP(D248,'Fatores de Emissão'!$E$192:$K$201,6,FALSE))</f>
        <v/>
      </c>
      <c r="L248" s="478" t="str">
        <f>IF($D248="","",IF($H248="kg/p.km",$F248*$G248*I248/1000,$F248*#REF!*I248/1000))</f>
        <v/>
      </c>
      <c r="M248" s="478" t="str">
        <f>IF($D248="","",IF($H248="kg/p.km",$F248*$G248*J248/1000,$F248*#REF!*J248/1000))</f>
        <v/>
      </c>
      <c r="N248" s="478" t="str">
        <f>IF($D248="","",IF($H248="kg/p.km",$F248*$G248*K248/1000,$F248*#REF!*K248/1000))</f>
        <v/>
      </c>
      <c r="O248" s="451" t="str">
        <f t="shared" si="6"/>
        <v/>
      </c>
      <c r="P248" s="452"/>
    </row>
    <row r="249" spans="1:16" s="237" customFormat="1" ht="15" hidden="1" customHeight="1" outlineLevel="2" x14ac:dyDescent="0.25">
      <c r="A249" s="363"/>
      <c r="B249" s="1145"/>
      <c r="C249" s="1145"/>
      <c r="D249" s="1268"/>
      <c r="E249" s="1268"/>
      <c r="F249" s="438"/>
      <c r="G249" s="438"/>
      <c r="H249" s="1020" t="str">
        <f>IF(OR(D249="",D249="-"),"",VLOOKUP(D249,'Fatores de Emissão'!$E$192:$K$201,3,FALSE))</f>
        <v/>
      </c>
      <c r="I249" s="1111" t="str">
        <f>IF(OR(D249="",D249="-"),"",VLOOKUP(D249,'Fatores de Emissão'!$E$192:$K$201,2,FALSE))</f>
        <v/>
      </c>
      <c r="J249" s="1111" t="str">
        <f>IF(OR(D249="",D249="-"),"",VLOOKUP(D249,'Fatores de Emissão'!$E$192:$K$201,4,FALSE))</f>
        <v/>
      </c>
      <c r="K249" s="1111" t="str">
        <f>IF(OR(D249="",D249="-"),"",VLOOKUP(D249,'Fatores de Emissão'!$E$192:$K$201,6,FALSE))</f>
        <v/>
      </c>
      <c r="L249" s="478" t="str">
        <f>IF($D249="","",IF($H249="kg/p.km",$F249*$G249*I249/1000,$F249*#REF!*I249/1000))</f>
        <v/>
      </c>
      <c r="M249" s="478" t="str">
        <f>IF($D249="","",IF($H249="kg/p.km",$F249*$G249*J249/1000,$F249*#REF!*J249/1000))</f>
        <v/>
      </c>
      <c r="N249" s="478" t="str">
        <f>IF($D249="","",IF($H249="kg/p.km",$F249*$G249*K249/1000,$F249*#REF!*K249/1000))</f>
        <v/>
      </c>
      <c r="O249" s="451" t="str">
        <f t="shared" si="6"/>
        <v/>
      </c>
      <c r="P249" s="452"/>
    </row>
    <row r="250" spans="1:16" s="237" customFormat="1" ht="15" hidden="1" customHeight="1" outlineLevel="2" x14ac:dyDescent="0.25">
      <c r="A250" s="363"/>
      <c r="B250" s="1145"/>
      <c r="C250" s="1145"/>
      <c r="D250" s="1268"/>
      <c r="E250" s="1268"/>
      <c r="F250" s="438"/>
      <c r="G250" s="438"/>
      <c r="H250" s="1020" t="str">
        <f>IF(OR(D250="",D250="-"),"",VLOOKUP(D250,'Fatores de Emissão'!$E$192:$K$201,3,FALSE))</f>
        <v/>
      </c>
      <c r="I250" s="1111" t="str">
        <f>IF(OR(D250="",D250="-"),"",VLOOKUP(D250,'Fatores de Emissão'!$E$192:$K$201,2,FALSE))</f>
        <v/>
      </c>
      <c r="J250" s="1111" t="str">
        <f>IF(OR(D250="",D250="-"),"",VLOOKUP(D250,'Fatores de Emissão'!$E$192:$K$201,4,FALSE))</f>
        <v/>
      </c>
      <c r="K250" s="1111" t="str">
        <f>IF(OR(D250="",D250="-"),"",VLOOKUP(D250,'Fatores de Emissão'!$E$192:$K$201,6,FALSE))</f>
        <v/>
      </c>
      <c r="L250" s="478" t="str">
        <f>IF($D250="","",IF($H250="kg/p.km",$F250*$G250*I250/1000,$F250*#REF!*I250/1000))</f>
        <v/>
      </c>
      <c r="M250" s="478" t="str">
        <f>IF($D250="","",IF($H250="kg/p.km",$F250*$G250*J250/1000,$F250*#REF!*J250/1000))</f>
        <v/>
      </c>
      <c r="N250" s="478" t="str">
        <f>IF($D250="","",IF($H250="kg/p.km",$F250*$G250*K250/1000,$F250*#REF!*K250/1000))</f>
        <v/>
      </c>
      <c r="O250" s="451" t="str">
        <f t="shared" si="6"/>
        <v/>
      </c>
      <c r="P250" s="452"/>
    </row>
    <row r="251" spans="1:16" s="237" customFormat="1" ht="15" hidden="1" customHeight="1" outlineLevel="2" x14ac:dyDescent="0.25">
      <c r="A251" s="363"/>
      <c r="B251" s="1145"/>
      <c r="C251" s="1145"/>
      <c r="D251" s="1268"/>
      <c r="E251" s="1268"/>
      <c r="F251" s="438"/>
      <c r="G251" s="438"/>
      <c r="H251" s="1020" t="str">
        <f>IF(OR(D251="",D251="-"),"",VLOOKUP(D251,'Fatores de Emissão'!$E$192:$K$201,3,FALSE))</f>
        <v/>
      </c>
      <c r="I251" s="1111" t="str">
        <f>IF(OR(D251="",D251="-"),"",VLOOKUP(D251,'Fatores de Emissão'!$E$192:$K$201,2,FALSE))</f>
        <v/>
      </c>
      <c r="J251" s="1111" t="str">
        <f>IF(OR(D251="",D251="-"),"",VLOOKUP(D251,'Fatores de Emissão'!$E$192:$K$201,4,FALSE))</f>
        <v/>
      </c>
      <c r="K251" s="1111" t="str">
        <f>IF(OR(D251="",D251="-"),"",VLOOKUP(D251,'Fatores de Emissão'!$E$192:$K$201,6,FALSE))</f>
        <v/>
      </c>
      <c r="L251" s="478" t="str">
        <f>IF($D251="","",IF($H251="kg/p.km",$F251*$G251*I251/1000,$F251*#REF!*I251/1000))</f>
        <v/>
      </c>
      <c r="M251" s="478" t="str">
        <f>IF($D251="","",IF($H251="kg/p.km",$F251*$G251*J251/1000,$F251*#REF!*J251/1000))</f>
        <v/>
      </c>
      <c r="N251" s="478" t="str">
        <f>IF($D251="","",IF($H251="kg/p.km",$F251*$G251*K251/1000,$F251*#REF!*K251/1000))</f>
        <v/>
      </c>
      <c r="O251" s="451" t="str">
        <f t="shared" si="6"/>
        <v/>
      </c>
      <c r="P251" s="452"/>
    </row>
    <row r="252" spans="1:16" s="237" customFormat="1" ht="15" hidden="1" customHeight="1" outlineLevel="2" x14ac:dyDescent="0.25">
      <c r="A252" s="363"/>
      <c r="B252" s="1145"/>
      <c r="C252" s="1145"/>
      <c r="D252" s="1268"/>
      <c r="E252" s="1268"/>
      <c r="F252" s="438"/>
      <c r="G252" s="438"/>
      <c r="H252" s="1020" t="str">
        <f>IF(OR(D252="",D252="-"),"",VLOOKUP(D252,'Fatores de Emissão'!$E$192:$K$201,3,FALSE))</f>
        <v/>
      </c>
      <c r="I252" s="1111" t="str">
        <f>IF(OR(D252="",D252="-"),"",VLOOKUP(D252,'Fatores de Emissão'!$E$192:$K$201,2,FALSE))</f>
        <v/>
      </c>
      <c r="J252" s="1111" t="str">
        <f>IF(OR(D252="",D252="-"),"",VLOOKUP(D252,'Fatores de Emissão'!$E$192:$K$201,4,FALSE))</f>
        <v/>
      </c>
      <c r="K252" s="1111" t="str">
        <f>IF(OR(D252="",D252="-"),"",VLOOKUP(D252,'Fatores de Emissão'!$E$192:$K$201,6,FALSE))</f>
        <v/>
      </c>
      <c r="L252" s="478" t="str">
        <f>IF($D252="","",IF($H252="kg/p.km",$F252*$G252*I252/1000,$F252*#REF!*I252/1000))</f>
        <v/>
      </c>
      <c r="M252" s="478" t="str">
        <f>IF($D252="","",IF($H252="kg/p.km",$F252*$G252*J252/1000,$F252*#REF!*J252/1000))</f>
        <v/>
      </c>
      <c r="N252" s="478" t="str">
        <f>IF($D252="","",IF($H252="kg/p.km",$F252*$G252*K252/1000,$F252*#REF!*K252/1000))</f>
        <v/>
      </c>
      <c r="O252" s="451" t="str">
        <f t="shared" si="6"/>
        <v/>
      </c>
      <c r="P252" s="452"/>
    </row>
    <row r="253" spans="1:16" s="237" customFormat="1" ht="15" hidden="1" customHeight="1" outlineLevel="2" x14ac:dyDescent="0.25">
      <c r="A253" s="363"/>
      <c r="B253" s="1145"/>
      <c r="C253" s="1145"/>
      <c r="D253" s="1268"/>
      <c r="E253" s="1268"/>
      <c r="F253" s="438"/>
      <c r="G253" s="438"/>
      <c r="H253" s="1020" t="str">
        <f>IF(OR(D253="",D253="-"),"",VLOOKUP(D253,'Fatores de Emissão'!$E$192:$K$201,3,FALSE))</f>
        <v/>
      </c>
      <c r="I253" s="1111" t="str">
        <f>IF(OR(D253="",D253="-"),"",VLOOKUP(D253,'Fatores de Emissão'!$E$192:$K$201,2,FALSE))</f>
        <v/>
      </c>
      <c r="J253" s="1111" t="str">
        <f>IF(OR(D253="",D253="-"),"",VLOOKUP(D253,'Fatores de Emissão'!$E$192:$K$201,4,FALSE))</f>
        <v/>
      </c>
      <c r="K253" s="1111" t="str">
        <f>IF(OR(D253="",D253="-"),"",VLOOKUP(D253,'Fatores de Emissão'!$E$192:$K$201,6,FALSE))</f>
        <v/>
      </c>
      <c r="L253" s="478" t="str">
        <f>IF($D253="","",IF($H253="kg/p.km",$F253*$G253*I253/1000,$F253*#REF!*I253/1000))</f>
        <v/>
      </c>
      <c r="M253" s="478" t="str">
        <f>IF($D253="","",IF($H253="kg/p.km",$F253*$G253*J253/1000,$F253*#REF!*J253/1000))</f>
        <v/>
      </c>
      <c r="N253" s="478" t="str">
        <f>IF($D253="","",IF($H253="kg/p.km",$F253*$G253*K253/1000,$F253*#REF!*K253/1000))</f>
        <v/>
      </c>
      <c r="O253" s="451" t="str">
        <f t="shared" si="6"/>
        <v/>
      </c>
      <c r="P253" s="452"/>
    </row>
    <row r="254" spans="1:16" s="237" customFormat="1" ht="15" hidden="1" customHeight="1" outlineLevel="2" x14ac:dyDescent="0.25">
      <c r="A254" s="363"/>
      <c r="B254" s="1145"/>
      <c r="C254" s="1145"/>
      <c r="D254" s="1268"/>
      <c r="E254" s="1268"/>
      <c r="F254" s="438"/>
      <c r="G254" s="438"/>
      <c r="H254" s="1020" t="str">
        <f>IF(OR(D254="",D254="-"),"",VLOOKUP(D254,'Fatores de Emissão'!$E$192:$K$201,3,FALSE))</f>
        <v/>
      </c>
      <c r="I254" s="1111" t="str">
        <f>IF(OR(D254="",D254="-"),"",VLOOKUP(D254,'Fatores de Emissão'!$E$192:$K$201,2,FALSE))</f>
        <v/>
      </c>
      <c r="J254" s="1111" t="str">
        <f>IF(OR(D254="",D254="-"),"",VLOOKUP(D254,'Fatores de Emissão'!$E$192:$K$201,4,FALSE))</f>
        <v/>
      </c>
      <c r="K254" s="1111" t="str">
        <f>IF(OR(D254="",D254="-"),"",VLOOKUP(D254,'Fatores de Emissão'!$E$192:$K$201,6,FALSE))</f>
        <v/>
      </c>
      <c r="L254" s="478" t="str">
        <f>IF($D254="","",IF($H254="kg/p.km",$F254*$G254*I254/1000,$F254*#REF!*I254/1000))</f>
        <v/>
      </c>
      <c r="M254" s="478" t="str">
        <f>IF($D254="","",IF($H254="kg/p.km",$F254*$G254*J254/1000,$F254*#REF!*J254/1000))</f>
        <v/>
      </c>
      <c r="N254" s="478" t="str">
        <f>IF($D254="","",IF($H254="kg/p.km",$F254*$G254*K254/1000,$F254*#REF!*K254/1000))</f>
        <v/>
      </c>
      <c r="O254" s="451" t="str">
        <f t="shared" si="6"/>
        <v/>
      </c>
      <c r="P254" s="452"/>
    </row>
    <row r="255" spans="1:16" s="237" customFormat="1" ht="15" hidden="1" customHeight="1" outlineLevel="2" x14ac:dyDescent="0.25">
      <c r="A255" s="363"/>
      <c r="B255" s="1145"/>
      <c r="C255" s="1145"/>
      <c r="D255" s="1268"/>
      <c r="E255" s="1268"/>
      <c r="F255" s="438"/>
      <c r="G255" s="438"/>
      <c r="H255" s="1020" t="str">
        <f>IF(OR(D255="",D255="-"),"",VLOOKUP(D255,'Fatores de Emissão'!$E$192:$K$201,3,FALSE))</f>
        <v/>
      </c>
      <c r="I255" s="1111" t="str">
        <f>IF(OR(D255="",D255="-"),"",VLOOKUP(D255,'Fatores de Emissão'!$E$192:$K$201,2,FALSE))</f>
        <v/>
      </c>
      <c r="J255" s="1111" t="str">
        <f>IF(OR(D255="",D255="-"),"",VLOOKUP(D255,'Fatores de Emissão'!$E$192:$K$201,4,FALSE))</f>
        <v/>
      </c>
      <c r="K255" s="1111" t="str">
        <f>IF(OR(D255="",D255="-"),"",VLOOKUP(D255,'Fatores de Emissão'!$E$192:$K$201,6,FALSE))</f>
        <v/>
      </c>
      <c r="L255" s="478" t="str">
        <f>IF($D255="","",IF($H255="kg/p.km",$F255*$G255*I255/1000,$F255*#REF!*I255/1000))</f>
        <v/>
      </c>
      <c r="M255" s="478" t="str">
        <f>IF($D255="","",IF($H255="kg/p.km",$F255*$G255*J255/1000,$F255*#REF!*J255/1000))</f>
        <v/>
      </c>
      <c r="N255" s="478" t="str">
        <f>IF($D255="","",IF($H255="kg/p.km",$F255*$G255*K255/1000,$F255*#REF!*K255/1000))</f>
        <v/>
      </c>
      <c r="O255" s="451" t="str">
        <f t="shared" si="6"/>
        <v/>
      </c>
      <c r="P255" s="452"/>
    </row>
    <row r="256" spans="1:16" s="237" customFormat="1" ht="15" hidden="1" customHeight="1" outlineLevel="2" x14ac:dyDescent="0.25">
      <c r="A256" s="363"/>
      <c r="B256" s="1145"/>
      <c r="C256" s="1145"/>
      <c r="D256" s="1268"/>
      <c r="E256" s="1268"/>
      <c r="F256" s="438"/>
      <c r="G256" s="438"/>
      <c r="H256" s="1020" t="str">
        <f>IF(OR(D256="",D256="-"),"",VLOOKUP(D256,'Fatores de Emissão'!$E$192:$K$201,3,FALSE))</f>
        <v/>
      </c>
      <c r="I256" s="1111" t="str">
        <f>IF(OR(D256="",D256="-"),"",VLOOKUP(D256,'Fatores de Emissão'!$E$192:$K$201,2,FALSE))</f>
        <v/>
      </c>
      <c r="J256" s="1111" t="str">
        <f>IF(OR(D256="",D256="-"),"",VLOOKUP(D256,'Fatores de Emissão'!$E$192:$K$201,4,FALSE))</f>
        <v/>
      </c>
      <c r="K256" s="1111" t="str">
        <f>IF(OR(D256="",D256="-"),"",VLOOKUP(D256,'Fatores de Emissão'!$E$192:$K$201,6,FALSE))</f>
        <v/>
      </c>
      <c r="L256" s="478" t="str">
        <f>IF($D256="","",IF($H256="kg/p.km",$F256*$G256*I256/1000,$F256*#REF!*I256/1000))</f>
        <v/>
      </c>
      <c r="M256" s="478" t="str">
        <f>IF($D256="","",IF($H256="kg/p.km",$F256*$G256*J256/1000,$F256*#REF!*J256/1000))</f>
        <v/>
      </c>
      <c r="N256" s="478" t="str">
        <f>IF($D256="","",IF($H256="kg/p.km",$F256*$G256*K256/1000,$F256*#REF!*K256/1000))</f>
        <v/>
      </c>
      <c r="O256" s="451" t="str">
        <f t="shared" si="6"/>
        <v/>
      </c>
      <c r="P256" s="452"/>
    </row>
    <row r="257" spans="1:16" s="237" customFormat="1" ht="15" hidden="1" customHeight="1" outlineLevel="2" x14ac:dyDescent="0.25">
      <c r="A257" s="363"/>
      <c r="B257" s="1145"/>
      <c r="C257" s="1145"/>
      <c r="D257" s="1268"/>
      <c r="E257" s="1268"/>
      <c r="F257" s="438"/>
      <c r="G257" s="438"/>
      <c r="H257" s="1020" t="str">
        <f>IF(OR(D257="",D257="-"),"",VLOOKUP(D257,'Fatores de Emissão'!$E$192:$K$201,3,FALSE))</f>
        <v/>
      </c>
      <c r="I257" s="1111" t="str">
        <f>IF(OR(D257="",D257="-"),"",VLOOKUP(D257,'Fatores de Emissão'!$E$192:$K$201,2,FALSE))</f>
        <v/>
      </c>
      <c r="J257" s="1111" t="str">
        <f>IF(OR(D257="",D257="-"),"",VLOOKUP(D257,'Fatores de Emissão'!$E$192:$K$201,4,FALSE))</f>
        <v/>
      </c>
      <c r="K257" s="1111" t="str">
        <f>IF(OR(D257="",D257="-"),"",VLOOKUP(D257,'Fatores de Emissão'!$E$192:$K$201,6,FALSE))</f>
        <v/>
      </c>
      <c r="L257" s="478" t="str">
        <f>IF($D257="","",IF($H257="kg/p.km",$F257*$G257*I257/1000,$F257*#REF!*I257/1000))</f>
        <v/>
      </c>
      <c r="M257" s="478" t="str">
        <f>IF($D257="","",IF($H257="kg/p.km",$F257*$G257*J257/1000,$F257*#REF!*J257/1000))</f>
        <v/>
      </c>
      <c r="N257" s="478" t="str">
        <f>IF($D257="","",IF($H257="kg/p.km",$F257*$G257*K257/1000,$F257*#REF!*K257/1000))</f>
        <v/>
      </c>
      <c r="O257" s="451" t="str">
        <f t="shared" si="6"/>
        <v/>
      </c>
      <c r="P257" s="452"/>
    </row>
    <row r="258" spans="1:16" s="237" customFormat="1" ht="15" hidden="1" customHeight="1" outlineLevel="2" x14ac:dyDescent="0.25">
      <c r="A258" s="363"/>
      <c r="B258" s="1145"/>
      <c r="C258" s="1145"/>
      <c r="D258" s="1268"/>
      <c r="E258" s="1268"/>
      <c r="F258" s="438"/>
      <c r="G258" s="438"/>
      <c r="H258" s="1020" t="str">
        <f>IF(OR(D258="",D258="-"),"",VLOOKUP(D258,'Fatores de Emissão'!$E$192:$K$201,3,FALSE))</f>
        <v/>
      </c>
      <c r="I258" s="1111" t="str">
        <f>IF(OR(D258="",D258="-"),"",VLOOKUP(D258,'Fatores de Emissão'!$E$192:$K$201,2,FALSE))</f>
        <v/>
      </c>
      <c r="J258" s="1111" t="str">
        <f>IF(OR(D258="",D258="-"),"",VLOOKUP(D258,'Fatores de Emissão'!$E$192:$K$201,4,FALSE))</f>
        <v/>
      </c>
      <c r="K258" s="1111" t="str">
        <f>IF(OR(D258="",D258="-"),"",VLOOKUP(D258,'Fatores de Emissão'!$E$192:$K$201,6,FALSE))</f>
        <v/>
      </c>
      <c r="L258" s="478" t="str">
        <f>IF($D258="","",IF($H258="kg/p.km",$F258*$G258*I258/1000,$F258*#REF!*I258/1000))</f>
        <v/>
      </c>
      <c r="M258" s="478" t="str">
        <f>IF($D258="","",IF($H258="kg/p.km",$F258*$G258*J258/1000,$F258*#REF!*J258/1000))</f>
        <v/>
      </c>
      <c r="N258" s="478" t="str">
        <f>IF($D258="","",IF($H258="kg/p.km",$F258*$G258*K258/1000,$F258*#REF!*K258/1000))</f>
        <v/>
      </c>
      <c r="O258" s="451" t="str">
        <f t="shared" si="6"/>
        <v/>
      </c>
      <c r="P258" s="452"/>
    </row>
    <row r="259" spans="1:16" s="237" customFormat="1" ht="15" hidden="1" customHeight="1" outlineLevel="2" x14ac:dyDescent="0.25">
      <c r="A259" s="363"/>
      <c r="B259" s="1145"/>
      <c r="C259" s="1145"/>
      <c r="D259" s="1268"/>
      <c r="E259" s="1268"/>
      <c r="F259" s="438"/>
      <c r="G259" s="438"/>
      <c r="H259" s="1020" t="str">
        <f>IF(OR(D259="",D259="-"),"",VLOOKUP(D259,'Fatores de Emissão'!$E$192:$K$201,3,FALSE))</f>
        <v/>
      </c>
      <c r="I259" s="1111" t="str">
        <f>IF(OR(D259="",D259="-"),"",VLOOKUP(D259,'Fatores de Emissão'!$E$192:$K$201,2,FALSE))</f>
        <v/>
      </c>
      <c r="J259" s="1111" t="str">
        <f>IF(OR(D259="",D259="-"),"",VLOOKUP(D259,'Fatores de Emissão'!$E$192:$K$201,4,FALSE))</f>
        <v/>
      </c>
      <c r="K259" s="1111" t="str">
        <f>IF(OR(D259="",D259="-"),"",VLOOKUP(D259,'Fatores de Emissão'!$E$192:$K$201,6,FALSE))</f>
        <v/>
      </c>
      <c r="L259" s="478" t="str">
        <f>IF($D259="","",IF($H259="kg/p.km",$F259*$G259*I259/1000,$F259*#REF!*I259/1000))</f>
        <v/>
      </c>
      <c r="M259" s="478" t="str">
        <f>IF($D259="","",IF($H259="kg/p.km",$F259*$G259*J259/1000,$F259*#REF!*J259/1000))</f>
        <v/>
      </c>
      <c r="N259" s="478" t="str">
        <f>IF($D259="","",IF($H259="kg/p.km",$F259*$G259*K259/1000,$F259*#REF!*K259/1000))</f>
        <v/>
      </c>
      <c r="O259" s="451" t="str">
        <f t="shared" si="6"/>
        <v/>
      </c>
      <c r="P259" s="452"/>
    </row>
    <row r="260" spans="1:16" s="237" customFormat="1" ht="15" hidden="1" customHeight="1" outlineLevel="2" x14ac:dyDescent="0.25">
      <c r="A260" s="363"/>
      <c r="B260" s="1145"/>
      <c r="C260" s="1145"/>
      <c r="D260" s="1268"/>
      <c r="E260" s="1268"/>
      <c r="F260" s="438"/>
      <c r="G260" s="438"/>
      <c r="H260" s="1020" t="str">
        <f>IF(OR(D260="",D260="-"),"",VLOOKUP(D260,'Fatores de Emissão'!$E$192:$K$201,3,FALSE))</f>
        <v/>
      </c>
      <c r="I260" s="1111" t="str">
        <f>IF(OR(D260="",D260="-"),"",VLOOKUP(D260,'Fatores de Emissão'!$E$192:$K$201,2,FALSE))</f>
        <v/>
      </c>
      <c r="J260" s="1111" t="str">
        <f>IF(OR(D260="",D260="-"),"",VLOOKUP(D260,'Fatores de Emissão'!$E$192:$K$201,4,FALSE))</f>
        <v/>
      </c>
      <c r="K260" s="1111" t="str">
        <f>IF(OR(D260="",D260="-"),"",VLOOKUP(D260,'Fatores de Emissão'!$E$192:$K$201,6,FALSE))</f>
        <v/>
      </c>
      <c r="L260" s="478" t="str">
        <f>IF($D260="","",IF($H260="kg/p.km",$F260*$G260*I260/1000,$F260*#REF!*I260/1000))</f>
        <v/>
      </c>
      <c r="M260" s="478" t="str">
        <f>IF($D260="","",IF($H260="kg/p.km",$F260*$G260*J260/1000,$F260*#REF!*J260/1000))</f>
        <v/>
      </c>
      <c r="N260" s="478" t="str">
        <f>IF($D260="","",IF($H260="kg/p.km",$F260*$G260*K260/1000,$F260*#REF!*K260/1000))</f>
        <v/>
      </c>
      <c r="O260" s="451" t="str">
        <f t="shared" si="6"/>
        <v/>
      </c>
      <c r="P260" s="452"/>
    </row>
    <row r="261" spans="1:16" s="237" customFormat="1" ht="15" hidden="1" customHeight="1" outlineLevel="2" x14ac:dyDescent="0.25">
      <c r="A261" s="363"/>
      <c r="B261" s="1145"/>
      <c r="C261" s="1145"/>
      <c r="D261" s="1268"/>
      <c r="E261" s="1268"/>
      <c r="F261" s="438"/>
      <c r="G261" s="438"/>
      <c r="H261" s="1020" t="str">
        <f>IF(OR(D261="",D261="-"),"",VLOOKUP(D261,'Fatores de Emissão'!$E$192:$K$201,3,FALSE))</f>
        <v/>
      </c>
      <c r="I261" s="1111" t="str">
        <f>IF(OR(D261="",D261="-"),"",VLOOKUP(D261,'Fatores de Emissão'!$E$192:$K$201,2,FALSE))</f>
        <v/>
      </c>
      <c r="J261" s="1111" t="str">
        <f>IF(OR(D261="",D261="-"),"",VLOOKUP(D261,'Fatores de Emissão'!$E$192:$K$201,4,FALSE))</f>
        <v/>
      </c>
      <c r="K261" s="1111" t="str">
        <f>IF(OR(D261="",D261="-"),"",VLOOKUP(D261,'Fatores de Emissão'!$E$192:$K$201,6,FALSE))</f>
        <v/>
      </c>
      <c r="L261" s="478" t="str">
        <f>IF($D261="","",IF($H261="kg/p.km",$F261*$G261*I261/1000,$F261*#REF!*I261/1000))</f>
        <v/>
      </c>
      <c r="M261" s="478" t="str">
        <f>IF($D261="","",IF($H261="kg/p.km",$F261*$G261*J261/1000,$F261*#REF!*J261/1000))</f>
        <v/>
      </c>
      <c r="N261" s="478" t="str">
        <f>IF($D261="","",IF($H261="kg/p.km",$F261*$G261*K261/1000,$F261*#REF!*K261/1000))</f>
        <v/>
      </c>
      <c r="O261" s="451" t="str">
        <f t="shared" si="6"/>
        <v/>
      </c>
      <c r="P261" s="452"/>
    </row>
    <row r="262" spans="1:16" s="237" customFormat="1" ht="15" hidden="1" customHeight="1" outlineLevel="2" x14ac:dyDescent="0.25">
      <c r="A262" s="363"/>
      <c r="B262" s="1145"/>
      <c r="C262" s="1145"/>
      <c r="D262" s="1268"/>
      <c r="E262" s="1268"/>
      <c r="F262" s="438"/>
      <c r="G262" s="438"/>
      <c r="H262" s="1020" t="str">
        <f>IF(OR(D262="",D262="-"),"",VLOOKUP(D262,'Fatores de Emissão'!$E$192:$K$201,3,FALSE))</f>
        <v/>
      </c>
      <c r="I262" s="1111" t="str">
        <f>IF(OR(D262="",D262="-"),"",VLOOKUP(D262,'Fatores de Emissão'!$E$192:$K$201,2,FALSE))</f>
        <v/>
      </c>
      <c r="J262" s="1111" t="str">
        <f>IF(OR(D262="",D262="-"),"",VLOOKUP(D262,'Fatores de Emissão'!$E$192:$K$201,4,FALSE))</f>
        <v/>
      </c>
      <c r="K262" s="1111" t="str">
        <f>IF(OR(D262="",D262="-"),"",VLOOKUP(D262,'Fatores de Emissão'!$E$192:$K$201,6,FALSE))</f>
        <v/>
      </c>
      <c r="L262" s="478" t="str">
        <f>IF($D262="","",IF($H262="kg/p.km",$F262*$G262*I262/1000,$F262*#REF!*I262/1000))</f>
        <v/>
      </c>
      <c r="M262" s="478" t="str">
        <f>IF($D262="","",IF($H262="kg/p.km",$F262*$G262*J262/1000,$F262*#REF!*J262/1000))</f>
        <v/>
      </c>
      <c r="N262" s="478" t="str">
        <f>IF($D262="","",IF($H262="kg/p.km",$F262*$G262*K262/1000,$F262*#REF!*K262/1000))</f>
        <v/>
      </c>
      <c r="O262" s="451" t="str">
        <f t="shared" si="6"/>
        <v/>
      </c>
      <c r="P262" s="452"/>
    </row>
    <row r="263" spans="1:16" s="237" customFormat="1" ht="15" hidden="1" customHeight="1" outlineLevel="2" x14ac:dyDescent="0.25">
      <c r="A263" s="363"/>
      <c r="B263" s="1145"/>
      <c r="C263" s="1145"/>
      <c r="D263" s="1268"/>
      <c r="E263" s="1268"/>
      <c r="F263" s="438"/>
      <c r="G263" s="438"/>
      <c r="H263" s="1020" t="str">
        <f>IF(OR(D263="",D263="-"),"",VLOOKUP(D263,'Fatores de Emissão'!$E$192:$K$201,3,FALSE))</f>
        <v/>
      </c>
      <c r="I263" s="1111" t="str">
        <f>IF(OR(D263="",D263="-"),"",VLOOKUP(D263,'Fatores de Emissão'!$E$192:$K$201,2,FALSE))</f>
        <v/>
      </c>
      <c r="J263" s="1111" t="str">
        <f>IF(OR(D263="",D263="-"),"",VLOOKUP(D263,'Fatores de Emissão'!$E$192:$K$201,4,FALSE))</f>
        <v/>
      </c>
      <c r="K263" s="1111" t="str">
        <f>IF(OR(D263="",D263="-"),"",VLOOKUP(D263,'Fatores de Emissão'!$E$192:$K$201,6,FALSE))</f>
        <v/>
      </c>
      <c r="L263" s="478" t="str">
        <f>IF($D263="","",IF($H263="kg/p.km",$F263*$G263*I263/1000,$F263*#REF!*I263/1000))</f>
        <v/>
      </c>
      <c r="M263" s="478" t="str">
        <f>IF($D263="","",IF($H263="kg/p.km",$F263*$G263*J263/1000,$F263*#REF!*J263/1000))</f>
        <v/>
      </c>
      <c r="N263" s="478" t="str">
        <f>IF($D263="","",IF($H263="kg/p.km",$F263*$G263*K263/1000,$F263*#REF!*K263/1000))</f>
        <v/>
      </c>
      <c r="O263" s="451" t="str">
        <f t="shared" si="6"/>
        <v/>
      </c>
      <c r="P263" s="452"/>
    </row>
    <row r="264" spans="1:16" s="237" customFormat="1" ht="15" hidden="1" customHeight="1" outlineLevel="2" x14ac:dyDescent="0.25">
      <c r="A264" s="363"/>
      <c r="B264" s="1145"/>
      <c r="C264" s="1145"/>
      <c r="D264" s="1268"/>
      <c r="E264" s="1268"/>
      <c r="F264" s="438"/>
      <c r="G264" s="438"/>
      <c r="H264" s="1020" t="str">
        <f>IF(OR(D264="",D264="-"),"",VLOOKUP(D264,'Fatores de Emissão'!$E$192:$K$201,3,FALSE))</f>
        <v/>
      </c>
      <c r="I264" s="1111" t="str">
        <f>IF(OR(D264="",D264="-"),"",VLOOKUP(D264,'Fatores de Emissão'!$E$192:$K$201,2,FALSE))</f>
        <v/>
      </c>
      <c r="J264" s="1111" t="str">
        <f>IF(OR(D264="",D264="-"),"",VLOOKUP(D264,'Fatores de Emissão'!$E$192:$K$201,4,FALSE))</f>
        <v/>
      </c>
      <c r="K264" s="1111" t="str">
        <f>IF(OR(D264="",D264="-"),"",VLOOKUP(D264,'Fatores de Emissão'!$E$192:$K$201,6,FALSE))</f>
        <v/>
      </c>
      <c r="L264" s="478" t="str">
        <f>IF($D264="","",IF($H264="kg/p.km",$F264*$G264*I264/1000,$F264*#REF!*I264/1000))</f>
        <v/>
      </c>
      <c r="M264" s="478" t="str">
        <f>IF($D264="","",IF($H264="kg/p.km",$F264*$G264*J264/1000,$F264*#REF!*J264/1000))</f>
        <v/>
      </c>
      <c r="N264" s="478" t="str">
        <f>IF($D264="","",IF($H264="kg/p.km",$F264*$G264*K264/1000,$F264*#REF!*K264/1000))</f>
        <v/>
      </c>
      <c r="O264" s="451" t="str">
        <f t="shared" si="6"/>
        <v/>
      </c>
      <c r="P264" s="452"/>
    </row>
    <row r="265" spans="1:16" s="237" customFormat="1" ht="15" hidden="1" customHeight="1" outlineLevel="2" x14ac:dyDescent="0.25">
      <c r="A265" s="363"/>
      <c r="B265" s="1145"/>
      <c r="C265" s="1145"/>
      <c r="D265" s="1268"/>
      <c r="E265" s="1268"/>
      <c r="F265" s="438"/>
      <c r="G265" s="438"/>
      <c r="H265" s="1020" t="str">
        <f>IF(OR(D265="",D265="-"),"",VLOOKUP(D265,'Fatores de Emissão'!$E$192:$K$201,3,FALSE))</f>
        <v/>
      </c>
      <c r="I265" s="1111" t="str">
        <f>IF(OR(D265="",D265="-"),"",VLOOKUP(D265,'Fatores de Emissão'!$E$192:$K$201,2,FALSE))</f>
        <v/>
      </c>
      <c r="J265" s="1111" t="str">
        <f>IF(OR(D265="",D265="-"),"",VLOOKUP(D265,'Fatores de Emissão'!$E$192:$K$201,4,FALSE))</f>
        <v/>
      </c>
      <c r="K265" s="1111" t="str">
        <f>IF(OR(D265="",D265="-"),"",VLOOKUP(D265,'Fatores de Emissão'!$E$192:$K$201,6,FALSE))</f>
        <v/>
      </c>
      <c r="L265" s="478" t="str">
        <f>IF($D265="","",IF($H265="kg/p.km",$F265*$G265*I265/1000,$F265*#REF!*I265/1000))</f>
        <v/>
      </c>
      <c r="M265" s="478" t="str">
        <f>IF($D265="","",IF($H265="kg/p.km",$F265*$G265*J265/1000,$F265*#REF!*J265/1000))</f>
        <v/>
      </c>
      <c r="N265" s="478" t="str">
        <f>IF($D265="","",IF($H265="kg/p.km",$F265*$G265*K265/1000,$F265*#REF!*K265/1000))</f>
        <v/>
      </c>
      <c r="O265" s="451" t="str">
        <f t="shared" si="6"/>
        <v/>
      </c>
      <c r="P265" s="452"/>
    </row>
    <row r="266" spans="1:16" s="237" customFormat="1" ht="15" hidden="1" customHeight="1" outlineLevel="2" x14ac:dyDescent="0.25">
      <c r="A266" s="363"/>
      <c r="B266" s="1145"/>
      <c r="C266" s="1145"/>
      <c r="D266" s="1268"/>
      <c r="E266" s="1268"/>
      <c r="F266" s="438"/>
      <c r="G266" s="438"/>
      <c r="H266" s="1020" t="str">
        <f>IF(OR(D266="",D266="-"),"",VLOOKUP(D266,'Fatores de Emissão'!$E$192:$K$201,3,FALSE))</f>
        <v/>
      </c>
      <c r="I266" s="1111" t="str">
        <f>IF(OR(D266="",D266="-"),"",VLOOKUP(D266,'Fatores de Emissão'!$E$192:$K$201,2,FALSE))</f>
        <v/>
      </c>
      <c r="J266" s="1111" t="str">
        <f>IF(OR(D266="",D266="-"),"",VLOOKUP(D266,'Fatores de Emissão'!$E$192:$K$201,4,FALSE))</f>
        <v/>
      </c>
      <c r="K266" s="1111" t="str">
        <f>IF(OR(D266="",D266="-"),"",VLOOKUP(D266,'Fatores de Emissão'!$E$192:$K$201,6,FALSE))</f>
        <v/>
      </c>
      <c r="L266" s="478" t="str">
        <f>IF($D266="","",IF($H266="kg/p.km",$F266*$G266*I266/1000,$F266*#REF!*I266/1000))</f>
        <v/>
      </c>
      <c r="M266" s="478" t="str">
        <f>IF($D266="","",IF($H266="kg/p.km",$F266*$G266*J266/1000,$F266*#REF!*J266/1000))</f>
        <v/>
      </c>
      <c r="N266" s="478" t="str">
        <f>IF($D266="","",IF($H266="kg/p.km",$F266*$G266*K266/1000,$F266*#REF!*K266/1000))</f>
        <v/>
      </c>
      <c r="O266" s="451" t="str">
        <f t="shared" si="6"/>
        <v/>
      </c>
      <c r="P266" s="452"/>
    </row>
    <row r="267" spans="1:16" s="237" customFormat="1" ht="15" hidden="1" customHeight="1" outlineLevel="2" x14ac:dyDescent="0.25">
      <c r="A267" s="363"/>
      <c r="B267" s="1145"/>
      <c r="C267" s="1145"/>
      <c r="D267" s="1268"/>
      <c r="E267" s="1268"/>
      <c r="F267" s="438"/>
      <c r="G267" s="438"/>
      <c r="H267" s="1020" t="str">
        <f>IF(OR(D267="",D267="-"),"",VLOOKUP(D267,'Fatores de Emissão'!$E$192:$K$201,3,FALSE))</f>
        <v/>
      </c>
      <c r="I267" s="1111" t="str">
        <f>IF(OR(D267="",D267="-"),"",VLOOKUP(D267,'Fatores de Emissão'!$E$192:$K$201,2,FALSE))</f>
        <v/>
      </c>
      <c r="J267" s="1111" t="str">
        <f>IF(OR(D267="",D267="-"),"",VLOOKUP(D267,'Fatores de Emissão'!$E$192:$K$201,4,FALSE))</f>
        <v/>
      </c>
      <c r="K267" s="1111" t="str">
        <f>IF(OR(D267="",D267="-"),"",VLOOKUP(D267,'Fatores de Emissão'!$E$192:$K$201,6,FALSE))</f>
        <v/>
      </c>
      <c r="L267" s="478" t="str">
        <f>IF($D267="","",IF($H267="kg/p.km",$F267*$G267*I267/1000,$F267*#REF!*I267/1000))</f>
        <v/>
      </c>
      <c r="M267" s="478" t="str">
        <f>IF($D267="","",IF($H267="kg/p.km",$F267*$G267*J267/1000,$F267*#REF!*J267/1000))</f>
        <v/>
      </c>
      <c r="N267" s="478" t="str">
        <f>IF($D267="","",IF($H267="kg/p.km",$F267*$G267*K267/1000,$F267*#REF!*K267/1000))</f>
        <v/>
      </c>
      <c r="O267" s="451" t="str">
        <f t="shared" si="6"/>
        <v/>
      </c>
      <c r="P267" s="452"/>
    </row>
    <row r="268" spans="1:16" s="237" customFormat="1" ht="15" hidden="1" customHeight="1" outlineLevel="2" x14ac:dyDescent="0.25">
      <c r="A268" s="363"/>
      <c r="B268" s="1145"/>
      <c r="C268" s="1145"/>
      <c r="D268" s="1268"/>
      <c r="E268" s="1268"/>
      <c r="F268" s="438"/>
      <c r="G268" s="438"/>
      <c r="H268" s="1020" t="str">
        <f>IF(OR(D268="",D268="-"),"",VLOOKUP(D268,'Fatores de Emissão'!$E$192:$K$201,3,FALSE))</f>
        <v/>
      </c>
      <c r="I268" s="1111" t="str">
        <f>IF(OR(D268="",D268="-"),"",VLOOKUP(D268,'Fatores de Emissão'!$E$192:$K$201,2,FALSE))</f>
        <v/>
      </c>
      <c r="J268" s="1111" t="str">
        <f>IF(OR(D268="",D268="-"),"",VLOOKUP(D268,'Fatores de Emissão'!$E$192:$K$201,4,FALSE))</f>
        <v/>
      </c>
      <c r="K268" s="1111" t="str">
        <f>IF(OR(D268="",D268="-"),"",VLOOKUP(D268,'Fatores de Emissão'!$E$192:$K$201,6,FALSE))</f>
        <v/>
      </c>
      <c r="L268" s="478" t="str">
        <f>IF($D268="","",IF($H268="kg/p.km",$F268*$G268*I268/1000,$F268*#REF!*I268/1000))</f>
        <v/>
      </c>
      <c r="M268" s="478" t="str">
        <f>IF($D268="","",IF($H268="kg/p.km",$F268*$G268*J268/1000,$F268*#REF!*J268/1000))</f>
        <v/>
      </c>
      <c r="N268" s="478" t="str">
        <f>IF($D268="","",IF($H268="kg/p.km",$F268*$G268*K268/1000,$F268*#REF!*K268/1000))</f>
        <v/>
      </c>
      <c r="O268" s="451" t="str">
        <f t="shared" si="6"/>
        <v/>
      </c>
      <c r="P268" s="452"/>
    </row>
    <row r="269" spans="1:16" s="237" customFormat="1" ht="15" hidden="1" customHeight="1" outlineLevel="2" x14ac:dyDescent="0.25">
      <c r="A269" s="363"/>
      <c r="B269" s="1145"/>
      <c r="C269" s="1145"/>
      <c r="D269" s="1268"/>
      <c r="E269" s="1268"/>
      <c r="F269" s="438"/>
      <c r="G269" s="438"/>
      <c r="H269" s="1020" t="str">
        <f>IF(OR(D269="",D269="-"),"",VLOOKUP(D269,'Fatores de Emissão'!$E$192:$K$201,3,FALSE))</f>
        <v/>
      </c>
      <c r="I269" s="1111" t="str">
        <f>IF(OR(D269="",D269="-"),"",VLOOKUP(D269,'Fatores de Emissão'!$E$192:$K$201,2,FALSE))</f>
        <v/>
      </c>
      <c r="J269" s="1111" t="str">
        <f>IF(OR(D269="",D269="-"),"",VLOOKUP(D269,'Fatores de Emissão'!$E$192:$K$201,4,FALSE))</f>
        <v/>
      </c>
      <c r="K269" s="1111" t="str">
        <f>IF(OR(D269="",D269="-"),"",VLOOKUP(D269,'Fatores de Emissão'!$E$192:$K$201,6,FALSE))</f>
        <v/>
      </c>
      <c r="L269" s="478" t="str">
        <f>IF($D269="","",IF($H269="kg/p.km",$F269*$G269*I269/1000,$F269*#REF!*I269/1000))</f>
        <v/>
      </c>
      <c r="M269" s="478" t="str">
        <f>IF($D269="","",IF($H269="kg/p.km",$F269*$G269*J269/1000,$F269*#REF!*J269/1000))</f>
        <v/>
      </c>
      <c r="N269" s="478" t="str">
        <f>IF($D269="","",IF($H269="kg/p.km",$F269*$G269*K269/1000,$F269*#REF!*K269/1000))</f>
        <v/>
      </c>
      <c r="O269" s="451" t="str">
        <f t="shared" si="6"/>
        <v/>
      </c>
      <c r="P269" s="452"/>
    </row>
    <row r="270" spans="1:16" s="237" customFormat="1" ht="15" hidden="1" customHeight="1" outlineLevel="2" x14ac:dyDescent="0.25">
      <c r="A270" s="363"/>
      <c r="B270" s="1145"/>
      <c r="C270" s="1145"/>
      <c r="D270" s="1268"/>
      <c r="E270" s="1268"/>
      <c r="F270" s="438"/>
      <c r="G270" s="438"/>
      <c r="H270" s="1020" t="str">
        <f>IF(OR(D270="",D270="-"),"",VLOOKUP(D270,'Fatores de Emissão'!$E$192:$K$201,3,FALSE))</f>
        <v/>
      </c>
      <c r="I270" s="1111" t="str">
        <f>IF(OR(D270="",D270="-"),"",VLOOKUP(D270,'Fatores de Emissão'!$E$192:$K$201,2,FALSE))</f>
        <v/>
      </c>
      <c r="J270" s="1111" t="str">
        <f>IF(OR(D270="",D270="-"),"",VLOOKUP(D270,'Fatores de Emissão'!$E$192:$K$201,4,FALSE))</f>
        <v/>
      </c>
      <c r="K270" s="1111" t="str">
        <f>IF(OR(D270="",D270="-"),"",VLOOKUP(D270,'Fatores de Emissão'!$E$192:$K$201,6,FALSE))</f>
        <v/>
      </c>
      <c r="L270" s="478" t="str">
        <f>IF($D270="","",IF($H270="kg/p.km",$F270*$G270*I270/1000,$F270*#REF!*I270/1000))</f>
        <v/>
      </c>
      <c r="M270" s="478" t="str">
        <f>IF($D270="","",IF($H270="kg/p.km",$F270*$G270*J270/1000,$F270*#REF!*J270/1000))</f>
        <v/>
      </c>
      <c r="N270" s="478" t="str">
        <f>IF($D270="","",IF($H270="kg/p.km",$F270*$G270*K270/1000,$F270*#REF!*K270/1000))</f>
        <v/>
      </c>
      <c r="O270" s="451" t="str">
        <f t="shared" si="6"/>
        <v/>
      </c>
      <c r="P270" s="452"/>
    </row>
    <row r="271" spans="1:16" s="237" customFormat="1" ht="15" hidden="1" customHeight="1" outlineLevel="2" x14ac:dyDescent="0.25">
      <c r="A271" s="363"/>
      <c r="B271" s="1145"/>
      <c r="C271" s="1145"/>
      <c r="D271" s="1268"/>
      <c r="E271" s="1268"/>
      <c r="F271" s="438"/>
      <c r="G271" s="438"/>
      <c r="H271" s="1020" t="str">
        <f>IF(OR(D271="",D271="-"),"",VLOOKUP(D271,'Fatores de Emissão'!$E$192:$K$201,3,FALSE))</f>
        <v/>
      </c>
      <c r="I271" s="1111" t="str">
        <f>IF(OR(D271="",D271="-"),"",VLOOKUP(D271,'Fatores de Emissão'!$E$192:$K$201,2,FALSE))</f>
        <v/>
      </c>
      <c r="J271" s="1111" t="str">
        <f>IF(OR(D271="",D271="-"),"",VLOOKUP(D271,'Fatores de Emissão'!$E$192:$K$201,4,FALSE))</f>
        <v/>
      </c>
      <c r="K271" s="1111" t="str">
        <f>IF(OR(D271="",D271="-"),"",VLOOKUP(D271,'Fatores de Emissão'!$E$192:$K$201,6,FALSE))</f>
        <v/>
      </c>
      <c r="L271" s="478" t="str">
        <f>IF($D271="","",IF($H271="kg/p.km",$F271*$G271*I271/1000,$F271*#REF!*I271/1000))</f>
        <v/>
      </c>
      <c r="M271" s="478" t="str">
        <f>IF($D271="","",IF($H271="kg/p.km",$F271*$G271*J271/1000,$F271*#REF!*J271/1000))</f>
        <v/>
      </c>
      <c r="N271" s="478" t="str">
        <f>IF($D271="","",IF($H271="kg/p.km",$F271*$G271*K271/1000,$F271*#REF!*K271/1000))</f>
        <v/>
      </c>
      <c r="O271" s="451" t="str">
        <f t="shared" si="6"/>
        <v/>
      </c>
      <c r="P271" s="452"/>
    </row>
    <row r="272" spans="1:16" s="237" customFormat="1" ht="15" hidden="1" customHeight="1" outlineLevel="2" x14ac:dyDescent="0.25">
      <c r="A272" s="363"/>
      <c r="B272" s="1145"/>
      <c r="C272" s="1145"/>
      <c r="D272" s="1268"/>
      <c r="E272" s="1268"/>
      <c r="F272" s="438"/>
      <c r="G272" s="438"/>
      <c r="H272" s="1020" t="str">
        <f>IF(OR(D272="",D272="-"),"",VLOOKUP(D272,'Fatores de Emissão'!$E$192:$K$201,3,FALSE))</f>
        <v/>
      </c>
      <c r="I272" s="1111" t="str">
        <f>IF(OR(D272="",D272="-"),"",VLOOKUP(D272,'Fatores de Emissão'!$E$192:$K$201,2,FALSE))</f>
        <v/>
      </c>
      <c r="J272" s="1111" t="str">
        <f>IF(OR(D272="",D272="-"),"",VLOOKUP(D272,'Fatores de Emissão'!$E$192:$K$201,4,FALSE))</f>
        <v/>
      </c>
      <c r="K272" s="1111" t="str">
        <f>IF(OR(D272="",D272="-"),"",VLOOKUP(D272,'Fatores de Emissão'!$E$192:$K$201,6,FALSE))</f>
        <v/>
      </c>
      <c r="L272" s="478" t="str">
        <f>IF($D272="","",IF($H272="kg/p.km",$F272*$G272*I272/1000,$F272*#REF!*I272/1000))</f>
        <v/>
      </c>
      <c r="M272" s="478" t="str">
        <f>IF($D272="","",IF($H272="kg/p.km",$F272*$G272*J272/1000,$F272*#REF!*J272/1000))</f>
        <v/>
      </c>
      <c r="N272" s="478" t="str">
        <f>IF($D272="","",IF($H272="kg/p.km",$F272*$G272*K272/1000,$F272*#REF!*K272/1000))</f>
        <v/>
      </c>
      <c r="O272" s="451" t="str">
        <f t="shared" si="6"/>
        <v/>
      </c>
      <c r="P272" s="452"/>
    </row>
    <row r="273" spans="1:58" s="237" customFormat="1" ht="15" hidden="1" customHeight="1" outlineLevel="2" x14ac:dyDescent="0.25">
      <c r="A273" s="363"/>
      <c r="B273" s="1145"/>
      <c r="C273" s="1145"/>
      <c r="D273" s="1268"/>
      <c r="E273" s="1268"/>
      <c r="F273" s="438"/>
      <c r="G273" s="438"/>
      <c r="H273" s="1020" t="str">
        <f>IF(OR(D273="",D273="-"),"",VLOOKUP(D273,'Fatores de Emissão'!$E$192:$K$201,3,FALSE))</f>
        <v/>
      </c>
      <c r="I273" s="1111" t="str">
        <f>IF(OR(D273="",D273="-"),"",VLOOKUP(D273,'Fatores de Emissão'!$E$192:$K$201,2,FALSE))</f>
        <v/>
      </c>
      <c r="J273" s="1111" t="str">
        <f>IF(OR(D273="",D273="-"),"",VLOOKUP(D273,'Fatores de Emissão'!$E$192:$K$201,4,FALSE))</f>
        <v/>
      </c>
      <c r="K273" s="1111" t="str">
        <f>IF(OR(D273="",D273="-"),"",VLOOKUP(D273,'Fatores de Emissão'!$E$192:$K$201,6,FALSE))</f>
        <v/>
      </c>
      <c r="L273" s="478" t="str">
        <f>IF($D273="","",IF($H273="kg/p.km",$F273*$G273*I273/1000,$F273*#REF!*I273/1000))</f>
        <v/>
      </c>
      <c r="M273" s="478" t="str">
        <f>IF($D273="","",IF($H273="kg/p.km",$F273*$G273*J273/1000,$F273*#REF!*J273/1000))</f>
        <v/>
      </c>
      <c r="N273" s="478" t="str">
        <f>IF($D273="","",IF($H273="kg/p.km",$F273*$G273*K273/1000,$F273*#REF!*K273/1000))</f>
        <v/>
      </c>
      <c r="O273" s="451" t="str">
        <f t="shared" si="6"/>
        <v/>
      </c>
      <c r="P273" s="452"/>
    </row>
    <row r="274" spans="1:58" s="237" customFormat="1" ht="15" hidden="1" customHeight="1" outlineLevel="2" x14ac:dyDescent="0.25">
      <c r="A274" s="363"/>
      <c r="B274" s="1145"/>
      <c r="C274" s="1145"/>
      <c r="D274" s="1268"/>
      <c r="E274" s="1268"/>
      <c r="F274" s="438"/>
      <c r="G274" s="438"/>
      <c r="H274" s="1020" t="str">
        <f>IF(OR(D274="",D274="-"),"",VLOOKUP(D274,'Fatores de Emissão'!$E$192:$K$201,3,FALSE))</f>
        <v/>
      </c>
      <c r="I274" s="1111" t="str">
        <f>IF(OR(D274="",D274="-"),"",VLOOKUP(D274,'Fatores de Emissão'!$E$192:$K$201,2,FALSE))</f>
        <v/>
      </c>
      <c r="J274" s="1111" t="str">
        <f>IF(OR(D274="",D274="-"),"",VLOOKUP(D274,'Fatores de Emissão'!$E$192:$K$201,4,FALSE))</f>
        <v/>
      </c>
      <c r="K274" s="1111" t="str">
        <f>IF(OR(D274="",D274="-"),"",VLOOKUP(D274,'Fatores de Emissão'!$E$192:$K$201,6,FALSE))</f>
        <v/>
      </c>
      <c r="L274" s="478" t="str">
        <f>IF($D274="","",IF($H274="kg/p.km",$F274*$G274*I274/1000,$F274*#REF!*I274/1000))</f>
        <v/>
      </c>
      <c r="M274" s="478" t="str">
        <f>IF($D274="","",IF($H274="kg/p.km",$F274*$G274*J274/1000,$F274*#REF!*J274/1000))</f>
        <v/>
      </c>
      <c r="N274" s="478" t="str">
        <f>IF($D274="","",IF($H274="kg/p.km",$F274*$G274*K274/1000,$F274*#REF!*K274/1000))</f>
        <v/>
      </c>
      <c r="O274" s="451" t="str">
        <f t="shared" si="6"/>
        <v/>
      </c>
      <c r="P274" s="452"/>
    </row>
    <row r="275" spans="1:58" s="237" customFormat="1" ht="15" hidden="1" customHeight="1" outlineLevel="2" x14ac:dyDescent="0.25">
      <c r="A275" s="363"/>
      <c r="B275" s="1145"/>
      <c r="C275" s="1145"/>
      <c r="D275" s="1268"/>
      <c r="E275" s="1268"/>
      <c r="F275" s="438"/>
      <c r="G275" s="438"/>
      <c r="H275" s="1020" t="str">
        <f>IF(OR(D275="",D275="-"),"",VLOOKUP(D275,'Fatores de Emissão'!$E$192:$K$201,3,FALSE))</f>
        <v/>
      </c>
      <c r="I275" s="1111" t="str">
        <f>IF(OR(D275="",D275="-"),"",VLOOKUP(D275,'Fatores de Emissão'!$E$192:$K$201,2,FALSE))</f>
        <v/>
      </c>
      <c r="J275" s="1111" t="str">
        <f>IF(OR(D275="",D275="-"),"",VLOOKUP(D275,'Fatores de Emissão'!$E$192:$K$201,4,FALSE))</f>
        <v/>
      </c>
      <c r="K275" s="1111" t="str">
        <f>IF(OR(D275="",D275="-"),"",VLOOKUP(D275,'Fatores de Emissão'!$E$192:$K$201,6,FALSE))</f>
        <v/>
      </c>
      <c r="L275" s="478" t="str">
        <f>IF($D275="","",IF($H275="kg/p.km",$F275*$G275*I275/1000,$F275*#REF!*I275/1000))</f>
        <v/>
      </c>
      <c r="M275" s="478" t="str">
        <f>IF($D275="","",IF($H275="kg/p.km",$F275*$G275*J275/1000,$F275*#REF!*J275/1000))</f>
        <v/>
      </c>
      <c r="N275" s="478" t="str">
        <f>IF($D275="","",IF($H275="kg/p.km",$F275*$G275*K275/1000,$F275*#REF!*K275/1000))</f>
        <v/>
      </c>
      <c r="O275" s="451" t="str">
        <f t="shared" si="6"/>
        <v/>
      </c>
      <c r="P275" s="452"/>
    </row>
    <row r="276" spans="1:58" s="237" customFormat="1" ht="15" hidden="1" customHeight="1" outlineLevel="2" x14ac:dyDescent="0.25">
      <c r="A276" s="363"/>
      <c r="B276" s="1145"/>
      <c r="C276" s="1145"/>
      <c r="D276" s="1268"/>
      <c r="E276" s="1268"/>
      <c r="F276" s="438"/>
      <c r="G276" s="438"/>
      <c r="H276" s="1020" t="str">
        <f>IF(OR(D276="",D276="-"),"",VLOOKUP(D276,'Fatores de Emissão'!$E$192:$K$201,3,FALSE))</f>
        <v/>
      </c>
      <c r="I276" s="1111" t="str">
        <f>IF(OR(D276="",D276="-"),"",VLOOKUP(D276,'Fatores de Emissão'!$E$192:$K$201,2,FALSE))</f>
        <v/>
      </c>
      <c r="J276" s="1111" t="str">
        <f>IF(OR(D276="",D276="-"),"",VLOOKUP(D276,'Fatores de Emissão'!$E$192:$K$201,4,FALSE))</f>
        <v/>
      </c>
      <c r="K276" s="1111" t="str">
        <f>IF(OR(D276="",D276="-"),"",VLOOKUP(D276,'Fatores de Emissão'!$E$192:$K$201,6,FALSE))</f>
        <v/>
      </c>
      <c r="L276" s="478" t="str">
        <f>IF($D276="","",IF($H276="kg/p.km",$F276*$G276*I276/1000,$F276*#REF!*I276/1000))</f>
        <v/>
      </c>
      <c r="M276" s="478" t="str">
        <f>IF($D276="","",IF($H276="kg/p.km",$F276*$G276*J276/1000,$F276*#REF!*J276/1000))</f>
        <v/>
      </c>
      <c r="N276" s="478" t="str">
        <f>IF($D276="","",IF($H276="kg/p.km",$F276*$G276*K276/1000,$F276*#REF!*K276/1000))</f>
        <v/>
      </c>
      <c r="O276" s="451" t="str">
        <f t="shared" si="6"/>
        <v/>
      </c>
      <c r="P276" s="452"/>
    </row>
    <row r="277" spans="1:58" s="237" customFormat="1" ht="15" hidden="1" customHeight="1" outlineLevel="2" x14ac:dyDescent="0.25">
      <c r="A277" s="363"/>
      <c r="B277" s="1145"/>
      <c r="C277" s="1145"/>
      <c r="D277" s="1268"/>
      <c r="E277" s="1268"/>
      <c r="F277" s="438"/>
      <c r="G277" s="438"/>
      <c r="H277" s="1020" t="str">
        <f>IF(OR(D277="",D277="-"),"",VLOOKUP(D277,'Fatores de Emissão'!$E$192:$K$201,3,FALSE))</f>
        <v/>
      </c>
      <c r="I277" s="1111" t="str">
        <f>IF(OR(D277="",D277="-"),"",VLOOKUP(D277,'Fatores de Emissão'!$E$192:$K$201,2,FALSE))</f>
        <v/>
      </c>
      <c r="J277" s="1111" t="str">
        <f>IF(OR(D277="",D277="-"),"",VLOOKUP(D277,'Fatores de Emissão'!$E$192:$K$201,4,FALSE))</f>
        <v/>
      </c>
      <c r="K277" s="1111" t="str">
        <f>IF(OR(D277="",D277="-"),"",VLOOKUP(D277,'Fatores de Emissão'!$E$192:$K$201,6,FALSE))</f>
        <v/>
      </c>
      <c r="L277" s="478" t="str">
        <f>IF($D277="","",IF($H277="kg/p.km",$F277*$G277*I277/1000,$F277*#REF!*I277/1000))</f>
        <v/>
      </c>
      <c r="M277" s="478" t="str">
        <f>IF($D277="","",IF($H277="kg/p.km",$F277*$G277*J277/1000,$F277*#REF!*J277/1000))</f>
        <v/>
      </c>
      <c r="N277" s="478" t="str">
        <f>IF($D277="","",IF($H277="kg/p.km",$F277*$G277*K277/1000,$F277*#REF!*K277/1000))</f>
        <v/>
      </c>
      <c r="O277" s="451" t="str">
        <f t="shared" si="6"/>
        <v/>
      </c>
      <c r="P277" s="452"/>
    </row>
    <row r="278" spans="1:58" s="237" customFormat="1" ht="15" hidden="1" customHeight="1" outlineLevel="2" x14ac:dyDescent="0.25">
      <c r="A278" s="363"/>
      <c r="B278" s="1145"/>
      <c r="C278" s="1145"/>
      <c r="D278" s="1268"/>
      <c r="E278" s="1268"/>
      <c r="F278" s="438"/>
      <c r="G278" s="438"/>
      <c r="H278" s="1020" t="str">
        <f>IF(OR(D278="",D278="-"),"",VLOOKUP(D278,'Fatores de Emissão'!$E$192:$K$201,3,FALSE))</f>
        <v/>
      </c>
      <c r="I278" s="1111" t="str">
        <f>IF(OR(D278="",D278="-"),"",VLOOKUP(D278,'Fatores de Emissão'!$E$192:$K$201,2,FALSE))</f>
        <v/>
      </c>
      <c r="J278" s="1111" t="str">
        <f>IF(OR(D278="",D278="-"),"",VLOOKUP(D278,'Fatores de Emissão'!$E$192:$K$201,4,FALSE))</f>
        <v/>
      </c>
      <c r="K278" s="1111" t="str">
        <f>IF(OR(D278="",D278="-"),"",VLOOKUP(D278,'Fatores de Emissão'!$E$192:$K$201,6,FALSE))</f>
        <v/>
      </c>
      <c r="L278" s="478" t="str">
        <f>IF($D278="","",IF($H278="kg/p.km",$F278*$G278*I278/1000,$F278*#REF!*I278/1000))</f>
        <v/>
      </c>
      <c r="M278" s="478" t="str">
        <f>IF($D278="","",IF($H278="kg/p.km",$F278*$G278*J278/1000,$F278*#REF!*J278/1000))</f>
        <v/>
      </c>
      <c r="N278" s="478" t="str">
        <f>IF($D278="","",IF($H278="kg/p.km",$F278*$G278*K278/1000,$F278*#REF!*K278/1000))</f>
        <v/>
      </c>
      <c r="O278" s="451" t="str">
        <f t="shared" si="6"/>
        <v/>
      </c>
      <c r="P278" s="452"/>
    </row>
    <row r="279" spans="1:58" s="237" customFormat="1" ht="15" hidden="1" customHeight="1" outlineLevel="2" x14ac:dyDescent="0.25">
      <c r="A279" s="363"/>
      <c r="B279" s="1145"/>
      <c r="C279" s="1145"/>
      <c r="D279" s="1268"/>
      <c r="E279" s="1268"/>
      <c r="F279" s="438"/>
      <c r="G279" s="438"/>
      <c r="H279" s="1020" t="str">
        <f>IF(OR(D279="",D279="-"),"",VLOOKUP(D279,'Fatores de Emissão'!$E$192:$K$201,3,FALSE))</f>
        <v/>
      </c>
      <c r="I279" s="1111" t="str">
        <f>IF(OR(D279="",D279="-"),"",VLOOKUP(D279,'Fatores de Emissão'!$E$192:$K$201,2,FALSE))</f>
        <v/>
      </c>
      <c r="J279" s="1111" t="str">
        <f>IF(OR(D279="",D279="-"),"",VLOOKUP(D279,'Fatores de Emissão'!$E$192:$K$201,4,FALSE))</f>
        <v/>
      </c>
      <c r="K279" s="1111" t="str">
        <f>IF(OR(D279="",D279="-"),"",VLOOKUP(D279,'Fatores de Emissão'!$E$192:$K$201,6,FALSE))</f>
        <v/>
      </c>
      <c r="L279" s="478" t="str">
        <f>IF($D279="","",IF($H279="kg/p.km",$F279*$G279*I279/1000,$F279*#REF!*I279/1000))</f>
        <v/>
      </c>
      <c r="M279" s="478" t="str">
        <f>IF($D279="","",IF($H279="kg/p.km",$F279*$G279*J279/1000,$F279*#REF!*J279/1000))</f>
        <v/>
      </c>
      <c r="N279" s="478" t="str">
        <f>IF($D279="","",IF($H279="kg/p.km",$F279*$G279*K279/1000,$F279*#REF!*K279/1000))</f>
        <v/>
      </c>
      <c r="O279" s="451" t="str">
        <f t="shared" si="6"/>
        <v/>
      </c>
      <c r="P279" s="452"/>
    </row>
    <row r="280" spans="1:58" s="237" customFormat="1" ht="15" hidden="1" customHeight="1" outlineLevel="2" x14ac:dyDescent="0.25">
      <c r="A280" s="363"/>
      <c r="B280" s="1145"/>
      <c r="C280" s="1145"/>
      <c r="D280" s="1268"/>
      <c r="E280" s="1268"/>
      <c r="F280" s="438"/>
      <c r="G280" s="438"/>
      <c r="H280" s="1020" t="str">
        <f>IF(OR(D280="",D280="-"),"",VLOOKUP(D280,'Fatores de Emissão'!$E$192:$K$201,3,FALSE))</f>
        <v/>
      </c>
      <c r="I280" s="1111" t="str">
        <f>IF(OR(D280="",D280="-"),"",VLOOKUP(D280,'Fatores de Emissão'!$E$192:$K$201,2,FALSE))</f>
        <v/>
      </c>
      <c r="J280" s="1111" t="str">
        <f>IF(OR(D280="",D280="-"),"",VLOOKUP(D280,'Fatores de Emissão'!$E$192:$K$201,4,FALSE))</f>
        <v/>
      </c>
      <c r="K280" s="1111" t="str">
        <f>IF(OR(D280="",D280="-"),"",VLOOKUP(D280,'Fatores de Emissão'!$E$192:$K$201,6,FALSE))</f>
        <v/>
      </c>
      <c r="L280" s="478" t="str">
        <f>IF($D280="","",IF($H280="kg/p.km",$F280*$G280*I280/1000,$F280*#REF!*I280/1000))</f>
        <v/>
      </c>
      <c r="M280" s="478" t="str">
        <f>IF($D280="","",IF($H280="kg/p.km",$F280*$G280*J280/1000,$F280*#REF!*J280/1000))</f>
        <v/>
      </c>
      <c r="N280" s="478" t="str">
        <f>IF($D280="","",IF($H280="kg/p.km",$F280*$G280*K280/1000,$F280*#REF!*K280/1000))</f>
        <v/>
      </c>
      <c r="O280" s="451" t="str">
        <f t="shared" si="6"/>
        <v/>
      </c>
      <c r="P280" s="452"/>
    </row>
    <row r="281" spans="1:58" s="237" customFormat="1" ht="15" hidden="1" customHeight="1" outlineLevel="2" x14ac:dyDescent="0.25">
      <c r="A281" s="363"/>
      <c r="B281" s="1145"/>
      <c r="C281" s="1145"/>
      <c r="D281" s="1268"/>
      <c r="E281" s="1268"/>
      <c r="F281" s="438"/>
      <c r="G281" s="438"/>
      <c r="H281" s="1020" t="str">
        <f>IF(OR(D281="",D281="-"),"",VLOOKUP(D281,'Fatores de Emissão'!$E$192:$K$201,3,FALSE))</f>
        <v/>
      </c>
      <c r="I281" s="1111" t="str">
        <f>IF(OR(D281="",D281="-"),"",VLOOKUP(D281,'Fatores de Emissão'!$E$192:$K$201,2,FALSE))</f>
        <v/>
      </c>
      <c r="J281" s="1111" t="str">
        <f>IF(OR(D281="",D281="-"),"",VLOOKUP(D281,'Fatores de Emissão'!$E$192:$K$201,4,FALSE))</f>
        <v/>
      </c>
      <c r="K281" s="1111" t="str">
        <f>IF(OR(D281="",D281="-"),"",VLOOKUP(D281,'Fatores de Emissão'!$E$192:$K$201,6,FALSE))</f>
        <v/>
      </c>
      <c r="L281" s="478" t="str">
        <f>IF($D281="","",IF($H281="kg/p.km",$F281*$G281*I281/1000,$F281*#REF!*I281/1000))</f>
        <v/>
      </c>
      <c r="M281" s="478" t="str">
        <f>IF($D281="","",IF($H281="kg/p.km",$F281*$G281*J281/1000,$F281*#REF!*J281/1000))</f>
        <v/>
      </c>
      <c r="N281" s="478" t="str">
        <f>IF($D281="","",IF($H281="kg/p.km",$F281*$G281*K281/1000,$F281*#REF!*K281/1000))</f>
        <v/>
      </c>
      <c r="O281" s="451" t="str">
        <f t="shared" si="6"/>
        <v/>
      </c>
      <c r="P281" s="452"/>
    </row>
    <row r="282" spans="1:58" s="237" customFormat="1" ht="15" hidden="1" customHeight="1" outlineLevel="2" x14ac:dyDescent="0.25">
      <c r="A282" s="363"/>
      <c r="B282" s="1145"/>
      <c r="C282" s="1145"/>
      <c r="D282" s="1268"/>
      <c r="E282" s="1268"/>
      <c r="F282" s="438"/>
      <c r="G282" s="438"/>
      <c r="H282" s="1020" t="str">
        <f>IF(OR(D282="",D282="-"),"",VLOOKUP(D282,'Fatores de Emissão'!$E$192:$K$201,3,FALSE))</f>
        <v/>
      </c>
      <c r="I282" s="1111" t="str">
        <f>IF(OR(D282="",D282="-"),"",VLOOKUP(D282,'Fatores de Emissão'!$E$192:$K$201,2,FALSE))</f>
        <v/>
      </c>
      <c r="J282" s="1111" t="str">
        <f>IF(OR(D282="",D282="-"),"",VLOOKUP(D282,'Fatores de Emissão'!$E$192:$K$201,4,FALSE))</f>
        <v/>
      </c>
      <c r="K282" s="1111" t="str">
        <f>IF(OR(D282="",D282="-"),"",VLOOKUP(D282,'Fatores de Emissão'!$E$192:$K$201,6,FALSE))</f>
        <v/>
      </c>
      <c r="L282" s="478" t="str">
        <f>IF($D282="","",IF($H282="kg/p.km",$F282*$G282*I282/1000,$F282*#REF!*I282/1000))</f>
        <v/>
      </c>
      <c r="M282" s="478" t="str">
        <f>IF($D282="","",IF($H282="kg/p.km",$F282*$G282*J282/1000,$F282*#REF!*J282/1000))</f>
        <v/>
      </c>
      <c r="N282" s="478" t="str">
        <f>IF($D282="","",IF($H282="kg/p.km",$F282*$G282*K282/1000,$F282*#REF!*K282/1000))</f>
        <v/>
      </c>
      <c r="O282" s="451" t="str">
        <f t="shared" si="6"/>
        <v/>
      </c>
      <c r="P282" s="452"/>
    </row>
    <row r="283" spans="1:58" s="237" customFormat="1" ht="15" hidden="1" customHeight="1" outlineLevel="2" x14ac:dyDescent="0.25">
      <c r="A283" s="363"/>
      <c r="B283" s="1145"/>
      <c r="C283" s="1145"/>
      <c r="D283" s="1268"/>
      <c r="E283" s="1268"/>
      <c r="F283" s="438"/>
      <c r="G283" s="438"/>
      <c r="H283" s="1020" t="str">
        <f>IF(OR(D283="",D283="-"),"",VLOOKUP(D283,'Fatores de Emissão'!$E$192:$K$201,3,FALSE))</f>
        <v/>
      </c>
      <c r="I283" s="1111" t="str">
        <f>IF(OR(D283="",D283="-"),"",VLOOKUP(D283,'Fatores de Emissão'!$E$192:$K$201,2,FALSE))</f>
        <v/>
      </c>
      <c r="J283" s="1111" t="str">
        <f>IF(OR(D283="",D283="-"),"",VLOOKUP(D283,'Fatores de Emissão'!$E$192:$K$201,4,FALSE))</f>
        <v/>
      </c>
      <c r="K283" s="1111" t="str">
        <f>IF(OR(D283="",D283="-"),"",VLOOKUP(D283,'Fatores de Emissão'!$E$192:$K$201,6,FALSE))</f>
        <v/>
      </c>
      <c r="L283" s="478" t="str">
        <f>IF($D283="","",IF($H283="kg/p.km",$F283*$G283*I283/1000,$F283*#REF!*I283/1000))</f>
        <v/>
      </c>
      <c r="M283" s="478" t="str">
        <f>IF($D283="","",IF($H283="kg/p.km",$F283*$G283*J283/1000,$F283*#REF!*J283/1000))</f>
        <v/>
      </c>
      <c r="N283" s="478" t="str">
        <f>IF($D283="","",IF($H283="kg/p.km",$F283*$G283*K283/1000,$F283*#REF!*K283/1000))</f>
        <v/>
      </c>
      <c r="O283" s="451" t="str">
        <f t="shared" si="6"/>
        <v/>
      </c>
      <c r="P283" s="452"/>
    </row>
    <row r="284" spans="1:58" s="237" customFormat="1" ht="15" customHeight="1" outlineLevel="1" x14ac:dyDescent="0.25">
      <c r="A284" s="363"/>
      <c r="B284" s="449"/>
      <c r="C284" s="363"/>
      <c r="D284" s="363"/>
      <c r="E284" s="363"/>
      <c r="F284" s="363"/>
      <c r="G284" s="363"/>
      <c r="H284" s="363"/>
      <c r="I284" s="1278" t="s">
        <v>78</v>
      </c>
      <c r="J284" s="1279"/>
      <c r="K284" s="1280"/>
      <c r="L284" s="487">
        <f>SUM(L234:L283)</f>
        <v>0</v>
      </c>
      <c r="M284" s="487">
        <f>SUM(M234:M283)</f>
        <v>0</v>
      </c>
      <c r="N284" s="487">
        <f>SUM(N234:N283)</f>
        <v>0</v>
      </c>
      <c r="O284" s="487">
        <f>SUM(O234:O283)</f>
        <v>0</v>
      </c>
      <c r="P284" s="487">
        <f>SUM(P234:P283)</f>
        <v>0</v>
      </c>
    </row>
    <row r="285" spans="1:58" s="237" customFormat="1" ht="15" customHeight="1" x14ac:dyDescent="0.25">
      <c r="A285" s="363"/>
      <c r="B285" s="388"/>
      <c r="C285" s="373"/>
      <c r="D285" s="442"/>
      <c r="E285" s="442"/>
      <c r="F285" s="373"/>
      <c r="G285" s="373"/>
      <c r="H285" s="373"/>
      <c r="I285" s="373"/>
      <c r="J285" s="373"/>
      <c r="K285" s="373"/>
      <c r="L285" s="373"/>
      <c r="M285" s="373"/>
      <c r="N285" s="373"/>
      <c r="O285" s="373"/>
      <c r="P285" s="373"/>
      <c r="Q285" s="373"/>
      <c r="R285" s="373"/>
      <c r="S285" s="373"/>
      <c r="T285" s="373"/>
      <c r="U285" s="373"/>
      <c r="V285" s="363"/>
      <c r="W285" s="373"/>
      <c r="X285" s="373"/>
      <c r="Z285" s="373"/>
      <c r="AA285" s="373"/>
      <c r="AB285" s="373"/>
    </row>
    <row r="286" spans="1:58" s="463" customFormat="1" ht="18" customHeight="1" x14ac:dyDescent="0.3">
      <c r="A286" s="464"/>
      <c r="B286" s="465" t="s">
        <v>2144</v>
      </c>
      <c r="C286" s="466"/>
      <c r="D286" s="466"/>
      <c r="E286" s="466"/>
      <c r="F286" s="466"/>
      <c r="G286" s="466"/>
      <c r="H286" s="466"/>
      <c r="I286" s="466"/>
      <c r="J286" s="466"/>
      <c r="K286" s="466"/>
      <c r="L286" s="466"/>
      <c r="M286" s="466"/>
      <c r="N286" s="466"/>
      <c r="O286" s="466"/>
      <c r="P286" s="466"/>
      <c r="Q286" s="466"/>
      <c r="R286" s="466"/>
      <c r="S286" s="466"/>
      <c r="T286" s="466"/>
      <c r="U286" s="466"/>
      <c r="V286" s="466"/>
      <c r="W286" s="466"/>
      <c r="X286" s="466"/>
      <c r="Y286" s="466"/>
      <c r="Z286" s="466"/>
      <c r="AA286" s="466"/>
      <c r="AB286" s="466"/>
      <c r="AC286" s="466"/>
      <c r="AD286" s="466"/>
      <c r="AE286" s="466"/>
      <c r="AF286" s="466"/>
      <c r="AG286" s="466"/>
      <c r="AH286" s="466"/>
      <c r="AI286" s="466"/>
      <c r="AJ286" s="466"/>
      <c r="AK286" s="466"/>
      <c r="AL286" s="466"/>
      <c r="AM286" s="466"/>
      <c r="AN286" s="466"/>
      <c r="AO286" s="466"/>
      <c r="AP286" s="466"/>
      <c r="AQ286" s="466"/>
      <c r="AR286" s="466"/>
      <c r="AS286" s="466"/>
      <c r="AT286" s="466"/>
      <c r="AU286" s="466"/>
      <c r="AV286" s="466"/>
      <c r="AW286" s="466"/>
      <c r="AX286" s="466"/>
      <c r="AY286" s="466"/>
      <c r="AZ286" s="466"/>
      <c r="BA286" s="466"/>
      <c r="BB286" s="466"/>
      <c r="BC286" s="466"/>
      <c r="BD286" s="466"/>
      <c r="BE286" s="466"/>
      <c r="BF286" s="467"/>
    </row>
    <row r="287" spans="1:58" ht="15.75" customHeight="1" x14ac:dyDescent="0.2">
      <c r="A287" s="339"/>
      <c r="B287" s="339"/>
      <c r="C287" s="339"/>
      <c r="D287" s="339"/>
      <c r="E287" s="339"/>
      <c r="F287" s="339"/>
      <c r="G287" s="339"/>
      <c r="H287" s="339"/>
      <c r="I287" s="339"/>
      <c r="J287" s="339"/>
      <c r="K287" s="339"/>
      <c r="L287" s="339"/>
      <c r="M287" s="339"/>
      <c r="N287" s="339"/>
      <c r="O287" s="339"/>
      <c r="P287" s="339"/>
      <c r="Q287" s="339"/>
      <c r="R287" s="339"/>
      <c r="S287" s="339"/>
      <c r="T287" s="339"/>
      <c r="U287" s="339"/>
      <c r="V287" s="339"/>
      <c r="W287" s="339"/>
      <c r="X287" s="339"/>
      <c r="Y287" s="339"/>
      <c r="Z287" s="339"/>
      <c r="AA287" s="339"/>
      <c r="AB287" s="339"/>
    </row>
    <row r="288" spans="1:58" ht="15" x14ac:dyDescent="0.25">
      <c r="A288" s="339"/>
      <c r="B288" s="362" t="s">
        <v>2143</v>
      </c>
      <c r="C288" s="338"/>
      <c r="D288" s="338"/>
      <c r="E288" s="339"/>
      <c r="F288" s="339"/>
      <c r="G288" s="339"/>
      <c r="H288" s="339"/>
      <c r="I288" s="339"/>
      <c r="J288" s="339"/>
      <c r="K288" s="339"/>
      <c r="L288" s="339"/>
      <c r="M288" s="339"/>
      <c r="N288" s="339"/>
      <c r="O288" s="339"/>
      <c r="P288" s="339"/>
      <c r="Q288" s="339"/>
      <c r="R288" s="339"/>
      <c r="S288" s="339"/>
      <c r="T288" s="339"/>
      <c r="U288" s="339"/>
      <c r="V288" s="339"/>
      <c r="W288" s="339"/>
      <c r="X288" s="339"/>
      <c r="Y288" s="339"/>
      <c r="Z288" s="339"/>
      <c r="AA288" s="339"/>
      <c r="AB288" s="339"/>
    </row>
    <row r="289" spans="1:28" ht="5.0999999999999996" customHeight="1" thickBot="1" x14ac:dyDescent="0.25">
      <c r="A289" s="339"/>
      <c r="B289" s="339"/>
      <c r="C289" s="339"/>
      <c r="D289" s="339"/>
      <c r="E289" s="339"/>
      <c r="F289" s="339"/>
      <c r="G289" s="339"/>
      <c r="H289" s="339"/>
      <c r="I289" s="339"/>
      <c r="J289" s="339"/>
      <c r="K289" s="339"/>
      <c r="L289" s="339"/>
      <c r="M289" s="339"/>
      <c r="N289" s="339"/>
      <c r="O289" s="339"/>
      <c r="P289" s="339"/>
      <c r="Q289" s="339"/>
      <c r="R289" s="339"/>
      <c r="S289" s="339"/>
      <c r="T289" s="339"/>
      <c r="U289" s="339"/>
      <c r="V289" s="339"/>
      <c r="W289" s="339"/>
      <c r="X289" s="339"/>
      <c r="Y289" s="339"/>
      <c r="Z289" s="339"/>
      <c r="AA289" s="339"/>
      <c r="AB289" s="339"/>
    </row>
    <row r="290" spans="1:28" ht="30" customHeight="1" thickBot="1" x14ac:dyDescent="0.25">
      <c r="A290" s="339"/>
      <c r="B290" s="409" t="s">
        <v>1407</v>
      </c>
      <c r="C290" s="347"/>
      <c r="D290" s="347"/>
      <c r="E290" s="347"/>
      <c r="F290" s="489">
        <f>SUM(total_CM_rod_opcao2_CO2e,total_CM_rod_opcao3_CO2e,total_CM_ferro_CO2e,total_CM_hidro_CO2e)</f>
        <v>0</v>
      </c>
      <c r="G290" s="419"/>
      <c r="H290" s="339"/>
      <c r="I290" s="339"/>
      <c r="J290" s="339"/>
      <c r="K290" s="339"/>
      <c r="L290" s="339"/>
      <c r="M290" s="339"/>
      <c r="N290" s="339"/>
      <c r="O290" s="339"/>
      <c r="P290" s="339"/>
      <c r="Q290" s="339"/>
      <c r="R290" s="339"/>
      <c r="S290" s="339"/>
      <c r="T290" s="339"/>
      <c r="U290" s="339"/>
      <c r="V290" s="339"/>
      <c r="W290" s="339"/>
      <c r="X290" s="339"/>
      <c r="Y290" s="339"/>
      <c r="Z290" s="339"/>
      <c r="AA290" s="339"/>
      <c r="AB290" s="339"/>
    </row>
    <row r="291" spans="1:28" ht="5.0999999999999996" customHeight="1" thickBot="1" x14ac:dyDescent="0.25">
      <c r="A291" s="339"/>
      <c r="B291" s="339"/>
      <c r="C291" s="339"/>
      <c r="D291" s="339"/>
      <c r="E291" s="339"/>
      <c r="F291" s="339"/>
      <c r="G291" s="339"/>
      <c r="H291" s="339"/>
      <c r="I291" s="339"/>
      <c r="J291" s="339"/>
      <c r="K291" s="339"/>
      <c r="L291" s="339"/>
      <c r="M291" s="339"/>
      <c r="N291" s="339"/>
      <c r="O291" s="339"/>
      <c r="P291" s="339"/>
      <c r="Q291" s="339"/>
      <c r="R291" s="339"/>
      <c r="S291" s="339"/>
      <c r="T291" s="339"/>
      <c r="U291" s="339"/>
      <c r="V291" s="339"/>
      <c r="W291" s="339"/>
      <c r="X291" s="339"/>
      <c r="Y291" s="339"/>
      <c r="Z291" s="339"/>
      <c r="AA291" s="339"/>
      <c r="AB291" s="339"/>
    </row>
    <row r="292" spans="1:28" ht="30" customHeight="1" thickBot="1" x14ac:dyDescent="0.25">
      <c r="A292" s="339"/>
      <c r="B292" s="410" t="s">
        <v>1504</v>
      </c>
      <c r="C292" s="348"/>
      <c r="D292" s="348"/>
      <c r="E292" s="348"/>
      <c r="F292" s="490">
        <f>SUM(total_CM_rod_opcao2_CO2bio,total_CM_rod_opcao3_CO2bio,total_CM_ferro_CO2bio, total_CM_hidro_CO2bio)</f>
        <v>0</v>
      </c>
      <c r="G292" s="419"/>
      <c r="H292" s="339"/>
      <c r="I292" s="339"/>
      <c r="J292" s="339"/>
      <c r="K292" s="339"/>
      <c r="L292" s="339"/>
      <c r="M292" s="339"/>
      <c r="N292" s="339"/>
      <c r="O292" s="339"/>
      <c r="P292" s="339"/>
      <c r="Q292" s="339"/>
      <c r="R292" s="339"/>
      <c r="S292" s="339"/>
      <c r="T292" s="339"/>
      <c r="U292" s="339"/>
      <c r="V292" s="339"/>
      <c r="W292" s="339"/>
      <c r="X292" s="339"/>
      <c r="Y292" s="339"/>
      <c r="Z292" s="339"/>
      <c r="AA292" s="339"/>
      <c r="AB292" s="339"/>
    </row>
    <row r="293" spans="1:28" ht="15" customHeight="1" x14ac:dyDescent="0.2">
      <c r="A293" s="339"/>
      <c r="B293" s="339"/>
      <c r="C293" s="339"/>
      <c r="D293" s="339"/>
      <c r="E293" s="339"/>
      <c r="F293" s="339"/>
      <c r="G293" s="339"/>
      <c r="H293" s="339"/>
      <c r="I293" s="339"/>
      <c r="J293" s="339"/>
      <c r="K293" s="339"/>
      <c r="L293" s="339"/>
      <c r="M293" s="339"/>
      <c r="N293" s="339"/>
      <c r="O293" s="339"/>
      <c r="P293" s="339"/>
      <c r="Q293" s="339"/>
      <c r="R293" s="339"/>
      <c r="S293" s="339"/>
      <c r="T293" s="339"/>
      <c r="U293" s="339"/>
      <c r="V293" s="339"/>
      <c r="W293" s="339"/>
      <c r="X293" s="339"/>
      <c r="Y293" s="339"/>
      <c r="Z293" s="339"/>
      <c r="AA293" s="339"/>
      <c r="AB293" s="339"/>
    </row>
    <row r="294" spans="1:28" ht="15" customHeight="1" x14ac:dyDescent="0.25">
      <c r="A294" s="339"/>
      <c r="B294" s="362"/>
      <c r="C294" s="339"/>
      <c r="D294" s="339"/>
      <c r="E294" s="339"/>
      <c r="F294" s="339"/>
      <c r="G294" s="339"/>
      <c r="H294" s="339"/>
      <c r="I294" s="339"/>
      <c r="J294" s="339"/>
      <c r="K294" s="339"/>
      <c r="L294" s="339"/>
      <c r="M294" s="339"/>
      <c r="N294" s="339"/>
      <c r="O294" s="339"/>
      <c r="P294" s="339"/>
      <c r="Q294" s="339"/>
      <c r="R294" s="339"/>
      <c r="S294" s="339"/>
      <c r="T294" s="339"/>
      <c r="U294" s="339"/>
      <c r="V294" s="339"/>
      <c r="W294" s="339"/>
      <c r="X294" s="339"/>
      <c r="Y294" s="339"/>
      <c r="Z294" s="339"/>
      <c r="AA294" s="339"/>
      <c r="AB294" s="339"/>
    </row>
    <row r="295" spans="1:28" ht="15" customHeight="1" x14ac:dyDescent="0.25">
      <c r="A295" s="339"/>
      <c r="B295" s="491"/>
      <c r="C295" s="339"/>
      <c r="D295" s="339"/>
      <c r="E295" s="339"/>
      <c r="F295" s="339"/>
      <c r="G295" s="339"/>
      <c r="H295" s="339"/>
      <c r="I295" s="339"/>
      <c r="J295" s="339"/>
      <c r="K295" s="339"/>
      <c r="L295" s="339"/>
      <c r="M295" s="339"/>
      <c r="N295" s="339"/>
      <c r="O295" s="339"/>
      <c r="P295" s="339"/>
      <c r="Q295" s="339"/>
      <c r="R295" s="339"/>
      <c r="S295" s="339"/>
      <c r="T295" s="339"/>
      <c r="U295" s="339"/>
      <c r="V295" s="339"/>
      <c r="W295" s="339"/>
      <c r="X295" s="339"/>
      <c r="Y295" s="339"/>
      <c r="Z295" s="339"/>
      <c r="AA295" s="339"/>
      <c r="AB295" s="339"/>
    </row>
    <row r="296" spans="1:28" ht="15.75" customHeight="1" x14ac:dyDescent="0.2">
      <c r="E296" s="420"/>
    </row>
    <row r="297" spans="1:28" ht="15.75" hidden="1" customHeight="1" x14ac:dyDescent="0.2"/>
    <row r="298" spans="1:28" ht="15" hidden="1" customHeight="1" x14ac:dyDescent="0.2"/>
    <row r="299" spans="1:28" ht="15" hidden="1" customHeight="1" x14ac:dyDescent="0.2"/>
    <row r="300" spans="1:28" ht="15" hidden="1" customHeight="1" x14ac:dyDescent="0.2"/>
    <row r="301" spans="1:28" ht="15" hidden="1" customHeight="1" x14ac:dyDescent="0.2"/>
    <row r="302" spans="1:28" ht="15" hidden="1" customHeight="1" x14ac:dyDescent="0.2"/>
    <row r="303" spans="1:28" ht="15" hidden="1" customHeight="1" x14ac:dyDescent="0.2"/>
    <row r="304" spans="1:28" ht="15" hidden="1" customHeight="1" x14ac:dyDescent="0.2"/>
    <row r="305" ht="15" hidden="1" customHeight="1" x14ac:dyDescent="0.2"/>
    <row r="306" ht="15" hidden="1" customHeight="1" x14ac:dyDescent="0.2"/>
    <row r="307" ht="15" hidden="1" customHeight="1" x14ac:dyDescent="0.2"/>
    <row r="308" ht="15" hidden="1" customHeight="1" x14ac:dyDescent="0.2"/>
    <row r="309" ht="15" hidden="1" customHeight="1" x14ac:dyDescent="0.2"/>
    <row r="310" ht="15" hidden="1" customHeight="1" x14ac:dyDescent="0.2"/>
    <row r="311" ht="15" hidden="1" customHeight="1" x14ac:dyDescent="0.2"/>
    <row r="312" ht="15" hidden="1" customHeight="1" x14ac:dyDescent="0.2"/>
    <row r="313" ht="15" hidden="1" customHeight="1" x14ac:dyDescent="0.2"/>
    <row r="314" ht="15" hidden="1" customHeight="1" x14ac:dyDescent="0.2"/>
    <row r="315" ht="15" hidden="1" customHeight="1" x14ac:dyDescent="0.2"/>
    <row r="316" ht="15" hidden="1" customHeight="1" x14ac:dyDescent="0.2"/>
    <row r="317" ht="15" hidden="1" customHeight="1" x14ac:dyDescent="0.2"/>
    <row r="318" ht="15" hidden="1" customHeight="1" x14ac:dyDescent="0.2"/>
    <row r="319" ht="15" hidden="1" customHeight="1" x14ac:dyDescent="0.2"/>
    <row r="320" ht="15" hidden="1" customHeight="1" x14ac:dyDescent="0.2"/>
    <row r="321" ht="15" hidden="1" customHeight="1" x14ac:dyDescent="0.2"/>
    <row r="322" ht="15" hidden="1" customHeight="1" x14ac:dyDescent="0.2"/>
    <row r="323" ht="15" hidden="1" customHeight="1" x14ac:dyDescent="0.2"/>
    <row r="324" ht="15" hidden="1" customHeight="1" x14ac:dyDescent="0.2"/>
    <row r="325" ht="15" hidden="1" customHeight="1" x14ac:dyDescent="0.2"/>
    <row r="326" ht="15" hidden="1" customHeight="1" x14ac:dyDescent="0.2"/>
    <row r="327" ht="15" hidden="1" customHeight="1" x14ac:dyDescent="0.2"/>
    <row r="328" ht="15" hidden="1" customHeight="1" x14ac:dyDescent="0.2"/>
    <row r="329" ht="15" hidden="1" customHeight="1" x14ac:dyDescent="0.2"/>
    <row r="330" ht="15" hidden="1" customHeight="1" x14ac:dyDescent="0.2"/>
    <row r="331" ht="15" hidden="1" customHeight="1" x14ac:dyDescent="0.2"/>
    <row r="332" ht="15" hidden="1" customHeight="1" x14ac:dyDescent="0.2"/>
    <row r="333" ht="15" hidden="1" customHeight="1" x14ac:dyDescent="0.2"/>
    <row r="334" ht="15" hidden="1" customHeight="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sheetData>
  <dataConsolidate/>
  <mergeCells count="205">
    <mergeCell ref="D280:E280"/>
    <mergeCell ref="D281:E281"/>
    <mergeCell ref="D282:E282"/>
    <mergeCell ref="D283:E283"/>
    <mergeCell ref="I284:K284"/>
    <mergeCell ref="D274:E274"/>
    <mergeCell ref="D275:E275"/>
    <mergeCell ref="D276:E276"/>
    <mergeCell ref="D277:E277"/>
    <mergeCell ref="D278:E278"/>
    <mergeCell ref="D279:E279"/>
    <mergeCell ref="D268:E268"/>
    <mergeCell ref="D269:E269"/>
    <mergeCell ref="D270:E270"/>
    <mergeCell ref="D271:E271"/>
    <mergeCell ref="D272:E272"/>
    <mergeCell ref="D273:E273"/>
    <mergeCell ref="D262:E262"/>
    <mergeCell ref="D263:E263"/>
    <mergeCell ref="D264:E264"/>
    <mergeCell ref="D265:E265"/>
    <mergeCell ref="D266:E266"/>
    <mergeCell ref="D267:E267"/>
    <mergeCell ref="D256:E256"/>
    <mergeCell ref="D257:E257"/>
    <mergeCell ref="D258:E258"/>
    <mergeCell ref="D259:E259"/>
    <mergeCell ref="D260:E260"/>
    <mergeCell ref="D261:E261"/>
    <mergeCell ref="D250:E250"/>
    <mergeCell ref="D251:E251"/>
    <mergeCell ref="D252:E252"/>
    <mergeCell ref="D253:E253"/>
    <mergeCell ref="D254:E254"/>
    <mergeCell ref="D255:E255"/>
    <mergeCell ref="D244:E244"/>
    <mergeCell ref="D245:E245"/>
    <mergeCell ref="D246:E246"/>
    <mergeCell ref="D247:E247"/>
    <mergeCell ref="D248:E248"/>
    <mergeCell ref="D249:E249"/>
    <mergeCell ref="D238:E238"/>
    <mergeCell ref="D239:E239"/>
    <mergeCell ref="D240:E240"/>
    <mergeCell ref="D241:E241"/>
    <mergeCell ref="D242:E242"/>
    <mergeCell ref="D243:E243"/>
    <mergeCell ref="P230:P232"/>
    <mergeCell ref="D233:E233"/>
    <mergeCell ref="D234:E234"/>
    <mergeCell ref="D235:E235"/>
    <mergeCell ref="D236:E236"/>
    <mergeCell ref="D237:E237"/>
    <mergeCell ref="H230:H232"/>
    <mergeCell ref="I230:K231"/>
    <mergeCell ref="L230:L232"/>
    <mergeCell ref="M230:M232"/>
    <mergeCell ref="N230:N232"/>
    <mergeCell ref="O230:O232"/>
    <mergeCell ref="D214:E214"/>
    <mergeCell ref="D215:E215"/>
    <mergeCell ref="D216:E216"/>
    <mergeCell ref="D217:E217"/>
    <mergeCell ref="I218:K218"/>
    <mergeCell ref="B230:B232"/>
    <mergeCell ref="C230:C232"/>
    <mergeCell ref="D230:E232"/>
    <mergeCell ref="F230:F232"/>
    <mergeCell ref="G230:G232"/>
    <mergeCell ref="D208:E208"/>
    <mergeCell ref="D209:E209"/>
    <mergeCell ref="D210:E210"/>
    <mergeCell ref="D211:E211"/>
    <mergeCell ref="D212:E212"/>
    <mergeCell ref="D213:E213"/>
    <mergeCell ref="D202:E202"/>
    <mergeCell ref="D203:E203"/>
    <mergeCell ref="D204:E204"/>
    <mergeCell ref="D205:E205"/>
    <mergeCell ref="D206:E206"/>
    <mergeCell ref="D207:E207"/>
    <mergeCell ref="D196:E196"/>
    <mergeCell ref="D197:E197"/>
    <mergeCell ref="D198:E198"/>
    <mergeCell ref="D199:E199"/>
    <mergeCell ref="D200:E200"/>
    <mergeCell ref="D201:E201"/>
    <mergeCell ref="D190:E190"/>
    <mergeCell ref="D191:E191"/>
    <mergeCell ref="D192:E192"/>
    <mergeCell ref="D193:E193"/>
    <mergeCell ref="D194:E194"/>
    <mergeCell ref="D195:E195"/>
    <mergeCell ref="D184:E184"/>
    <mergeCell ref="D185:E185"/>
    <mergeCell ref="D186:E186"/>
    <mergeCell ref="D187:E187"/>
    <mergeCell ref="D188:E188"/>
    <mergeCell ref="D189:E189"/>
    <mergeCell ref="D178:E178"/>
    <mergeCell ref="D179:E179"/>
    <mergeCell ref="D180:E180"/>
    <mergeCell ref="D181:E181"/>
    <mergeCell ref="D182:E182"/>
    <mergeCell ref="D183:E183"/>
    <mergeCell ref="D172:E172"/>
    <mergeCell ref="D173:E173"/>
    <mergeCell ref="D174:E174"/>
    <mergeCell ref="D175:E175"/>
    <mergeCell ref="D176:E176"/>
    <mergeCell ref="D177:E177"/>
    <mergeCell ref="P164:P166"/>
    <mergeCell ref="D167:E167"/>
    <mergeCell ref="D168:E168"/>
    <mergeCell ref="D169:E169"/>
    <mergeCell ref="D170:E170"/>
    <mergeCell ref="D171:E171"/>
    <mergeCell ref="H164:H166"/>
    <mergeCell ref="I164:K165"/>
    <mergeCell ref="L164:L166"/>
    <mergeCell ref="M164:M166"/>
    <mergeCell ref="N164:N166"/>
    <mergeCell ref="O164:O166"/>
    <mergeCell ref="K99:K101"/>
    <mergeCell ref="L99:L101"/>
    <mergeCell ref="M99:M101"/>
    <mergeCell ref="N99:N101"/>
    <mergeCell ref="O99:O101"/>
    <mergeCell ref="B164:B166"/>
    <mergeCell ref="C164:C166"/>
    <mergeCell ref="D164:E166"/>
    <mergeCell ref="F164:F166"/>
    <mergeCell ref="G164:G166"/>
    <mergeCell ref="D91:E91"/>
    <mergeCell ref="H92:J92"/>
    <mergeCell ref="B99:B101"/>
    <mergeCell ref="C99:C101"/>
    <mergeCell ref="D99:D101"/>
    <mergeCell ref="E99:E101"/>
    <mergeCell ref="F99:F101"/>
    <mergeCell ref="G99:G101"/>
    <mergeCell ref="H99:J100"/>
    <mergeCell ref="D85:E85"/>
    <mergeCell ref="D86:E86"/>
    <mergeCell ref="D87:E87"/>
    <mergeCell ref="D88:E88"/>
    <mergeCell ref="D89:E89"/>
    <mergeCell ref="D90:E90"/>
    <mergeCell ref="D79:E79"/>
    <mergeCell ref="D80:E80"/>
    <mergeCell ref="D81:E81"/>
    <mergeCell ref="D82:E82"/>
    <mergeCell ref="D83:E83"/>
    <mergeCell ref="D84:E84"/>
    <mergeCell ref="D73:E73"/>
    <mergeCell ref="D74:E74"/>
    <mergeCell ref="D75:E75"/>
    <mergeCell ref="D76:E76"/>
    <mergeCell ref="D77:E77"/>
    <mergeCell ref="D78:E78"/>
    <mergeCell ref="D67:E67"/>
    <mergeCell ref="D68:E68"/>
    <mergeCell ref="D69:E69"/>
    <mergeCell ref="D70:E70"/>
    <mergeCell ref="D71:E71"/>
    <mergeCell ref="D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K38:K40"/>
    <mergeCell ref="L38:L40"/>
    <mergeCell ref="M38:M40"/>
    <mergeCell ref="N38:N40"/>
    <mergeCell ref="D41:E41"/>
    <mergeCell ref="D42:E42"/>
    <mergeCell ref="D13:F13"/>
    <mergeCell ref="B15:I19"/>
    <mergeCell ref="B30:J31"/>
    <mergeCell ref="B38:B40"/>
    <mergeCell ref="C38:C40"/>
    <mergeCell ref="D38:E40"/>
    <mergeCell ref="F38:F40"/>
    <mergeCell ref="G38:G40"/>
    <mergeCell ref="H38:J39"/>
  </mergeCells>
  <conditionalFormatting sqref="D13:D14">
    <cfRule type="containsText" dxfId="4376" priority="1937" operator="containsText" text="Escolha o ano do inventário na aba 'Introdução">
      <formula>NOT(ISERROR(SEARCH("Escolha o ano do inventário na aba 'Introdução",D13)))</formula>
    </cfRule>
  </conditionalFormatting>
  <conditionalFormatting sqref="D103:D153">
    <cfRule type="expression" dxfId="4375" priority="1938">
      <formula>#REF!&lt;&gt;""</formula>
    </cfRule>
  </conditionalFormatting>
  <conditionalFormatting sqref="D42">
    <cfRule type="expression" dxfId="4374" priority="1936">
      <formula>#REF!&lt;&gt;""</formula>
    </cfRule>
  </conditionalFormatting>
  <conditionalFormatting sqref="D84:D91">
    <cfRule type="expression" dxfId="4373" priority="1935">
      <formula>#REF!&lt;&gt;""</formula>
    </cfRule>
  </conditionalFormatting>
  <conditionalFormatting sqref="D43">
    <cfRule type="expression" dxfId="4372" priority="1934">
      <formula>#REF!&lt;&gt;""</formula>
    </cfRule>
  </conditionalFormatting>
  <conditionalFormatting sqref="D44:D83">
    <cfRule type="expression" dxfId="4371" priority="1933">
      <formula>#REF!&lt;&gt;""</formula>
    </cfRule>
  </conditionalFormatting>
  <conditionalFormatting sqref="D218">
    <cfRule type="expression" dxfId="4370" priority="1932">
      <formula>#REF!&lt;&gt;""</formula>
    </cfRule>
  </conditionalFormatting>
  <conditionalFormatting sqref="D234:D283">
    <cfRule type="expression" dxfId="4369" priority="1931">
      <formula>#REF!&lt;&gt;""</formula>
    </cfRule>
  </conditionalFormatting>
  <conditionalFormatting sqref="D169:D217">
    <cfRule type="expression" dxfId="4368" priority="1928">
      <formula>#REF!&lt;&gt;""</formula>
    </cfRule>
  </conditionalFormatting>
  <conditionalFormatting sqref="D168">
    <cfRule type="expression" dxfId="4367" priority="1927">
      <formula>#REF!&lt;&gt;""</formula>
    </cfRule>
  </conditionalFormatting>
  <conditionalFormatting sqref="F42">
    <cfRule type="expression" dxfId="4366" priority="1915">
      <formula>#REF!&lt;&gt;""</formula>
    </cfRule>
    <cfRule type="expression" dxfId="4365" priority="1916">
      <formula>#REF!&lt;&gt;""</formula>
    </cfRule>
    <cfRule type="expression" dxfId="4364" priority="1917">
      <formula>#REF!&lt;&gt;""</formula>
    </cfRule>
    <cfRule type="expression" dxfId="4363" priority="1918">
      <formula>#REF!&lt;&gt;""</formula>
    </cfRule>
    <cfRule type="expression" dxfId="4362" priority="1919">
      <formula>#REF!&lt;&gt;""</formula>
    </cfRule>
    <cfRule type="expression" dxfId="4361" priority="1920">
      <formula>#REF!&lt;&gt;""</formula>
    </cfRule>
    <cfRule type="expression" dxfId="4360" priority="1921">
      <formula>#REF!&lt;&gt;""</formula>
    </cfRule>
    <cfRule type="expression" dxfId="4359" priority="1922">
      <formula>#REF!&lt;&gt;""</formula>
    </cfRule>
    <cfRule type="expression" dxfId="4358" priority="1923">
      <formula>#REF!&lt;&gt;""</formula>
    </cfRule>
    <cfRule type="expression" dxfId="4357" priority="1924">
      <formula>#REF!&lt;&gt;""</formula>
    </cfRule>
    <cfRule type="expression" dxfId="4356" priority="1925">
      <formula>#REF!&lt;&gt;""</formula>
    </cfRule>
    <cfRule type="expression" dxfId="4355" priority="1926">
      <formula>#REF!&lt;&gt;""</formula>
    </cfRule>
  </conditionalFormatting>
  <conditionalFormatting sqref="F43">
    <cfRule type="expression" dxfId="4354" priority="1903">
      <formula>#REF!&lt;&gt;""</formula>
    </cfRule>
    <cfRule type="expression" dxfId="4353" priority="1904">
      <formula>#REF!&lt;&gt;""</formula>
    </cfRule>
    <cfRule type="expression" dxfId="4352" priority="1905">
      <formula>#REF!&lt;&gt;""</formula>
    </cfRule>
    <cfRule type="expression" dxfId="4351" priority="1906">
      <formula>#REF!&lt;&gt;""</formula>
    </cfRule>
    <cfRule type="expression" dxfId="4350" priority="1907">
      <formula>#REF!&lt;&gt;""</formula>
    </cfRule>
    <cfRule type="expression" dxfId="4349" priority="1908">
      <formula>#REF!&lt;&gt;""</formula>
    </cfRule>
    <cfRule type="expression" dxfId="4348" priority="1909">
      <formula>#REF!&lt;&gt;""</formula>
    </cfRule>
    <cfRule type="expression" dxfId="4347" priority="1910">
      <formula>#REF!&lt;&gt;""</formula>
    </cfRule>
    <cfRule type="expression" dxfId="4346" priority="1911">
      <formula>#REF!&lt;&gt;""</formula>
    </cfRule>
    <cfRule type="expression" dxfId="4345" priority="1912">
      <formula>#REF!&lt;&gt;""</formula>
    </cfRule>
    <cfRule type="expression" dxfId="4344" priority="1913">
      <formula>#REF!&lt;&gt;""</formula>
    </cfRule>
    <cfRule type="expression" dxfId="4343" priority="1914">
      <formula>#REF!&lt;&gt;""</formula>
    </cfRule>
  </conditionalFormatting>
  <conditionalFormatting sqref="F44">
    <cfRule type="expression" dxfId="4342" priority="1891">
      <formula>#REF!&lt;&gt;""</formula>
    </cfRule>
    <cfRule type="expression" dxfId="4341" priority="1892">
      <formula>#REF!&lt;&gt;""</formula>
    </cfRule>
    <cfRule type="expression" dxfId="4340" priority="1893">
      <formula>#REF!&lt;&gt;""</formula>
    </cfRule>
    <cfRule type="expression" dxfId="4339" priority="1894">
      <formula>#REF!&lt;&gt;""</formula>
    </cfRule>
    <cfRule type="expression" dxfId="4338" priority="1895">
      <formula>#REF!&lt;&gt;""</formula>
    </cfRule>
    <cfRule type="expression" dxfId="4337" priority="1896">
      <formula>#REF!&lt;&gt;""</formula>
    </cfRule>
    <cfRule type="expression" dxfId="4336" priority="1897">
      <formula>#REF!&lt;&gt;""</formula>
    </cfRule>
    <cfRule type="expression" dxfId="4335" priority="1898">
      <formula>#REF!&lt;&gt;""</formula>
    </cfRule>
    <cfRule type="expression" dxfId="4334" priority="1899">
      <formula>#REF!&lt;&gt;""</formula>
    </cfRule>
    <cfRule type="expression" dxfId="4333" priority="1900">
      <formula>#REF!&lt;&gt;""</formula>
    </cfRule>
    <cfRule type="expression" dxfId="4332" priority="1901">
      <formula>#REF!&lt;&gt;""</formula>
    </cfRule>
    <cfRule type="expression" dxfId="4331" priority="1902">
      <formula>#REF!&lt;&gt;""</formula>
    </cfRule>
  </conditionalFormatting>
  <conditionalFormatting sqref="F45">
    <cfRule type="expression" dxfId="4330" priority="1879">
      <formula>#REF!&lt;&gt;""</formula>
    </cfRule>
    <cfRule type="expression" dxfId="4329" priority="1880">
      <formula>#REF!&lt;&gt;""</formula>
    </cfRule>
    <cfRule type="expression" dxfId="4328" priority="1881">
      <formula>#REF!&lt;&gt;""</formula>
    </cfRule>
    <cfRule type="expression" dxfId="4327" priority="1882">
      <formula>#REF!&lt;&gt;""</formula>
    </cfRule>
    <cfRule type="expression" dxfId="4326" priority="1883">
      <formula>#REF!&lt;&gt;""</formula>
    </cfRule>
    <cfRule type="expression" dxfId="4325" priority="1884">
      <formula>#REF!&lt;&gt;""</formula>
    </cfRule>
    <cfRule type="expression" dxfId="4324" priority="1885">
      <formula>#REF!&lt;&gt;""</formula>
    </cfRule>
    <cfRule type="expression" dxfId="4323" priority="1886">
      <formula>#REF!&lt;&gt;""</formula>
    </cfRule>
    <cfRule type="expression" dxfId="4322" priority="1887">
      <formula>#REF!&lt;&gt;""</formula>
    </cfRule>
    <cfRule type="expression" dxfId="4321" priority="1888">
      <formula>#REF!&lt;&gt;""</formula>
    </cfRule>
    <cfRule type="expression" dxfId="4320" priority="1889">
      <formula>#REF!&lt;&gt;""</formula>
    </cfRule>
    <cfRule type="expression" dxfId="4319" priority="1890">
      <formula>#REF!&lt;&gt;""</formula>
    </cfRule>
  </conditionalFormatting>
  <conditionalFormatting sqref="F46">
    <cfRule type="expression" dxfId="4318" priority="1867">
      <formula>#REF!&lt;&gt;""</formula>
    </cfRule>
    <cfRule type="expression" dxfId="4317" priority="1868">
      <formula>#REF!&lt;&gt;""</formula>
    </cfRule>
    <cfRule type="expression" dxfId="4316" priority="1869">
      <formula>#REF!&lt;&gt;""</formula>
    </cfRule>
    <cfRule type="expression" dxfId="4315" priority="1870">
      <formula>#REF!&lt;&gt;""</formula>
    </cfRule>
    <cfRule type="expression" dxfId="4314" priority="1871">
      <formula>#REF!&lt;&gt;""</formula>
    </cfRule>
    <cfRule type="expression" dxfId="4313" priority="1872">
      <formula>#REF!&lt;&gt;""</formula>
    </cfRule>
    <cfRule type="expression" dxfId="4312" priority="1873">
      <formula>#REF!&lt;&gt;""</formula>
    </cfRule>
    <cfRule type="expression" dxfId="4311" priority="1874">
      <formula>#REF!&lt;&gt;""</formula>
    </cfRule>
    <cfRule type="expression" dxfId="4310" priority="1875">
      <formula>#REF!&lt;&gt;""</formula>
    </cfRule>
    <cfRule type="expression" dxfId="4309" priority="1876">
      <formula>#REF!&lt;&gt;""</formula>
    </cfRule>
    <cfRule type="expression" dxfId="4308" priority="1877">
      <formula>#REF!&lt;&gt;""</formula>
    </cfRule>
    <cfRule type="expression" dxfId="4307" priority="1878">
      <formula>#REF!&lt;&gt;""</formula>
    </cfRule>
  </conditionalFormatting>
  <conditionalFormatting sqref="F47">
    <cfRule type="expression" dxfId="4306" priority="1855">
      <formula>#REF!&lt;&gt;""</formula>
    </cfRule>
    <cfRule type="expression" dxfId="4305" priority="1856">
      <formula>#REF!&lt;&gt;""</formula>
    </cfRule>
    <cfRule type="expression" dxfId="4304" priority="1857">
      <formula>#REF!&lt;&gt;""</formula>
    </cfRule>
    <cfRule type="expression" dxfId="4303" priority="1858">
      <formula>#REF!&lt;&gt;""</formula>
    </cfRule>
    <cfRule type="expression" dxfId="4302" priority="1859">
      <formula>#REF!&lt;&gt;""</formula>
    </cfRule>
    <cfRule type="expression" dxfId="4301" priority="1860">
      <formula>#REF!&lt;&gt;""</formula>
    </cfRule>
    <cfRule type="expression" dxfId="4300" priority="1861">
      <formula>#REF!&lt;&gt;""</formula>
    </cfRule>
    <cfRule type="expression" dxfId="4299" priority="1862">
      <formula>#REF!&lt;&gt;""</formula>
    </cfRule>
    <cfRule type="expression" dxfId="4298" priority="1863">
      <formula>#REF!&lt;&gt;""</formula>
    </cfRule>
    <cfRule type="expression" dxfId="4297" priority="1864">
      <formula>#REF!&lt;&gt;""</formula>
    </cfRule>
    <cfRule type="expression" dxfId="4296" priority="1865">
      <formula>#REF!&lt;&gt;""</formula>
    </cfRule>
    <cfRule type="expression" dxfId="4295" priority="1866">
      <formula>#REF!&lt;&gt;""</formula>
    </cfRule>
  </conditionalFormatting>
  <conditionalFormatting sqref="F48">
    <cfRule type="expression" dxfId="4294" priority="1843">
      <formula>#REF!&lt;&gt;""</formula>
    </cfRule>
    <cfRule type="expression" dxfId="4293" priority="1844">
      <formula>#REF!&lt;&gt;""</formula>
    </cfRule>
    <cfRule type="expression" dxfId="4292" priority="1845">
      <formula>#REF!&lt;&gt;""</formula>
    </cfRule>
    <cfRule type="expression" dxfId="4291" priority="1846">
      <formula>#REF!&lt;&gt;""</formula>
    </cfRule>
    <cfRule type="expression" dxfId="4290" priority="1847">
      <formula>#REF!&lt;&gt;""</formula>
    </cfRule>
    <cfRule type="expression" dxfId="4289" priority="1848">
      <formula>#REF!&lt;&gt;""</formula>
    </cfRule>
    <cfRule type="expression" dxfId="4288" priority="1849">
      <formula>#REF!&lt;&gt;""</formula>
    </cfRule>
    <cfRule type="expression" dxfId="4287" priority="1850">
      <formula>#REF!&lt;&gt;""</formula>
    </cfRule>
    <cfRule type="expression" dxfId="4286" priority="1851">
      <formula>#REF!&lt;&gt;""</formula>
    </cfRule>
    <cfRule type="expression" dxfId="4285" priority="1852">
      <formula>#REF!&lt;&gt;""</formula>
    </cfRule>
    <cfRule type="expression" dxfId="4284" priority="1853">
      <formula>#REF!&lt;&gt;""</formula>
    </cfRule>
    <cfRule type="expression" dxfId="4283" priority="1854">
      <formula>#REF!&lt;&gt;""</formula>
    </cfRule>
  </conditionalFormatting>
  <conditionalFormatting sqref="F49">
    <cfRule type="expression" dxfId="4282" priority="1831">
      <formula>#REF!&lt;&gt;""</formula>
    </cfRule>
    <cfRule type="expression" dxfId="4281" priority="1832">
      <formula>#REF!&lt;&gt;""</formula>
    </cfRule>
    <cfRule type="expression" dxfId="4280" priority="1833">
      <formula>#REF!&lt;&gt;""</formula>
    </cfRule>
    <cfRule type="expression" dxfId="4279" priority="1834">
      <formula>#REF!&lt;&gt;""</formula>
    </cfRule>
    <cfRule type="expression" dxfId="4278" priority="1835">
      <formula>#REF!&lt;&gt;""</formula>
    </cfRule>
    <cfRule type="expression" dxfId="4277" priority="1836">
      <formula>#REF!&lt;&gt;""</formula>
    </cfRule>
    <cfRule type="expression" dxfId="4276" priority="1837">
      <formula>#REF!&lt;&gt;""</formula>
    </cfRule>
    <cfRule type="expression" dxfId="4275" priority="1838">
      <formula>#REF!&lt;&gt;""</formula>
    </cfRule>
    <cfRule type="expression" dxfId="4274" priority="1839">
      <formula>#REF!&lt;&gt;""</formula>
    </cfRule>
    <cfRule type="expression" dxfId="4273" priority="1840">
      <formula>#REF!&lt;&gt;""</formula>
    </cfRule>
    <cfRule type="expression" dxfId="4272" priority="1841">
      <formula>#REF!&lt;&gt;""</formula>
    </cfRule>
    <cfRule type="expression" dxfId="4271" priority="1842">
      <formula>#REF!&lt;&gt;""</formula>
    </cfRule>
  </conditionalFormatting>
  <conditionalFormatting sqref="F50">
    <cfRule type="expression" dxfId="4270" priority="1819">
      <formula>#REF!&lt;&gt;""</formula>
    </cfRule>
    <cfRule type="expression" dxfId="4269" priority="1820">
      <formula>#REF!&lt;&gt;""</formula>
    </cfRule>
    <cfRule type="expression" dxfId="4268" priority="1821">
      <formula>#REF!&lt;&gt;""</formula>
    </cfRule>
    <cfRule type="expression" dxfId="4267" priority="1822">
      <formula>#REF!&lt;&gt;""</formula>
    </cfRule>
    <cfRule type="expression" dxfId="4266" priority="1823">
      <formula>#REF!&lt;&gt;""</formula>
    </cfRule>
    <cfRule type="expression" dxfId="4265" priority="1824">
      <formula>#REF!&lt;&gt;""</formula>
    </cfRule>
    <cfRule type="expression" dxfId="4264" priority="1825">
      <formula>#REF!&lt;&gt;""</formula>
    </cfRule>
    <cfRule type="expression" dxfId="4263" priority="1826">
      <formula>#REF!&lt;&gt;""</formula>
    </cfRule>
    <cfRule type="expression" dxfId="4262" priority="1827">
      <formula>#REF!&lt;&gt;""</formula>
    </cfRule>
    <cfRule type="expression" dxfId="4261" priority="1828">
      <formula>#REF!&lt;&gt;""</formula>
    </cfRule>
    <cfRule type="expression" dxfId="4260" priority="1829">
      <formula>#REF!&lt;&gt;""</formula>
    </cfRule>
    <cfRule type="expression" dxfId="4259" priority="1830">
      <formula>#REF!&lt;&gt;""</formula>
    </cfRule>
  </conditionalFormatting>
  <conditionalFormatting sqref="F51">
    <cfRule type="expression" dxfId="4258" priority="1807">
      <formula>#REF!&lt;&gt;""</formula>
    </cfRule>
    <cfRule type="expression" dxfId="4257" priority="1808">
      <formula>#REF!&lt;&gt;""</formula>
    </cfRule>
    <cfRule type="expression" dxfId="4256" priority="1809">
      <formula>#REF!&lt;&gt;""</formula>
    </cfRule>
    <cfRule type="expression" dxfId="4255" priority="1810">
      <formula>#REF!&lt;&gt;""</formula>
    </cfRule>
    <cfRule type="expression" dxfId="4254" priority="1811">
      <formula>#REF!&lt;&gt;""</formula>
    </cfRule>
    <cfRule type="expression" dxfId="4253" priority="1812">
      <formula>#REF!&lt;&gt;""</formula>
    </cfRule>
    <cfRule type="expression" dxfId="4252" priority="1813">
      <formula>#REF!&lt;&gt;""</formula>
    </cfRule>
    <cfRule type="expression" dxfId="4251" priority="1814">
      <formula>#REF!&lt;&gt;""</formula>
    </cfRule>
    <cfRule type="expression" dxfId="4250" priority="1815">
      <formula>#REF!&lt;&gt;""</formula>
    </cfRule>
    <cfRule type="expression" dxfId="4249" priority="1816">
      <formula>#REF!&lt;&gt;""</formula>
    </cfRule>
    <cfRule type="expression" dxfId="4248" priority="1817">
      <formula>#REF!&lt;&gt;""</formula>
    </cfRule>
    <cfRule type="expression" dxfId="4247" priority="1818">
      <formula>#REF!&lt;&gt;""</formula>
    </cfRule>
  </conditionalFormatting>
  <conditionalFormatting sqref="F168">
    <cfRule type="expression" dxfId="4246" priority="1795">
      <formula>#REF!&lt;&gt;""</formula>
    </cfRule>
    <cfRule type="expression" dxfId="4245" priority="1796">
      <formula>#REF!&lt;&gt;""</formula>
    </cfRule>
    <cfRule type="expression" dxfId="4244" priority="1797">
      <formula>#REF!&lt;&gt;""</formula>
    </cfRule>
    <cfRule type="expression" dxfId="4243" priority="1798">
      <formula>#REF!&lt;&gt;""</formula>
    </cfRule>
    <cfRule type="expression" dxfId="4242" priority="1799">
      <formula>#REF!&lt;&gt;""</formula>
    </cfRule>
    <cfRule type="expression" dxfId="4241" priority="1800">
      <formula>#REF!&lt;&gt;""</formula>
    </cfRule>
    <cfRule type="expression" dxfId="4240" priority="1801">
      <formula>#REF!&lt;&gt;""</formula>
    </cfRule>
    <cfRule type="expression" dxfId="4239" priority="1802">
      <formula>#REF!&lt;&gt;""</formula>
    </cfRule>
    <cfRule type="expression" dxfId="4238" priority="1803">
      <formula>#REF!&lt;&gt;""</formula>
    </cfRule>
    <cfRule type="expression" dxfId="4237" priority="1804">
      <formula>#REF!&lt;&gt;""</formula>
    </cfRule>
    <cfRule type="expression" dxfId="4236" priority="1805">
      <formula>#REF!&lt;&gt;""</formula>
    </cfRule>
    <cfRule type="expression" dxfId="4235" priority="1806">
      <formula>#REF!&lt;&gt;""</formula>
    </cfRule>
  </conditionalFormatting>
  <conditionalFormatting sqref="F169">
    <cfRule type="expression" dxfId="4234" priority="1783">
      <formula>#REF!&lt;&gt;""</formula>
    </cfRule>
    <cfRule type="expression" dxfId="4233" priority="1784">
      <formula>#REF!&lt;&gt;""</formula>
    </cfRule>
    <cfRule type="expression" dxfId="4232" priority="1785">
      <formula>#REF!&lt;&gt;""</formula>
    </cfRule>
    <cfRule type="expression" dxfId="4231" priority="1786">
      <formula>#REF!&lt;&gt;""</formula>
    </cfRule>
    <cfRule type="expression" dxfId="4230" priority="1787">
      <formula>#REF!&lt;&gt;""</formula>
    </cfRule>
    <cfRule type="expression" dxfId="4229" priority="1788">
      <formula>#REF!&lt;&gt;""</formula>
    </cfRule>
    <cfRule type="expression" dxfId="4228" priority="1789">
      <formula>#REF!&lt;&gt;""</formula>
    </cfRule>
    <cfRule type="expression" dxfId="4227" priority="1790">
      <formula>#REF!&lt;&gt;""</formula>
    </cfRule>
    <cfRule type="expression" dxfId="4226" priority="1791">
      <formula>#REF!&lt;&gt;""</formula>
    </cfRule>
    <cfRule type="expression" dxfId="4225" priority="1792">
      <formula>#REF!&lt;&gt;""</formula>
    </cfRule>
    <cfRule type="expression" dxfId="4224" priority="1793">
      <formula>#REF!&lt;&gt;""</formula>
    </cfRule>
    <cfRule type="expression" dxfId="4223" priority="1794">
      <formula>#REF!&lt;&gt;""</formula>
    </cfRule>
  </conditionalFormatting>
  <conditionalFormatting sqref="F170">
    <cfRule type="expression" dxfId="4222" priority="1771">
      <formula>#REF!&lt;&gt;""</formula>
    </cfRule>
    <cfRule type="expression" dxfId="4221" priority="1772">
      <formula>#REF!&lt;&gt;""</formula>
    </cfRule>
    <cfRule type="expression" dxfId="4220" priority="1773">
      <formula>#REF!&lt;&gt;""</formula>
    </cfRule>
    <cfRule type="expression" dxfId="4219" priority="1774">
      <formula>#REF!&lt;&gt;""</formula>
    </cfRule>
    <cfRule type="expression" dxfId="4218" priority="1775">
      <formula>#REF!&lt;&gt;""</formula>
    </cfRule>
    <cfRule type="expression" dxfId="4217" priority="1776">
      <formula>#REF!&lt;&gt;""</formula>
    </cfRule>
    <cfRule type="expression" dxfId="4216" priority="1777">
      <formula>#REF!&lt;&gt;""</formula>
    </cfRule>
    <cfRule type="expression" dxfId="4215" priority="1778">
      <formula>#REF!&lt;&gt;""</formula>
    </cfRule>
    <cfRule type="expression" dxfId="4214" priority="1779">
      <formula>#REF!&lt;&gt;""</formula>
    </cfRule>
    <cfRule type="expression" dxfId="4213" priority="1780">
      <formula>#REF!&lt;&gt;""</formula>
    </cfRule>
    <cfRule type="expression" dxfId="4212" priority="1781">
      <formula>#REF!&lt;&gt;""</formula>
    </cfRule>
    <cfRule type="expression" dxfId="4211" priority="1782">
      <formula>#REF!&lt;&gt;""</formula>
    </cfRule>
  </conditionalFormatting>
  <conditionalFormatting sqref="F171">
    <cfRule type="expression" dxfId="4210" priority="1759">
      <formula>#REF!&lt;&gt;""</formula>
    </cfRule>
    <cfRule type="expression" dxfId="4209" priority="1760">
      <formula>#REF!&lt;&gt;""</formula>
    </cfRule>
    <cfRule type="expression" dxfId="4208" priority="1761">
      <formula>#REF!&lt;&gt;""</formula>
    </cfRule>
    <cfRule type="expression" dxfId="4207" priority="1762">
      <formula>#REF!&lt;&gt;""</formula>
    </cfRule>
    <cfRule type="expression" dxfId="4206" priority="1763">
      <formula>#REF!&lt;&gt;""</formula>
    </cfRule>
    <cfRule type="expression" dxfId="4205" priority="1764">
      <formula>#REF!&lt;&gt;""</formula>
    </cfRule>
    <cfRule type="expression" dxfId="4204" priority="1765">
      <formula>#REF!&lt;&gt;""</formula>
    </cfRule>
    <cfRule type="expression" dxfId="4203" priority="1766">
      <formula>#REF!&lt;&gt;""</formula>
    </cfRule>
    <cfRule type="expression" dxfId="4202" priority="1767">
      <formula>#REF!&lt;&gt;""</formula>
    </cfRule>
    <cfRule type="expression" dxfId="4201" priority="1768">
      <formula>#REF!&lt;&gt;""</formula>
    </cfRule>
    <cfRule type="expression" dxfId="4200" priority="1769">
      <formula>#REF!&lt;&gt;""</formula>
    </cfRule>
    <cfRule type="expression" dxfId="4199" priority="1770">
      <formula>#REF!&lt;&gt;""</formula>
    </cfRule>
  </conditionalFormatting>
  <conditionalFormatting sqref="F172">
    <cfRule type="expression" dxfId="4198" priority="1747">
      <formula>#REF!&lt;&gt;""</formula>
    </cfRule>
    <cfRule type="expression" dxfId="4197" priority="1748">
      <formula>#REF!&lt;&gt;""</formula>
    </cfRule>
    <cfRule type="expression" dxfId="4196" priority="1749">
      <formula>#REF!&lt;&gt;""</formula>
    </cfRule>
    <cfRule type="expression" dxfId="4195" priority="1750">
      <formula>#REF!&lt;&gt;""</formula>
    </cfRule>
    <cfRule type="expression" dxfId="4194" priority="1751">
      <formula>#REF!&lt;&gt;""</formula>
    </cfRule>
    <cfRule type="expression" dxfId="4193" priority="1752">
      <formula>#REF!&lt;&gt;""</formula>
    </cfRule>
    <cfRule type="expression" dxfId="4192" priority="1753">
      <formula>#REF!&lt;&gt;""</formula>
    </cfRule>
    <cfRule type="expression" dxfId="4191" priority="1754">
      <formula>#REF!&lt;&gt;""</formula>
    </cfRule>
    <cfRule type="expression" dxfId="4190" priority="1755">
      <formula>#REF!&lt;&gt;""</formula>
    </cfRule>
    <cfRule type="expression" dxfId="4189" priority="1756">
      <formula>#REF!&lt;&gt;""</formula>
    </cfRule>
    <cfRule type="expression" dxfId="4188" priority="1757">
      <formula>#REF!&lt;&gt;""</formula>
    </cfRule>
    <cfRule type="expression" dxfId="4187" priority="1758">
      <formula>#REF!&lt;&gt;""</formula>
    </cfRule>
  </conditionalFormatting>
  <conditionalFormatting sqref="F173">
    <cfRule type="expression" dxfId="4186" priority="1735">
      <formula>#REF!&lt;&gt;""</formula>
    </cfRule>
    <cfRule type="expression" dxfId="4185" priority="1736">
      <formula>#REF!&lt;&gt;""</formula>
    </cfRule>
    <cfRule type="expression" dxfId="4184" priority="1737">
      <formula>#REF!&lt;&gt;""</formula>
    </cfRule>
    <cfRule type="expression" dxfId="4183" priority="1738">
      <formula>#REF!&lt;&gt;""</formula>
    </cfRule>
    <cfRule type="expression" dxfId="4182" priority="1739">
      <formula>#REF!&lt;&gt;""</formula>
    </cfRule>
    <cfRule type="expression" dxfId="4181" priority="1740">
      <formula>#REF!&lt;&gt;""</formula>
    </cfRule>
    <cfRule type="expression" dxfId="4180" priority="1741">
      <formula>#REF!&lt;&gt;""</formula>
    </cfRule>
    <cfRule type="expression" dxfId="4179" priority="1742">
      <formula>#REF!&lt;&gt;""</formula>
    </cfRule>
    <cfRule type="expression" dxfId="4178" priority="1743">
      <formula>#REF!&lt;&gt;""</formula>
    </cfRule>
    <cfRule type="expression" dxfId="4177" priority="1744">
      <formula>#REF!&lt;&gt;""</formula>
    </cfRule>
    <cfRule type="expression" dxfId="4176" priority="1745">
      <formula>#REF!&lt;&gt;""</formula>
    </cfRule>
    <cfRule type="expression" dxfId="4175" priority="1746">
      <formula>#REF!&lt;&gt;""</formula>
    </cfRule>
  </conditionalFormatting>
  <conditionalFormatting sqref="F174">
    <cfRule type="expression" dxfId="4174" priority="1723">
      <formula>#REF!&lt;&gt;""</formula>
    </cfRule>
    <cfRule type="expression" dxfId="4173" priority="1724">
      <formula>#REF!&lt;&gt;""</formula>
    </cfRule>
    <cfRule type="expression" dxfId="4172" priority="1725">
      <formula>#REF!&lt;&gt;""</formula>
    </cfRule>
    <cfRule type="expression" dxfId="4171" priority="1726">
      <formula>#REF!&lt;&gt;""</formula>
    </cfRule>
    <cfRule type="expression" dxfId="4170" priority="1727">
      <formula>#REF!&lt;&gt;""</formula>
    </cfRule>
    <cfRule type="expression" dxfId="4169" priority="1728">
      <formula>#REF!&lt;&gt;""</formula>
    </cfRule>
    <cfRule type="expression" dxfId="4168" priority="1729">
      <formula>#REF!&lt;&gt;""</formula>
    </cfRule>
    <cfRule type="expression" dxfId="4167" priority="1730">
      <formula>#REF!&lt;&gt;""</formula>
    </cfRule>
    <cfRule type="expression" dxfId="4166" priority="1731">
      <formula>#REF!&lt;&gt;""</formula>
    </cfRule>
    <cfRule type="expression" dxfId="4165" priority="1732">
      <formula>#REF!&lt;&gt;""</formula>
    </cfRule>
    <cfRule type="expression" dxfId="4164" priority="1733">
      <formula>#REF!&lt;&gt;""</formula>
    </cfRule>
    <cfRule type="expression" dxfId="4163" priority="1734">
      <formula>#REF!&lt;&gt;""</formula>
    </cfRule>
  </conditionalFormatting>
  <conditionalFormatting sqref="F175">
    <cfRule type="expression" dxfId="4162" priority="1711">
      <formula>#REF!&lt;&gt;""</formula>
    </cfRule>
    <cfRule type="expression" dxfId="4161" priority="1712">
      <formula>#REF!&lt;&gt;""</formula>
    </cfRule>
    <cfRule type="expression" dxfId="4160" priority="1713">
      <formula>#REF!&lt;&gt;""</formula>
    </cfRule>
    <cfRule type="expression" dxfId="4159" priority="1714">
      <formula>#REF!&lt;&gt;""</formula>
    </cfRule>
    <cfRule type="expression" dxfId="4158" priority="1715">
      <formula>#REF!&lt;&gt;""</formula>
    </cfRule>
    <cfRule type="expression" dxfId="4157" priority="1716">
      <formula>#REF!&lt;&gt;""</formula>
    </cfRule>
    <cfRule type="expression" dxfId="4156" priority="1717">
      <formula>#REF!&lt;&gt;""</formula>
    </cfRule>
    <cfRule type="expression" dxfId="4155" priority="1718">
      <formula>#REF!&lt;&gt;""</formula>
    </cfRule>
    <cfRule type="expression" dxfId="4154" priority="1719">
      <formula>#REF!&lt;&gt;""</formula>
    </cfRule>
    <cfRule type="expression" dxfId="4153" priority="1720">
      <formula>#REF!&lt;&gt;""</formula>
    </cfRule>
    <cfRule type="expression" dxfId="4152" priority="1721">
      <formula>#REF!&lt;&gt;""</formula>
    </cfRule>
    <cfRule type="expression" dxfId="4151" priority="1722">
      <formula>#REF!&lt;&gt;""</formula>
    </cfRule>
  </conditionalFormatting>
  <conditionalFormatting sqref="F176">
    <cfRule type="expression" dxfId="4150" priority="1699">
      <formula>#REF!&lt;&gt;""</formula>
    </cfRule>
    <cfRule type="expression" dxfId="4149" priority="1700">
      <formula>#REF!&lt;&gt;""</formula>
    </cfRule>
    <cfRule type="expression" dxfId="4148" priority="1701">
      <formula>#REF!&lt;&gt;""</formula>
    </cfRule>
    <cfRule type="expression" dxfId="4147" priority="1702">
      <formula>#REF!&lt;&gt;""</formula>
    </cfRule>
    <cfRule type="expression" dxfId="4146" priority="1703">
      <formula>#REF!&lt;&gt;""</formula>
    </cfRule>
    <cfRule type="expression" dxfId="4145" priority="1704">
      <formula>#REF!&lt;&gt;""</formula>
    </cfRule>
    <cfRule type="expression" dxfId="4144" priority="1705">
      <formula>#REF!&lt;&gt;""</formula>
    </cfRule>
    <cfRule type="expression" dxfId="4143" priority="1706">
      <formula>#REF!&lt;&gt;""</formula>
    </cfRule>
    <cfRule type="expression" dxfId="4142" priority="1707">
      <formula>#REF!&lt;&gt;""</formula>
    </cfRule>
    <cfRule type="expression" dxfId="4141" priority="1708">
      <formula>#REF!&lt;&gt;""</formula>
    </cfRule>
    <cfRule type="expression" dxfId="4140" priority="1709">
      <formula>#REF!&lt;&gt;""</formula>
    </cfRule>
    <cfRule type="expression" dxfId="4139" priority="1710">
      <formula>#REF!&lt;&gt;""</formula>
    </cfRule>
  </conditionalFormatting>
  <conditionalFormatting sqref="F177">
    <cfRule type="expression" dxfId="4138" priority="1687">
      <formula>#REF!&lt;&gt;""</formula>
    </cfRule>
    <cfRule type="expression" dxfId="4137" priority="1688">
      <formula>#REF!&lt;&gt;""</formula>
    </cfRule>
    <cfRule type="expression" dxfId="4136" priority="1689">
      <formula>#REF!&lt;&gt;""</formula>
    </cfRule>
    <cfRule type="expression" dxfId="4135" priority="1690">
      <formula>#REF!&lt;&gt;""</formula>
    </cfRule>
    <cfRule type="expression" dxfId="4134" priority="1691">
      <formula>#REF!&lt;&gt;""</formula>
    </cfRule>
    <cfRule type="expression" dxfId="4133" priority="1692">
      <formula>#REF!&lt;&gt;""</formula>
    </cfRule>
    <cfRule type="expression" dxfId="4132" priority="1693">
      <formula>#REF!&lt;&gt;""</formula>
    </cfRule>
    <cfRule type="expression" dxfId="4131" priority="1694">
      <formula>#REF!&lt;&gt;""</formula>
    </cfRule>
    <cfRule type="expression" dxfId="4130" priority="1695">
      <formula>#REF!&lt;&gt;""</formula>
    </cfRule>
    <cfRule type="expression" dxfId="4129" priority="1696">
      <formula>#REF!&lt;&gt;""</formula>
    </cfRule>
    <cfRule type="expression" dxfId="4128" priority="1697">
      <formula>#REF!&lt;&gt;""</formula>
    </cfRule>
    <cfRule type="expression" dxfId="4127" priority="1698">
      <formula>#REF!&lt;&gt;""</formula>
    </cfRule>
  </conditionalFormatting>
  <conditionalFormatting sqref="F178">
    <cfRule type="expression" dxfId="4126" priority="1675">
      <formula>#REF!&lt;&gt;""</formula>
    </cfRule>
    <cfRule type="expression" dxfId="4125" priority="1676">
      <formula>#REF!&lt;&gt;""</formula>
    </cfRule>
    <cfRule type="expression" dxfId="4124" priority="1677">
      <formula>#REF!&lt;&gt;""</formula>
    </cfRule>
    <cfRule type="expression" dxfId="4123" priority="1678">
      <formula>#REF!&lt;&gt;""</formula>
    </cfRule>
    <cfRule type="expression" dxfId="4122" priority="1679">
      <formula>#REF!&lt;&gt;""</formula>
    </cfRule>
    <cfRule type="expression" dxfId="4121" priority="1680">
      <formula>#REF!&lt;&gt;""</formula>
    </cfRule>
    <cfRule type="expression" dxfId="4120" priority="1681">
      <formula>#REF!&lt;&gt;""</formula>
    </cfRule>
    <cfRule type="expression" dxfId="4119" priority="1682">
      <formula>#REF!&lt;&gt;""</formula>
    </cfRule>
    <cfRule type="expression" dxfId="4118" priority="1683">
      <formula>#REF!&lt;&gt;""</formula>
    </cfRule>
    <cfRule type="expression" dxfId="4117" priority="1684">
      <formula>#REF!&lt;&gt;""</formula>
    </cfRule>
    <cfRule type="expression" dxfId="4116" priority="1685">
      <formula>#REF!&lt;&gt;""</formula>
    </cfRule>
    <cfRule type="expression" dxfId="4115" priority="1686">
      <formula>#REF!&lt;&gt;""</formula>
    </cfRule>
  </conditionalFormatting>
  <conditionalFormatting sqref="F179">
    <cfRule type="expression" dxfId="4114" priority="1663">
      <formula>#REF!&lt;&gt;""</formula>
    </cfRule>
    <cfRule type="expression" dxfId="4113" priority="1664">
      <formula>#REF!&lt;&gt;""</formula>
    </cfRule>
    <cfRule type="expression" dxfId="4112" priority="1665">
      <formula>#REF!&lt;&gt;""</formula>
    </cfRule>
    <cfRule type="expression" dxfId="4111" priority="1666">
      <formula>#REF!&lt;&gt;""</formula>
    </cfRule>
    <cfRule type="expression" dxfId="4110" priority="1667">
      <formula>#REF!&lt;&gt;""</formula>
    </cfRule>
    <cfRule type="expression" dxfId="4109" priority="1668">
      <formula>#REF!&lt;&gt;""</formula>
    </cfRule>
    <cfRule type="expression" dxfId="4108" priority="1669">
      <formula>#REF!&lt;&gt;""</formula>
    </cfRule>
    <cfRule type="expression" dxfId="4107" priority="1670">
      <formula>#REF!&lt;&gt;""</formula>
    </cfRule>
    <cfRule type="expression" dxfId="4106" priority="1671">
      <formula>#REF!&lt;&gt;""</formula>
    </cfRule>
    <cfRule type="expression" dxfId="4105" priority="1672">
      <formula>#REF!&lt;&gt;""</formula>
    </cfRule>
    <cfRule type="expression" dxfId="4104" priority="1673">
      <formula>#REF!&lt;&gt;""</formula>
    </cfRule>
    <cfRule type="expression" dxfId="4103" priority="1674">
      <formula>#REF!&lt;&gt;""</formula>
    </cfRule>
  </conditionalFormatting>
  <conditionalFormatting sqref="F180">
    <cfRule type="expression" dxfId="4102" priority="1651">
      <formula>#REF!&lt;&gt;""</formula>
    </cfRule>
    <cfRule type="expression" dxfId="4101" priority="1652">
      <formula>#REF!&lt;&gt;""</formula>
    </cfRule>
    <cfRule type="expression" dxfId="4100" priority="1653">
      <formula>#REF!&lt;&gt;""</formula>
    </cfRule>
    <cfRule type="expression" dxfId="4099" priority="1654">
      <formula>#REF!&lt;&gt;""</formula>
    </cfRule>
    <cfRule type="expression" dxfId="4098" priority="1655">
      <formula>#REF!&lt;&gt;""</formula>
    </cfRule>
    <cfRule type="expression" dxfId="4097" priority="1656">
      <formula>#REF!&lt;&gt;""</formula>
    </cfRule>
    <cfRule type="expression" dxfId="4096" priority="1657">
      <formula>#REF!&lt;&gt;""</formula>
    </cfRule>
    <cfRule type="expression" dxfId="4095" priority="1658">
      <formula>#REF!&lt;&gt;""</formula>
    </cfRule>
    <cfRule type="expression" dxfId="4094" priority="1659">
      <formula>#REF!&lt;&gt;""</formula>
    </cfRule>
    <cfRule type="expression" dxfId="4093" priority="1660">
      <formula>#REF!&lt;&gt;""</formula>
    </cfRule>
    <cfRule type="expression" dxfId="4092" priority="1661">
      <formula>#REF!&lt;&gt;""</formula>
    </cfRule>
    <cfRule type="expression" dxfId="4091" priority="1662">
      <formula>#REF!&lt;&gt;""</formula>
    </cfRule>
  </conditionalFormatting>
  <conditionalFormatting sqref="F181">
    <cfRule type="expression" dxfId="4090" priority="1639">
      <formula>#REF!&lt;&gt;""</formula>
    </cfRule>
    <cfRule type="expression" dxfId="4089" priority="1640">
      <formula>#REF!&lt;&gt;""</formula>
    </cfRule>
    <cfRule type="expression" dxfId="4088" priority="1641">
      <formula>#REF!&lt;&gt;""</formula>
    </cfRule>
    <cfRule type="expression" dxfId="4087" priority="1642">
      <formula>#REF!&lt;&gt;""</formula>
    </cfRule>
    <cfRule type="expression" dxfId="4086" priority="1643">
      <formula>#REF!&lt;&gt;""</formula>
    </cfRule>
    <cfRule type="expression" dxfId="4085" priority="1644">
      <formula>#REF!&lt;&gt;""</formula>
    </cfRule>
    <cfRule type="expression" dxfId="4084" priority="1645">
      <formula>#REF!&lt;&gt;""</formula>
    </cfRule>
    <cfRule type="expression" dxfId="4083" priority="1646">
      <formula>#REF!&lt;&gt;""</formula>
    </cfRule>
    <cfRule type="expression" dxfId="4082" priority="1647">
      <formula>#REF!&lt;&gt;""</formula>
    </cfRule>
    <cfRule type="expression" dxfId="4081" priority="1648">
      <formula>#REF!&lt;&gt;""</formula>
    </cfRule>
    <cfRule type="expression" dxfId="4080" priority="1649">
      <formula>#REF!&lt;&gt;""</formula>
    </cfRule>
    <cfRule type="expression" dxfId="4079" priority="1650">
      <formula>#REF!&lt;&gt;""</formula>
    </cfRule>
  </conditionalFormatting>
  <conditionalFormatting sqref="F182">
    <cfRule type="expression" dxfId="4078" priority="1627">
      <formula>#REF!&lt;&gt;""</formula>
    </cfRule>
    <cfRule type="expression" dxfId="4077" priority="1628">
      <formula>#REF!&lt;&gt;""</formula>
    </cfRule>
    <cfRule type="expression" dxfId="4076" priority="1629">
      <formula>#REF!&lt;&gt;""</formula>
    </cfRule>
    <cfRule type="expression" dxfId="4075" priority="1630">
      <formula>#REF!&lt;&gt;""</formula>
    </cfRule>
    <cfRule type="expression" dxfId="4074" priority="1631">
      <formula>#REF!&lt;&gt;""</formula>
    </cfRule>
    <cfRule type="expression" dxfId="4073" priority="1632">
      <formula>#REF!&lt;&gt;""</formula>
    </cfRule>
    <cfRule type="expression" dxfId="4072" priority="1633">
      <formula>#REF!&lt;&gt;""</formula>
    </cfRule>
    <cfRule type="expression" dxfId="4071" priority="1634">
      <formula>#REF!&lt;&gt;""</formula>
    </cfRule>
    <cfRule type="expression" dxfId="4070" priority="1635">
      <formula>#REF!&lt;&gt;""</formula>
    </cfRule>
    <cfRule type="expression" dxfId="4069" priority="1636">
      <formula>#REF!&lt;&gt;""</formula>
    </cfRule>
    <cfRule type="expression" dxfId="4068" priority="1637">
      <formula>#REF!&lt;&gt;""</formula>
    </cfRule>
    <cfRule type="expression" dxfId="4067" priority="1638">
      <formula>#REF!&lt;&gt;""</formula>
    </cfRule>
  </conditionalFormatting>
  <conditionalFormatting sqref="F183">
    <cfRule type="expression" dxfId="4066" priority="1615">
      <formula>#REF!&lt;&gt;""</formula>
    </cfRule>
    <cfRule type="expression" dxfId="4065" priority="1616">
      <formula>#REF!&lt;&gt;""</formula>
    </cfRule>
    <cfRule type="expression" dxfId="4064" priority="1617">
      <formula>#REF!&lt;&gt;""</formula>
    </cfRule>
    <cfRule type="expression" dxfId="4063" priority="1618">
      <formula>#REF!&lt;&gt;""</formula>
    </cfRule>
    <cfRule type="expression" dxfId="4062" priority="1619">
      <formula>#REF!&lt;&gt;""</formula>
    </cfRule>
    <cfRule type="expression" dxfId="4061" priority="1620">
      <formula>#REF!&lt;&gt;""</formula>
    </cfRule>
    <cfRule type="expression" dxfId="4060" priority="1621">
      <formula>#REF!&lt;&gt;""</formula>
    </cfRule>
    <cfRule type="expression" dxfId="4059" priority="1622">
      <formula>#REF!&lt;&gt;""</formula>
    </cfRule>
    <cfRule type="expression" dxfId="4058" priority="1623">
      <formula>#REF!&lt;&gt;""</formula>
    </cfRule>
    <cfRule type="expression" dxfId="4057" priority="1624">
      <formula>#REF!&lt;&gt;""</formula>
    </cfRule>
    <cfRule type="expression" dxfId="4056" priority="1625">
      <formula>#REF!&lt;&gt;""</formula>
    </cfRule>
    <cfRule type="expression" dxfId="4055" priority="1626">
      <formula>#REF!&lt;&gt;""</formula>
    </cfRule>
  </conditionalFormatting>
  <conditionalFormatting sqref="F184">
    <cfRule type="expression" dxfId="4054" priority="1603">
      <formula>#REF!&lt;&gt;""</formula>
    </cfRule>
    <cfRule type="expression" dxfId="4053" priority="1604">
      <formula>#REF!&lt;&gt;""</formula>
    </cfRule>
    <cfRule type="expression" dxfId="4052" priority="1605">
      <formula>#REF!&lt;&gt;""</formula>
    </cfRule>
    <cfRule type="expression" dxfId="4051" priority="1606">
      <formula>#REF!&lt;&gt;""</formula>
    </cfRule>
    <cfRule type="expression" dxfId="4050" priority="1607">
      <formula>#REF!&lt;&gt;""</formula>
    </cfRule>
    <cfRule type="expression" dxfId="4049" priority="1608">
      <formula>#REF!&lt;&gt;""</formula>
    </cfRule>
    <cfRule type="expression" dxfId="4048" priority="1609">
      <formula>#REF!&lt;&gt;""</formula>
    </cfRule>
    <cfRule type="expression" dxfId="4047" priority="1610">
      <formula>#REF!&lt;&gt;""</formula>
    </cfRule>
    <cfRule type="expression" dxfId="4046" priority="1611">
      <formula>#REF!&lt;&gt;""</formula>
    </cfRule>
    <cfRule type="expression" dxfId="4045" priority="1612">
      <formula>#REF!&lt;&gt;""</formula>
    </cfRule>
    <cfRule type="expression" dxfId="4044" priority="1613">
      <formula>#REF!&lt;&gt;""</formula>
    </cfRule>
    <cfRule type="expression" dxfId="4043" priority="1614">
      <formula>#REF!&lt;&gt;""</formula>
    </cfRule>
  </conditionalFormatting>
  <conditionalFormatting sqref="F185">
    <cfRule type="expression" dxfId="4042" priority="1591">
      <formula>#REF!&lt;&gt;""</formula>
    </cfRule>
    <cfRule type="expression" dxfId="4041" priority="1592">
      <formula>#REF!&lt;&gt;""</formula>
    </cfRule>
    <cfRule type="expression" dxfId="4040" priority="1593">
      <formula>#REF!&lt;&gt;""</formula>
    </cfRule>
    <cfRule type="expression" dxfId="4039" priority="1594">
      <formula>#REF!&lt;&gt;""</formula>
    </cfRule>
    <cfRule type="expression" dxfId="4038" priority="1595">
      <formula>#REF!&lt;&gt;""</formula>
    </cfRule>
    <cfRule type="expression" dxfId="4037" priority="1596">
      <formula>#REF!&lt;&gt;""</formula>
    </cfRule>
    <cfRule type="expression" dxfId="4036" priority="1597">
      <formula>#REF!&lt;&gt;""</formula>
    </cfRule>
    <cfRule type="expression" dxfId="4035" priority="1598">
      <formula>#REF!&lt;&gt;""</formula>
    </cfRule>
    <cfRule type="expression" dxfId="4034" priority="1599">
      <formula>#REF!&lt;&gt;""</formula>
    </cfRule>
    <cfRule type="expression" dxfId="4033" priority="1600">
      <formula>#REF!&lt;&gt;""</formula>
    </cfRule>
    <cfRule type="expression" dxfId="4032" priority="1601">
      <formula>#REF!&lt;&gt;""</formula>
    </cfRule>
    <cfRule type="expression" dxfId="4031" priority="1602">
      <formula>#REF!&lt;&gt;""</formula>
    </cfRule>
  </conditionalFormatting>
  <conditionalFormatting sqref="F186">
    <cfRule type="expression" dxfId="4030" priority="1579">
      <formula>#REF!&lt;&gt;""</formula>
    </cfRule>
    <cfRule type="expression" dxfId="4029" priority="1580">
      <formula>#REF!&lt;&gt;""</formula>
    </cfRule>
    <cfRule type="expression" dxfId="4028" priority="1581">
      <formula>#REF!&lt;&gt;""</formula>
    </cfRule>
    <cfRule type="expression" dxfId="4027" priority="1582">
      <formula>#REF!&lt;&gt;""</formula>
    </cfRule>
    <cfRule type="expression" dxfId="4026" priority="1583">
      <formula>#REF!&lt;&gt;""</formula>
    </cfRule>
    <cfRule type="expression" dxfId="4025" priority="1584">
      <formula>#REF!&lt;&gt;""</formula>
    </cfRule>
    <cfRule type="expression" dxfId="4024" priority="1585">
      <formula>#REF!&lt;&gt;""</formula>
    </cfRule>
    <cfRule type="expression" dxfId="4023" priority="1586">
      <formula>#REF!&lt;&gt;""</formula>
    </cfRule>
    <cfRule type="expression" dxfId="4022" priority="1587">
      <formula>#REF!&lt;&gt;""</formula>
    </cfRule>
    <cfRule type="expression" dxfId="4021" priority="1588">
      <formula>#REF!&lt;&gt;""</formula>
    </cfRule>
    <cfRule type="expression" dxfId="4020" priority="1589">
      <formula>#REF!&lt;&gt;""</formula>
    </cfRule>
    <cfRule type="expression" dxfId="4019" priority="1590">
      <formula>#REF!&lt;&gt;""</formula>
    </cfRule>
  </conditionalFormatting>
  <conditionalFormatting sqref="F187">
    <cfRule type="expression" dxfId="4018" priority="1567">
      <formula>#REF!&lt;&gt;""</formula>
    </cfRule>
    <cfRule type="expression" dxfId="4017" priority="1568">
      <formula>#REF!&lt;&gt;""</formula>
    </cfRule>
    <cfRule type="expression" dxfId="4016" priority="1569">
      <formula>#REF!&lt;&gt;""</formula>
    </cfRule>
    <cfRule type="expression" dxfId="4015" priority="1570">
      <formula>#REF!&lt;&gt;""</formula>
    </cfRule>
    <cfRule type="expression" dxfId="4014" priority="1571">
      <formula>#REF!&lt;&gt;""</formula>
    </cfRule>
    <cfRule type="expression" dxfId="4013" priority="1572">
      <formula>#REF!&lt;&gt;""</formula>
    </cfRule>
    <cfRule type="expression" dxfId="4012" priority="1573">
      <formula>#REF!&lt;&gt;""</formula>
    </cfRule>
    <cfRule type="expression" dxfId="4011" priority="1574">
      <formula>#REF!&lt;&gt;""</formula>
    </cfRule>
    <cfRule type="expression" dxfId="4010" priority="1575">
      <formula>#REF!&lt;&gt;""</formula>
    </cfRule>
    <cfRule type="expression" dxfId="4009" priority="1576">
      <formula>#REF!&lt;&gt;""</formula>
    </cfRule>
    <cfRule type="expression" dxfId="4008" priority="1577">
      <formula>#REF!&lt;&gt;""</formula>
    </cfRule>
    <cfRule type="expression" dxfId="4007" priority="1578">
      <formula>#REF!&lt;&gt;""</formula>
    </cfRule>
  </conditionalFormatting>
  <conditionalFormatting sqref="F188">
    <cfRule type="expression" dxfId="4006" priority="1555">
      <formula>#REF!&lt;&gt;""</formula>
    </cfRule>
    <cfRule type="expression" dxfId="4005" priority="1556">
      <formula>#REF!&lt;&gt;""</formula>
    </cfRule>
    <cfRule type="expression" dxfId="4004" priority="1557">
      <formula>#REF!&lt;&gt;""</formula>
    </cfRule>
    <cfRule type="expression" dxfId="4003" priority="1558">
      <formula>#REF!&lt;&gt;""</formula>
    </cfRule>
    <cfRule type="expression" dxfId="4002" priority="1559">
      <formula>#REF!&lt;&gt;""</formula>
    </cfRule>
    <cfRule type="expression" dxfId="4001" priority="1560">
      <formula>#REF!&lt;&gt;""</formula>
    </cfRule>
    <cfRule type="expression" dxfId="4000" priority="1561">
      <formula>#REF!&lt;&gt;""</formula>
    </cfRule>
    <cfRule type="expression" dxfId="3999" priority="1562">
      <formula>#REF!&lt;&gt;""</formula>
    </cfRule>
    <cfRule type="expression" dxfId="3998" priority="1563">
      <formula>#REF!&lt;&gt;""</formula>
    </cfRule>
    <cfRule type="expression" dxfId="3997" priority="1564">
      <formula>#REF!&lt;&gt;""</formula>
    </cfRule>
    <cfRule type="expression" dxfId="3996" priority="1565">
      <formula>#REF!&lt;&gt;""</formula>
    </cfRule>
    <cfRule type="expression" dxfId="3995" priority="1566">
      <formula>#REF!&lt;&gt;""</formula>
    </cfRule>
  </conditionalFormatting>
  <conditionalFormatting sqref="F189">
    <cfRule type="expression" dxfId="3994" priority="1543">
      <formula>#REF!&lt;&gt;""</formula>
    </cfRule>
    <cfRule type="expression" dxfId="3993" priority="1544">
      <formula>#REF!&lt;&gt;""</formula>
    </cfRule>
    <cfRule type="expression" dxfId="3992" priority="1545">
      <formula>#REF!&lt;&gt;""</formula>
    </cfRule>
    <cfRule type="expression" dxfId="3991" priority="1546">
      <formula>#REF!&lt;&gt;""</formula>
    </cfRule>
    <cfRule type="expression" dxfId="3990" priority="1547">
      <formula>#REF!&lt;&gt;""</formula>
    </cfRule>
    <cfRule type="expression" dxfId="3989" priority="1548">
      <formula>#REF!&lt;&gt;""</formula>
    </cfRule>
    <cfRule type="expression" dxfId="3988" priority="1549">
      <formula>#REF!&lt;&gt;""</formula>
    </cfRule>
    <cfRule type="expression" dxfId="3987" priority="1550">
      <formula>#REF!&lt;&gt;""</formula>
    </cfRule>
    <cfRule type="expression" dxfId="3986" priority="1551">
      <formula>#REF!&lt;&gt;""</formula>
    </cfRule>
    <cfRule type="expression" dxfId="3985" priority="1552">
      <formula>#REF!&lt;&gt;""</formula>
    </cfRule>
    <cfRule type="expression" dxfId="3984" priority="1553">
      <formula>#REF!&lt;&gt;""</formula>
    </cfRule>
    <cfRule type="expression" dxfId="3983" priority="1554">
      <formula>#REF!&lt;&gt;""</formula>
    </cfRule>
  </conditionalFormatting>
  <conditionalFormatting sqref="F190">
    <cfRule type="expression" dxfId="3982" priority="1531">
      <formula>#REF!&lt;&gt;""</formula>
    </cfRule>
    <cfRule type="expression" dxfId="3981" priority="1532">
      <formula>#REF!&lt;&gt;""</formula>
    </cfRule>
    <cfRule type="expression" dxfId="3980" priority="1533">
      <formula>#REF!&lt;&gt;""</formula>
    </cfRule>
    <cfRule type="expression" dxfId="3979" priority="1534">
      <formula>#REF!&lt;&gt;""</formula>
    </cfRule>
    <cfRule type="expression" dxfId="3978" priority="1535">
      <formula>#REF!&lt;&gt;""</formula>
    </cfRule>
    <cfRule type="expression" dxfId="3977" priority="1536">
      <formula>#REF!&lt;&gt;""</formula>
    </cfRule>
    <cfRule type="expression" dxfId="3976" priority="1537">
      <formula>#REF!&lt;&gt;""</formula>
    </cfRule>
    <cfRule type="expression" dxfId="3975" priority="1538">
      <formula>#REF!&lt;&gt;""</formula>
    </cfRule>
    <cfRule type="expression" dxfId="3974" priority="1539">
      <formula>#REF!&lt;&gt;""</formula>
    </cfRule>
    <cfRule type="expression" dxfId="3973" priority="1540">
      <formula>#REF!&lt;&gt;""</formula>
    </cfRule>
    <cfRule type="expression" dxfId="3972" priority="1541">
      <formula>#REF!&lt;&gt;""</formula>
    </cfRule>
    <cfRule type="expression" dxfId="3971" priority="1542">
      <formula>#REF!&lt;&gt;""</formula>
    </cfRule>
  </conditionalFormatting>
  <conditionalFormatting sqref="F191">
    <cfRule type="expression" dxfId="3970" priority="1519">
      <formula>#REF!&lt;&gt;""</formula>
    </cfRule>
    <cfRule type="expression" dxfId="3969" priority="1520">
      <formula>#REF!&lt;&gt;""</formula>
    </cfRule>
    <cfRule type="expression" dxfId="3968" priority="1521">
      <formula>#REF!&lt;&gt;""</formula>
    </cfRule>
    <cfRule type="expression" dxfId="3967" priority="1522">
      <formula>#REF!&lt;&gt;""</formula>
    </cfRule>
    <cfRule type="expression" dxfId="3966" priority="1523">
      <formula>#REF!&lt;&gt;""</formula>
    </cfRule>
    <cfRule type="expression" dxfId="3965" priority="1524">
      <formula>#REF!&lt;&gt;""</formula>
    </cfRule>
    <cfRule type="expression" dxfId="3964" priority="1525">
      <formula>#REF!&lt;&gt;""</formula>
    </cfRule>
    <cfRule type="expression" dxfId="3963" priority="1526">
      <formula>#REF!&lt;&gt;""</formula>
    </cfRule>
    <cfRule type="expression" dxfId="3962" priority="1527">
      <formula>#REF!&lt;&gt;""</formula>
    </cfRule>
    <cfRule type="expression" dxfId="3961" priority="1528">
      <formula>#REF!&lt;&gt;""</formula>
    </cfRule>
    <cfRule type="expression" dxfId="3960" priority="1529">
      <formula>#REF!&lt;&gt;""</formula>
    </cfRule>
    <cfRule type="expression" dxfId="3959" priority="1530">
      <formula>#REF!&lt;&gt;""</formula>
    </cfRule>
  </conditionalFormatting>
  <conditionalFormatting sqref="F192">
    <cfRule type="expression" dxfId="3958" priority="1507">
      <formula>#REF!&lt;&gt;""</formula>
    </cfRule>
    <cfRule type="expression" dxfId="3957" priority="1508">
      <formula>#REF!&lt;&gt;""</formula>
    </cfRule>
    <cfRule type="expression" dxfId="3956" priority="1509">
      <formula>#REF!&lt;&gt;""</formula>
    </cfRule>
    <cfRule type="expression" dxfId="3955" priority="1510">
      <formula>#REF!&lt;&gt;""</formula>
    </cfRule>
    <cfRule type="expression" dxfId="3954" priority="1511">
      <formula>#REF!&lt;&gt;""</formula>
    </cfRule>
    <cfRule type="expression" dxfId="3953" priority="1512">
      <formula>#REF!&lt;&gt;""</formula>
    </cfRule>
    <cfRule type="expression" dxfId="3952" priority="1513">
      <formula>#REF!&lt;&gt;""</formula>
    </cfRule>
    <cfRule type="expression" dxfId="3951" priority="1514">
      <formula>#REF!&lt;&gt;""</formula>
    </cfRule>
    <cfRule type="expression" dxfId="3950" priority="1515">
      <formula>#REF!&lt;&gt;""</formula>
    </cfRule>
    <cfRule type="expression" dxfId="3949" priority="1516">
      <formula>#REF!&lt;&gt;""</formula>
    </cfRule>
    <cfRule type="expression" dxfId="3948" priority="1517">
      <formula>#REF!&lt;&gt;""</formula>
    </cfRule>
    <cfRule type="expression" dxfId="3947" priority="1518">
      <formula>#REF!&lt;&gt;""</formula>
    </cfRule>
  </conditionalFormatting>
  <conditionalFormatting sqref="F193">
    <cfRule type="expression" dxfId="3946" priority="1495">
      <formula>#REF!&lt;&gt;""</formula>
    </cfRule>
    <cfRule type="expression" dxfId="3945" priority="1496">
      <formula>#REF!&lt;&gt;""</formula>
    </cfRule>
    <cfRule type="expression" dxfId="3944" priority="1497">
      <formula>#REF!&lt;&gt;""</formula>
    </cfRule>
    <cfRule type="expression" dxfId="3943" priority="1498">
      <formula>#REF!&lt;&gt;""</formula>
    </cfRule>
    <cfRule type="expression" dxfId="3942" priority="1499">
      <formula>#REF!&lt;&gt;""</formula>
    </cfRule>
    <cfRule type="expression" dxfId="3941" priority="1500">
      <formula>#REF!&lt;&gt;""</formula>
    </cfRule>
    <cfRule type="expression" dxfId="3940" priority="1501">
      <formula>#REF!&lt;&gt;""</formula>
    </cfRule>
    <cfRule type="expression" dxfId="3939" priority="1502">
      <formula>#REF!&lt;&gt;""</formula>
    </cfRule>
    <cfRule type="expression" dxfId="3938" priority="1503">
      <formula>#REF!&lt;&gt;""</formula>
    </cfRule>
    <cfRule type="expression" dxfId="3937" priority="1504">
      <formula>#REF!&lt;&gt;""</formula>
    </cfRule>
    <cfRule type="expression" dxfId="3936" priority="1505">
      <formula>#REF!&lt;&gt;""</formula>
    </cfRule>
    <cfRule type="expression" dxfId="3935" priority="1506">
      <formula>#REF!&lt;&gt;""</formula>
    </cfRule>
  </conditionalFormatting>
  <conditionalFormatting sqref="F194">
    <cfRule type="expression" dxfId="3934" priority="1483">
      <formula>#REF!&lt;&gt;""</formula>
    </cfRule>
    <cfRule type="expression" dxfId="3933" priority="1484">
      <formula>#REF!&lt;&gt;""</formula>
    </cfRule>
    <cfRule type="expression" dxfId="3932" priority="1485">
      <formula>#REF!&lt;&gt;""</formula>
    </cfRule>
    <cfRule type="expression" dxfId="3931" priority="1486">
      <formula>#REF!&lt;&gt;""</formula>
    </cfRule>
    <cfRule type="expression" dxfId="3930" priority="1487">
      <formula>#REF!&lt;&gt;""</formula>
    </cfRule>
    <cfRule type="expression" dxfId="3929" priority="1488">
      <formula>#REF!&lt;&gt;""</formula>
    </cfRule>
    <cfRule type="expression" dxfId="3928" priority="1489">
      <formula>#REF!&lt;&gt;""</formula>
    </cfRule>
    <cfRule type="expression" dxfId="3927" priority="1490">
      <formula>#REF!&lt;&gt;""</formula>
    </cfRule>
    <cfRule type="expression" dxfId="3926" priority="1491">
      <formula>#REF!&lt;&gt;""</formula>
    </cfRule>
    <cfRule type="expression" dxfId="3925" priority="1492">
      <formula>#REF!&lt;&gt;""</formula>
    </cfRule>
    <cfRule type="expression" dxfId="3924" priority="1493">
      <formula>#REF!&lt;&gt;""</formula>
    </cfRule>
    <cfRule type="expression" dxfId="3923" priority="1494">
      <formula>#REF!&lt;&gt;""</formula>
    </cfRule>
  </conditionalFormatting>
  <conditionalFormatting sqref="F195">
    <cfRule type="expression" dxfId="3922" priority="1471">
      <formula>#REF!&lt;&gt;""</formula>
    </cfRule>
    <cfRule type="expression" dxfId="3921" priority="1472">
      <formula>#REF!&lt;&gt;""</formula>
    </cfRule>
    <cfRule type="expression" dxfId="3920" priority="1473">
      <formula>#REF!&lt;&gt;""</formula>
    </cfRule>
    <cfRule type="expression" dxfId="3919" priority="1474">
      <formula>#REF!&lt;&gt;""</formula>
    </cfRule>
    <cfRule type="expression" dxfId="3918" priority="1475">
      <formula>#REF!&lt;&gt;""</formula>
    </cfRule>
    <cfRule type="expression" dxfId="3917" priority="1476">
      <formula>#REF!&lt;&gt;""</formula>
    </cfRule>
    <cfRule type="expression" dxfId="3916" priority="1477">
      <formula>#REF!&lt;&gt;""</formula>
    </cfRule>
    <cfRule type="expression" dxfId="3915" priority="1478">
      <formula>#REF!&lt;&gt;""</formula>
    </cfRule>
    <cfRule type="expression" dxfId="3914" priority="1479">
      <formula>#REF!&lt;&gt;""</formula>
    </cfRule>
    <cfRule type="expression" dxfId="3913" priority="1480">
      <formula>#REF!&lt;&gt;""</formula>
    </cfRule>
    <cfRule type="expression" dxfId="3912" priority="1481">
      <formula>#REF!&lt;&gt;""</formula>
    </cfRule>
    <cfRule type="expression" dxfId="3911" priority="1482">
      <formula>#REF!&lt;&gt;""</formula>
    </cfRule>
  </conditionalFormatting>
  <conditionalFormatting sqref="F196">
    <cfRule type="expression" dxfId="3910" priority="1459">
      <formula>#REF!&lt;&gt;""</formula>
    </cfRule>
    <cfRule type="expression" dxfId="3909" priority="1460">
      <formula>#REF!&lt;&gt;""</formula>
    </cfRule>
    <cfRule type="expression" dxfId="3908" priority="1461">
      <formula>#REF!&lt;&gt;""</formula>
    </cfRule>
    <cfRule type="expression" dxfId="3907" priority="1462">
      <formula>#REF!&lt;&gt;""</formula>
    </cfRule>
    <cfRule type="expression" dxfId="3906" priority="1463">
      <formula>#REF!&lt;&gt;""</formula>
    </cfRule>
    <cfRule type="expression" dxfId="3905" priority="1464">
      <formula>#REF!&lt;&gt;""</formula>
    </cfRule>
    <cfRule type="expression" dxfId="3904" priority="1465">
      <formula>#REF!&lt;&gt;""</formula>
    </cfRule>
    <cfRule type="expression" dxfId="3903" priority="1466">
      <formula>#REF!&lt;&gt;""</formula>
    </cfRule>
    <cfRule type="expression" dxfId="3902" priority="1467">
      <formula>#REF!&lt;&gt;""</formula>
    </cfRule>
    <cfRule type="expression" dxfId="3901" priority="1468">
      <formula>#REF!&lt;&gt;""</formula>
    </cfRule>
    <cfRule type="expression" dxfId="3900" priority="1469">
      <formula>#REF!&lt;&gt;""</formula>
    </cfRule>
    <cfRule type="expression" dxfId="3899" priority="1470">
      <formula>#REF!&lt;&gt;""</formula>
    </cfRule>
  </conditionalFormatting>
  <conditionalFormatting sqref="F197">
    <cfRule type="expression" dxfId="3898" priority="1447">
      <formula>#REF!&lt;&gt;""</formula>
    </cfRule>
    <cfRule type="expression" dxfId="3897" priority="1448">
      <formula>#REF!&lt;&gt;""</formula>
    </cfRule>
    <cfRule type="expression" dxfId="3896" priority="1449">
      <formula>#REF!&lt;&gt;""</formula>
    </cfRule>
    <cfRule type="expression" dxfId="3895" priority="1450">
      <formula>#REF!&lt;&gt;""</formula>
    </cfRule>
    <cfRule type="expression" dxfId="3894" priority="1451">
      <formula>#REF!&lt;&gt;""</formula>
    </cfRule>
    <cfRule type="expression" dxfId="3893" priority="1452">
      <formula>#REF!&lt;&gt;""</formula>
    </cfRule>
    <cfRule type="expression" dxfId="3892" priority="1453">
      <formula>#REF!&lt;&gt;""</formula>
    </cfRule>
    <cfRule type="expression" dxfId="3891" priority="1454">
      <formula>#REF!&lt;&gt;""</formula>
    </cfRule>
    <cfRule type="expression" dxfId="3890" priority="1455">
      <formula>#REF!&lt;&gt;""</formula>
    </cfRule>
    <cfRule type="expression" dxfId="3889" priority="1456">
      <formula>#REF!&lt;&gt;""</formula>
    </cfRule>
    <cfRule type="expression" dxfId="3888" priority="1457">
      <formula>#REF!&lt;&gt;""</formula>
    </cfRule>
    <cfRule type="expression" dxfId="3887" priority="1458">
      <formula>#REF!&lt;&gt;""</formula>
    </cfRule>
  </conditionalFormatting>
  <conditionalFormatting sqref="F198">
    <cfRule type="expression" dxfId="3886" priority="1435">
      <formula>#REF!&lt;&gt;""</formula>
    </cfRule>
    <cfRule type="expression" dxfId="3885" priority="1436">
      <formula>#REF!&lt;&gt;""</formula>
    </cfRule>
    <cfRule type="expression" dxfId="3884" priority="1437">
      <formula>#REF!&lt;&gt;""</formula>
    </cfRule>
    <cfRule type="expression" dxfId="3883" priority="1438">
      <formula>#REF!&lt;&gt;""</formula>
    </cfRule>
    <cfRule type="expression" dxfId="3882" priority="1439">
      <formula>#REF!&lt;&gt;""</formula>
    </cfRule>
    <cfRule type="expression" dxfId="3881" priority="1440">
      <formula>#REF!&lt;&gt;""</formula>
    </cfRule>
    <cfRule type="expression" dxfId="3880" priority="1441">
      <formula>#REF!&lt;&gt;""</formula>
    </cfRule>
    <cfRule type="expression" dxfId="3879" priority="1442">
      <formula>#REF!&lt;&gt;""</formula>
    </cfRule>
    <cfRule type="expression" dxfId="3878" priority="1443">
      <formula>#REF!&lt;&gt;""</formula>
    </cfRule>
    <cfRule type="expression" dxfId="3877" priority="1444">
      <formula>#REF!&lt;&gt;""</formula>
    </cfRule>
    <cfRule type="expression" dxfId="3876" priority="1445">
      <formula>#REF!&lt;&gt;""</formula>
    </cfRule>
    <cfRule type="expression" dxfId="3875" priority="1446">
      <formula>#REF!&lt;&gt;""</formula>
    </cfRule>
  </conditionalFormatting>
  <conditionalFormatting sqref="F199">
    <cfRule type="expression" dxfId="3874" priority="1423">
      <formula>#REF!&lt;&gt;""</formula>
    </cfRule>
    <cfRule type="expression" dxfId="3873" priority="1424">
      <formula>#REF!&lt;&gt;""</formula>
    </cfRule>
    <cfRule type="expression" dxfId="3872" priority="1425">
      <formula>#REF!&lt;&gt;""</formula>
    </cfRule>
    <cfRule type="expression" dxfId="3871" priority="1426">
      <formula>#REF!&lt;&gt;""</formula>
    </cfRule>
    <cfRule type="expression" dxfId="3870" priority="1427">
      <formula>#REF!&lt;&gt;""</formula>
    </cfRule>
    <cfRule type="expression" dxfId="3869" priority="1428">
      <formula>#REF!&lt;&gt;""</formula>
    </cfRule>
    <cfRule type="expression" dxfId="3868" priority="1429">
      <formula>#REF!&lt;&gt;""</formula>
    </cfRule>
    <cfRule type="expression" dxfId="3867" priority="1430">
      <formula>#REF!&lt;&gt;""</formula>
    </cfRule>
    <cfRule type="expression" dxfId="3866" priority="1431">
      <formula>#REF!&lt;&gt;""</formula>
    </cfRule>
    <cfRule type="expression" dxfId="3865" priority="1432">
      <formula>#REF!&lt;&gt;""</formula>
    </cfRule>
    <cfRule type="expression" dxfId="3864" priority="1433">
      <formula>#REF!&lt;&gt;""</formula>
    </cfRule>
    <cfRule type="expression" dxfId="3863" priority="1434">
      <formula>#REF!&lt;&gt;""</formula>
    </cfRule>
  </conditionalFormatting>
  <conditionalFormatting sqref="F200">
    <cfRule type="expression" dxfId="3862" priority="1411">
      <formula>#REF!&lt;&gt;""</formula>
    </cfRule>
    <cfRule type="expression" dxfId="3861" priority="1412">
      <formula>#REF!&lt;&gt;""</formula>
    </cfRule>
    <cfRule type="expression" dxfId="3860" priority="1413">
      <formula>#REF!&lt;&gt;""</formula>
    </cfRule>
    <cfRule type="expression" dxfId="3859" priority="1414">
      <formula>#REF!&lt;&gt;""</formula>
    </cfRule>
    <cfRule type="expression" dxfId="3858" priority="1415">
      <formula>#REF!&lt;&gt;""</formula>
    </cfRule>
    <cfRule type="expression" dxfId="3857" priority="1416">
      <formula>#REF!&lt;&gt;""</formula>
    </cfRule>
    <cfRule type="expression" dxfId="3856" priority="1417">
      <formula>#REF!&lt;&gt;""</formula>
    </cfRule>
    <cfRule type="expression" dxfId="3855" priority="1418">
      <formula>#REF!&lt;&gt;""</formula>
    </cfRule>
    <cfRule type="expression" dxfId="3854" priority="1419">
      <formula>#REF!&lt;&gt;""</formula>
    </cfRule>
    <cfRule type="expression" dxfId="3853" priority="1420">
      <formula>#REF!&lt;&gt;""</formula>
    </cfRule>
    <cfRule type="expression" dxfId="3852" priority="1421">
      <formula>#REF!&lt;&gt;""</formula>
    </cfRule>
    <cfRule type="expression" dxfId="3851" priority="1422">
      <formula>#REF!&lt;&gt;""</formula>
    </cfRule>
  </conditionalFormatting>
  <conditionalFormatting sqref="F201">
    <cfRule type="expression" dxfId="3850" priority="1399">
      <formula>#REF!&lt;&gt;""</formula>
    </cfRule>
    <cfRule type="expression" dxfId="3849" priority="1400">
      <formula>#REF!&lt;&gt;""</formula>
    </cfRule>
    <cfRule type="expression" dxfId="3848" priority="1401">
      <formula>#REF!&lt;&gt;""</formula>
    </cfRule>
    <cfRule type="expression" dxfId="3847" priority="1402">
      <formula>#REF!&lt;&gt;""</formula>
    </cfRule>
    <cfRule type="expression" dxfId="3846" priority="1403">
      <formula>#REF!&lt;&gt;""</formula>
    </cfRule>
    <cfRule type="expression" dxfId="3845" priority="1404">
      <formula>#REF!&lt;&gt;""</formula>
    </cfRule>
    <cfRule type="expression" dxfId="3844" priority="1405">
      <formula>#REF!&lt;&gt;""</formula>
    </cfRule>
    <cfRule type="expression" dxfId="3843" priority="1406">
      <formula>#REF!&lt;&gt;""</formula>
    </cfRule>
    <cfRule type="expression" dxfId="3842" priority="1407">
      <formula>#REF!&lt;&gt;""</formula>
    </cfRule>
    <cfRule type="expression" dxfId="3841" priority="1408">
      <formula>#REF!&lt;&gt;""</formula>
    </cfRule>
    <cfRule type="expression" dxfId="3840" priority="1409">
      <formula>#REF!&lt;&gt;""</formula>
    </cfRule>
    <cfRule type="expression" dxfId="3839" priority="1410">
      <formula>#REF!&lt;&gt;""</formula>
    </cfRule>
  </conditionalFormatting>
  <conditionalFormatting sqref="F202">
    <cfRule type="expression" dxfId="3838" priority="1387">
      <formula>#REF!&lt;&gt;""</formula>
    </cfRule>
    <cfRule type="expression" dxfId="3837" priority="1388">
      <formula>#REF!&lt;&gt;""</formula>
    </cfRule>
    <cfRule type="expression" dxfId="3836" priority="1389">
      <formula>#REF!&lt;&gt;""</formula>
    </cfRule>
    <cfRule type="expression" dxfId="3835" priority="1390">
      <formula>#REF!&lt;&gt;""</formula>
    </cfRule>
    <cfRule type="expression" dxfId="3834" priority="1391">
      <formula>#REF!&lt;&gt;""</formula>
    </cfRule>
    <cfRule type="expression" dxfId="3833" priority="1392">
      <formula>#REF!&lt;&gt;""</formula>
    </cfRule>
    <cfRule type="expression" dxfId="3832" priority="1393">
      <formula>#REF!&lt;&gt;""</formula>
    </cfRule>
    <cfRule type="expression" dxfId="3831" priority="1394">
      <formula>#REF!&lt;&gt;""</formula>
    </cfRule>
    <cfRule type="expression" dxfId="3830" priority="1395">
      <formula>#REF!&lt;&gt;""</formula>
    </cfRule>
    <cfRule type="expression" dxfId="3829" priority="1396">
      <formula>#REF!&lt;&gt;""</formula>
    </cfRule>
    <cfRule type="expression" dxfId="3828" priority="1397">
      <formula>#REF!&lt;&gt;""</formula>
    </cfRule>
    <cfRule type="expression" dxfId="3827" priority="1398">
      <formula>#REF!&lt;&gt;""</formula>
    </cfRule>
  </conditionalFormatting>
  <conditionalFormatting sqref="F203">
    <cfRule type="expression" dxfId="3826" priority="1375">
      <formula>#REF!&lt;&gt;""</formula>
    </cfRule>
    <cfRule type="expression" dxfId="3825" priority="1376">
      <formula>#REF!&lt;&gt;""</formula>
    </cfRule>
    <cfRule type="expression" dxfId="3824" priority="1377">
      <formula>#REF!&lt;&gt;""</formula>
    </cfRule>
    <cfRule type="expression" dxfId="3823" priority="1378">
      <formula>#REF!&lt;&gt;""</formula>
    </cfRule>
    <cfRule type="expression" dxfId="3822" priority="1379">
      <formula>#REF!&lt;&gt;""</formula>
    </cfRule>
    <cfRule type="expression" dxfId="3821" priority="1380">
      <formula>#REF!&lt;&gt;""</formula>
    </cfRule>
    <cfRule type="expression" dxfId="3820" priority="1381">
      <formula>#REF!&lt;&gt;""</formula>
    </cfRule>
    <cfRule type="expression" dxfId="3819" priority="1382">
      <formula>#REF!&lt;&gt;""</formula>
    </cfRule>
    <cfRule type="expression" dxfId="3818" priority="1383">
      <formula>#REF!&lt;&gt;""</formula>
    </cfRule>
    <cfRule type="expression" dxfId="3817" priority="1384">
      <formula>#REF!&lt;&gt;""</formula>
    </cfRule>
    <cfRule type="expression" dxfId="3816" priority="1385">
      <formula>#REF!&lt;&gt;""</formula>
    </cfRule>
    <cfRule type="expression" dxfId="3815" priority="1386">
      <formula>#REF!&lt;&gt;""</formula>
    </cfRule>
  </conditionalFormatting>
  <conditionalFormatting sqref="F204">
    <cfRule type="expression" dxfId="3814" priority="1363">
      <formula>#REF!&lt;&gt;""</formula>
    </cfRule>
    <cfRule type="expression" dxfId="3813" priority="1364">
      <formula>#REF!&lt;&gt;""</formula>
    </cfRule>
    <cfRule type="expression" dxfId="3812" priority="1365">
      <formula>#REF!&lt;&gt;""</formula>
    </cfRule>
    <cfRule type="expression" dxfId="3811" priority="1366">
      <formula>#REF!&lt;&gt;""</formula>
    </cfRule>
    <cfRule type="expression" dxfId="3810" priority="1367">
      <formula>#REF!&lt;&gt;""</formula>
    </cfRule>
    <cfRule type="expression" dxfId="3809" priority="1368">
      <formula>#REF!&lt;&gt;""</formula>
    </cfRule>
    <cfRule type="expression" dxfId="3808" priority="1369">
      <formula>#REF!&lt;&gt;""</formula>
    </cfRule>
    <cfRule type="expression" dxfId="3807" priority="1370">
      <formula>#REF!&lt;&gt;""</formula>
    </cfRule>
    <cfRule type="expression" dxfId="3806" priority="1371">
      <formula>#REF!&lt;&gt;""</formula>
    </cfRule>
    <cfRule type="expression" dxfId="3805" priority="1372">
      <formula>#REF!&lt;&gt;""</formula>
    </cfRule>
    <cfRule type="expression" dxfId="3804" priority="1373">
      <formula>#REF!&lt;&gt;""</formula>
    </cfRule>
    <cfRule type="expression" dxfId="3803" priority="1374">
      <formula>#REF!&lt;&gt;""</formula>
    </cfRule>
  </conditionalFormatting>
  <conditionalFormatting sqref="F205">
    <cfRule type="expression" dxfId="3802" priority="1351">
      <formula>#REF!&lt;&gt;""</formula>
    </cfRule>
    <cfRule type="expression" dxfId="3801" priority="1352">
      <formula>#REF!&lt;&gt;""</formula>
    </cfRule>
    <cfRule type="expression" dxfId="3800" priority="1353">
      <formula>#REF!&lt;&gt;""</formula>
    </cfRule>
    <cfRule type="expression" dxfId="3799" priority="1354">
      <formula>#REF!&lt;&gt;""</formula>
    </cfRule>
    <cfRule type="expression" dxfId="3798" priority="1355">
      <formula>#REF!&lt;&gt;""</formula>
    </cfRule>
    <cfRule type="expression" dxfId="3797" priority="1356">
      <formula>#REF!&lt;&gt;""</formula>
    </cfRule>
    <cfRule type="expression" dxfId="3796" priority="1357">
      <formula>#REF!&lt;&gt;""</formula>
    </cfRule>
    <cfRule type="expression" dxfId="3795" priority="1358">
      <formula>#REF!&lt;&gt;""</formula>
    </cfRule>
    <cfRule type="expression" dxfId="3794" priority="1359">
      <formula>#REF!&lt;&gt;""</formula>
    </cfRule>
    <cfRule type="expression" dxfId="3793" priority="1360">
      <formula>#REF!&lt;&gt;""</formula>
    </cfRule>
    <cfRule type="expression" dxfId="3792" priority="1361">
      <formula>#REF!&lt;&gt;""</formula>
    </cfRule>
    <cfRule type="expression" dxfId="3791" priority="1362">
      <formula>#REF!&lt;&gt;""</formula>
    </cfRule>
  </conditionalFormatting>
  <conditionalFormatting sqref="F206">
    <cfRule type="expression" dxfId="3790" priority="1339">
      <formula>#REF!&lt;&gt;""</formula>
    </cfRule>
    <cfRule type="expression" dxfId="3789" priority="1340">
      <formula>#REF!&lt;&gt;""</formula>
    </cfRule>
    <cfRule type="expression" dxfId="3788" priority="1341">
      <formula>#REF!&lt;&gt;""</formula>
    </cfRule>
    <cfRule type="expression" dxfId="3787" priority="1342">
      <formula>#REF!&lt;&gt;""</formula>
    </cfRule>
    <cfRule type="expression" dxfId="3786" priority="1343">
      <formula>#REF!&lt;&gt;""</formula>
    </cfRule>
    <cfRule type="expression" dxfId="3785" priority="1344">
      <formula>#REF!&lt;&gt;""</formula>
    </cfRule>
    <cfRule type="expression" dxfId="3784" priority="1345">
      <formula>#REF!&lt;&gt;""</formula>
    </cfRule>
    <cfRule type="expression" dxfId="3783" priority="1346">
      <formula>#REF!&lt;&gt;""</formula>
    </cfRule>
    <cfRule type="expression" dxfId="3782" priority="1347">
      <formula>#REF!&lt;&gt;""</formula>
    </cfRule>
    <cfRule type="expression" dxfId="3781" priority="1348">
      <formula>#REF!&lt;&gt;""</formula>
    </cfRule>
    <cfRule type="expression" dxfId="3780" priority="1349">
      <formula>#REF!&lt;&gt;""</formula>
    </cfRule>
    <cfRule type="expression" dxfId="3779" priority="1350">
      <formula>#REF!&lt;&gt;""</formula>
    </cfRule>
  </conditionalFormatting>
  <conditionalFormatting sqref="F207">
    <cfRule type="expression" dxfId="3778" priority="1327">
      <formula>#REF!&lt;&gt;""</formula>
    </cfRule>
    <cfRule type="expression" dxfId="3777" priority="1328">
      <formula>#REF!&lt;&gt;""</formula>
    </cfRule>
    <cfRule type="expression" dxfId="3776" priority="1329">
      <formula>#REF!&lt;&gt;""</formula>
    </cfRule>
    <cfRule type="expression" dxfId="3775" priority="1330">
      <formula>#REF!&lt;&gt;""</formula>
    </cfRule>
    <cfRule type="expression" dxfId="3774" priority="1331">
      <formula>#REF!&lt;&gt;""</formula>
    </cfRule>
    <cfRule type="expression" dxfId="3773" priority="1332">
      <formula>#REF!&lt;&gt;""</formula>
    </cfRule>
    <cfRule type="expression" dxfId="3772" priority="1333">
      <formula>#REF!&lt;&gt;""</formula>
    </cfRule>
    <cfRule type="expression" dxfId="3771" priority="1334">
      <formula>#REF!&lt;&gt;""</formula>
    </cfRule>
    <cfRule type="expression" dxfId="3770" priority="1335">
      <formula>#REF!&lt;&gt;""</formula>
    </cfRule>
    <cfRule type="expression" dxfId="3769" priority="1336">
      <formula>#REF!&lt;&gt;""</formula>
    </cfRule>
    <cfRule type="expression" dxfId="3768" priority="1337">
      <formula>#REF!&lt;&gt;""</formula>
    </cfRule>
    <cfRule type="expression" dxfId="3767" priority="1338">
      <formula>#REF!&lt;&gt;""</formula>
    </cfRule>
  </conditionalFormatting>
  <conditionalFormatting sqref="F208">
    <cfRule type="expression" dxfId="3766" priority="1315">
      <formula>#REF!&lt;&gt;""</formula>
    </cfRule>
    <cfRule type="expression" dxfId="3765" priority="1316">
      <formula>#REF!&lt;&gt;""</formula>
    </cfRule>
    <cfRule type="expression" dxfId="3764" priority="1317">
      <formula>#REF!&lt;&gt;""</formula>
    </cfRule>
    <cfRule type="expression" dxfId="3763" priority="1318">
      <formula>#REF!&lt;&gt;""</formula>
    </cfRule>
    <cfRule type="expression" dxfId="3762" priority="1319">
      <formula>#REF!&lt;&gt;""</formula>
    </cfRule>
    <cfRule type="expression" dxfId="3761" priority="1320">
      <formula>#REF!&lt;&gt;""</formula>
    </cfRule>
    <cfRule type="expression" dxfId="3760" priority="1321">
      <formula>#REF!&lt;&gt;""</formula>
    </cfRule>
    <cfRule type="expression" dxfId="3759" priority="1322">
      <formula>#REF!&lt;&gt;""</formula>
    </cfRule>
    <cfRule type="expression" dxfId="3758" priority="1323">
      <formula>#REF!&lt;&gt;""</formula>
    </cfRule>
    <cfRule type="expression" dxfId="3757" priority="1324">
      <formula>#REF!&lt;&gt;""</formula>
    </cfRule>
    <cfRule type="expression" dxfId="3756" priority="1325">
      <formula>#REF!&lt;&gt;""</formula>
    </cfRule>
    <cfRule type="expression" dxfId="3755" priority="1326">
      <formula>#REF!&lt;&gt;""</formula>
    </cfRule>
  </conditionalFormatting>
  <conditionalFormatting sqref="F209">
    <cfRule type="expression" dxfId="3754" priority="1303">
      <formula>#REF!&lt;&gt;""</formula>
    </cfRule>
    <cfRule type="expression" dxfId="3753" priority="1304">
      <formula>#REF!&lt;&gt;""</formula>
    </cfRule>
    <cfRule type="expression" dxfId="3752" priority="1305">
      <formula>#REF!&lt;&gt;""</formula>
    </cfRule>
    <cfRule type="expression" dxfId="3751" priority="1306">
      <formula>#REF!&lt;&gt;""</formula>
    </cfRule>
    <cfRule type="expression" dxfId="3750" priority="1307">
      <formula>#REF!&lt;&gt;""</formula>
    </cfRule>
    <cfRule type="expression" dxfId="3749" priority="1308">
      <formula>#REF!&lt;&gt;""</formula>
    </cfRule>
    <cfRule type="expression" dxfId="3748" priority="1309">
      <formula>#REF!&lt;&gt;""</formula>
    </cfRule>
    <cfRule type="expression" dxfId="3747" priority="1310">
      <formula>#REF!&lt;&gt;""</formula>
    </cfRule>
    <cfRule type="expression" dxfId="3746" priority="1311">
      <formula>#REF!&lt;&gt;""</formula>
    </cfRule>
    <cfRule type="expression" dxfId="3745" priority="1312">
      <formula>#REF!&lt;&gt;""</formula>
    </cfRule>
    <cfRule type="expression" dxfId="3744" priority="1313">
      <formula>#REF!&lt;&gt;""</formula>
    </cfRule>
    <cfRule type="expression" dxfId="3743" priority="1314">
      <formula>#REF!&lt;&gt;""</formula>
    </cfRule>
  </conditionalFormatting>
  <conditionalFormatting sqref="F210">
    <cfRule type="expression" dxfId="3742" priority="1291">
      <formula>#REF!&lt;&gt;""</formula>
    </cfRule>
    <cfRule type="expression" dxfId="3741" priority="1292">
      <formula>#REF!&lt;&gt;""</formula>
    </cfRule>
    <cfRule type="expression" dxfId="3740" priority="1293">
      <formula>#REF!&lt;&gt;""</formula>
    </cfRule>
    <cfRule type="expression" dxfId="3739" priority="1294">
      <formula>#REF!&lt;&gt;""</formula>
    </cfRule>
    <cfRule type="expression" dxfId="3738" priority="1295">
      <formula>#REF!&lt;&gt;""</formula>
    </cfRule>
    <cfRule type="expression" dxfId="3737" priority="1296">
      <formula>#REF!&lt;&gt;""</formula>
    </cfRule>
    <cfRule type="expression" dxfId="3736" priority="1297">
      <formula>#REF!&lt;&gt;""</formula>
    </cfRule>
    <cfRule type="expression" dxfId="3735" priority="1298">
      <formula>#REF!&lt;&gt;""</formula>
    </cfRule>
    <cfRule type="expression" dxfId="3734" priority="1299">
      <formula>#REF!&lt;&gt;""</formula>
    </cfRule>
    <cfRule type="expression" dxfId="3733" priority="1300">
      <formula>#REF!&lt;&gt;""</formula>
    </cfRule>
    <cfRule type="expression" dxfId="3732" priority="1301">
      <formula>#REF!&lt;&gt;""</formula>
    </cfRule>
    <cfRule type="expression" dxfId="3731" priority="1302">
      <formula>#REF!&lt;&gt;""</formula>
    </cfRule>
  </conditionalFormatting>
  <conditionalFormatting sqref="F211">
    <cfRule type="expression" dxfId="3730" priority="1279">
      <formula>#REF!&lt;&gt;""</formula>
    </cfRule>
    <cfRule type="expression" dxfId="3729" priority="1280">
      <formula>#REF!&lt;&gt;""</formula>
    </cfRule>
    <cfRule type="expression" dxfId="3728" priority="1281">
      <formula>#REF!&lt;&gt;""</formula>
    </cfRule>
    <cfRule type="expression" dxfId="3727" priority="1282">
      <formula>#REF!&lt;&gt;""</formula>
    </cfRule>
    <cfRule type="expression" dxfId="3726" priority="1283">
      <formula>#REF!&lt;&gt;""</formula>
    </cfRule>
    <cfRule type="expression" dxfId="3725" priority="1284">
      <formula>#REF!&lt;&gt;""</formula>
    </cfRule>
    <cfRule type="expression" dxfId="3724" priority="1285">
      <formula>#REF!&lt;&gt;""</formula>
    </cfRule>
    <cfRule type="expression" dxfId="3723" priority="1286">
      <formula>#REF!&lt;&gt;""</formula>
    </cfRule>
    <cfRule type="expression" dxfId="3722" priority="1287">
      <formula>#REF!&lt;&gt;""</formula>
    </cfRule>
    <cfRule type="expression" dxfId="3721" priority="1288">
      <formula>#REF!&lt;&gt;""</formula>
    </cfRule>
    <cfRule type="expression" dxfId="3720" priority="1289">
      <formula>#REF!&lt;&gt;""</formula>
    </cfRule>
    <cfRule type="expression" dxfId="3719" priority="1290">
      <formula>#REF!&lt;&gt;""</formula>
    </cfRule>
  </conditionalFormatting>
  <conditionalFormatting sqref="F212">
    <cfRule type="expression" dxfId="3718" priority="1267">
      <formula>#REF!&lt;&gt;""</formula>
    </cfRule>
    <cfRule type="expression" dxfId="3717" priority="1268">
      <formula>#REF!&lt;&gt;""</formula>
    </cfRule>
    <cfRule type="expression" dxfId="3716" priority="1269">
      <formula>#REF!&lt;&gt;""</formula>
    </cfRule>
    <cfRule type="expression" dxfId="3715" priority="1270">
      <formula>#REF!&lt;&gt;""</formula>
    </cfRule>
    <cfRule type="expression" dxfId="3714" priority="1271">
      <formula>#REF!&lt;&gt;""</formula>
    </cfRule>
    <cfRule type="expression" dxfId="3713" priority="1272">
      <formula>#REF!&lt;&gt;""</formula>
    </cfRule>
    <cfRule type="expression" dxfId="3712" priority="1273">
      <formula>#REF!&lt;&gt;""</formula>
    </cfRule>
    <cfRule type="expression" dxfId="3711" priority="1274">
      <formula>#REF!&lt;&gt;""</formula>
    </cfRule>
    <cfRule type="expression" dxfId="3710" priority="1275">
      <formula>#REF!&lt;&gt;""</formula>
    </cfRule>
    <cfRule type="expression" dxfId="3709" priority="1276">
      <formula>#REF!&lt;&gt;""</formula>
    </cfRule>
    <cfRule type="expression" dxfId="3708" priority="1277">
      <formula>#REF!&lt;&gt;""</formula>
    </cfRule>
    <cfRule type="expression" dxfId="3707" priority="1278">
      <formula>#REF!&lt;&gt;""</formula>
    </cfRule>
  </conditionalFormatting>
  <conditionalFormatting sqref="F213">
    <cfRule type="expression" dxfId="3706" priority="1255">
      <formula>#REF!&lt;&gt;""</formula>
    </cfRule>
    <cfRule type="expression" dxfId="3705" priority="1256">
      <formula>#REF!&lt;&gt;""</formula>
    </cfRule>
    <cfRule type="expression" dxfId="3704" priority="1257">
      <formula>#REF!&lt;&gt;""</formula>
    </cfRule>
    <cfRule type="expression" dxfId="3703" priority="1258">
      <formula>#REF!&lt;&gt;""</formula>
    </cfRule>
    <cfRule type="expression" dxfId="3702" priority="1259">
      <formula>#REF!&lt;&gt;""</formula>
    </cfRule>
    <cfRule type="expression" dxfId="3701" priority="1260">
      <formula>#REF!&lt;&gt;""</formula>
    </cfRule>
    <cfRule type="expression" dxfId="3700" priority="1261">
      <formula>#REF!&lt;&gt;""</formula>
    </cfRule>
    <cfRule type="expression" dxfId="3699" priority="1262">
      <formula>#REF!&lt;&gt;""</formula>
    </cfRule>
    <cfRule type="expression" dxfId="3698" priority="1263">
      <formula>#REF!&lt;&gt;""</formula>
    </cfRule>
    <cfRule type="expression" dxfId="3697" priority="1264">
      <formula>#REF!&lt;&gt;""</formula>
    </cfRule>
    <cfRule type="expression" dxfId="3696" priority="1265">
      <formula>#REF!&lt;&gt;""</formula>
    </cfRule>
    <cfRule type="expression" dxfId="3695" priority="1266">
      <formula>#REF!&lt;&gt;""</formula>
    </cfRule>
  </conditionalFormatting>
  <conditionalFormatting sqref="F214">
    <cfRule type="expression" dxfId="3694" priority="1243">
      <formula>#REF!&lt;&gt;""</formula>
    </cfRule>
    <cfRule type="expression" dxfId="3693" priority="1244">
      <formula>#REF!&lt;&gt;""</formula>
    </cfRule>
    <cfRule type="expression" dxfId="3692" priority="1245">
      <formula>#REF!&lt;&gt;""</formula>
    </cfRule>
    <cfRule type="expression" dxfId="3691" priority="1246">
      <formula>#REF!&lt;&gt;""</formula>
    </cfRule>
    <cfRule type="expression" dxfId="3690" priority="1247">
      <formula>#REF!&lt;&gt;""</formula>
    </cfRule>
    <cfRule type="expression" dxfId="3689" priority="1248">
      <formula>#REF!&lt;&gt;""</formula>
    </cfRule>
    <cfRule type="expression" dxfId="3688" priority="1249">
      <formula>#REF!&lt;&gt;""</formula>
    </cfRule>
    <cfRule type="expression" dxfId="3687" priority="1250">
      <formula>#REF!&lt;&gt;""</formula>
    </cfRule>
    <cfRule type="expression" dxfId="3686" priority="1251">
      <formula>#REF!&lt;&gt;""</formula>
    </cfRule>
    <cfRule type="expression" dxfId="3685" priority="1252">
      <formula>#REF!&lt;&gt;""</formula>
    </cfRule>
    <cfRule type="expression" dxfId="3684" priority="1253">
      <formula>#REF!&lt;&gt;""</formula>
    </cfRule>
    <cfRule type="expression" dxfId="3683" priority="1254">
      <formula>#REF!&lt;&gt;""</formula>
    </cfRule>
  </conditionalFormatting>
  <conditionalFormatting sqref="F215">
    <cfRule type="expression" dxfId="3682" priority="1231">
      <formula>#REF!&lt;&gt;""</formula>
    </cfRule>
    <cfRule type="expression" dxfId="3681" priority="1232">
      <formula>#REF!&lt;&gt;""</formula>
    </cfRule>
    <cfRule type="expression" dxfId="3680" priority="1233">
      <formula>#REF!&lt;&gt;""</formula>
    </cfRule>
    <cfRule type="expression" dxfId="3679" priority="1234">
      <formula>#REF!&lt;&gt;""</formula>
    </cfRule>
    <cfRule type="expression" dxfId="3678" priority="1235">
      <formula>#REF!&lt;&gt;""</formula>
    </cfRule>
    <cfRule type="expression" dxfId="3677" priority="1236">
      <formula>#REF!&lt;&gt;""</formula>
    </cfRule>
    <cfRule type="expression" dxfId="3676" priority="1237">
      <formula>#REF!&lt;&gt;""</formula>
    </cfRule>
    <cfRule type="expression" dxfId="3675" priority="1238">
      <formula>#REF!&lt;&gt;""</formula>
    </cfRule>
    <cfRule type="expression" dxfId="3674" priority="1239">
      <formula>#REF!&lt;&gt;""</formula>
    </cfRule>
    <cfRule type="expression" dxfId="3673" priority="1240">
      <formula>#REF!&lt;&gt;""</formula>
    </cfRule>
    <cfRule type="expression" dxfId="3672" priority="1241">
      <formula>#REF!&lt;&gt;""</formula>
    </cfRule>
    <cfRule type="expression" dxfId="3671" priority="1242">
      <formula>#REF!&lt;&gt;""</formula>
    </cfRule>
  </conditionalFormatting>
  <conditionalFormatting sqref="F216">
    <cfRule type="expression" dxfId="3670" priority="1219">
      <formula>#REF!&lt;&gt;""</formula>
    </cfRule>
    <cfRule type="expression" dxfId="3669" priority="1220">
      <formula>#REF!&lt;&gt;""</formula>
    </cfRule>
    <cfRule type="expression" dxfId="3668" priority="1221">
      <formula>#REF!&lt;&gt;""</formula>
    </cfRule>
    <cfRule type="expression" dxfId="3667" priority="1222">
      <formula>#REF!&lt;&gt;""</formula>
    </cfRule>
    <cfRule type="expression" dxfId="3666" priority="1223">
      <formula>#REF!&lt;&gt;""</formula>
    </cfRule>
    <cfRule type="expression" dxfId="3665" priority="1224">
      <formula>#REF!&lt;&gt;""</formula>
    </cfRule>
    <cfRule type="expression" dxfId="3664" priority="1225">
      <formula>#REF!&lt;&gt;""</formula>
    </cfRule>
    <cfRule type="expression" dxfId="3663" priority="1226">
      <formula>#REF!&lt;&gt;""</formula>
    </cfRule>
    <cfRule type="expression" dxfId="3662" priority="1227">
      <formula>#REF!&lt;&gt;""</formula>
    </cfRule>
    <cfRule type="expression" dxfId="3661" priority="1228">
      <formula>#REF!&lt;&gt;""</formula>
    </cfRule>
    <cfRule type="expression" dxfId="3660" priority="1229">
      <formula>#REF!&lt;&gt;""</formula>
    </cfRule>
    <cfRule type="expression" dxfId="3659" priority="1230">
      <formula>#REF!&lt;&gt;""</formula>
    </cfRule>
  </conditionalFormatting>
  <conditionalFormatting sqref="F217">
    <cfRule type="expression" dxfId="3658" priority="1207">
      <formula>#REF!&lt;&gt;""</formula>
    </cfRule>
    <cfRule type="expression" dxfId="3657" priority="1208">
      <formula>#REF!&lt;&gt;""</formula>
    </cfRule>
    <cfRule type="expression" dxfId="3656" priority="1209">
      <formula>#REF!&lt;&gt;""</formula>
    </cfRule>
    <cfRule type="expression" dxfId="3655" priority="1210">
      <formula>#REF!&lt;&gt;""</formula>
    </cfRule>
    <cfRule type="expression" dxfId="3654" priority="1211">
      <formula>#REF!&lt;&gt;""</formula>
    </cfRule>
    <cfRule type="expression" dxfId="3653" priority="1212">
      <formula>#REF!&lt;&gt;""</formula>
    </cfRule>
    <cfRule type="expression" dxfId="3652" priority="1213">
      <formula>#REF!&lt;&gt;""</formula>
    </cfRule>
    <cfRule type="expression" dxfId="3651" priority="1214">
      <formula>#REF!&lt;&gt;""</formula>
    </cfRule>
    <cfRule type="expression" dxfId="3650" priority="1215">
      <formula>#REF!&lt;&gt;""</formula>
    </cfRule>
    <cfRule type="expression" dxfId="3649" priority="1216">
      <formula>#REF!&lt;&gt;""</formula>
    </cfRule>
    <cfRule type="expression" dxfId="3648" priority="1217">
      <formula>#REF!&lt;&gt;""</formula>
    </cfRule>
    <cfRule type="expression" dxfId="3647" priority="1218">
      <formula>#REF!&lt;&gt;""</formula>
    </cfRule>
  </conditionalFormatting>
  <conditionalFormatting sqref="F234">
    <cfRule type="expression" dxfId="3646" priority="1195">
      <formula>#REF!&lt;&gt;""</formula>
    </cfRule>
    <cfRule type="expression" dxfId="3645" priority="1196">
      <formula>#REF!&lt;&gt;""</formula>
    </cfRule>
    <cfRule type="expression" dxfId="3644" priority="1197">
      <formula>#REF!&lt;&gt;""</formula>
    </cfRule>
    <cfRule type="expression" dxfId="3643" priority="1198">
      <formula>#REF!&lt;&gt;""</formula>
    </cfRule>
    <cfRule type="expression" dxfId="3642" priority="1199">
      <formula>#REF!&lt;&gt;""</formula>
    </cfRule>
    <cfRule type="expression" dxfId="3641" priority="1200">
      <formula>#REF!&lt;&gt;""</formula>
    </cfRule>
    <cfRule type="expression" dxfId="3640" priority="1201">
      <formula>#REF!&lt;&gt;""</formula>
    </cfRule>
    <cfRule type="expression" dxfId="3639" priority="1202">
      <formula>#REF!&lt;&gt;""</formula>
    </cfRule>
    <cfRule type="expression" dxfId="3638" priority="1203">
      <formula>#REF!&lt;&gt;""</formula>
    </cfRule>
    <cfRule type="expression" dxfId="3637" priority="1204">
      <formula>#REF!&lt;&gt;""</formula>
    </cfRule>
    <cfRule type="expression" dxfId="3636" priority="1205">
      <formula>#REF!&lt;&gt;""</formula>
    </cfRule>
    <cfRule type="expression" dxfId="3635" priority="1206">
      <formula>#REF!&lt;&gt;""</formula>
    </cfRule>
  </conditionalFormatting>
  <conditionalFormatting sqref="F235">
    <cfRule type="expression" dxfId="3634" priority="1183">
      <formula>#REF!&lt;&gt;""</formula>
    </cfRule>
    <cfRule type="expression" dxfId="3633" priority="1184">
      <formula>#REF!&lt;&gt;""</formula>
    </cfRule>
    <cfRule type="expression" dxfId="3632" priority="1185">
      <formula>#REF!&lt;&gt;""</formula>
    </cfRule>
    <cfRule type="expression" dxfId="3631" priority="1186">
      <formula>#REF!&lt;&gt;""</formula>
    </cfRule>
    <cfRule type="expression" dxfId="3630" priority="1187">
      <formula>#REF!&lt;&gt;""</formula>
    </cfRule>
    <cfRule type="expression" dxfId="3629" priority="1188">
      <formula>#REF!&lt;&gt;""</formula>
    </cfRule>
    <cfRule type="expression" dxfId="3628" priority="1189">
      <formula>#REF!&lt;&gt;""</formula>
    </cfRule>
    <cfRule type="expression" dxfId="3627" priority="1190">
      <formula>#REF!&lt;&gt;""</formula>
    </cfRule>
    <cfRule type="expression" dxfId="3626" priority="1191">
      <formula>#REF!&lt;&gt;""</formula>
    </cfRule>
    <cfRule type="expression" dxfId="3625" priority="1192">
      <formula>#REF!&lt;&gt;""</formula>
    </cfRule>
    <cfRule type="expression" dxfId="3624" priority="1193">
      <formula>#REF!&lt;&gt;""</formula>
    </cfRule>
    <cfRule type="expression" dxfId="3623" priority="1194">
      <formula>#REF!&lt;&gt;""</formula>
    </cfRule>
  </conditionalFormatting>
  <conditionalFormatting sqref="F236">
    <cfRule type="expression" dxfId="3622" priority="1171">
      <formula>#REF!&lt;&gt;""</formula>
    </cfRule>
    <cfRule type="expression" dxfId="3621" priority="1172">
      <formula>#REF!&lt;&gt;""</formula>
    </cfRule>
    <cfRule type="expression" dxfId="3620" priority="1173">
      <formula>#REF!&lt;&gt;""</formula>
    </cfRule>
    <cfRule type="expression" dxfId="3619" priority="1174">
      <formula>#REF!&lt;&gt;""</formula>
    </cfRule>
    <cfRule type="expression" dxfId="3618" priority="1175">
      <formula>#REF!&lt;&gt;""</formula>
    </cfRule>
    <cfRule type="expression" dxfId="3617" priority="1176">
      <formula>#REF!&lt;&gt;""</formula>
    </cfRule>
    <cfRule type="expression" dxfId="3616" priority="1177">
      <formula>#REF!&lt;&gt;""</formula>
    </cfRule>
    <cfRule type="expression" dxfId="3615" priority="1178">
      <formula>#REF!&lt;&gt;""</formula>
    </cfRule>
    <cfRule type="expression" dxfId="3614" priority="1179">
      <formula>#REF!&lt;&gt;""</formula>
    </cfRule>
    <cfRule type="expression" dxfId="3613" priority="1180">
      <formula>#REF!&lt;&gt;""</formula>
    </cfRule>
    <cfRule type="expression" dxfId="3612" priority="1181">
      <formula>#REF!&lt;&gt;""</formula>
    </cfRule>
    <cfRule type="expression" dxfId="3611" priority="1182">
      <formula>#REF!&lt;&gt;""</formula>
    </cfRule>
  </conditionalFormatting>
  <conditionalFormatting sqref="F237">
    <cfRule type="expression" dxfId="3610" priority="1159">
      <formula>#REF!&lt;&gt;""</formula>
    </cfRule>
    <cfRule type="expression" dxfId="3609" priority="1160">
      <formula>#REF!&lt;&gt;""</formula>
    </cfRule>
    <cfRule type="expression" dxfId="3608" priority="1161">
      <formula>#REF!&lt;&gt;""</formula>
    </cfRule>
    <cfRule type="expression" dxfId="3607" priority="1162">
      <formula>#REF!&lt;&gt;""</formula>
    </cfRule>
    <cfRule type="expression" dxfId="3606" priority="1163">
      <formula>#REF!&lt;&gt;""</formula>
    </cfRule>
    <cfRule type="expression" dxfId="3605" priority="1164">
      <formula>#REF!&lt;&gt;""</formula>
    </cfRule>
    <cfRule type="expression" dxfId="3604" priority="1165">
      <formula>#REF!&lt;&gt;""</formula>
    </cfRule>
    <cfRule type="expression" dxfId="3603" priority="1166">
      <formula>#REF!&lt;&gt;""</formula>
    </cfRule>
    <cfRule type="expression" dxfId="3602" priority="1167">
      <formula>#REF!&lt;&gt;""</formula>
    </cfRule>
    <cfRule type="expression" dxfId="3601" priority="1168">
      <formula>#REF!&lt;&gt;""</formula>
    </cfRule>
    <cfRule type="expression" dxfId="3600" priority="1169">
      <formula>#REF!&lt;&gt;""</formula>
    </cfRule>
    <cfRule type="expression" dxfId="3599" priority="1170">
      <formula>#REF!&lt;&gt;""</formula>
    </cfRule>
  </conditionalFormatting>
  <conditionalFormatting sqref="F238">
    <cfRule type="expression" dxfId="3598" priority="1147">
      <formula>#REF!&lt;&gt;""</formula>
    </cfRule>
    <cfRule type="expression" dxfId="3597" priority="1148">
      <formula>#REF!&lt;&gt;""</formula>
    </cfRule>
    <cfRule type="expression" dxfId="3596" priority="1149">
      <formula>#REF!&lt;&gt;""</formula>
    </cfRule>
    <cfRule type="expression" dxfId="3595" priority="1150">
      <formula>#REF!&lt;&gt;""</formula>
    </cfRule>
    <cfRule type="expression" dxfId="3594" priority="1151">
      <formula>#REF!&lt;&gt;""</formula>
    </cfRule>
    <cfRule type="expression" dxfId="3593" priority="1152">
      <formula>#REF!&lt;&gt;""</formula>
    </cfRule>
    <cfRule type="expression" dxfId="3592" priority="1153">
      <formula>#REF!&lt;&gt;""</formula>
    </cfRule>
    <cfRule type="expression" dxfId="3591" priority="1154">
      <formula>#REF!&lt;&gt;""</formula>
    </cfRule>
    <cfRule type="expression" dxfId="3590" priority="1155">
      <formula>#REF!&lt;&gt;""</formula>
    </cfRule>
    <cfRule type="expression" dxfId="3589" priority="1156">
      <formula>#REF!&lt;&gt;""</formula>
    </cfRule>
    <cfRule type="expression" dxfId="3588" priority="1157">
      <formula>#REF!&lt;&gt;""</formula>
    </cfRule>
    <cfRule type="expression" dxfId="3587" priority="1158">
      <formula>#REF!&lt;&gt;""</formula>
    </cfRule>
  </conditionalFormatting>
  <conditionalFormatting sqref="F239">
    <cfRule type="expression" dxfId="3586" priority="1135">
      <formula>#REF!&lt;&gt;""</formula>
    </cfRule>
    <cfRule type="expression" dxfId="3585" priority="1136">
      <formula>#REF!&lt;&gt;""</formula>
    </cfRule>
    <cfRule type="expression" dxfId="3584" priority="1137">
      <formula>#REF!&lt;&gt;""</formula>
    </cfRule>
    <cfRule type="expression" dxfId="3583" priority="1138">
      <formula>#REF!&lt;&gt;""</formula>
    </cfRule>
    <cfRule type="expression" dxfId="3582" priority="1139">
      <formula>#REF!&lt;&gt;""</formula>
    </cfRule>
    <cfRule type="expression" dxfId="3581" priority="1140">
      <formula>#REF!&lt;&gt;""</formula>
    </cfRule>
    <cfRule type="expression" dxfId="3580" priority="1141">
      <formula>#REF!&lt;&gt;""</formula>
    </cfRule>
    <cfRule type="expression" dxfId="3579" priority="1142">
      <formula>#REF!&lt;&gt;""</formula>
    </cfRule>
    <cfRule type="expression" dxfId="3578" priority="1143">
      <formula>#REF!&lt;&gt;""</formula>
    </cfRule>
    <cfRule type="expression" dxfId="3577" priority="1144">
      <formula>#REF!&lt;&gt;""</formula>
    </cfRule>
    <cfRule type="expression" dxfId="3576" priority="1145">
      <formula>#REF!&lt;&gt;""</formula>
    </cfRule>
    <cfRule type="expression" dxfId="3575" priority="1146">
      <formula>#REF!&lt;&gt;""</formula>
    </cfRule>
  </conditionalFormatting>
  <conditionalFormatting sqref="F240">
    <cfRule type="expression" dxfId="3574" priority="1123">
      <formula>#REF!&lt;&gt;""</formula>
    </cfRule>
    <cfRule type="expression" dxfId="3573" priority="1124">
      <formula>#REF!&lt;&gt;""</formula>
    </cfRule>
    <cfRule type="expression" dxfId="3572" priority="1125">
      <formula>#REF!&lt;&gt;""</formula>
    </cfRule>
    <cfRule type="expression" dxfId="3571" priority="1126">
      <formula>#REF!&lt;&gt;""</formula>
    </cfRule>
    <cfRule type="expression" dxfId="3570" priority="1127">
      <formula>#REF!&lt;&gt;""</formula>
    </cfRule>
    <cfRule type="expression" dxfId="3569" priority="1128">
      <formula>#REF!&lt;&gt;""</formula>
    </cfRule>
    <cfRule type="expression" dxfId="3568" priority="1129">
      <formula>#REF!&lt;&gt;""</formula>
    </cfRule>
    <cfRule type="expression" dxfId="3567" priority="1130">
      <formula>#REF!&lt;&gt;""</formula>
    </cfRule>
    <cfRule type="expression" dxfId="3566" priority="1131">
      <formula>#REF!&lt;&gt;""</formula>
    </cfRule>
    <cfRule type="expression" dxfId="3565" priority="1132">
      <formula>#REF!&lt;&gt;""</formula>
    </cfRule>
    <cfRule type="expression" dxfId="3564" priority="1133">
      <formula>#REF!&lt;&gt;""</formula>
    </cfRule>
    <cfRule type="expression" dxfId="3563" priority="1134">
      <formula>#REF!&lt;&gt;""</formula>
    </cfRule>
  </conditionalFormatting>
  <conditionalFormatting sqref="F241">
    <cfRule type="expression" dxfId="3562" priority="1111">
      <formula>#REF!&lt;&gt;""</formula>
    </cfRule>
    <cfRule type="expression" dxfId="3561" priority="1112">
      <formula>#REF!&lt;&gt;""</formula>
    </cfRule>
    <cfRule type="expression" dxfId="3560" priority="1113">
      <formula>#REF!&lt;&gt;""</formula>
    </cfRule>
    <cfRule type="expression" dxfId="3559" priority="1114">
      <formula>#REF!&lt;&gt;""</formula>
    </cfRule>
    <cfRule type="expression" dxfId="3558" priority="1115">
      <formula>#REF!&lt;&gt;""</formula>
    </cfRule>
    <cfRule type="expression" dxfId="3557" priority="1116">
      <formula>#REF!&lt;&gt;""</formula>
    </cfRule>
    <cfRule type="expression" dxfId="3556" priority="1117">
      <formula>#REF!&lt;&gt;""</formula>
    </cfRule>
    <cfRule type="expression" dxfId="3555" priority="1118">
      <formula>#REF!&lt;&gt;""</formula>
    </cfRule>
    <cfRule type="expression" dxfId="3554" priority="1119">
      <formula>#REF!&lt;&gt;""</formula>
    </cfRule>
    <cfRule type="expression" dxfId="3553" priority="1120">
      <formula>#REF!&lt;&gt;""</formula>
    </cfRule>
    <cfRule type="expression" dxfId="3552" priority="1121">
      <formula>#REF!&lt;&gt;""</formula>
    </cfRule>
    <cfRule type="expression" dxfId="3551" priority="1122">
      <formula>#REF!&lt;&gt;""</formula>
    </cfRule>
  </conditionalFormatting>
  <conditionalFormatting sqref="F242">
    <cfRule type="expression" dxfId="3550" priority="1099">
      <formula>#REF!&lt;&gt;""</formula>
    </cfRule>
    <cfRule type="expression" dxfId="3549" priority="1100">
      <formula>#REF!&lt;&gt;""</formula>
    </cfRule>
    <cfRule type="expression" dxfId="3548" priority="1101">
      <formula>#REF!&lt;&gt;""</formula>
    </cfRule>
    <cfRule type="expression" dxfId="3547" priority="1102">
      <formula>#REF!&lt;&gt;""</formula>
    </cfRule>
    <cfRule type="expression" dxfId="3546" priority="1103">
      <formula>#REF!&lt;&gt;""</formula>
    </cfRule>
    <cfRule type="expression" dxfId="3545" priority="1104">
      <formula>#REF!&lt;&gt;""</formula>
    </cfRule>
    <cfRule type="expression" dxfId="3544" priority="1105">
      <formula>#REF!&lt;&gt;""</formula>
    </cfRule>
    <cfRule type="expression" dxfId="3543" priority="1106">
      <formula>#REF!&lt;&gt;""</formula>
    </cfRule>
    <cfRule type="expression" dxfId="3542" priority="1107">
      <formula>#REF!&lt;&gt;""</formula>
    </cfRule>
    <cfRule type="expression" dxfId="3541" priority="1108">
      <formula>#REF!&lt;&gt;""</formula>
    </cfRule>
    <cfRule type="expression" dxfId="3540" priority="1109">
      <formula>#REF!&lt;&gt;""</formula>
    </cfRule>
    <cfRule type="expression" dxfId="3539" priority="1110">
      <formula>#REF!&lt;&gt;""</formula>
    </cfRule>
  </conditionalFormatting>
  <conditionalFormatting sqref="F243">
    <cfRule type="expression" dxfId="3538" priority="1087">
      <formula>#REF!&lt;&gt;""</formula>
    </cfRule>
    <cfRule type="expression" dxfId="3537" priority="1088">
      <formula>#REF!&lt;&gt;""</formula>
    </cfRule>
    <cfRule type="expression" dxfId="3536" priority="1089">
      <formula>#REF!&lt;&gt;""</formula>
    </cfRule>
    <cfRule type="expression" dxfId="3535" priority="1090">
      <formula>#REF!&lt;&gt;""</formula>
    </cfRule>
    <cfRule type="expression" dxfId="3534" priority="1091">
      <formula>#REF!&lt;&gt;""</formula>
    </cfRule>
    <cfRule type="expression" dxfId="3533" priority="1092">
      <formula>#REF!&lt;&gt;""</formula>
    </cfRule>
    <cfRule type="expression" dxfId="3532" priority="1093">
      <formula>#REF!&lt;&gt;""</formula>
    </cfRule>
    <cfRule type="expression" dxfId="3531" priority="1094">
      <formula>#REF!&lt;&gt;""</formula>
    </cfRule>
    <cfRule type="expression" dxfId="3530" priority="1095">
      <formula>#REF!&lt;&gt;""</formula>
    </cfRule>
    <cfRule type="expression" dxfId="3529" priority="1096">
      <formula>#REF!&lt;&gt;""</formula>
    </cfRule>
    <cfRule type="expression" dxfId="3528" priority="1097">
      <formula>#REF!&lt;&gt;""</formula>
    </cfRule>
    <cfRule type="expression" dxfId="3527" priority="1098">
      <formula>#REF!&lt;&gt;""</formula>
    </cfRule>
  </conditionalFormatting>
  <conditionalFormatting sqref="F244">
    <cfRule type="expression" dxfId="3526" priority="1075">
      <formula>#REF!&lt;&gt;""</formula>
    </cfRule>
    <cfRule type="expression" dxfId="3525" priority="1076">
      <formula>#REF!&lt;&gt;""</formula>
    </cfRule>
    <cfRule type="expression" dxfId="3524" priority="1077">
      <formula>#REF!&lt;&gt;""</formula>
    </cfRule>
    <cfRule type="expression" dxfId="3523" priority="1078">
      <formula>#REF!&lt;&gt;""</formula>
    </cfRule>
    <cfRule type="expression" dxfId="3522" priority="1079">
      <formula>#REF!&lt;&gt;""</formula>
    </cfRule>
    <cfRule type="expression" dxfId="3521" priority="1080">
      <formula>#REF!&lt;&gt;""</formula>
    </cfRule>
    <cfRule type="expression" dxfId="3520" priority="1081">
      <formula>#REF!&lt;&gt;""</formula>
    </cfRule>
    <cfRule type="expression" dxfId="3519" priority="1082">
      <formula>#REF!&lt;&gt;""</formula>
    </cfRule>
    <cfRule type="expression" dxfId="3518" priority="1083">
      <formula>#REF!&lt;&gt;""</formula>
    </cfRule>
    <cfRule type="expression" dxfId="3517" priority="1084">
      <formula>#REF!&lt;&gt;""</formula>
    </cfRule>
    <cfRule type="expression" dxfId="3516" priority="1085">
      <formula>#REF!&lt;&gt;""</formula>
    </cfRule>
    <cfRule type="expression" dxfId="3515" priority="1086">
      <formula>#REF!&lt;&gt;""</formula>
    </cfRule>
  </conditionalFormatting>
  <conditionalFormatting sqref="F245">
    <cfRule type="expression" dxfId="3514" priority="1063">
      <formula>#REF!&lt;&gt;""</formula>
    </cfRule>
    <cfRule type="expression" dxfId="3513" priority="1064">
      <formula>#REF!&lt;&gt;""</formula>
    </cfRule>
    <cfRule type="expression" dxfId="3512" priority="1065">
      <formula>#REF!&lt;&gt;""</formula>
    </cfRule>
    <cfRule type="expression" dxfId="3511" priority="1066">
      <formula>#REF!&lt;&gt;""</formula>
    </cfRule>
    <cfRule type="expression" dxfId="3510" priority="1067">
      <formula>#REF!&lt;&gt;""</formula>
    </cfRule>
    <cfRule type="expression" dxfId="3509" priority="1068">
      <formula>#REF!&lt;&gt;""</formula>
    </cfRule>
    <cfRule type="expression" dxfId="3508" priority="1069">
      <formula>#REF!&lt;&gt;""</formula>
    </cfRule>
    <cfRule type="expression" dxfId="3507" priority="1070">
      <formula>#REF!&lt;&gt;""</formula>
    </cfRule>
    <cfRule type="expression" dxfId="3506" priority="1071">
      <formula>#REF!&lt;&gt;""</formula>
    </cfRule>
    <cfRule type="expression" dxfId="3505" priority="1072">
      <formula>#REF!&lt;&gt;""</formula>
    </cfRule>
    <cfRule type="expression" dxfId="3504" priority="1073">
      <formula>#REF!&lt;&gt;""</formula>
    </cfRule>
    <cfRule type="expression" dxfId="3503" priority="1074">
      <formula>#REF!&lt;&gt;""</formula>
    </cfRule>
  </conditionalFormatting>
  <conditionalFormatting sqref="F246">
    <cfRule type="expression" dxfId="3502" priority="1051">
      <formula>#REF!&lt;&gt;""</formula>
    </cfRule>
    <cfRule type="expression" dxfId="3501" priority="1052">
      <formula>#REF!&lt;&gt;""</formula>
    </cfRule>
    <cfRule type="expression" dxfId="3500" priority="1053">
      <formula>#REF!&lt;&gt;""</formula>
    </cfRule>
    <cfRule type="expression" dxfId="3499" priority="1054">
      <formula>#REF!&lt;&gt;""</formula>
    </cfRule>
    <cfRule type="expression" dxfId="3498" priority="1055">
      <formula>#REF!&lt;&gt;""</formula>
    </cfRule>
    <cfRule type="expression" dxfId="3497" priority="1056">
      <formula>#REF!&lt;&gt;""</formula>
    </cfRule>
    <cfRule type="expression" dxfId="3496" priority="1057">
      <formula>#REF!&lt;&gt;""</formula>
    </cfRule>
    <cfRule type="expression" dxfId="3495" priority="1058">
      <formula>#REF!&lt;&gt;""</formula>
    </cfRule>
    <cfRule type="expression" dxfId="3494" priority="1059">
      <formula>#REF!&lt;&gt;""</formula>
    </cfRule>
    <cfRule type="expression" dxfId="3493" priority="1060">
      <formula>#REF!&lt;&gt;""</formula>
    </cfRule>
    <cfRule type="expression" dxfId="3492" priority="1061">
      <formula>#REF!&lt;&gt;""</formula>
    </cfRule>
    <cfRule type="expression" dxfId="3491" priority="1062">
      <formula>#REF!&lt;&gt;""</formula>
    </cfRule>
  </conditionalFormatting>
  <conditionalFormatting sqref="F247">
    <cfRule type="expression" dxfId="3490" priority="1039">
      <formula>#REF!&lt;&gt;""</formula>
    </cfRule>
    <cfRule type="expression" dxfId="3489" priority="1040">
      <formula>#REF!&lt;&gt;""</formula>
    </cfRule>
    <cfRule type="expression" dxfId="3488" priority="1041">
      <formula>#REF!&lt;&gt;""</formula>
    </cfRule>
    <cfRule type="expression" dxfId="3487" priority="1042">
      <formula>#REF!&lt;&gt;""</formula>
    </cfRule>
    <cfRule type="expression" dxfId="3486" priority="1043">
      <formula>#REF!&lt;&gt;""</formula>
    </cfRule>
    <cfRule type="expression" dxfId="3485" priority="1044">
      <formula>#REF!&lt;&gt;""</formula>
    </cfRule>
    <cfRule type="expression" dxfId="3484" priority="1045">
      <formula>#REF!&lt;&gt;""</formula>
    </cfRule>
    <cfRule type="expression" dxfId="3483" priority="1046">
      <formula>#REF!&lt;&gt;""</formula>
    </cfRule>
    <cfRule type="expression" dxfId="3482" priority="1047">
      <formula>#REF!&lt;&gt;""</formula>
    </cfRule>
    <cfRule type="expression" dxfId="3481" priority="1048">
      <formula>#REF!&lt;&gt;""</formula>
    </cfRule>
    <cfRule type="expression" dxfId="3480" priority="1049">
      <formula>#REF!&lt;&gt;""</formula>
    </cfRule>
    <cfRule type="expression" dxfId="3479" priority="1050">
      <formula>#REF!&lt;&gt;""</formula>
    </cfRule>
  </conditionalFormatting>
  <conditionalFormatting sqref="F248">
    <cfRule type="expression" dxfId="3478" priority="1027">
      <formula>#REF!&lt;&gt;""</formula>
    </cfRule>
    <cfRule type="expression" dxfId="3477" priority="1028">
      <formula>#REF!&lt;&gt;""</formula>
    </cfRule>
    <cfRule type="expression" dxfId="3476" priority="1029">
      <formula>#REF!&lt;&gt;""</formula>
    </cfRule>
    <cfRule type="expression" dxfId="3475" priority="1030">
      <formula>#REF!&lt;&gt;""</formula>
    </cfRule>
    <cfRule type="expression" dxfId="3474" priority="1031">
      <formula>#REF!&lt;&gt;""</formula>
    </cfRule>
    <cfRule type="expression" dxfId="3473" priority="1032">
      <formula>#REF!&lt;&gt;""</formula>
    </cfRule>
    <cfRule type="expression" dxfId="3472" priority="1033">
      <formula>#REF!&lt;&gt;""</formula>
    </cfRule>
    <cfRule type="expression" dxfId="3471" priority="1034">
      <formula>#REF!&lt;&gt;""</formula>
    </cfRule>
    <cfRule type="expression" dxfId="3470" priority="1035">
      <formula>#REF!&lt;&gt;""</formula>
    </cfRule>
    <cfRule type="expression" dxfId="3469" priority="1036">
      <formula>#REF!&lt;&gt;""</formula>
    </cfRule>
    <cfRule type="expression" dxfId="3468" priority="1037">
      <formula>#REF!&lt;&gt;""</formula>
    </cfRule>
    <cfRule type="expression" dxfId="3467" priority="1038">
      <formula>#REF!&lt;&gt;""</formula>
    </cfRule>
  </conditionalFormatting>
  <conditionalFormatting sqref="F249">
    <cfRule type="expression" dxfId="3466" priority="1015">
      <formula>#REF!&lt;&gt;""</formula>
    </cfRule>
    <cfRule type="expression" dxfId="3465" priority="1016">
      <formula>#REF!&lt;&gt;""</formula>
    </cfRule>
    <cfRule type="expression" dxfId="3464" priority="1017">
      <formula>#REF!&lt;&gt;""</formula>
    </cfRule>
    <cfRule type="expression" dxfId="3463" priority="1018">
      <formula>#REF!&lt;&gt;""</formula>
    </cfRule>
    <cfRule type="expression" dxfId="3462" priority="1019">
      <formula>#REF!&lt;&gt;""</formula>
    </cfRule>
    <cfRule type="expression" dxfId="3461" priority="1020">
      <formula>#REF!&lt;&gt;""</formula>
    </cfRule>
    <cfRule type="expression" dxfId="3460" priority="1021">
      <formula>#REF!&lt;&gt;""</formula>
    </cfRule>
    <cfRule type="expression" dxfId="3459" priority="1022">
      <formula>#REF!&lt;&gt;""</formula>
    </cfRule>
    <cfRule type="expression" dxfId="3458" priority="1023">
      <formula>#REF!&lt;&gt;""</formula>
    </cfRule>
    <cfRule type="expression" dxfId="3457" priority="1024">
      <formula>#REF!&lt;&gt;""</formula>
    </cfRule>
    <cfRule type="expression" dxfId="3456" priority="1025">
      <formula>#REF!&lt;&gt;""</formula>
    </cfRule>
    <cfRule type="expression" dxfId="3455" priority="1026">
      <formula>#REF!&lt;&gt;""</formula>
    </cfRule>
  </conditionalFormatting>
  <conditionalFormatting sqref="F250">
    <cfRule type="expression" dxfId="3454" priority="1003">
      <formula>#REF!&lt;&gt;""</formula>
    </cfRule>
    <cfRule type="expression" dxfId="3453" priority="1004">
      <formula>#REF!&lt;&gt;""</formula>
    </cfRule>
    <cfRule type="expression" dxfId="3452" priority="1005">
      <formula>#REF!&lt;&gt;""</formula>
    </cfRule>
    <cfRule type="expression" dxfId="3451" priority="1006">
      <formula>#REF!&lt;&gt;""</formula>
    </cfRule>
    <cfRule type="expression" dxfId="3450" priority="1007">
      <formula>#REF!&lt;&gt;""</formula>
    </cfRule>
    <cfRule type="expression" dxfId="3449" priority="1008">
      <formula>#REF!&lt;&gt;""</formula>
    </cfRule>
    <cfRule type="expression" dxfId="3448" priority="1009">
      <formula>#REF!&lt;&gt;""</formula>
    </cfRule>
    <cfRule type="expression" dxfId="3447" priority="1010">
      <formula>#REF!&lt;&gt;""</formula>
    </cfRule>
    <cfRule type="expression" dxfId="3446" priority="1011">
      <formula>#REF!&lt;&gt;""</formula>
    </cfRule>
    <cfRule type="expression" dxfId="3445" priority="1012">
      <formula>#REF!&lt;&gt;""</formula>
    </cfRule>
    <cfRule type="expression" dxfId="3444" priority="1013">
      <formula>#REF!&lt;&gt;""</formula>
    </cfRule>
    <cfRule type="expression" dxfId="3443" priority="1014">
      <formula>#REF!&lt;&gt;""</formula>
    </cfRule>
  </conditionalFormatting>
  <conditionalFormatting sqref="F251">
    <cfRule type="expression" dxfId="3442" priority="991">
      <formula>#REF!&lt;&gt;""</formula>
    </cfRule>
    <cfRule type="expression" dxfId="3441" priority="992">
      <formula>#REF!&lt;&gt;""</formula>
    </cfRule>
    <cfRule type="expression" dxfId="3440" priority="993">
      <formula>#REF!&lt;&gt;""</formula>
    </cfRule>
    <cfRule type="expression" dxfId="3439" priority="994">
      <formula>#REF!&lt;&gt;""</formula>
    </cfRule>
    <cfRule type="expression" dxfId="3438" priority="995">
      <formula>#REF!&lt;&gt;""</formula>
    </cfRule>
    <cfRule type="expression" dxfId="3437" priority="996">
      <formula>#REF!&lt;&gt;""</formula>
    </cfRule>
    <cfRule type="expression" dxfId="3436" priority="997">
      <formula>#REF!&lt;&gt;""</formula>
    </cfRule>
    <cfRule type="expression" dxfId="3435" priority="998">
      <formula>#REF!&lt;&gt;""</formula>
    </cfRule>
    <cfRule type="expression" dxfId="3434" priority="999">
      <formula>#REF!&lt;&gt;""</formula>
    </cfRule>
    <cfRule type="expression" dxfId="3433" priority="1000">
      <formula>#REF!&lt;&gt;""</formula>
    </cfRule>
    <cfRule type="expression" dxfId="3432" priority="1001">
      <formula>#REF!&lt;&gt;""</formula>
    </cfRule>
    <cfRule type="expression" dxfId="3431" priority="1002">
      <formula>#REF!&lt;&gt;""</formula>
    </cfRule>
  </conditionalFormatting>
  <conditionalFormatting sqref="F252">
    <cfRule type="expression" dxfId="3430" priority="979">
      <formula>#REF!&lt;&gt;""</formula>
    </cfRule>
    <cfRule type="expression" dxfId="3429" priority="980">
      <formula>#REF!&lt;&gt;""</formula>
    </cfRule>
    <cfRule type="expression" dxfId="3428" priority="981">
      <formula>#REF!&lt;&gt;""</formula>
    </cfRule>
    <cfRule type="expression" dxfId="3427" priority="982">
      <formula>#REF!&lt;&gt;""</formula>
    </cfRule>
    <cfRule type="expression" dxfId="3426" priority="983">
      <formula>#REF!&lt;&gt;""</formula>
    </cfRule>
    <cfRule type="expression" dxfId="3425" priority="984">
      <formula>#REF!&lt;&gt;""</formula>
    </cfRule>
    <cfRule type="expression" dxfId="3424" priority="985">
      <formula>#REF!&lt;&gt;""</formula>
    </cfRule>
    <cfRule type="expression" dxfId="3423" priority="986">
      <formula>#REF!&lt;&gt;""</formula>
    </cfRule>
    <cfRule type="expression" dxfId="3422" priority="987">
      <formula>#REF!&lt;&gt;""</formula>
    </cfRule>
    <cfRule type="expression" dxfId="3421" priority="988">
      <formula>#REF!&lt;&gt;""</formula>
    </cfRule>
    <cfRule type="expression" dxfId="3420" priority="989">
      <formula>#REF!&lt;&gt;""</formula>
    </cfRule>
    <cfRule type="expression" dxfId="3419" priority="990">
      <formula>#REF!&lt;&gt;""</formula>
    </cfRule>
  </conditionalFormatting>
  <conditionalFormatting sqref="F253">
    <cfRule type="expression" dxfId="3418" priority="967">
      <formula>#REF!&lt;&gt;""</formula>
    </cfRule>
    <cfRule type="expression" dxfId="3417" priority="968">
      <formula>#REF!&lt;&gt;""</formula>
    </cfRule>
    <cfRule type="expression" dxfId="3416" priority="969">
      <formula>#REF!&lt;&gt;""</formula>
    </cfRule>
    <cfRule type="expression" dxfId="3415" priority="970">
      <formula>#REF!&lt;&gt;""</formula>
    </cfRule>
    <cfRule type="expression" dxfId="3414" priority="971">
      <formula>#REF!&lt;&gt;""</formula>
    </cfRule>
    <cfRule type="expression" dxfId="3413" priority="972">
      <formula>#REF!&lt;&gt;""</formula>
    </cfRule>
    <cfRule type="expression" dxfId="3412" priority="973">
      <formula>#REF!&lt;&gt;""</formula>
    </cfRule>
    <cfRule type="expression" dxfId="3411" priority="974">
      <formula>#REF!&lt;&gt;""</formula>
    </cfRule>
    <cfRule type="expression" dxfId="3410" priority="975">
      <formula>#REF!&lt;&gt;""</formula>
    </cfRule>
    <cfRule type="expression" dxfId="3409" priority="976">
      <formula>#REF!&lt;&gt;""</formula>
    </cfRule>
    <cfRule type="expression" dxfId="3408" priority="977">
      <formula>#REF!&lt;&gt;""</formula>
    </cfRule>
    <cfRule type="expression" dxfId="3407" priority="978">
      <formula>#REF!&lt;&gt;""</formula>
    </cfRule>
  </conditionalFormatting>
  <conditionalFormatting sqref="F254">
    <cfRule type="expression" dxfId="3406" priority="955">
      <formula>#REF!&lt;&gt;""</formula>
    </cfRule>
    <cfRule type="expression" dxfId="3405" priority="956">
      <formula>#REF!&lt;&gt;""</formula>
    </cfRule>
    <cfRule type="expression" dxfId="3404" priority="957">
      <formula>#REF!&lt;&gt;""</formula>
    </cfRule>
    <cfRule type="expression" dxfId="3403" priority="958">
      <formula>#REF!&lt;&gt;""</formula>
    </cfRule>
    <cfRule type="expression" dxfId="3402" priority="959">
      <formula>#REF!&lt;&gt;""</formula>
    </cfRule>
    <cfRule type="expression" dxfId="3401" priority="960">
      <formula>#REF!&lt;&gt;""</formula>
    </cfRule>
    <cfRule type="expression" dxfId="3400" priority="961">
      <formula>#REF!&lt;&gt;""</formula>
    </cfRule>
    <cfRule type="expression" dxfId="3399" priority="962">
      <formula>#REF!&lt;&gt;""</formula>
    </cfRule>
    <cfRule type="expression" dxfId="3398" priority="963">
      <formula>#REF!&lt;&gt;""</formula>
    </cfRule>
    <cfRule type="expression" dxfId="3397" priority="964">
      <formula>#REF!&lt;&gt;""</formula>
    </cfRule>
    <cfRule type="expression" dxfId="3396" priority="965">
      <formula>#REF!&lt;&gt;""</formula>
    </cfRule>
    <cfRule type="expression" dxfId="3395" priority="966">
      <formula>#REF!&lt;&gt;""</formula>
    </cfRule>
  </conditionalFormatting>
  <conditionalFormatting sqref="F255">
    <cfRule type="expression" dxfId="3394" priority="943">
      <formula>#REF!&lt;&gt;""</formula>
    </cfRule>
    <cfRule type="expression" dxfId="3393" priority="944">
      <formula>#REF!&lt;&gt;""</formula>
    </cfRule>
    <cfRule type="expression" dxfId="3392" priority="945">
      <formula>#REF!&lt;&gt;""</formula>
    </cfRule>
    <cfRule type="expression" dxfId="3391" priority="946">
      <formula>#REF!&lt;&gt;""</formula>
    </cfRule>
    <cfRule type="expression" dxfId="3390" priority="947">
      <formula>#REF!&lt;&gt;""</formula>
    </cfRule>
    <cfRule type="expression" dxfId="3389" priority="948">
      <formula>#REF!&lt;&gt;""</formula>
    </cfRule>
    <cfRule type="expression" dxfId="3388" priority="949">
      <formula>#REF!&lt;&gt;""</formula>
    </cfRule>
    <cfRule type="expression" dxfId="3387" priority="950">
      <formula>#REF!&lt;&gt;""</formula>
    </cfRule>
    <cfRule type="expression" dxfId="3386" priority="951">
      <formula>#REF!&lt;&gt;""</formula>
    </cfRule>
    <cfRule type="expression" dxfId="3385" priority="952">
      <formula>#REF!&lt;&gt;""</formula>
    </cfRule>
    <cfRule type="expression" dxfId="3384" priority="953">
      <formula>#REF!&lt;&gt;""</formula>
    </cfRule>
    <cfRule type="expression" dxfId="3383" priority="954">
      <formula>#REF!&lt;&gt;""</formula>
    </cfRule>
  </conditionalFormatting>
  <conditionalFormatting sqref="F256">
    <cfRule type="expression" dxfId="3382" priority="931">
      <formula>#REF!&lt;&gt;""</formula>
    </cfRule>
    <cfRule type="expression" dxfId="3381" priority="932">
      <formula>#REF!&lt;&gt;""</formula>
    </cfRule>
    <cfRule type="expression" dxfId="3380" priority="933">
      <formula>#REF!&lt;&gt;""</formula>
    </cfRule>
    <cfRule type="expression" dxfId="3379" priority="934">
      <formula>#REF!&lt;&gt;""</formula>
    </cfRule>
    <cfRule type="expression" dxfId="3378" priority="935">
      <formula>#REF!&lt;&gt;""</formula>
    </cfRule>
    <cfRule type="expression" dxfId="3377" priority="936">
      <formula>#REF!&lt;&gt;""</formula>
    </cfRule>
    <cfRule type="expression" dxfId="3376" priority="937">
      <formula>#REF!&lt;&gt;""</formula>
    </cfRule>
    <cfRule type="expression" dxfId="3375" priority="938">
      <formula>#REF!&lt;&gt;""</formula>
    </cfRule>
    <cfRule type="expression" dxfId="3374" priority="939">
      <formula>#REF!&lt;&gt;""</formula>
    </cfRule>
    <cfRule type="expression" dxfId="3373" priority="940">
      <formula>#REF!&lt;&gt;""</formula>
    </cfRule>
    <cfRule type="expression" dxfId="3372" priority="941">
      <formula>#REF!&lt;&gt;""</formula>
    </cfRule>
    <cfRule type="expression" dxfId="3371" priority="942">
      <formula>#REF!&lt;&gt;""</formula>
    </cfRule>
  </conditionalFormatting>
  <conditionalFormatting sqref="F257">
    <cfRule type="expression" dxfId="3370" priority="919">
      <formula>#REF!&lt;&gt;""</formula>
    </cfRule>
    <cfRule type="expression" dxfId="3369" priority="920">
      <formula>#REF!&lt;&gt;""</formula>
    </cfRule>
    <cfRule type="expression" dxfId="3368" priority="921">
      <formula>#REF!&lt;&gt;""</formula>
    </cfRule>
    <cfRule type="expression" dxfId="3367" priority="922">
      <formula>#REF!&lt;&gt;""</formula>
    </cfRule>
    <cfRule type="expression" dxfId="3366" priority="923">
      <formula>#REF!&lt;&gt;""</formula>
    </cfRule>
    <cfRule type="expression" dxfId="3365" priority="924">
      <formula>#REF!&lt;&gt;""</formula>
    </cfRule>
    <cfRule type="expression" dxfId="3364" priority="925">
      <formula>#REF!&lt;&gt;""</formula>
    </cfRule>
    <cfRule type="expression" dxfId="3363" priority="926">
      <formula>#REF!&lt;&gt;""</formula>
    </cfRule>
    <cfRule type="expression" dxfId="3362" priority="927">
      <formula>#REF!&lt;&gt;""</formula>
    </cfRule>
    <cfRule type="expression" dxfId="3361" priority="928">
      <formula>#REF!&lt;&gt;""</formula>
    </cfRule>
    <cfRule type="expression" dxfId="3360" priority="929">
      <formula>#REF!&lt;&gt;""</formula>
    </cfRule>
    <cfRule type="expression" dxfId="3359" priority="930">
      <formula>#REF!&lt;&gt;""</formula>
    </cfRule>
  </conditionalFormatting>
  <conditionalFormatting sqref="F258">
    <cfRule type="expression" dxfId="3358" priority="907">
      <formula>#REF!&lt;&gt;""</formula>
    </cfRule>
    <cfRule type="expression" dxfId="3357" priority="908">
      <formula>#REF!&lt;&gt;""</formula>
    </cfRule>
    <cfRule type="expression" dxfId="3356" priority="909">
      <formula>#REF!&lt;&gt;""</formula>
    </cfRule>
    <cfRule type="expression" dxfId="3355" priority="910">
      <formula>#REF!&lt;&gt;""</formula>
    </cfRule>
    <cfRule type="expression" dxfId="3354" priority="911">
      <formula>#REF!&lt;&gt;""</formula>
    </cfRule>
    <cfRule type="expression" dxfId="3353" priority="912">
      <formula>#REF!&lt;&gt;""</formula>
    </cfRule>
    <cfRule type="expression" dxfId="3352" priority="913">
      <formula>#REF!&lt;&gt;""</formula>
    </cfRule>
    <cfRule type="expression" dxfId="3351" priority="914">
      <formula>#REF!&lt;&gt;""</formula>
    </cfRule>
    <cfRule type="expression" dxfId="3350" priority="915">
      <formula>#REF!&lt;&gt;""</formula>
    </cfRule>
    <cfRule type="expression" dxfId="3349" priority="916">
      <formula>#REF!&lt;&gt;""</formula>
    </cfRule>
    <cfRule type="expression" dxfId="3348" priority="917">
      <formula>#REF!&lt;&gt;""</formula>
    </cfRule>
    <cfRule type="expression" dxfId="3347" priority="918">
      <formula>#REF!&lt;&gt;""</formula>
    </cfRule>
  </conditionalFormatting>
  <conditionalFormatting sqref="F259">
    <cfRule type="expression" dxfId="3346" priority="895">
      <formula>#REF!&lt;&gt;""</formula>
    </cfRule>
    <cfRule type="expression" dxfId="3345" priority="896">
      <formula>#REF!&lt;&gt;""</formula>
    </cfRule>
    <cfRule type="expression" dxfId="3344" priority="897">
      <formula>#REF!&lt;&gt;""</formula>
    </cfRule>
    <cfRule type="expression" dxfId="3343" priority="898">
      <formula>#REF!&lt;&gt;""</formula>
    </cfRule>
    <cfRule type="expression" dxfId="3342" priority="899">
      <formula>#REF!&lt;&gt;""</formula>
    </cfRule>
    <cfRule type="expression" dxfId="3341" priority="900">
      <formula>#REF!&lt;&gt;""</formula>
    </cfRule>
    <cfRule type="expression" dxfId="3340" priority="901">
      <formula>#REF!&lt;&gt;""</formula>
    </cfRule>
    <cfRule type="expression" dxfId="3339" priority="902">
      <formula>#REF!&lt;&gt;""</formula>
    </cfRule>
    <cfRule type="expression" dxfId="3338" priority="903">
      <formula>#REF!&lt;&gt;""</formula>
    </cfRule>
    <cfRule type="expression" dxfId="3337" priority="904">
      <formula>#REF!&lt;&gt;""</formula>
    </cfRule>
    <cfRule type="expression" dxfId="3336" priority="905">
      <formula>#REF!&lt;&gt;""</formula>
    </cfRule>
    <cfRule type="expression" dxfId="3335" priority="906">
      <formula>#REF!&lt;&gt;""</formula>
    </cfRule>
  </conditionalFormatting>
  <conditionalFormatting sqref="F260">
    <cfRule type="expression" dxfId="3334" priority="883">
      <formula>#REF!&lt;&gt;""</formula>
    </cfRule>
    <cfRule type="expression" dxfId="3333" priority="884">
      <formula>#REF!&lt;&gt;""</formula>
    </cfRule>
    <cfRule type="expression" dxfId="3332" priority="885">
      <formula>#REF!&lt;&gt;""</formula>
    </cfRule>
    <cfRule type="expression" dxfId="3331" priority="886">
      <formula>#REF!&lt;&gt;""</formula>
    </cfRule>
    <cfRule type="expression" dxfId="3330" priority="887">
      <formula>#REF!&lt;&gt;""</formula>
    </cfRule>
    <cfRule type="expression" dxfId="3329" priority="888">
      <formula>#REF!&lt;&gt;""</formula>
    </cfRule>
    <cfRule type="expression" dxfId="3328" priority="889">
      <formula>#REF!&lt;&gt;""</formula>
    </cfRule>
    <cfRule type="expression" dxfId="3327" priority="890">
      <formula>#REF!&lt;&gt;""</formula>
    </cfRule>
    <cfRule type="expression" dxfId="3326" priority="891">
      <formula>#REF!&lt;&gt;""</formula>
    </cfRule>
    <cfRule type="expression" dxfId="3325" priority="892">
      <formula>#REF!&lt;&gt;""</formula>
    </cfRule>
    <cfRule type="expression" dxfId="3324" priority="893">
      <formula>#REF!&lt;&gt;""</formula>
    </cfRule>
    <cfRule type="expression" dxfId="3323" priority="894">
      <formula>#REF!&lt;&gt;""</formula>
    </cfRule>
  </conditionalFormatting>
  <conditionalFormatting sqref="F261">
    <cfRule type="expression" dxfId="3322" priority="871">
      <formula>#REF!&lt;&gt;""</formula>
    </cfRule>
    <cfRule type="expression" dxfId="3321" priority="872">
      <formula>#REF!&lt;&gt;""</formula>
    </cfRule>
    <cfRule type="expression" dxfId="3320" priority="873">
      <formula>#REF!&lt;&gt;""</formula>
    </cfRule>
    <cfRule type="expression" dxfId="3319" priority="874">
      <formula>#REF!&lt;&gt;""</formula>
    </cfRule>
    <cfRule type="expression" dxfId="3318" priority="875">
      <formula>#REF!&lt;&gt;""</formula>
    </cfRule>
    <cfRule type="expression" dxfId="3317" priority="876">
      <formula>#REF!&lt;&gt;""</formula>
    </cfRule>
    <cfRule type="expression" dxfId="3316" priority="877">
      <formula>#REF!&lt;&gt;""</formula>
    </cfRule>
    <cfRule type="expression" dxfId="3315" priority="878">
      <formula>#REF!&lt;&gt;""</formula>
    </cfRule>
    <cfRule type="expression" dxfId="3314" priority="879">
      <formula>#REF!&lt;&gt;""</formula>
    </cfRule>
    <cfRule type="expression" dxfId="3313" priority="880">
      <formula>#REF!&lt;&gt;""</formula>
    </cfRule>
    <cfRule type="expression" dxfId="3312" priority="881">
      <formula>#REF!&lt;&gt;""</formula>
    </cfRule>
    <cfRule type="expression" dxfId="3311" priority="882">
      <formula>#REF!&lt;&gt;""</formula>
    </cfRule>
  </conditionalFormatting>
  <conditionalFormatting sqref="F262">
    <cfRule type="expression" dxfId="3310" priority="859">
      <formula>#REF!&lt;&gt;""</formula>
    </cfRule>
    <cfRule type="expression" dxfId="3309" priority="860">
      <formula>#REF!&lt;&gt;""</formula>
    </cfRule>
    <cfRule type="expression" dxfId="3308" priority="861">
      <formula>#REF!&lt;&gt;""</formula>
    </cfRule>
    <cfRule type="expression" dxfId="3307" priority="862">
      <formula>#REF!&lt;&gt;""</formula>
    </cfRule>
    <cfRule type="expression" dxfId="3306" priority="863">
      <formula>#REF!&lt;&gt;""</formula>
    </cfRule>
    <cfRule type="expression" dxfId="3305" priority="864">
      <formula>#REF!&lt;&gt;""</formula>
    </cfRule>
    <cfRule type="expression" dxfId="3304" priority="865">
      <formula>#REF!&lt;&gt;""</formula>
    </cfRule>
    <cfRule type="expression" dxfId="3303" priority="866">
      <formula>#REF!&lt;&gt;""</formula>
    </cfRule>
    <cfRule type="expression" dxfId="3302" priority="867">
      <formula>#REF!&lt;&gt;""</formula>
    </cfRule>
    <cfRule type="expression" dxfId="3301" priority="868">
      <formula>#REF!&lt;&gt;""</formula>
    </cfRule>
    <cfRule type="expression" dxfId="3300" priority="869">
      <formula>#REF!&lt;&gt;""</formula>
    </cfRule>
    <cfRule type="expression" dxfId="3299" priority="870">
      <formula>#REF!&lt;&gt;""</formula>
    </cfRule>
  </conditionalFormatting>
  <conditionalFormatting sqref="F263">
    <cfRule type="expression" dxfId="3298" priority="847">
      <formula>#REF!&lt;&gt;""</formula>
    </cfRule>
    <cfRule type="expression" dxfId="3297" priority="848">
      <formula>#REF!&lt;&gt;""</formula>
    </cfRule>
    <cfRule type="expression" dxfId="3296" priority="849">
      <formula>#REF!&lt;&gt;""</formula>
    </cfRule>
    <cfRule type="expression" dxfId="3295" priority="850">
      <formula>#REF!&lt;&gt;""</formula>
    </cfRule>
    <cfRule type="expression" dxfId="3294" priority="851">
      <formula>#REF!&lt;&gt;""</formula>
    </cfRule>
    <cfRule type="expression" dxfId="3293" priority="852">
      <formula>#REF!&lt;&gt;""</formula>
    </cfRule>
    <cfRule type="expression" dxfId="3292" priority="853">
      <formula>#REF!&lt;&gt;""</formula>
    </cfRule>
    <cfRule type="expression" dxfId="3291" priority="854">
      <formula>#REF!&lt;&gt;""</formula>
    </cfRule>
    <cfRule type="expression" dxfId="3290" priority="855">
      <formula>#REF!&lt;&gt;""</formula>
    </cfRule>
    <cfRule type="expression" dxfId="3289" priority="856">
      <formula>#REF!&lt;&gt;""</formula>
    </cfRule>
    <cfRule type="expression" dxfId="3288" priority="857">
      <formula>#REF!&lt;&gt;""</formula>
    </cfRule>
    <cfRule type="expression" dxfId="3287" priority="858">
      <formula>#REF!&lt;&gt;""</formula>
    </cfRule>
  </conditionalFormatting>
  <conditionalFormatting sqref="F264">
    <cfRule type="expression" dxfId="3286" priority="835">
      <formula>#REF!&lt;&gt;""</formula>
    </cfRule>
    <cfRule type="expression" dxfId="3285" priority="836">
      <formula>#REF!&lt;&gt;""</formula>
    </cfRule>
    <cfRule type="expression" dxfId="3284" priority="837">
      <formula>#REF!&lt;&gt;""</formula>
    </cfRule>
    <cfRule type="expression" dxfId="3283" priority="838">
      <formula>#REF!&lt;&gt;""</formula>
    </cfRule>
    <cfRule type="expression" dxfId="3282" priority="839">
      <formula>#REF!&lt;&gt;""</formula>
    </cfRule>
    <cfRule type="expression" dxfId="3281" priority="840">
      <formula>#REF!&lt;&gt;""</formula>
    </cfRule>
    <cfRule type="expression" dxfId="3280" priority="841">
      <formula>#REF!&lt;&gt;""</formula>
    </cfRule>
    <cfRule type="expression" dxfId="3279" priority="842">
      <formula>#REF!&lt;&gt;""</formula>
    </cfRule>
    <cfRule type="expression" dxfId="3278" priority="843">
      <formula>#REF!&lt;&gt;""</formula>
    </cfRule>
    <cfRule type="expression" dxfId="3277" priority="844">
      <formula>#REF!&lt;&gt;""</formula>
    </cfRule>
    <cfRule type="expression" dxfId="3276" priority="845">
      <formula>#REF!&lt;&gt;""</formula>
    </cfRule>
    <cfRule type="expression" dxfId="3275" priority="846">
      <formula>#REF!&lt;&gt;""</formula>
    </cfRule>
  </conditionalFormatting>
  <conditionalFormatting sqref="F265">
    <cfRule type="expression" dxfId="3274" priority="823">
      <formula>#REF!&lt;&gt;""</formula>
    </cfRule>
    <cfRule type="expression" dxfId="3273" priority="824">
      <formula>#REF!&lt;&gt;""</formula>
    </cfRule>
    <cfRule type="expression" dxfId="3272" priority="825">
      <formula>#REF!&lt;&gt;""</formula>
    </cfRule>
    <cfRule type="expression" dxfId="3271" priority="826">
      <formula>#REF!&lt;&gt;""</formula>
    </cfRule>
    <cfRule type="expression" dxfId="3270" priority="827">
      <formula>#REF!&lt;&gt;""</formula>
    </cfRule>
    <cfRule type="expression" dxfId="3269" priority="828">
      <formula>#REF!&lt;&gt;""</formula>
    </cfRule>
    <cfRule type="expression" dxfId="3268" priority="829">
      <formula>#REF!&lt;&gt;""</formula>
    </cfRule>
    <cfRule type="expression" dxfId="3267" priority="830">
      <formula>#REF!&lt;&gt;""</formula>
    </cfRule>
    <cfRule type="expression" dxfId="3266" priority="831">
      <formula>#REF!&lt;&gt;""</formula>
    </cfRule>
    <cfRule type="expression" dxfId="3265" priority="832">
      <formula>#REF!&lt;&gt;""</formula>
    </cfRule>
    <cfRule type="expression" dxfId="3264" priority="833">
      <formula>#REF!&lt;&gt;""</formula>
    </cfRule>
    <cfRule type="expression" dxfId="3263" priority="834">
      <formula>#REF!&lt;&gt;""</formula>
    </cfRule>
  </conditionalFormatting>
  <conditionalFormatting sqref="F266">
    <cfRule type="expression" dxfId="3262" priority="811">
      <formula>#REF!&lt;&gt;""</formula>
    </cfRule>
    <cfRule type="expression" dxfId="3261" priority="812">
      <formula>#REF!&lt;&gt;""</formula>
    </cfRule>
    <cfRule type="expression" dxfId="3260" priority="813">
      <formula>#REF!&lt;&gt;""</formula>
    </cfRule>
    <cfRule type="expression" dxfId="3259" priority="814">
      <formula>#REF!&lt;&gt;""</formula>
    </cfRule>
    <cfRule type="expression" dxfId="3258" priority="815">
      <formula>#REF!&lt;&gt;""</formula>
    </cfRule>
    <cfRule type="expression" dxfId="3257" priority="816">
      <formula>#REF!&lt;&gt;""</formula>
    </cfRule>
    <cfRule type="expression" dxfId="3256" priority="817">
      <formula>#REF!&lt;&gt;""</formula>
    </cfRule>
    <cfRule type="expression" dxfId="3255" priority="818">
      <formula>#REF!&lt;&gt;""</formula>
    </cfRule>
    <cfRule type="expression" dxfId="3254" priority="819">
      <formula>#REF!&lt;&gt;""</formula>
    </cfRule>
    <cfRule type="expression" dxfId="3253" priority="820">
      <formula>#REF!&lt;&gt;""</formula>
    </cfRule>
    <cfRule type="expression" dxfId="3252" priority="821">
      <formula>#REF!&lt;&gt;""</formula>
    </cfRule>
    <cfRule type="expression" dxfId="3251" priority="822">
      <formula>#REF!&lt;&gt;""</formula>
    </cfRule>
  </conditionalFormatting>
  <conditionalFormatting sqref="F267">
    <cfRule type="expression" dxfId="3250" priority="799">
      <formula>#REF!&lt;&gt;""</formula>
    </cfRule>
    <cfRule type="expression" dxfId="3249" priority="800">
      <formula>#REF!&lt;&gt;""</formula>
    </cfRule>
    <cfRule type="expression" dxfId="3248" priority="801">
      <formula>#REF!&lt;&gt;""</formula>
    </cfRule>
    <cfRule type="expression" dxfId="3247" priority="802">
      <formula>#REF!&lt;&gt;""</formula>
    </cfRule>
    <cfRule type="expression" dxfId="3246" priority="803">
      <formula>#REF!&lt;&gt;""</formula>
    </cfRule>
    <cfRule type="expression" dxfId="3245" priority="804">
      <formula>#REF!&lt;&gt;""</formula>
    </cfRule>
    <cfRule type="expression" dxfId="3244" priority="805">
      <formula>#REF!&lt;&gt;""</formula>
    </cfRule>
    <cfRule type="expression" dxfId="3243" priority="806">
      <formula>#REF!&lt;&gt;""</formula>
    </cfRule>
    <cfRule type="expression" dxfId="3242" priority="807">
      <formula>#REF!&lt;&gt;""</formula>
    </cfRule>
    <cfRule type="expression" dxfId="3241" priority="808">
      <formula>#REF!&lt;&gt;""</formula>
    </cfRule>
    <cfRule type="expression" dxfId="3240" priority="809">
      <formula>#REF!&lt;&gt;""</formula>
    </cfRule>
    <cfRule type="expression" dxfId="3239" priority="810">
      <formula>#REF!&lt;&gt;""</formula>
    </cfRule>
  </conditionalFormatting>
  <conditionalFormatting sqref="F268">
    <cfRule type="expression" dxfId="3238" priority="787">
      <formula>#REF!&lt;&gt;""</formula>
    </cfRule>
    <cfRule type="expression" dxfId="3237" priority="788">
      <formula>#REF!&lt;&gt;""</formula>
    </cfRule>
    <cfRule type="expression" dxfId="3236" priority="789">
      <formula>#REF!&lt;&gt;""</formula>
    </cfRule>
    <cfRule type="expression" dxfId="3235" priority="790">
      <formula>#REF!&lt;&gt;""</formula>
    </cfRule>
    <cfRule type="expression" dxfId="3234" priority="791">
      <formula>#REF!&lt;&gt;""</formula>
    </cfRule>
    <cfRule type="expression" dxfId="3233" priority="792">
      <formula>#REF!&lt;&gt;""</formula>
    </cfRule>
    <cfRule type="expression" dxfId="3232" priority="793">
      <formula>#REF!&lt;&gt;""</formula>
    </cfRule>
    <cfRule type="expression" dxfId="3231" priority="794">
      <formula>#REF!&lt;&gt;""</formula>
    </cfRule>
    <cfRule type="expression" dxfId="3230" priority="795">
      <formula>#REF!&lt;&gt;""</formula>
    </cfRule>
    <cfRule type="expression" dxfId="3229" priority="796">
      <formula>#REF!&lt;&gt;""</formula>
    </cfRule>
    <cfRule type="expression" dxfId="3228" priority="797">
      <formula>#REF!&lt;&gt;""</formula>
    </cfRule>
    <cfRule type="expression" dxfId="3227" priority="798">
      <formula>#REF!&lt;&gt;""</formula>
    </cfRule>
  </conditionalFormatting>
  <conditionalFormatting sqref="F269">
    <cfRule type="expression" dxfId="3226" priority="775">
      <formula>#REF!&lt;&gt;""</formula>
    </cfRule>
    <cfRule type="expression" dxfId="3225" priority="776">
      <formula>#REF!&lt;&gt;""</formula>
    </cfRule>
    <cfRule type="expression" dxfId="3224" priority="777">
      <formula>#REF!&lt;&gt;""</formula>
    </cfRule>
    <cfRule type="expression" dxfId="3223" priority="778">
      <formula>#REF!&lt;&gt;""</formula>
    </cfRule>
    <cfRule type="expression" dxfId="3222" priority="779">
      <formula>#REF!&lt;&gt;""</formula>
    </cfRule>
    <cfRule type="expression" dxfId="3221" priority="780">
      <formula>#REF!&lt;&gt;""</formula>
    </cfRule>
    <cfRule type="expression" dxfId="3220" priority="781">
      <formula>#REF!&lt;&gt;""</formula>
    </cfRule>
    <cfRule type="expression" dxfId="3219" priority="782">
      <formula>#REF!&lt;&gt;""</formula>
    </cfRule>
    <cfRule type="expression" dxfId="3218" priority="783">
      <formula>#REF!&lt;&gt;""</formula>
    </cfRule>
    <cfRule type="expression" dxfId="3217" priority="784">
      <formula>#REF!&lt;&gt;""</formula>
    </cfRule>
    <cfRule type="expression" dxfId="3216" priority="785">
      <formula>#REF!&lt;&gt;""</formula>
    </cfRule>
    <cfRule type="expression" dxfId="3215" priority="786">
      <formula>#REF!&lt;&gt;""</formula>
    </cfRule>
  </conditionalFormatting>
  <conditionalFormatting sqref="F270">
    <cfRule type="expression" dxfId="3214" priority="763">
      <formula>#REF!&lt;&gt;""</formula>
    </cfRule>
    <cfRule type="expression" dxfId="3213" priority="764">
      <formula>#REF!&lt;&gt;""</formula>
    </cfRule>
    <cfRule type="expression" dxfId="3212" priority="765">
      <formula>#REF!&lt;&gt;""</formula>
    </cfRule>
    <cfRule type="expression" dxfId="3211" priority="766">
      <formula>#REF!&lt;&gt;""</formula>
    </cfRule>
    <cfRule type="expression" dxfId="3210" priority="767">
      <formula>#REF!&lt;&gt;""</formula>
    </cfRule>
    <cfRule type="expression" dxfId="3209" priority="768">
      <formula>#REF!&lt;&gt;""</formula>
    </cfRule>
    <cfRule type="expression" dxfId="3208" priority="769">
      <formula>#REF!&lt;&gt;""</formula>
    </cfRule>
    <cfRule type="expression" dxfId="3207" priority="770">
      <formula>#REF!&lt;&gt;""</formula>
    </cfRule>
    <cfRule type="expression" dxfId="3206" priority="771">
      <formula>#REF!&lt;&gt;""</formula>
    </cfRule>
    <cfRule type="expression" dxfId="3205" priority="772">
      <formula>#REF!&lt;&gt;""</formula>
    </cfRule>
    <cfRule type="expression" dxfId="3204" priority="773">
      <formula>#REF!&lt;&gt;""</formula>
    </cfRule>
    <cfRule type="expression" dxfId="3203" priority="774">
      <formula>#REF!&lt;&gt;""</formula>
    </cfRule>
  </conditionalFormatting>
  <conditionalFormatting sqref="F271">
    <cfRule type="expression" dxfId="3202" priority="751">
      <formula>#REF!&lt;&gt;""</formula>
    </cfRule>
    <cfRule type="expression" dxfId="3201" priority="752">
      <formula>#REF!&lt;&gt;""</formula>
    </cfRule>
    <cfRule type="expression" dxfId="3200" priority="753">
      <formula>#REF!&lt;&gt;""</formula>
    </cfRule>
    <cfRule type="expression" dxfId="3199" priority="754">
      <formula>#REF!&lt;&gt;""</formula>
    </cfRule>
    <cfRule type="expression" dxfId="3198" priority="755">
      <formula>#REF!&lt;&gt;""</formula>
    </cfRule>
    <cfRule type="expression" dxfId="3197" priority="756">
      <formula>#REF!&lt;&gt;""</formula>
    </cfRule>
    <cfRule type="expression" dxfId="3196" priority="757">
      <formula>#REF!&lt;&gt;""</formula>
    </cfRule>
    <cfRule type="expression" dxfId="3195" priority="758">
      <formula>#REF!&lt;&gt;""</formula>
    </cfRule>
    <cfRule type="expression" dxfId="3194" priority="759">
      <formula>#REF!&lt;&gt;""</formula>
    </cfRule>
    <cfRule type="expression" dxfId="3193" priority="760">
      <formula>#REF!&lt;&gt;""</formula>
    </cfRule>
    <cfRule type="expression" dxfId="3192" priority="761">
      <formula>#REF!&lt;&gt;""</formula>
    </cfRule>
    <cfRule type="expression" dxfId="3191" priority="762">
      <formula>#REF!&lt;&gt;""</formula>
    </cfRule>
  </conditionalFormatting>
  <conditionalFormatting sqref="F272">
    <cfRule type="expression" dxfId="3190" priority="739">
      <formula>#REF!&lt;&gt;""</formula>
    </cfRule>
    <cfRule type="expression" dxfId="3189" priority="740">
      <formula>#REF!&lt;&gt;""</formula>
    </cfRule>
    <cfRule type="expression" dxfId="3188" priority="741">
      <formula>#REF!&lt;&gt;""</formula>
    </cfRule>
    <cfRule type="expression" dxfId="3187" priority="742">
      <formula>#REF!&lt;&gt;""</formula>
    </cfRule>
    <cfRule type="expression" dxfId="3186" priority="743">
      <formula>#REF!&lt;&gt;""</formula>
    </cfRule>
    <cfRule type="expression" dxfId="3185" priority="744">
      <formula>#REF!&lt;&gt;""</formula>
    </cfRule>
    <cfRule type="expression" dxfId="3184" priority="745">
      <formula>#REF!&lt;&gt;""</formula>
    </cfRule>
    <cfRule type="expression" dxfId="3183" priority="746">
      <formula>#REF!&lt;&gt;""</formula>
    </cfRule>
    <cfRule type="expression" dxfId="3182" priority="747">
      <formula>#REF!&lt;&gt;""</formula>
    </cfRule>
    <cfRule type="expression" dxfId="3181" priority="748">
      <formula>#REF!&lt;&gt;""</formula>
    </cfRule>
    <cfRule type="expression" dxfId="3180" priority="749">
      <formula>#REF!&lt;&gt;""</formula>
    </cfRule>
    <cfRule type="expression" dxfId="3179" priority="750">
      <formula>#REF!&lt;&gt;""</formula>
    </cfRule>
  </conditionalFormatting>
  <conditionalFormatting sqref="F273">
    <cfRule type="expression" dxfId="3178" priority="727">
      <formula>#REF!&lt;&gt;""</formula>
    </cfRule>
    <cfRule type="expression" dxfId="3177" priority="728">
      <formula>#REF!&lt;&gt;""</formula>
    </cfRule>
    <cfRule type="expression" dxfId="3176" priority="729">
      <formula>#REF!&lt;&gt;""</formula>
    </cfRule>
    <cfRule type="expression" dxfId="3175" priority="730">
      <formula>#REF!&lt;&gt;""</formula>
    </cfRule>
    <cfRule type="expression" dxfId="3174" priority="731">
      <formula>#REF!&lt;&gt;""</formula>
    </cfRule>
    <cfRule type="expression" dxfId="3173" priority="732">
      <formula>#REF!&lt;&gt;""</formula>
    </cfRule>
    <cfRule type="expression" dxfId="3172" priority="733">
      <formula>#REF!&lt;&gt;""</formula>
    </cfRule>
    <cfRule type="expression" dxfId="3171" priority="734">
      <formula>#REF!&lt;&gt;""</formula>
    </cfRule>
    <cfRule type="expression" dxfId="3170" priority="735">
      <formula>#REF!&lt;&gt;""</formula>
    </cfRule>
    <cfRule type="expression" dxfId="3169" priority="736">
      <formula>#REF!&lt;&gt;""</formula>
    </cfRule>
    <cfRule type="expression" dxfId="3168" priority="737">
      <formula>#REF!&lt;&gt;""</formula>
    </cfRule>
    <cfRule type="expression" dxfId="3167" priority="738">
      <formula>#REF!&lt;&gt;""</formula>
    </cfRule>
  </conditionalFormatting>
  <conditionalFormatting sqref="F274">
    <cfRule type="expression" dxfId="3166" priority="715">
      <formula>#REF!&lt;&gt;""</formula>
    </cfRule>
    <cfRule type="expression" dxfId="3165" priority="716">
      <formula>#REF!&lt;&gt;""</formula>
    </cfRule>
    <cfRule type="expression" dxfId="3164" priority="717">
      <formula>#REF!&lt;&gt;""</formula>
    </cfRule>
    <cfRule type="expression" dxfId="3163" priority="718">
      <formula>#REF!&lt;&gt;""</formula>
    </cfRule>
    <cfRule type="expression" dxfId="3162" priority="719">
      <formula>#REF!&lt;&gt;""</formula>
    </cfRule>
    <cfRule type="expression" dxfId="3161" priority="720">
      <formula>#REF!&lt;&gt;""</formula>
    </cfRule>
    <cfRule type="expression" dxfId="3160" priority="721">
      <formula>#REF!&lt;&gt;""</formula>
    </cfRule>
    <cfRule type="expression" dxfId="3159" priority="722">
      <formula>#REF!&lt;&gt;""</formula>
    </cfRule>
    <cfRule type="expression" dxfId="3158" priority="723">
      <formula>#REF!&lt;&gt;""</formula>
    </cfRule>
    <cfRule type="expression" dxfId="3157" priority="724">
      <formula>#REF!&lt;&gt;""</formula>
    </cfRule>
    <cfRule type="expression" dxfId="3156" priority="725">
      <formula>#REF!&lt;&gt;""</formula>
    </cfRule>
    <cfRule type="expression" dxfId="3155" priority="726">
      <formula>#REF!&lt;&gt;""</formula>
    </cfRule>
  </conditionalFormatting>
  <conditionalFormatting sqref="F275">
    <cfRule type="expression" dxfId="3154" priority="703">
      <formula>#REF!&lt;&gt;""</formula>
    </cfRule>
    <cfRule type="expression" dxfId="3153" priority="704">
      <formula>#REF!&lt;&gt;""</formula>
    </cfRule>
    <cfRule type="expression" dxfId="3152" priority="705">
      <formula>#REF!&lt;&gt;""</formula>
    </cfRule>
    <cfRule type="expression" dxfId="3151" priority="706">
      <formula>#REF!&lt;&gt;""</formula>
    </cfRule>
    <cfRule type="expression" dxfId="3150" priority="707">
      <formula>#REF!&lt;&gt;""</formula>
    </cfRule>
    <cfRule type="expression" dxfId="3149" priority="708">
      <formula>#REF!&lt;&gt;""</formula>
    </cfRule>
    <cfRule type="expression" dxfId="3148" priority="709">
      <formula>#REF!&lt;&gt;""</formula>
    </cfRule>
    <cfRule type="expression" dxfId="3147" priority="710">
      <formula>#REF!&lt;&gt;""</formula>
    </cfRule>
    <cfRule type="expression" dxfId="3146" priority="711">
      <formula>#REF!&lt;&gt;""</formula>
    </cfRule>
    <cfRule type="expression" dxfId="3145" priority="712">
      <formula>#REF!&lt;&gt;""</formula>
    </cfRule>
    <cfRule type="expression" dxfId="3144" priority="713">
      <formula>#REF!&lt;&gt;""</formula>
    </cfRule>
    <cfRule type="expression" dxfId="3143" priority="714">
      <formula>#REF!&lt;&gt;""</formula>
    </cfRule>
  </conditionalFormatting>
  <conditionalFormatting sqref="F276">
    <cfRule type="expression" dxfId="3142" priority="691">
      <formula>#REF!&lt;&gt;""</formula>
    </cfRule>
    <cfRule type="expression" dxfId="3141" priority="692">
      <formula>#REF!&lt;&gt;""</formula>
    </cfRule>
    <cfRule type="expression" dxfId="3140" priority="693">
      <formula>#REF!&lt;&gt;""</formula>
    </cfRule>
    <cfRule type="expression" dxfId="3139" priority="694">
      <formula>#REF!&lt;&gt;""</formula>
    </cfRule>
    <cfRule type="expression" dxfId="3138" priority="695">
      <formula>#REF!&lt;&gt;""</formula>
    </cfRule>
    <cfRule type="expression" dxfId="3137" priority="696">
      <formula>#REF!&lt;&gt;""</formula>
    </cfRule>
    <cfRule type="expression" dxfId="3136" priority="697">
      <formula>#REF!&lt;&gt;""</formula>
    </cfRule>
    <cfRule type="expression" dxfId="3135" priority="698">
      <formula>#REF!&lt;&gt;""</formula>
    </cfRule>
    <cfRule type="expression" dxfId="3134" priority="699">
      <formula>#REF!&lt;&gt;""</formula>
    </cfRule>
    <cfRule type="expression" dxfId="3133" priority="700">
      <formula>#REF!&lt;&gt;""</formula>
    </cfRule>
    <cfRule type="expression" dxfId="3132" priority="701">
      <formula>#REF!&lt;&gt;""</formula>
    </cfRule>
    <cfRule type="expression" dxfId="3131" priority="702">
      <formula>#REF!&lt;&gt;""</formula>
    </cfRule>
  </conditionalFormatting>
  <conditionalFormatting sqref="F277">
    <cfRule type="expression" dxfId="3130" priority="679">
      <formula>#REF!&lt;&gt;""</formula>
    </cfRule>
    <cfRule type="expression" dxfId="3129" priority="680">
      <formula>#REF!&lt;&gt;""</formula>
    </cfRule>
    <cfRule type="expression" dxfId="3128" priority="681">
      <formula>#REF!&lt;&gt;""</formula>
    </cfRule>
    <cfRule type="expression" dxfId="3127" priority="682">
      <formula>#REF!&lt;&gt;""</formula>
    </cfRule>
    <cfRule type="expression" dxfId="3126" priority="683">
      <formula>#REF!&lt;&gt;""</formula>
    </cfRule>
    <cfRule type="expression" dxfId="3125" priority="684">
      <formula>#REF!&lt;&gt;""</formula>
    </cfRule>
    <cfRule type="expression" dxfId="3124" priority="685">
      <formula>#REF!&lt;&gt;""</formula>
    </cfRule>
    <cfRule type="expression" dxfId="3123" priority="686">
      <formula>#REF!&lt;&gt;""</formula>
    </cfRule>
    <cfRule type="expression" dxfId="3122" priority="687">
      <formula>#REF!&lt;&gt;""</formula>
    </cfRule>
    <cfRule type="expression" dxfId="3121" priority="688">
      <formula>#REF!&lt;&gt;""</formula>
    </cfRule>
    <cfRule type="expression" dxfId="3120" priority="689">
      <formula>#REF!&lt;&gt;""</formula>
    </cfRule>
    <cfRule type="expression" dxfId="3119" priority="690">
      <formula>#REF!&lt;&gt;""</formula>
    </cfRule>
  </conditionalFormatting>
  <conditionalFormatting sqref="F278">
    <cfRule type="expression" dxfId="3118" priority="667">
      <formula>#REF!&lt;&gt;""</formula>
    </cfRule>
    <cfRule type="expression" dxfId="3117" priority="668">
      <formula>#REF!&lt;&gt;""</formula>
    </cfRule>
    <cfRule type="expression" dxfId="3116" priority="669">
      <formula>#REF!&lt;&gt;""</formula>
    </cfRule>
    <cfRule type="expression" dxfId="3115" priority="670">
      <formula>#REF!&lt;&gt;""</formula>
    </cfRule>
    <cfRule type="expression" dxfId="3114" priority="671">
      <formula>#REF!&lt;&gt;""</formula>
    </cfRule>
    <cfRule type="expression" dxfId="3113" priority="672">
      <formula>#REF!&lt;&gt;""</formula>
    </cfRule>
    <cfRule type="expression" dxfId="3112" priority="673">
      <formula>#REF!&lt;&gt;""</formula>
    </cfRule>
    <cfRule type="expression" dxfId="3111" priority="674">
      <formula>#REF!&lt;&gt;""</formula>
    </cfRule>
    <cfRule type="expression" dxfId="3110" priority="675">
      <formula>#REF!&lt;&gt;""</formula>
    </cfRule>
    <cfRule type="expression" dxfId="3109" priority="676">
      <formula>#REF!&lt;&gt;""</formula>
    </cfRule>
    <cfRule type="expression" dxfId="3108" priority="677">
      <formula>#REF!&lt;&gt;""</formula>
    </cfRule>
    <cfRule type="expression" dxfId="3107" priority="678">
      <formula>#REF!&lt;&gt;""</formula>
    </cfRule>
  </conditionalFormatting>
  <conditionalFormatting sqref="F279">
    <cfRule type="expression" dxfId="3106" priority="655">
      <formula>#REF!&lt;&gt;""</formula>
    </cfRule>
    <cfRule type="expression" dxfId="3105" priority="656">
      <formula>#REF!&lt;&gt;""</formula>
    </cfRule>
    <cfRule type="expression" dxfId="3104" priority="657">
      <formula>#REF!&lt;&gt;""</formula>
    </cfRule>
    <cfRule type="expression" dxfId="3103" priority="658">
      <formula>#REF!&lt;&gt;""</formula>
    </cfRule>
    <cfRule type="expression" dxfId="3102" priority="659">
      <formula>#REF!&lt;&gt;""</formula>
    </cfRule>
    <cfRule type="expression" dxfId="3101" priority="660">
      <formula>#REF!&lt;&gt;""</formula>
    </cfRule>
    <cfRule type="expression" dxfId="3100" priority="661">
      <formula>#REF!&lt;&gt;""</formula>
    </cfRule>
    <cfRule type="expression" dxfId="3099" priority="662">
      <formula>#REF!&lt;&gt;""</formula>
    </cfRule>
    <cfRule type="expression" dxfId="3098" priority="663">
      <formula>#REF!&lt;&gt;""</formula>
    </cfRule>
    <cfRule type="expression" dxfId="3097" priority="664">
      <formula>#REF!&lt;&gt;""</formula>
    </cfRule>
    <cfRule type="expression" dxfId="3096" priority="665">
      <formula>#REF!&lt;&gt;""</formula>
    </cfRule>
    <cfRule type="expression" dxfId="3095" priority="666">
      <formula>#REF!&lt;&gt;""</formula>
    </cfRule>
  </conditionalFormatting>
  <conditionalFormatting sqref="F280">
    <cfRule type="expression" dxfId="3094" priority="643">
      <formula>#REF!&lt;&gt;""</formula>
    </cfRule>
    <cfRule type="expression" dxfId="3093" priority="644">
      <formula>#REF!&lt;&gt;""</formula>
    </cfRule>
    <cfRule type="expression" dxfId="3092" priority="645">
      <formula>#REF!&lt;&gt;""</formula>
    </cfRule>
    <cfRule type="expression" dxfId="3091" priority="646">
      <formula>#REF!&lt;&gt;""</formula>
    </cfRule>
    <cfRule type="expression" dxfId="3090" priority="647">
      <formula>#REF!&lt;&gt;""</formula>
    </cfRule>
    <cfRule type="expression" dxfId="3089" priority="648">
      <formula>#REF!&lt;&gt;""</formula>
    </cfRule>
    <cfRule type="expression" dxfId="3088" priority="649">
      <formula>#REF!&lt;&gt;""</formula>
    </cfRule>
    <cfRule type="expression" dxfId="3087" priority="650">
      <formula>#REF!&lt;&gt;""</formula>
    </cfRule>
    <cfRule type="expression" dxfId="3086" priority="651">
      <formula>#REF!&lt;&gt;""</formula>
    </cfRule>
    <cfRule type="expression" dxfId="3085" priority="652">
      <formula>#REF!&lt;&gt;""</formula>
    </cfRule>
    <cfRule type="expression" dxfId="3084" priority="653">
      <formula>#REF!&lt;&gt;""</formula>
    </cfRule>
    <cfRule type="expression" dxfId="3083" priority="654">
      <formula>#REF!&lt;&gt;""</formula>
    </cfRule>
  </conditionalFormatting>
  <conditionalFormatting sqref="F281">
    <cfRule type="expression" dxfId="3082" priority="631">
      <formula>#REF!&lt;&gt;""</formula>
    </cfRule>
    <cfRule type="expression" dxfId="3081" priority="632">
      <formula>#REF!&lt;&gt;""</formula>
    </cfRule>
    <cfRule type="expression" dxfId="3080" priority="633">
      <formula>#REF!&lt;&gt;""</formula>
    </cfRule>
    <cfRule type="expression" dxfId="3079" priority="634">
      <formula>#REF!&lt;&gt;""</formula>
    </cfRule>
    <cfRule type="expression" dxfId="3078" priority="635">
      <formula>#REF!&lt;&gt;""</formula>
    </cfRule>
    <cfRule type="expression" dxfId="3077" priority="636">
      <formula>#REF!&lt;&gt;""</formula>
    </cfRule>
    <cfRule type="expression" dxfId="3076" priority="637">
      <formula>#REF!&lt;&gt;""</formula>
    </cfRule>
    <cfRule type="expression" dxfId="3075" priority="638">
      <formula>#REF!&lt;&gt;""</formula>
    </cfRule>
    <cfRule type="expression" dxfId="3074" priority="639">
      <formula>#REF!&lt;&gt;""</formula>
    </cfRule>
    <cfRule type="expression" dxfId="3073" priority="640">
      <formula>#REF!&lt;&gt;""</formula>
    </cfRule>
    <cfRule type="expression" dxfId="3072" priority="641">
      <formula>#REF!&lt;&gt;""</formula>
    </cfRule>
    <cfRule type="expression" dxfId="3071" priority="642">
      <formula>#REF!&lt;&gt;""</formula>
    </cfRule>
  </conditionalFormatting>
  <conditionalFormatting sqref="F282">
    <cfRule type="expression" dxfId="3070" priority="619">
      <formula>#REF!&lt;&gt;""</formula>
    </cfRule>
    <cfRule type="expression" dxfId="3069" priority="620">
      <formula>#REF!&lt;&gt;""</formula>
    </cfRule>
    <cfRule type="expression" dxfId="3068" priority="621">
      <formula>#REF!&lt;&gt;""</formula>
    </cfRule>
    <cfRule type="expression" dxfId="3067" priority="622">
      <formula>#REF!&lt;&gt;""</formula>
    </cfRule>
    <cfRule type="expression" dxfId="3066" priority="623">
      <formula>#REF!&lt;&gt;""</formula>
    </cfRule>
    <cfRule type="expression" dxfId="3065" priority="624">
      <formula>#REF!&lt;&gt;""</formula>
    </cfRule>
    <cfRule type="expression" dxfId="3064" priority="625">
      <formula>#REF!&lt;&gt;""</formula>
    </cfRule>
    <cfRule type="expression" dxfId="3063" priority="626">
      <formula>#REF!&lt;&gt;""</formula>
    </cfRule>
    <cfRule type="expression" dxfId="3062" priority="627">
      <formula>#REF!&lt;&gt;""</formula>
    </cfRule>
    <cfRule type="expression" dxfId="3061" priority="628">
      <formula>#REF!&lt;&gt;""</formula>
    </cfRule>
    <cfRule type="expression" dxfId="3060" priority="629">
      <formula>#REF!&lt;&gt;""</formula>
    </cfRule>
    <cfRule type="expression" dxfId="3059" priority="630">
      <formula>#REF!&lt;&gt;""</formula>
    </cfRule>
  </conditionalFormatting>
  <conditionalFormatting sqref="F283">
    <cfRule type="expression" dxfId="3058" priority="607">
      <formula>#REF!&lt;&gt;""</formula>
    </cfRule>
    <cfRule type="expression" dxfId="3057" priority="608">
      <formula>#REF!&lt;&gt;""</formula>
    </cfRule>
    <cfRule type="expression" dxfId="3056" priority="609">
      <formula>#REF!&lt;&gt;""</formula>
    </cfRule>
    <cfRule type="expression" dxfId="3055" priority="610">
      <formula>#REF!&lt;&gt;""</formula>
    </cfRule>
    <cfRule type="expression" dxfId="3054" priority="611">
      <formula>#REF!&lt;&gt;""</formula>
    </cfRule>
    <cfRule type="expression" dxfId="3053" priority="612">
      <formula>#REF!&lt;&gt;""</formula>
    </cfRule>
    <cfRule type="expression" dxfId="3052" priority="613">
      <formula>#REF!&lt;&gt;""</formula>
    </cfRule>
    <cfRule type="expression" dxfId="3051" priority="614">
      <formula>#REF!&lt;&gt;""</formula>
    </cfRule>
    <cfRule type="expression" dxfId="3050" priority="615">
      <formula>#REF!&lt;&gt;""</formula>
    </cfRule>
    <cfRule type="expression" dxfId="3049" priority="616">
      <formula>#REF!&lt;&gt;""</formula>
    </cfRule>
    <cfRule type="expression" dxfId="3048" priority="617">
      <formula>#REF!&lt;&gt;""</formula>
    </cfRule>
    <cfRule type="expression" dxfId="3047" priority="618">
      <formula>#REF!&lt;&gt;""</formula>
    </cfRule>
  </conditionalFormatting>
  <conditionalFormatting sqref="F103:F152">
    <cfRule type="expression" dxfId="3046" priority="5" stopIfTrue="1">
      <formula>$G103&lt;&gt;"kg/p.km"</formula>
    </cfRule>
  </conditionalFormatting>
  <conditionalFormatting sqref="S934">
    <cfRule type="expression" dxfId="3045" priority="6" stopIfTrue="1">
      <formula>"U100=kg/km"</formula>
    </cfRule>
  </conditionalFormatting>
  <conditionalFormatting sqref="A153:D153">
    <cfRule type="expression" dxfId="3044" priority="1939" stopIfTrue="1">
      <formula>AND(#REF!&lt;&gt;0,SUM(#REF!)&lt;&gt;0)</formula>
    </cfRule>
  </conditionalFormatting>
  <conditionalFormatting sqref="F218:G218">
    <cfRule type="expression" dxfId="3043" priority="1940" stopIfTrue="1">
      <formula>AND($F218&lt;&gt;0,SUM(#REF!)&lt;&gt;0)</formula>
    </cfRule>
  </conditionalFormatting>
  <conditionalFormatting sqref="F102">
    <cfRule type="expression" dxfId="3042" priority="4" stopIfTrue="1">
      <formula>$G102&lt;&gt;"kg/p.km"</formula>
    </cfRule>
  </conditionalFormatting>
  <conditionalFormatting sqref="G168:G217">
    <cfRule type="expression" dxfId="3041" priority="3" stopIfTrue="1">
      <formula>$H168&lt;&gt;"kg/p.km"</formula>
    </cfRule>
  </conditionalFormatting>
  <conditionalFormatting sqref="G234:G283">
    <cfRule type="expression" dxfId="3040" priority="2" stopIfTrue="1">
      <formula>$H234&lt;&gt;"kg/p.km"</formula>
    </cfRule>
  </conditionalFormatting>
  <conditionalFormatting sqref="F52:F91">
    <cfRule type="expression" dxfId="3039" priority="1941">
      <formula>#REF!&lt;&gt;""</formula>
    </cfRule>
  </conditionalFormatting>
  <dataValidations count="2">
    <dataValidation type="custom" showInputMessage="1" showErrorMessage="1" errorTitle="Qual o ano da frota?" error="Existem fatores de emissão diferentes para frotas de anos diferentes. Escolha o ano da frota e caso haja frotas de anos diferentes, incluia em linhas diferentes para cada ano." sqref="A153:D153">
      <formula1>AND($D153&lt;&gt;0,#REF!=0)=FALSE</formula1>
    </dataValidation>
    <dataValidation showInputMessage="1" showErrorMessage="1" errorTitle="Qual o ano da frota?" error="Escolha o ano da frota." sqref="F102 G234:K283 G168:H217 E103:G152"/>
  </dataValidations>
  <pageMargins left="0.70866141732283472" right="0.70866141732283472" top="0.74803149606299213" bottom="0.74803149606299213" header="0.31496062992125984" footer="0.31496062992125984"/>
  <pageSetup scale="11" orientation="landscape" r:id="rId1"/>
  <headerFooter alignWithMargins="0">
    <oddFooter>&amp;L&amp;"Arial,Italic"&amp;9EPA Climate Leaders Simplified GHG Emissions Calculator (Direct 2.0)&amp;R&amp;"Arial,Italic"&amp;9&amp;P of &amp;N</oddFooter>
  </headerFooter>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'Fatores de Emissão'!$E$181:$E$183</xm:f>
          </x14:formula1>
          <xm:sqref>D168:E217</xm:sqref>
        </x14:dataValidation>
        <x14:dataValidation type="list" allowBlank="1" showInputMessage="1" showErrorMessage="1">
          <x14:formula1>
            <xm:f>'Fatores de Emissão'!$E$192</xm:f>
          </x14:formula1>
          <xm:sqref>D234:E283</xm:sqref>
        </x14:dataValidation>
        <x14:dataValidation type="list" allowBlank="1" showInputMessage="1" showErrorMessage="1">
          <x14:formula1>
            <xm:f>'Fatores de Emissão'!$C$82:$C$97</xm:f>
          </x14:formula1>
          <xm:sqref>D42:E91</xm:sqref>
        </x14:dataValidation>
        <x14:dataValidation type="list" showInputMessage="1" showErrorMessage="1">
          <x14:formula1>
            <xm:f>'Fatores de Emissão'!$E$114:$E$149</xm:f>
          </x14:formula1>
          <xm:sqref>D103:D152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BF689"/>
  <sheetViews>
    <sheetView showGridLines="0" zoomScale="60" zoomScaleNormal="60" workbookViewId="0">
      <selection activeCell="D32" sqref="D32"/>
    </sheetView>
  </sheetViews>
  <sheetFormatPr defaultColWidth="9.140625" defaultRowHeight="12.75" outlineLevelRow="2" x14ac:dyDescent="0.2"/>
  <cols>
    <col min="1" max="1" width="10.7109375" style="195" customWidth="1"/>
    <col min="2" max="2" width="15.42578125" style="195" customWidth="1"/>
    <col min="3" max="3" width="23.42578125" style="195" customWidth="1"/>
    <col min="4" max="4" width="70" style="195" bestFit="1" customWidth="1"/>
    <col min="5" max="5" width="13.140625" style="195" customWidth="1"/>
    <col min="6" max="6" width="17.85546875" style="195" customWidth="1"/>
    <col min="7" max="7" width="15.85546875" style="195" customWidth="1"/>
    <col min="8" max="8" width="17" style="195" customWidth="1"/>
    <col min="9" max="15" width="10.7109375" style="195" customWidth="1"/>
    <col min="16" max="16" width="16" style="195" customWidth="1"/>
    <col min="17" max="19" width="10.7109375" style="195" customWidth="1"/>
    <col min="20" max="20" width="33.85546875" style="195" bestFit="1" customWidth="1"/>
    <col min="21" max="21" width="24.7109375" style="195" customWidth="1"/>
    <col min="22" max="25" width="8.7109375" style="195" customWidth="1"/>
    <col min="26" max="26" width="9.28515625" style="195" customWidth="1"/>
    <col min="27" max="30" width="8.7109375" style="195" customWidth="1"/>
    <col min="31" max="31" width="9.85546875" style="195" customWidth="1"/>
    <col min="32" max="32" width="8.7109375" style="195" customWidth="1"/>
    <col min="33" max="33" width="10.85546875" style="195" customWidth="1"/>
    <col min="34" max="34" width="10.7109375" style="195" customWidth="1"/>
    <col min="35" max="35" width="24.28515625" style="195" bestFit="1" customWidth="1"/>
    <col min="36" max="36" width="20.7109375" style="195" customWidth="1"/>
    <col min="37" max="46" width="8.7109375" style="195" customWidth="1"/>
    <col min="47" max="47" width="10.7109375" style="195" customWidth="1"/>
    <col min="48" max="49" width="21.140625" style="195" customWidth="1"/>
    <col min="50" max="51" width="14.28515625" style="195" customWidth="1"/>
    <col min="52" max="53" width="14" style="195" customWidth="1"/>
    <col min="54" max="55" width="13.140625" style="195" customWidth="1"/>
    <col min="56" max="56" width="15.140625" style="195" customWidth="1"/>
    <col min="57" max="57" width="15.7109375" style="195" customWidth="1"/>
    <col min="58" max="58" width="15.42578125" style="195" customWidth="1"/>
    <col min="59" max="61" width="10.7109375" style="195" customWidth="1"/>
    <col min="62" max="62" width="12.7109375" style="195" customWidth="1"/>
    <col min="63" max="64" width="20.7109375" style="195" customWidth="1"/>
    <col min="65" max="66" width="14.7109375" style="195" customWidth="1"/>
    <col min="67" max="70" width="13.7109375" style="195" customWidth="1"/>
    <col min="71" max="71" width="15.140625" style="195" customWidth="1"/>
    <col min="72" max="16384" width="9.140625" style="195"/>
  </cols>
  <sheetData>
    <row r="1" spans="1:28" x14ac:dyDescent="0.2">
      <c r="A1" s="339"/>
      <c r="B1" s="339"/>
      <c r="C1" s="339"/>
      <c r="D1" s="339"/>
      <c r="E1" s="339"/>
      <c r="F1" s="339"/>
      <c r="G1" s="339"/>
      <c r="H1" s="339"/>
      <c r="I1" s="339"/>
      <c r="J1" s="339"/>
      <c r="K1" s="339"/>
      <c r="L1" s="339"/>
      <c r="M1" s="339"/>
      <c r="N1" s="339"/>
      <c r="O1" s="339"/>
      <c r="P1" s="339"/>
      <c r="Q1" s="339"/>
      <c r="R1" s="339"/>
      <c r="S1" s="339"/>
      <c r="T1" s="339"/>
      <c r="U1" s="339"/>
      <c r="V1" s="339"/>
      <c r="W1" s="339"/>
      <c r="X1" s="339"/>
      <c r="Y1" s="339"/>
      <c r="Z1" s="339"/>
      <c r="AA1" s="339"/>
      <c r="AB1" s="339"/>
    </row>
    <row r="2" spans="1:28" x14ac:dyDescent="0.2">
      <c r="A2" s="290"/>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row>
    <row r="3" spans="1:28" ht="14.1" customHeight="1" x14ac:dyDescent="0.2">
      <c r="A3" s="290"/>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row>
    <row r="4" spans="1:28" ht="15.75" customHeight="1" x14ac:dyDescent="0.2">
      <c r="A4" s="290"/>
      <c r="B4" s="290"/>
      <c r="C4" s="290"/>
      <c r="D4" s="290"/>
      <c r="E4" s="290"/>
      <c r="F4" s="290"/>
      <c r="G4" s="290"/>
      <c r="H4" s="290"/>
      <c r="I4" s="290"/>
      <c r="J4" s="290"/>
      <c r="K4" s="290"/>
      <c r="L4" s="290"/>
      <c r="M4" s="290"/>
      <c r="N4" s="290"/>
      <c r="O4" s="290"/>
      <c r="P4" s="290"/>
      <c r="Q4" s="290"/>
      <c r="R4" s="290"/>
      <c r="S4" s="290"/>
      <c r="T4" s="290"/>
      <c r="U4" s="290"/>
      <c r="V4" s="290"/>
      <c r="W4" s="290"/>
      <c r="X4" s="290"/>
      <c r="Y4" s="290"/>
      <c r="Z4" s="290"/>
      <c r="AA4" s="290"/>
      <c r="AB4" s="290"/>
    </row>
    <row r="5" spans="1:28" ht="15.75" customHeight="1" x14ac:dyDescent="0.2">
      <c r="A5" s="290"/>
      <c r="B5" s="290"/>
      <c r="C5" s="290"/>
      <c r="D5" s="290"/>
      <c r="E5" s="290"/>
      <c r="F5" s="290"/>
      <c r="G5" s="290"/>
      <c r="H5" s="290"/>
      <c r="I5" s="290"/>
      <c r="J5" s="290"/>
      <c r="K5" s="290"/>
      <c r="L5" s="290"/>
      <c r="M5" s="290"/>
      <c r="O5" s="290"/>
      <c r="P5" s="290"/>
      <c r="Q5" s="290"/>
      <c r="R5" s="290"/>
      <c r="S5" s="968"/>
      <c r="T5" s="968"/>
      <c r="U5" s="290"/>
      <c r="V5" s="290"/>
      <c r="W5" s="290"/>
      <c r="X5" s="290"/>
      <c r="Y5" s="290"/>
      <c r="Z5" s="290"/>
      <c r="AA5" s="290"/>
      <c r="AB5" s="290"/>
    </row>
    <row r="6" spans="1:28" ht="15.75" customHeight="1" x14ac:dyDescent="0.2">
      <c r="A6" s="290"/>
      <c r="B6" s="290"/>
      <c r="C6" s="290"/>
      <c r="D6" s="290"/>
      <c r="E6" s="290"/>
      <c r="F6" s="290"/>
      <c r="G6" s="290"/>
      <c r="H6" s="290"/>
      <c r="I6" s="290"/>
      <c r="J6" s="290"/>
      <c r="K6" s="290"/>
      <c r="L6" s="290"/>
      <c r="M6" s="290"/>
      <c r="N6" s="968"/>
      <c r="O6" s="968"/>
      <c r="P6" s="968"/>
      <c r="Q6" s="968"/>
      <c r="R6" s="968"/>
      <c r="S6" s="968"/>
      <c r="T6" s="968"/>
      <c r="U6" s="290"/>
      <c r="V6" s="290"/>
      <c r="W6" s="290"/>
      <c r="X6" s="290"/>
      <c r="Y6" s="290"/>
      <c r="Z6" s="290"/>
      <c r="AA6" s="290"/>
      <c r="AB6" s="290"/>
    </row>
    <row r="7" spans="1:28" ht="15.75" customHeight="1" x14ac:dyDescent="0.2">
      <c r="A7" s="290"/>
      <c r="B7" s="290"/>
      <c r="C7" s="290"/>
      <c r="D7" s="290"/>
      <c r="E7" s="290"/>
      <c r="F7" s="290"/>
      <c r="G7" s="290"/>
      <c r="H7" s="290"/>
      <c r="I7" s="290"/>
      <c r="J7" s="290"/>
      <c r="K7" s="290"/>
      <c r="L7" s="290"/>
      <c r="M7" s="290"/>
      <c r="N7" s="969"/>
      <c r="O7" s="970"/>
      <c r="P7" s="1374"/>
      <c r="Q7" s="1374"/>
      <c r="R7" s="968"/>
      <c r="S7" s="968"/>
      <c r="T7" s="968"/>
      <c r="U7" s="290"/>
      <c r="V7" s="290"/>
      <c r="W7" s="290"/>
      <c r="X7" s="290"/>
      <c r="Y7" s="290"/>
      <c r="Z7" s="290"/>
      <c r="AA7" s="290"/>
      <c r="AB7" s="290"/>
    </row>
    <row r="8" spans="1:28" ht="15" customHeight="1" x14ac:dyDescent="0.2">
      <c r="A8" s="290"/>
      <c r="B8" s="290"/>
      <c r="C8" s="290"/>
      <c r="D8" s="290"/>
      <c r="E8" s="290"/>
      <c r="F8" s="290"/>
      <c r="G8" s="290"/>
      <c r="H8" s="290"/>
      <c r="I8" s="290"/>
      <c r="J8" s="290"/>
      <c r="K8" s="290"/>
      <c r="L8" s="290"/>
      <c r="M8" s="290"/>
      <c r="N8" s="968"/>
      <c r="O8" s="968"/>
      <c r="P8" s="968"/>
      <c r="Q8" s="968"/>
      <c r="R8" s="968"/>
      <c r="S8" s="968"/>
      <c r="T8" s="968"/>
      <c r="U8" s="290"/>
      <c r="V8" s="290"/>
      <c r="W8" s="290"/>
      <c r="X8" s="290"/>
      <c r="Y8" s="290"/>
      <c r="Z8" s="290"/>
      <c r="AA8" s="290"/>
      <c r="AB8" s="290"/>
    </row>
    <row r="9" spans="1:28" ht="15" customHeight="1" x14ac:dyDescent="0.2">
      <c r="A9" s="290"/>
      <c r="B9" s="290"/>
      <c r="C9" s="290"/>
      <c r="D9" s="290"/>
      <c r="E9" s="290"/>
      <c r="F9" s="290"/>
      <c r="G9" s="290"/>
      <c r="H9" s="290"/>
      <c r="I9" s="290"/>
      <c r="J9" s="290"/>
      <c r="K9" s="290"/>
      <c r="L9" s="290"/>
      <c r="M9" s="290"/>
      <c r="U9" s="290"/>
      <c r="V9" s="290"/>
      <c r="W9" s="290"/>
      <c r="X9" s="290"/>
      <c r="Y9" s="290"/>
      <c r="Z9" s="290"/>
      <c r="AA9" s="290"/>
      <c r="AB9" s="290"/>
    </row>
    <row r="10" spans="1:28" ht="15" customHeight="1" x14ac:dyDescent="0.2">
      <c r="A10" s="290"/>
      <c r="B10" s="290"/>
      <c r="C10" s="290"/>
      <c r="D10" s="290"/>
      <c r="E10" s="290"/>
      <c r="F10" s="290"/>
      <c r="G10" s="290"/>
      <c r="H10" s="290"/>
      <c r="I10" s="290"/>
      <c r="J10" s="290"/>
      <c r="K10" s="290"/>
      <c r="L10" s="290"/>
      <c r="M10" s="290"/>
      <c r="U10" s="290"/>
      <c r="V10" s="290"/>
      <c r="W10" s="290"/>
      <c r="X10" s="290"/>
      <c r="Y10" s="290"/>
      <c r="Z10" s="290"/>
      <c r="AA10" s="290"/>
      <c r="AB10" s="290"/>
    </row>
    <row r="11" spans="1:28" ht="15" customHeight="1" x14ac:dyDescent="0.3">
      <c r="A11" s="290"/>
      <c r="B11" s="208" t="s">
        <v>2217</v>
      </c>
      <c r="C11" s="290"/>
      <c r="D11" s="290"/>
      <c r="E11" s="290"/>
      <c r="F11" s="290"/>
      <c r="G11" s="290"/>
      <c r="H11" s="290"/>
      <c r="I11" s="290"/>
      <c r="J11" s="290"/>
      <c r="K11" s="290"/>
      <c r="L11" s="290"/>
      <c r="M11" s="290"/>
      <c r="U11" s="290"/>
      <c r="V11" s="290"/>
      <c r="W11" s="290"/>
      <c r="X11" s="290"/>
      <c r="Y11" s="290"/>
      <c r="Z11" s="290"/>
      <c r="AA11" s="290"/>
      <c r="AB11" s="290"/>
    </row>
    <row r="12" spans="1:28" ht="15" customHeight="1" x14ac:dyDescent="0.2">
      <c r="A12" s="290"/>
      <c r="B12" s="290"/>
      <c r="C12" s="290"/>
      <c r="D12" s="290"/>
      <c r="E12" s="290"/>
      <c r="F12" s="290"/>
      <c r="G12" s="290"/>
      <c r="H12" s="290"/>
      <c r="I12" s="290"/>
      <c r="J12" s="290"/>
      <c r="K12" s="290"/>
      <c r="L12" s="290"/>
      <c r="M12" s="290"/>
      <c r="U12" s="290"/>
      <c r="V12" s="290"/>
      <c r="W12" s="290"/>
      <c r="X12" s="290"/>
      <c r="Y12" s="290"/>
      <c r="Z12" s="290"/>
      <c r="AA12" s="290"/>
      <c r="AB12" s="290"/>
    </row>
    <row r="13" spans="1:28" ht="15" customHeight="1" x14ac:dyDescent="0.2">
      <c r="A13" s="290"/>
      <c r="B13" s="331"/>
      <c r="C13" s="355" t="s">
        <v>142</v>
      </c>
      <c r="D13" s="1297">
        <f>IF(OR(Ano="Selecione",Ano=0),"Escolha o ano do inventário na aba 'Introdução'",Ano)</f>
        <v>2030</v>
      </c>
      <c r="E13" s="1297"/>
      <c r="F13" s="1297"/>
      <c r="G13" s="290"/>
      <c r="H13" s="290"/>
      <c r="I13" s="290"/>
      <c r="J13" s="290"/>
      <c r="K13" s="290"/>
      <c r="L13" s="290"/>
      <c r="M13" s="290"/>
      <c r="U13" s="290"/>
      <c r="V13" s="290"/>
      <c r="W13" s="290"/>
      <c r="X13" s="290"/>
      <c r="Y13" s="290"/>
      <c r="Z13" s="290"/>
      <c r="AA13" s="290"/>
      <c r="AB13" s="290"/>
    </row>
    <row r="14" spans="1:28" ht="15" customHeight="1" thickBot="1" x14ac:dyDescent="0.25">
      <c r="A14" s="290"/>
      <c r="C14" s="290"/>
      <c r="D14" s="290"/>
      <c r="E14" s="290"/>
      <c r="F14" s="290"/>
      <c r="G14" s="290"/>
      <c r="H14" s="290"/>
      <c r="I14" s="290"/>
      <c r="J14" s="290"/>
      <c r="K14" s="290"/>
      <c r="L14" s="303"/>
      <c r="M14" s="290"/>
      <c r="U14" s="290"/>
      <c r="V14" s="290"/>
      <c r="W14" s="290"/>
      <c r="X14" s="290"/>
      <c r="Y14" s="290"/>
      <c r="Z14" s="290"/>
      <c r="AA14" s="290"/>
      <c r="AB14" s="290"/>
    </row>
    <row r="15" spans="1:28" s="237" customFormat="1" ht="15" customHeight="1" x14ac:dyDescent="0.25">
      <c r="A15" s="205"/>
      <c r="B15" s="1365" t="s">
        <v>2158</v>
      </c>
      <c r="C15" s="1366"/>
      <c r="D15" s="1366"/>
      <c r="E15" s="1366"/>
      <c r="F15" s="1366"/>
      <c r="G15" s="1366"/>
      <c r="H15" s="1366"/>
      <c r="I15" s="1366"/>
      <c r="J15" s="1366"/>
      <c r="K15" s="1367"/>
      <c r="L15" s="971"/>
      <c r="M15" s="205"/>
      <c r="U15" s="205"/>
      <c r="V15" s="205"/>
      <c r="W15" s="205"/>
      <c r="X15" s="205"/>
      <c r="Y15" s="205"/>
      <c r="Z15" s="205"/>
      <c r="AA15" s="205"/>
      <c r="AB15" s="205"/>
    </row>
    <row r="16" spans="1:28" s="237" customFormat="1" ht="15" customHeight="1" x14ac:dyDescent="0.25">
      <c r="A16" s="205"/>
      <c r="B16" s="1368"/>
      <c r="C16" s="1369"/>
      <c r="D16" s="1369"/>
      <c r="E16" s="1369"/>
      <c r="F16" s="1369"/>
      <c r="G16" s="1369"/>
      <c r="H16" s="1369"/>
      <c r="I16" s="1369"/>
      <c r="J16" s="1369"/>
      <c r="K16" s="1370"/>
      <c r="L16" s="971"/>
      <c r="M16" s="205"/>
      <c r="U16" s="205"/>
      <c r="V16" s="205"/>
      <c r="W16" s="205"/>
      <c r="X16" s="205"/>
      <c r="Y16" s="205"/>
      <c r="Z16" s="205"/>
      <c r="AA16" s="205"/>
      <c r="AB16" s="205"/>
    </row>
    <row r="17" spans="1:58" s="237" customFormat="1" ht="15" customHeight="1" thickBot="1" x14ac:dyDescent="0.3">
      <c r="A17" s="205"/>
      <c r="B17" s="1371"/>
      <c r="C17" s="1372"/>
      <c r="D17" s="1372"/>
      <c r="E17" s="1372"/>
      <c r="F17" s="1372"/>
      <c r="G17" s="1372"/>
      <c r="H17" s="1372"/>
      <c r="I17" s="1372"/>
      <c r="J17" s="1372"/>
      <c r="K17" s="1373"/>
      <c r="L17" s="971"/>
      <c r="M17" s="205"/>
      <c r="U17" s="205"/>
      <c r="V17" s="205"/>
      <c r="W17" s="205"/>
      <c r="X17" s="205"/>
      <c r="Y17" s="205"/>
      <c r="Z17" s="205"/>
      <c r="AA17" s="205"/>
      <c r="AB17" s="205"/>
    </row>
    <row r="18" spans="1:58" s="237" customFormat="1" ht="15" customHeight="1" x14ac:dyDescent="0.25">
      <c r="A18" s="205"/>
      <c r="B18" s="959"/>
      <c r="C18" s="959"/>
      <c r="D18" s="959"/>
      <c r="E18" s="959"/>
      <c r="F18" s="959"/>
      <c r="G18" s="959"/>
      <c r="H18" s="204"/>
      <c r="I18" s="205"/>
      <c r="J18" s="205"/>
      <c r="K18" s="205"/>
      <c r="L18" s="312"/>
      <c r="M18" s="205"/>
      <c r="N18" s="205"/>
      <c r="O18" s="205"/>
      <c r="P18" s="205"/>
      <c r="Q18" s="205"/>
      <c r="R18" s="205"/>
      <c r="S18" s="205"/>
      <c r="T18" s="205"/>
      <c r="U18" s="205"/>
      <c r="V18" s="205"/>
      <c r="W18" s="205"/>
      <c r="X18" s="205"/>
      <c r="Y18" s="205"/>
      <c r="Z18" s="205"/>
      <c r="AA18" s="205"/>
      <c r="AB18" s="205"/>
    </row>
    <row r="19" spans="1:58" s="237" customFormat="1" ht="15" customHeight="1" x14ac:dyDescent="0.25">
      <c r="A19" s="205"/>
      <c r="B19" s="292" t="s">
        <v>4</v>
      </c>
      <c r="C19" s="204"/>
      <c r="D19" s="204"/>
      <c r="E19" s="204"/>
      <c r="F19" s="204"/>
      <c r="G19" s="204"/>
      <c r="H19" s="204"/>
      <c r="I19" s="205"/>
      <c r="J19" s="205"/>
      <c r="K19" s="205"/>
      <c r="L19" s="312"/>
      <c r="M19" s="205"/>
      <c r="N19" s="205"/>
      <c r="O19" s="205"/>
      <c r="P19" s="205"/>
      <c r="Q19" s="205"/>
      <c r="R19" s="205"/>
      <c r="S19" s="205"/>
      <c r="T19" s="205"/>
      <c r="U19" s="205"/>
      <c r="V19" s="205"/>
      <c r="W19" s="205"/>
      <c r="X19" s="205"/>
      <c r="Y19" s="205"/>
      <c r="Z19" s="205"/>
      <c r="AA19" s="205"/>
      <c r="AB19" s="205"/>
    </row>
    <row r="20" spans="1:58" s="237" customFormat="1" ht="15" customHeight="1" x14ac:dyDescent="0.25">
      <c r="A20" s="205"/>
      <c r="B20" s="206" t="s">
        <v>2074</v>
      </c>
      <c r="C20" s="204"/>
      <c r="D20" s="204"/>
      <c r="E20" s="204"/>
      <c r="F20" s="204"/>
      <c r="G20" s="204"/>
      <c r="H20" s="204"/>
      <c r="I20" s="205"/>
      <c r="J20" s="205"/>
      <c r="K20" s="205"/>
      <c r="L20" s="205"/>
      <c r="M20" s="205"/>
      <c r="N20" s="205"/>
      <c r="O20" s="205"/>
      <c r="P20" s="205"/>
      <c r="Q20" s="205"/>
      <c r="R20" s="205"/>
      <c r="S20" s="205"/>
      <c r="T20" s="205"/>
      <c r="U20" s="205"/>
      <c r="V20" s="205"/>
      <c r="W20" s="205"/>
      <c r="X20" s="205"/>
      <c r="Y20" s="205"/>
      <c r="Z20" s="205"/>
      <c r="AA20" s="205"/>
      <c r="AB20" s="205"/>
    </row>
    <row r="21" spans="1:58" s="237" customFormat="1" ht="15" customHeight="1" x14ac:dyDescent="0.25">
      <c r="A21" s="205"/>
      <c r="B21" s="1335" t="s">
        <v>2075</v>
      </c>
      <c r="C21" s="1335"/>
      <c r="D21" s="1335"/>
      <c r="E21" s="1335"/>
      <c r="F21" s="1335"/>
      <c r="G21" s="1335"/>
      <c r="H21" s="1335"/>
      <c r="I21" s="1335"/>
      <c r="J21" s="1335"/>
      <c r="K21" s="1335"/>
      <c r="L21" s="205"/>
      <c r="M21" s="205"/>
      <c r="N21" s="205"/>
      <c r="O21" s="205"/>
      <c r="P21" s="205"/>
      <c r="Q21" s="205"/>
      <c r="R21" s="205"/>
      <c r="S21" s="205"/>
      <c r="T21" s="205"/>
      <c r="U21" s="205"/>
      <c r="V21" s="205"/>
      <c r="W21" s="205"/>
      <c r="X21" s="205"/>
      <c r="Y21" s="205"/>
      <c r="Z21" s="205"/>
      <c r="AA21" s="205"/>
      <c r="AB21" s="205"/>
    </row>
    <row r="22" spans="1:58" s="237" customFormat="1" ht="15" customHeight="1" x14ac:dyDescent="0.25">
      <c r="A22" s="205"/>
      <c r="B22" s="207" t="s">
        <v>2076</v>
      </c>
      <c r="C22" s="204"/>
      <c r="D22" s="204"/>
      <c r="E22" s="204"/>
      <c r="F22" s="204"/>
      <c r="G22" s="204"/>
      <c r="H22" s="204"/>
      <c r="I22" s="205"/>
      <c r="J22" s="205"/>
      <c r="K22" s="205"/>
      <c r="L22" s="205"/>
      <c r="M22" s="205"/>
      <c r="N22" s="205"/>
      <c r="O22" s="205"/>
      <c r="P22" s="205"/>
      <c r="Q22" s="205"/>
      <c r="R22" s="205"/>
      <c r="S22" s="205"/>
      <c r="T22" s="205"/>
      <c r="U22" s="205"/>
      <c r="V22" s="205"/>
      <c r="W22" s="205"/>
      <c r="X22" s="205"/>
      <c r="Y22" s="205"/>
      <c r="Z22" s="205"/>
      <c r="AA22" s="205"/>
      <c r="AB22" s="205"/>
    </row>
    <row r="23" spans="1:58" s="237" customFormat="1" ht="15" customHeight="1" x14ac:dyDescent="0.25">
      <c r="A23" s="205"/>
      <c r="B23" s="206" t="s">
        <v>2077</v>
      </c>
      <c r="C23" s="204"/>
      <c r="D23" s="204"/>
      <c r="E23" s="204"/>
      <c r="F23" s="204"/>
      <c r="G23" s="204"/>
      <c r="H23" s="204"/>
      <c r="I23" s="205"/>
      <c r="J23" s="205"/>
      <c r="K23" s="205"/>
      <c r="L23" s="205"/>
      <c r="M23" s="205"/>
      <c r="N23" s="205"/>
      <c r="O23" s="205"/>
      <c r="P23" s="205"/>
      <c r="Q23" s="205"/>
      <c r="R23" s="205"/>
      <c r="S23" s="205"/>
      <c r="T23" s="205"/>
      <c r="U23" s="205"/>
      <c r="V23" s="205"/>
      <c r="W23" s="205"/>
      <c r="X23" s="205"/>
      <c r="Y23" s="205"/>
      <c r="Z23" s="205"/>
      <c r="AA23" s="205"/>
      <c r="AB23" s="205"/>
    </row>
    <row r="24" spans="1:58" s="237" customFormat="1" ht="15" customHeight="1" x14ac:dyDescent="0.25">
      <c r="A24" s="205"/>
      <c r="B24" s="206" t="s">
        <v>2078</v>
      </c>
      <c r="C24" s="205"/>
      <c r="D24" s="205"/>
      <c r="E24" s="205"/>
      <c r="F24" s="205"/>
      <c r="G24" s="205"/>
      <c r="H24" s="205"/>
      <c r="I24" s="205"/>
      <c r="J24" s="205"/>
      <c r="K24" s="205"/>
      <c r="L24" s="205"/>
      <c r="M24" s="205"/>
      <c r="N24" s="205"/>
      <c r="O24" s="205"/>
      <c r="P24" s="205"/>
      <c r="Q24" s="205"/>
      <c r="R24" s="205"/>
      <c r="S24" s="205"/>
      <c r="T24" s="205"/>
      <c r="U24" s="205"/>
      <c r="V24" s="205"/>
      <c r="W24" s="205"/>
      <c r="X24" s="205"/>
      <c r="Y24" s="205"/>
      <c r="Z24" s="205"/>
      <c r="AA24" s="205"/>
      <c r="AB24" s="205"/>
    </row>
    <row r="25" spans="1:58" s="237" customFormat="1" ht="15" customHeight="1" x14ac:dyDescent="0.25">
      <c r="A25" s="205"/>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205"/>
      <c r="AA25" s="205"/>
      <c r="AB25" s="205"/>
    </row>
    <row r="26" spans="1:58" s="237" customFormat="1" ht="15" customHeight="1" x14ac:dyDescent="0.25">
      <c r="A26" s="205"/>
      <c r="C26" s="205"/>
      <c r="D26" s="205"/>
      <c r="E26" s="205"/>
      <c r="F26" s="205"/>
      <c r="G26" s="205"/>
      <c r="H26" s="205"/>
      <c r="I26" s="205"/>
      <c r="J26" s="205"/>
      <c r="K26" s="205"/>
      <c r="L26" s="205"/>
      <c r="M26" s="205"/>
      <c r="N26" s="205"/>
      <c r="O26" s="205"/>
      <c r="P26" s="205"/>
      <c r="Q26" s="205"/>
      <c r="R26" s="205"/>
      <c r="S26" s="205"/>
      <c r="T26" s="205"/>
      <c r="U26" s="205"/>
      <c r="V26" s="205"/>
      <c r="W26" s="205"/>
      <c r="X26" s="205"/>
      <c r="Y26" s="205"/>
      <c r="Z26" s="205"/>
      <c r="AA26" s="205"/>
      <c r="AB26" s="205"/>
    </row>
    <row r="27" spans="1:58" s="463" customFormat="1" ht="18" customHeight="1" x14ac:dyDescent="0.3">
      <c r="A27" s="458"/>
      <c r="B27" s="733" t="s">
        <v>191</v>
      </c>
      <c r="C27" s="459"/>
      <c r="D27" s="460"/>
      <c r="E27" s="460"/>
      <c r="F27" s="460"/>
      <c r="G27" s="461"/>
      <c r="H27" s="461"/>
      <c r="I27" s="461"/>
      <c r="J27" s="461"/>
      <c r="K27" s="461"/>
      <c r="L27" s="461"/>
      <c r="M27" s="461"/>
      <c r="N27" s="461"/>
      <c r="O27" s="461"/>
      <c r="P27" s="461"/>
      <c r="Q27" s="461"/>
      <c r="R27" s="461"/>
      <c r="S27" s="461"/>
      <c r="T27" s="461"/>
      <c r="U27" s="461"/>
      <c r="V27" s="461"/>
      <c r="W27" s="461"/>
      <c r="X27" s="461"/>
      <c r="Y27" s="461"/>
      <c r="Z27" s="461"/>
      <c r="AA27" s="461"/>
      <c r="AB27" s="461"/>
      <c r="AC27" s="461"/>
      <c r="AD27" s="461"/>
      <c r="AE27" s="461"/>
      <c r="AF27" s="461"/>
      <c r="AG27" s="461"/>
      <c r="AH27" s="461"/>
      <c r="AI27" s="461"/>
      <c r="AJ27" s="461"/>
      <c r="AK27" s="461"/>
      <c r="AL27" s="461"/>
      <c r="AM27" s="461"/>
      <c r="AN27" s="461"/>
      <c r="AO27" s="461"/>
      <c r="AP27" s="461"/>
      <c r="AQ27" s="461"/>
      <c r="AR27" s="461"/>
      <c r="AS27" s="461"/>
      <c r="AT27" s="461"/>
      <c r="AU27" s="461"/>
      <c r="AV27" s="461"/>
      <c r="AW27" s="461"/>
      <c r="AX27" s="461"/>
      <c r="AY27" s="461"/>
      <c r="AZ27" s="461"/>
      <c r="BA27" s="461"/>
      <c r="BB27" s="461"/>
      <c r="BC27" s="461"/>
      <c r="BD27" s="461"/>
      <c r="BE27" s="461"/>
      <c r="BF27" s="462"/>
    </row>
    <row r="28" spans="1:58" ht="15" customHeight="1" outlineLevel="1" x14ac:dyDescent="0.2">
      <c r="A28" s="290"/>
      <c r="B28" s="290"/>
      <c r="C28" s="290"/>
      <c r="D28" s="290"/>
      <c r="E28" s="290"/>
      <c r="F28" s="290"/>
      <c r="G28" s="290"/>
      <c r="H28" s="290"/>
      <c r="I28" s="290"/>
      <c r="J28" s="290"/>
      <c r="K28" s="290"/>
      <c r="L28" s="290"/>
      <c r="M28" s="290"/>
      <c r="N28" s="290"/>
      <c r="O28" s="290"/>
      <c r="P28" s="290"/>
      <c r="Q28" s="290"/>
      <c r="R28" s="290"/>
      <c r="S28" s="290"/>
      <c r="T28" s="290"/>
      <c r="U28" s="290"/>
      <c r="V28" s="290"/>
      <c r="W28" s="290"/>
      <c r="X28" s="290"/>
      <c r="Y28" s="290"/>
      <c r="Z28" s="290"/>
      <c r="AA28" s="290"/>
      <c r="AB28" s="290"/>
    </row>
    <row r="29" spans="1:58" ht="15" customHeight="1" outlineLevel="1" x14ac:dyDescent="0.25">
      <c r="A29" s="290"/>
      <c r="B29" s="292" t="s">
        <v>124</v>
      </c>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row>
    <row r="30" spans="1:58" s="237" customFormat="1" ht="15" customHeight="1" outlineLevel="1" x14ac:dyDescent="0.25">
      <c r="A30" s="205"/>
      <c r="B30" s="1283" t="s">
        <v>1721</v>
      </c>
      <c r="C30" s="1283"/>
      <c r="D30" s="1283"/>
      <c r="E30" s="1283"/>
      <c r="F30" s="1283"/>
      <c r="G30" s="1283"/>
      <c r="H30" s="1283"/>
      <c r="I30" s="1283"/>
      <c r="J30" s="1283"/>
      <c r="K30" s="205"/>
      <c r="L30" s="205"/>
      <c r="M30" s="205"/>
      <c r="N30" s="205"/>
      <c r="O30" s="205"/>
      <c r="P30" s="205"/>
      <c r="Q30" s="205"/>
      <c r="R30" s="205"/>
      <c r="S30" s="205"/>
      <c r="T30" s="205"/>
      <c r="U30" s="205"/>
      <c r="V30" s="205"/>
      <c r="W30" s="205"/>
      <c r="X30" s="205"/>
      <c r="Y30" s="205"/>
      <c r="Z30" s="205"/>
      <c r="AA30" s="205"/>
      <c r="AB30" s="205"/>
    </row>
    <row r="31" spans="1:58" s="237" customFormat="1" ht="15" customHeight="1" outlineLevel="1" x14ac:dyDescent="0.25">
      <c r="A31" s="205"/>
      <c r="B31" s="1283"/>
      <c r="C31" s="1283"/>
      <c r="D31" s="1283"/>
      <c r="E31" s="1283"/>
      <c r="F31" s="1283"/>
      <c r="G31" s="1283"/>
      <c r="H31" s="1283"/>
      <c r="I31" s="1283"/>
      <c r="J31" s="1283"/>
      <c r="K31" s="205"/>
      <c r="L31" s="205"/>
      <c r="M31" s="205"/>
      <c r="N31" s="205"/>
      <c r="O31" s="205"/>
      <c r="P31" s="205"/>
      <c r="Q31" s="205"/>
      <c r="R31" s="205"/>
      <c r="S31" s="205"/>
      <c r="T31" s="205"/>
      <c r="U31" s="205"/>
      <c r="V31" s="205"/>
      <c r="W31" s="205"/>
      <c r="X31" s="205"/>
      <c r="Y31" s="205"/>
      <c r="Z31" s="205"/>
      <c r="AA31" s="205"/>
      <c r="AB31" s="205"/>
    </row>
    <row r="32" spans="1:58" s="237" customFormat="1" ht="15" customHeight="1" outlineLevel="1" x14ac:dyDescent="0.25">
      <c r="A32" s="205"/>
      <c r="B32" s="681" t="s">
        <v>2061</v>
      </c>
      <c r="C32" s="205"/>
      <c r="D32" s="205"/>
      <c r="E32" s="205"/>
      <c r="F32" s="205"/>
      <c r="G32" s="205"/>
      <c r="H32" s="205"/>
      <c r="I32" s="205"/>
      <c r="J32" s="205"/>
      <c r="K32" s="205"/>
      <c r="L32" s="205"/>
      <c r="M32" s="205"/>
      <c r="N32" s="205"/>
      <c r="O32" s="205"/>
      <c r="P32" s="205"/>
      <c r="Q32" s="205"/>
      <c r="R32" s="205"/>
      <c r="S32" s="205"/>
      <c r="T32" s="205"/>
      <c r="U32" s="205"/>
      <c r="V32" s="205"/>
      <c r="W32" s="205"/>
      <c r="X32" s="205"/>
      <c r="Y32" s="205"/>
      <c r="Z32" s="205"/>
      <c r="AA32" s="205"/>
      <c r="AB32" s="205"/>
    </row>
    <row r="33" spans="1:28" s="237" customFormat="1" ht="15" customHeight="1" outlineLevel="1" x14ac:dyDescent="0.35">
      <c r="A33" s="205" t="s">
        <v>17</v>
      </c>
      <c r="B33" s="207" t="s">
        <v>2062</v>
      </c>
      <c r="C33" s="205"/>
      <c r="D33" s="205"/>
      <c r="E33" s="205"/>
      <c r="F33" s="205"/>
      <c r="G33" s="205"/>
      <c r="H33" s="205"/>
      <c r="I33" s="205"/>
      <c r="J33" s="205"/>
      <c r="K33" s="205"/>
      <c r="L33" s="205"/>
      <c r="M33" s="205"/>
      <c r="N33" s="205"/>
      <c r="O33" s="205"/>
      <c r="P33" s="205"/>
      <c r="Q33" s="205"/>
      <c r="R33" s="205"/>
      <c r="S33" s="205"/>
      <c r="T33" s="205"/>
      <c r="U33" s="205"/>
      <c r="V33" s="205"/>
      <c r="W33" s="205"/>
      <c r="X33" s="205"/>
      <c r="Y33" s="205"/>
      <c r="Z33" s="205"/>
      <c r="AA33" s="205"/>
      <c r="AB33" s="205"/>
    </row>
    <row r="34" spans="1:28" s="237" customFormat="1" ht="15" customHeight="1" outlineLevel="1" x14ac:dyDescent="0.25">
      <c r="A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row>
    <row r="35" spans="1:28" s="237" customFormat="1" ht="15" customHeight="1" outlineLevel="1" x14ac:dyDescent="0.25">
      <c r="A35" s="205"/>
      <c r="B35" s="976"/>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row>
    <row r="36" spans="1:28" s="237" customFormat="1" ht="15" customHeight="1" outlineLevel="1" x14ac:dyDescent="0.25">
      <c r="A36" s="363"/>
      <c r="B36" s="423" t="s">
        <v>2063</v>
      </c>
      <c r="C36" s="373"/>
      <c r="D36" s="442"/>
      <c r="E36" s="442"/>
      <c r="F36" s="373"/>
      <c r="G36" s="373"/>
      <c r="H36" s="373"/>
      <c r="I36" s="373"/>
      <c r="J36" s="373"/>
      <c r="K36" s="373"/>
      <c r="L36" s="373"/>
      <c r="M36" s="373"/>
      <c r="N36" s="373"/>
      <c r="O36" s="373"/>
      <c r="P36" s="373"/>
      <c r="Q36" s="373"/>
      <c r="R36" s="373"/>
      <c r="S36" s="373"/>
      <c r="T36" s="373"/>
      <c r="U36" s="373"/>
      <c r="V36" s="363"/>
      <c r="W36" s="373"/>
      <c r="X36" s="373"/>
      <c r="Z36" s="373"/>
      <c r="AA36" s="373"/>
      <c r="AB36" s="373"/>
    </row>
    <row r="37" spans="1:28" s="237" customFormat="1" ht="15" customHeight="1" outlineLevel="1" x14ac:dyDescent="0.25">
      <c r="A37" s="363"/>
      <c r="B37" s="206" t="s">
        <v>2064</v>
      </c>
      <c r="C37" s="373"/>
      <c r="D37" s="442"/>
      <c r="E37" s="442"/>
      <c r="F37" s="373"/>
      <c r="G37" s="373"/>
      <c r="H37" s="373"/>
      <c r="I37" s="373"/>
      <c r="J37" s="373"/>
      <c r="K37" s="373"/>
      <c r="L37" s="373"/>
      <c r="M37" s="373"/>
      <c r="N37" s="373"/>
      <c r="O37" s="373"/>
      <c r="P37" s="373"/>
      <c r="Q37" s="373"/>
      <c r="R37" s="373"/>
      <c r="S37" s="373"/>
      <c r="T37" s="373"/>
      <c r="U37" s="373"/>
      <c r="V37" s="363"/>
      <c r="W37" s="373"/>
      <c r="X37" s="373"/>
      <c r="Z37" s="373"/>
      <c r="AA37" s="373"/>
      <c r="AB37" s="373"/>
    </row>
    <row r="38" spans="1:28" s="237" customFormat="1" ht="15" customHeight="1" outlineLevel="1" x14ac:dyDescent="0.25">
      <c r="A38" s="363"/>
      <c r="B38" s="373"/>
      <c r="C38" s="373"/>
      <c r="D38" s="442"/>
      <c r="E38" s="442"/>
      <c r="F38" s="373"/>
      <c r="G38" s="373"/>
      <c r="H38" s="373"/>
      <c r="I38" s="373"/>
      <c r="J38" s="373"/>
      <c r="K38" s="373"/>
      <c r="L38" s="373"/>
      <c r="M38" s="373"/>
      <c r="N38" s="373"/>
      <c r="O38" s="373"/>
      <c r="P38" s="373"/>
      <c r="Q38" s="373"/>
      <c r="R38" s="373"/>
      <c r="S38" s="373"/>
      <c r="T38" s="373"/>
      <c r="U38" s="373"/>
      <c r="V38" s="363"/>
      <c r="W38" s="373"/>
      <c r="X38" s="373"/>
      <c r="Z38" s="373"/>
      <c r="AA38" s="373"/>
      <c r="AB38" s="373"/>
    </row>
    <row r="39" spans="1:28" s="237" customFormat="1" ht="15" customHeight="1" outlineLevel="1" x14ac:dyDescent="0.25">
      <c r="A39" s="363"/>
      <c r="B39" s="217" t="s">
        <v>1725</v>
      </c>
      <c r="C39" s="217"/>
      <c r="D39" s="424"/>
      <c r="E39" s="424"/>
      <c r="F39" s="373"/>
      <c r="G39" s="373"/>
      <c r="H39" s="373"/>
      <c r="I39" s="373"/>
      <c r="J39" s="373"/>
      <c r="K39" s="373"/>
      <c r="L39" s="373"/>
      <c r="M39" s="373"/>
      <c r="N39" s="373"/>
      <c r="O39" s="373"/>
      <c r="P39" s="373"/>
      <c r="Q39" s="373"/>
      <c r="R39" s="373"/>
      <c r="S39" s="363"/>
      <c r="T39" s="363"/>
      <c r="U39" s="363"/>
      <c r="V39" s="363"/>
      <c r="W39" s="363"/>
      <c r="X39" s="363"/>
      <c r="Y39" s="363"/>
      <c r="Z39" s="363"/>
      <c r="AA39" s="363"/>
      <c r="AB39" s="363"/>
    </row>
    <row r="40" spans="1:28" s="237" customFormat="1" ht="15" customHeight="1" outlineLevel="1" x14ac:dyDescent="0.25">
      <c r="A40" s="363"/>
      <c r="B40" s="1267" t="s">
        <v>1531</v>
      </c>
      <c r="C40" s="1267" t="s">
        <v>66</v>
      </c>
      <c r="D40" s="1267" t="s">
        <v>255</v>
      </c>
      <c r="E40" s="1267"/>
      <c r="F40" s="1249" t="s">
        <v>13</v>
      </c>
      <c r="G40" s="1269" t="s">
        <v>96</v>
      </c>
      <c r="H40" s="1267" t="s">
        <v>588</v>
      </c>
      <c r="I40" s="1267"/>
      <c r="J40" s="1267"/>
      <c r="K40" s="1249" t="s">
        <v>1408</v>
      </c>
      <c r="L40" s="1249" t="s">
        <v>1409</v>
      </c>
      <c r="M40" s="1249" t="s">
        <v>1410</v>
      </c>
      <c r="N40" s="1249" t="s">
        <v>1411</v>
      </c>
      <c r="O40" s="1267" t="s">
        <v>1530</v>
      </c>
    </row>
    <row r="41" spans="1:28" s="237" customFormat="1" ht="15" customHeight="1" outlineLevel="1" x14ac:dyDescent="0.25">
      <c r="A41" s="363"/>
      <c r="B41" s="1267"/>
      <c r="C41" s="1267"/>
      <c r="D41" s="1267"/>
      <c r="E41" s="1267"/>
      <c r="F41" s="1266"/>
      <c r="G41" s="1270"/>
      <c r="H41" s="1267"/>
      <c r="I41" s="1267"/>
      <c r="J41" s="1267"/>
      <c r="K41" s="1266"/>
      <c r="L41" s="1266"/>
      <c r="M41" s="1266"/>
      <c r="N41" s="1266"/>
      <c r="O41" s="1267"/>
    </row>
    <row r="42" spans="1:28" s="237" customFormat="1" ht="33" customHeight="1" outlineLevel="1" x14ac:dyDescent="0.25">
      <c r="A42" s="363"/>
      <c r="B42" s="1267"/>
      <c r="C42" s="1267"/>
      <c r="D42" s="1267"/>
      <c r="E42" s="1267"/>
      <c r="F42" s="1250"/>
      <c r="G42" s="1271"/>
      <c r="H42" s="1159" t="s">
        <v>1857</v>
      </c>
      <c r="I42" s="1159" t="s">
        <v>1858</v>
      </c>
      <c r="J42" s="1159" t="s">
        <v>1859</v>
      </c>
      <c r="K42" s="1250"/>
      <c r="L42" s="1250"/>
      <c r="M42" s="1250"/>
      <c r="N42" s="1250"/>
      <c r="O42" s="1267"/>
    </row>
    <row r="43" spans="1:28" s="237" customFormat="1" ht="15" customHeight="1" outlineLevel="1" x14ac:dyDescent="0.25">
      <c r="A43" s="427" t="s">
        <v>606</v>
      </c>
      <c r="B43" s="444" t="s">
        <v>587</v>
      </c>
      <c r="C43" s="445" t="s">
        <v>2065</v>
      </c>
      <c r="D43" s="1272" t="s">
        <v>1728</v>
      </c>
      <c r="E43" s="1272"/>
      <c r="F43" s="446">
        <v>1000</v>
      </c>
      <c r="G43" s="447" t="s">
        <v>581</v>
      </c>
      <c r="H43" s="1108">
        <v>2.27</v>
      </c>
      <c r="I43" s="1109">
        <v>0</v>
      </c>
      <c r="J43" s="1109">
        <v>0</v>
      </c>
      <c r="K43" s="1108">
        <v>2.27</v>
      </c>
      <c r="L43" s="1108">
        <v>0</v>
      </c>
      <c r="M43" s="1108">
        <v>0</v>
      </c>
      <c r="N43" s="433">
        <v>2.27</v>
      </c>
      <c r="O43" s="1143">
        <v>0</v>
      </c>
    </row>
    <row r="44" spans="1:28" s="237" customFormat="1" ht="15" customHeight="1" outlineLevel="1" x14ac:dyDescent="0.25">
      <c r="A44" s="363"/>
      <c r="B44" s="1160"/>
      <c r="C44" s="1160"/>
      <c r="D44" s="1268"/>
      <c r="E44" s="1268"/>
      <c r="F44" s="438"/>
      <c r="G44" s="1161" t="str">
        <f>IF(D44="","",VLOOKUP(D44,'Fatores de Emissão'!$C$82:$D$104,2,FALSE))</f>
        <v/>
      </c>
      <c r="H44" s="439" t="str">
        <f>IF(OR($D44="",$D44="-"),"",VLOOKUP($D44,'Fatores de Emissão'!$C$82:$J$97,6,FALSE))</f>
        <v/>
      </c>
      <c r="I44" s="439" t="str">
        <f>IF(OR($D44="",$D44="-"),"",VLOOKUP($D44,'Fatores de Emissão'!$C$82:$J$97,7,FALSE))</f>
        <v/>
      </c>
      <c r="J44" s="439" t="str">
        <f>IF(OR($D44="",$D44="-"),"",VLOOKUP($D44,'Fatores de Emissão'!$C$82:$J$97,8,FALSE))</f>
        <v/>
      </c>
      <c r="K44" s="439" t="str">
        <f>IF(D44="","",IF(F44="",0,H44*$F44/1000))</f>
        <v/>
      </c>
      <c r="L44" s="439" t="str">
        <f>IF(D44="","",IF(F44="",0,I44*$F44/1000))</f>
        <v/>
      </c>
      <c r="M44" s="439" t="str">
        <f>IF(D44="","",IF(F44="",0,J44*$F44/1000))</f>
        <v/>
      </c>
      <c r="N44" s="441" t="str">
        <f t="shared" ref="N44:N93" si="0">IF(ISERR(K44*gwp_CO2+L44*gwp_CH4+M44*gwp_N2O),"",K44*gwp_CO2+L44*gwp_CH4+M44*gwp_N2O)</f>
        <v/>
      </c>
      <c r="O44" s="440"/>
    </row>
    <row r="45" spans="1:28" s="237" customFormat="1" ht="15" customHeight="1" outlineLevel="1" x14ac:dyDescent="0.25">
      <c r="A45" s="363"/>
      <c r="B45" s="1160"/>
      <c r="C45" s="1160"/>
      <c r="D45" s="1268"/>
      <c r="E45" s="1268"/>
      <c r="F45" s="438"/>
      <c r="G45" s="1161" t="str">
        <f>IF(D45="","",VLOOKUP(D45,'Fatores de Emissão'!$C$82:$D$104,2,FALSE))</f>
        <v/>
      </c>
      <c r="H45" s="439" t="str">
        <f>IF(OR($D45="",$D45="-"),"",VLOOKUP($D45,'Fatores de Emissão'!$C$82:$J$97,6,FALSE))</f>
        <v/>
      </c>
      <c r="I45" s="439" t="str">
        <f>IF(OR($D45="",$D45="-"),"",VLOOKUP($D45,'Fatores de Emissão'!$C$82:$J$97,7,FALSE))</f>
        <v/>
      </c>
      <c r="J45" s="439" t="str">
        <f>IF(OR($D45="",$D45="-"),"",VLOOKUP($D45,'Fatores de Emissão'!$C$82:$J$97,8,FALSE))</f>
        <v/>
      </c>
      <c r="K45" s="439" t="str">
        <f t="shared" ref="K45:K71" si="1">IF(D45="","",IF(F45="",0,H45*$F45/1000))</f>
        <v/>
      </c>
      <c r="L45" s="439" t="str">
        <f t="shared" ref="L45:L71" si="2">IF(D45="","",IF(F45="",0,I45*$F45/1000))</f>
        <v/>
      </c>
      <c r="M45" s="439" t="str">
        <f t="shared" ref="M45:M71" si="3">IF(D45="","",IF(F45="",0,J45*$F45/1000))</f>
        <v/>
      </c>
      <c r="N45" s="441" t="str">
        <f t="shared" si="0"/>
        <v/>
      </c>
      <c r="O45" s="440"/>
      <c r="P45" s="1156"/>
    </row>
    <row r="46" spans="1:28" s="237" customFormat="1" ht="15" customHeight="1" outlineLevel="1" x14ac:dyDescent="0.25">
      <c r="A46" s="363"/>
      <c r="B46" s="1160"/>
      <c r="C46" s="1160"/>
      <c r="D46" s="1268"/>
      <c r="E46" s="1268"/>
      <c r="F46" s="438"/>
      <c r="G46" s="1161" t="str">
        <f>IF(D46="","",VLOOKUP(D46,'Fatores de Emissão'!$C$82:$D$104,2,FALSE))</f>
        <v/>
      </c>
      <c r="H46" s="439" t="str">
        <f>IF(OR($D46="",$D46="-"),"",VLOOKUP($D46,'Fatores de Emissão'!$C$82:$J$97,6,FALSE))</f>
        <v/>
      </c>
      <c r="I46" s="439" t="str">
        <f>IF(OR($D46="",$D46="-"),"",VLOOKUP($D46,'Fatores de Emissão'!$C$82:$J$97,7,FALSE))</f>
        <v/>
      </c>
      <c r="J46" s="439" t="str">
        <f>IF(OR($D46="",$D46="-"),"",VLOOKUP($D46,'Fatores de Emissão'!$C$82:$J$97,8,FALSE))</f>
        <v/>
      </c>
      <c r="K46" s="439" t="str">
        <f t="shared" si="1"/>
        <v/>
      </c>
      <c r="L46" s="439" t="str">
        <f t="shared" si="2"/>
        <v/>
      </c>
      <c r="M46" s="439" t="str">
        <f t="shared" si="3"/>
        <v/>
      </c>
      <c r="N46" s="441" t="str">
        <f t="shared" si="0"/>
        <v/>
      </c>
      <c r="O46" s="440"/>
    </row>
    <row r="47" spans="1:28" s="237" customFormat="1" ht="15" customHeight="1" outlineLevel="1" x14ac:dyDescent="0.25">
      <c r="A47" s="363"/>
      <c r="B47" s="1160"/>
      <c r="C47" s="1160"/>
      <c r="D47" s="1268"/>
      <c r="E47" s="1268"/>
      <c r="F47" s="438"/>
      <c r="G47" s="1161" t="str">
        <f>IF(D47="","",VLOOKUP(D47,'Fatores de Emissão'!$C$82:$D$104,2,FALSE))</f>
        <v/>
      </c>
      <c r="H47" s="439" t="str">
        <f>IF(OR($D47="",$D47="-"),"",VLOOKUP($D47,'Fatores de Emissão'!$C$82:$J$97,6,FALSE))</f>
        <v/>
      </c>
      <c r="I47" s="439" t="str">
        <f>IF(OR($D47="",$D47="-"),"",VLOOKUP($D47,'Fatores de Emissão'!$C$82:$J$97,7,FALSE))</f>
        <v/>
      </c>
      <c r="J47" s="439" t="str">
        <f>IF(OR($D47="",$D47="-"),"",VLOOKUP($D47,'Fatores de Emissão'!$C$82:$J$97,8,FALSE))</f>
        <v/>
      </c>
      <c r="K47" s="439" t="str">
        <f t="shared" si="1"/>
        <v/>
      </c>
      <c r="L47" s="439" t="str">
        <f t="shared" si="2"/>
        <v/>
      </c>
      <c r="M47" s="439" t="str">
        <f t="shared" si="3"/>
        <v/>
      </c>
      <c r="N47" s="441" t="str">
        <f t="shared" si="0"/>
        <v/>
      </c>
      <c r="O47" s="440"/>
    </row>
    <row r="48" spans="1:28" s="237" customFormat="1" ht="15" customHeight="1" outlineLevel="1" x14ac:dyDescent="0.25">
      <c r="A48" s="363"/>
      <c r="B48" s="1160"/>
      <c r="C48" s="1160"/>
      <c r="D48" s="1268"/>
      <c r="E48" s="1268"/>
      <c r="F48" s="438"/>
      <c r="G48" s="1161" t="str">
        <f>IF(D48="","",VLOOKUP(D48,'Fatores de Emissão'!$C$82:$D$104,2,FALSE))</f>
        <v/>
      </c>
      <c r="H48" s="439" t="str">
        <f>IF(OR($D48="",$D48="-"),"",VLOOKUP($D48,'Fatores de Emissão'!$C$82:$J$97,6,FALSE))</f>
        <v/>
      </c>
      <c r="I48" s="439" t="str">
        <f>IF(OR($D48="",$D48="-"),"",VLOOKUP($D48,'Fatores de Emissão'!$C$82:$J$97,7,FALSE))</f>
        <v/>
      </c>
      <c r="J48" s="439" t="str">
        <f>IF(OR($D48="",$D48="-"),"",VLOOKUP($D48,'Fatores de Emissão'!$C$82:$J$97,8,FALSE))</f>
        <v/>
      </c>
      <c r="K48" s="439" t="str">
        <f t="shared" si="1"/>
        <v/>
      </c>
      <c r="L48" s="439" t="str">
        <f t="shared" si="2"/>
        <v/>
      </c>
      <c r="M48" s="439" t="str">
        <f t="shared" si="3"/>
        <v/>
      </c>
      <c r="N48" s="441" t="str">
        <f t="shared" si="0"/>
        <v/>
      </c>
      <c r="O48" s="440"/>
    </row>
    <row r="49" spans="1:15" s="237" customFormat="1" ht="15" customHeight="1" outlineLevel="1" x14ac:dyDescent="0.25">
      <c r="A49" s="363"/>
      <c r="B49" s="1160"/>
      <c r="C49" s="1160"/>
      <c r="D49" s="1268"/>
      <c r="E49" s="1268"/>
      <c r="F49" s="438"/>
      <c r="G49" s="1161" t="str">
        <f>IF(D49="","",VLOOKUP(D49,'Fatores de Emissão'!$C$82:$D$104,2,FALSE))</f>
        <v/>
      </c>
      <c r="H49" s="439" t="str">
        <f>IF(OR($D49="",$D49="-"),"",VLOOKUP($D49,'Fatores de Emissão'!$C$82:$J$97,6,FALSE))</f>
        <v/>
      </c>
      <c r="I49" s="439" t="str">
        <f>IF(OR($D49="",$D49="-"),"",VLOOKUP($D49,'Fatores de Emissão'!$C$82:$J$97,7,FALSE))</f>
        <v/>
      </c>
      <c r="J49" s="439" t="str">
        <f>IF(OR($D49="",$D49="-"),"",VLOOKUP($D49,'Fatores de Emissão'!$C$82:$J$97,8,FALSE))</f>
        <v/>
      </c>
      <c r="K49" s="439" t="str">
        <f t="shared" si="1"/>
        <v/>
      </c>
      <c r="L49" s="439" t="str">
        <f t="shared" si="2"/>
        <v/>
      </c>
      <c r="M49" s="439" t="str">
        <f t="shared" si="3"/>
        <v/>
      </c>
      <c r="N49" s="441" t="str">
        <f t="shared" si="0"/>
        <v/>
      </c>
      <c r="O49" s="440"/>
    </row>
    <row r="50" spans="1:15" s="237" customFormat="1" ht="15" customHeight="1" outlineLevel="1" x14ac:dyDescent="0.25">
      <c r="A50" s="363"/>
      <c r="B50" s="1160"/>
      <c r="C50" s="1160"/>
      <c r="D50" s="1268"/>
      <c r="E50" s="1268"/>
      <c r="F50" s="438"/>
      <c r="G50" s="1161" t="str">
        <f>IF(D50="","",VLOOKUP(D50,'Fatores de Emissão'!$C$82:$D$104,2,FALSE))</f>
        <v/>
      </c>
      <c r="H50" s="439" t="str">
        <f>IF(OR($D50="",$D50="-"),"",VLOOKUP($D50,'Fatores de Emissão'!$C$82:$J$97,6,FALSE))</f>
        <v/>
      </c>
      <c r="I50" s="439" t="str">
        <f>IF(OR($D50="",$D50="-"),"",VLOOKUP($D50,'Fatores de Emissão'!$C$82:$J$97,7,FALSE))</f>
        <v/>
      </c>
      <c r="J50" s="439" t="str">
        <f>IF(OR($D50="",$D50="-"),"",VLOOKUP($D50,'Fatores de Emissão'!$C$82:$J$97,8,FALSE))</f>
        <v/>
      </c>
      <c r="K50" s="439" t="str">
        <f t="shared" si="1"/>
        <v/>
      </c>
      <c r="L50" s="439" t="str">
        <f t="shared" si="2"/>
        <v/>
      </c>
      <c r="M50" s="439" t="str">
        <f t="shared" si="3"/>
        <v/>
      </c>
      <c r="N50" s="441" t="str">
        <f t="shared" si="0"/>
        <v/>
      </c>
      <c r="O50" s="440"/>
    </row>
    <row r="51" spans="1:15" s="237" customFormat="1" ht="15" customHeight="1" outlineLevel="1" x14ac:dyDescent="0.25">
      <c r="A51" s="363"/>
      <c r="B51" s="1160"/>
      <c r="C51" s="1160"/>
      <c r="D51" s="1268"/>
      <c r="E51" s="1268"/>
      <c r="F51" s="438"/>
      <c r="G51" s="1161" t="str">
        <f>IF(D51="","",VLOOKUP(D51,'Fatores de Emissão'!$C$82:$D$104,2,FALSE))</f>
        <v/>
      </c>
      <c r="H51" s="439" t="str">
        <f>IF(OR($D51="",$D51="-"),"",VLOOKUP($D51,'Fatores de Emissão'!$C$82:$J$97,6,FALSE))</f>
        <v/>
      </c>
      <c r="I51" s="439" t="str">
        <f>IF(OR($D51="",$D51="-"),"",VLOOKUP($D51,'Fatores de Emissão'!$C$82:$J$97,7,FALSE))</f>
        <v/>
      </c>
      <c r="J51" s="439" t="str">
        <f>IF(OR($D51="",$D51="-"),"",VLOOKUP($D51,'Fatores de Emissão'!$C$82:$J$97,8,FALSE))</f>
        <v/>
      </c>
      <c r="K51" s="439" t="str">
        <f t="shared" si="1"/>
        <v/>
      </c>
      <c r="L51" s="439" t="str">
        <f t="shared" si="2"/>
        <v/>
      </c>
      <c r="M51" s="439" t="str">
        <f t="shared" si="3"/>
        <v/>
      </c>
      <c r="N51" s="441" t="str">
        <f t="shared" si="0"/>
        <v/>
      </c>
      <c r="O51" s="440"/>
    </row>
    <row r="52" spans="1:15" s="237" customFormat="1" ht="15" customHeight="1" outlineLevel="1" x14ac:dyDescent="0.25">
      <c r="A52" s="363"/>
      <c r="B52" s="1160"/>
      <c r="C52" s="1160"/>
      <c r="D52" s="1268"/>
      <c r="E52" s="1268"/>
      <c r="F52" s="438"/>
      <c r="G52" s="1161" t="str">
        <f>IF(D52="","",VLOOKUP(D52,'Fatores de Emissão'!$C$82:$D$104,2,FALSE))</f>
        <v/>
      </c>
      <c r="H52" s="439" t="str">
        <f>IF(OR($D52="",$D52="-"),"",VLOOKUP($D52,'Fatores de Emissão'!$C$82:$J$97,6,FALSE))</f>
        <v/>
      </c>
      <c r="I52" s="439" t="str">
        <f>IF(OR($D52="",$D52="-"),"",VLOOKUP($D52,'Fatores de Emissão'!$C$82:$J$97,7,FALSE))</f>
        <v/>
      </c>
      <c r="J52" s="439" t="str">
        <f>IF(OR($D52="",$D52="-"),"",VLOOKUP($D52,'Fatores de Emissão'!$C$82:$J$97,8,FALSE))</f>
        <v/>
      </c>
      <c r="K52" s="439" t="str">
        <f t="shared" si="1"/>
        <v/>
      </c>
      <c r="L52" s="439" t="str">
        <f t="shared" si="2"/>
        <v/>
      </c>
      <c r="M52" s="439" t="str">
        <f t="shared" si="3"/>
        <v/>
      </c>
      <c r="N52" s="441" t="str">
        <f t="shared" si="0"/>
        <v/>
      </c>
      <c r="O52" s="440"/>
    </row>
    <row r="53" spans="1:15" s="237" customFormat="1" ht="15" customHeight="1" outlineLevel="1" collapsed="1" x14ac:dyDescent="0.25">
      <c r="A53" s="363"/>
      <c r="B53" s="1160"/>
      <c r="C53" s="1160"/>
      <c r="D53" s="1268"/>
      <c r="E53" s="1268"/>
      <c r="F53" s="438"/>
      <c r="G53" s="1161" t="str">
        <f>IF(D53="","",VLOOKUP(D53,'Fatores de Emissão'!$C$82:$D$104,2,FALSE))</f>
        <v/>
      </c>
      <c r="H53" s="439" t="str">
        <f>IF(OR($D53="",$D53="-"),"",VLOOKUP($D53,'Fatores de Emissão'!$C$82:$J$97,6,FALSE))</f>
        <v/>
      </c>
      <c r="I53" s="439" t="str">
        <f>IF(OR($D53="",$D53="-"),"",VLOOKUP($D53,'Fatores de Emissão'!$C$82:$J$97,7,FALSE))</f>
        <v/>
      </c>
      <c r="J53" s="439" t="str">
        <f>IF(OR($D53="",$D53="-"),"",VLOOKUP($D53,'Fatores de Emissão'!$C$82:$J$97,8,FALSE))</f>
        <v/>
      </c>
      <c r="K53" s="439" t="str">
        <f t="shared" si="1"/>
        <v/>
      </c>
      <c r="L53" s="439" t="str">
        <f t="shared" si="2"/>
        <v/>
      </c>
      <c r="M53" s="439" t="str">
        <f t="shared" si="3"/>
        <v/>
      </c>
      <c r="N53" s="441" t="str">
        <f t="shared" si="0"/>
        <v/>
      </c>
      <c r="O53" s="440"/>
    </row>
    <row r="54" spans="1:15" s="237" customFormat="1" ht="15" hidden="1" customHeight="1" outlineLevel="2" x14ac:dyDescent="0.25">
      <c r="A54" s="363"/>
      <c r="B54" s="1160"/>
      <c r="C54" s="1160"/>
      <c r="D54" s="1268"/>
      <c r="E54" s="1268"/>
      <c r="F54" s="438"/>
      <c r="G54" s="1161" t="str">
        <f>IF(D54="","",VLOOKUP(D54,'Fatores de Emissão'!$C$82:$D$104,2,FALSE))</f>
        <v/>
      </c>
      <c r="H54" s="439" t="str">
        <f>IF(OR($D54="",$D54="-"),"",VLOOKUP($D54,'Fatores de Emissão'!$C$82:$J$97,6,FALSE))</f>
        <v/>
      </c>
      <c r="I54" s="439" t="str">
        <f>IF(OR($D54="",$D54="-"),"",VLOOKUP($D54,'Fatores de Emissão'!$C$82:$J$97,7,FALSE))</f>
        <v/>
      </c>
      <c r="J54" s="439" t="str">
        <f>IF(OR($D54="",$D54="-"),"",VLOOKUP($D54,'Fatores de Emissão'!$C$82:$J$97,8,FALSE))</f>
        <v/>
      </c>
      <c r="K54" s="439" t="str">
        <f t="shared" si="1"/>
        <v/>
      </c>
      <c r="L54" s="439" t="str">
        <f t="shared" si="2"/>
        <v/>
      </c>
      <c r="M54" s="439" t="str">
        <f t="shared" si="3"/>
        <v/>
      </c>
      <c r="N54" s="441" t="str">
        <f t="shared" si="0"/>
        <v/>
      </c>
      <c r="O54" s="440"/>
    </row>
    <row r="55" spans="1:15" s="237" customFormat="1" ht="15" hidden="1" customHeight="1" outlineLevel="2" x14ac:dyDescent="0.25">
      <c r="A55" s="363"/>
      <c r="B55" s="1160"/>
      <c r="C55" s="1160"/>
      <c r="D55" s="1268"/>
      <c r="E55" s="1268"/>
      <c r="F55" s="438"/>
      <c r="G55" s="1161" t="str">
        <f>IF(D55="","",VLOOKUP(D55,'Fatores de Emissão'!$C$82:$D$104,2,FALSE))</f>
        <v/>
      </c>
      <c r="H55" s="439" t="str">
        <f>IF(OR($D55="",$D55="-"),"",VLOOKUP($D55,'Fatores de Emissão'!$C$82:$J$97,6,FALSE))</f>
        <v/>
      </c>
      <c r="I55" s="439" t="str">
        <f>IF(OR($D55="",$D55="-"),"",VLOOKUP($D55,'Fatores de Emissão'!$C$82:$J$97,7,FALSE))</f>
        <v/>
      </c>
      <c r="J55" s="439" t="str">
        <f>IF(OR($D55="",$D55="-"),"",VLOOKUP($D55,'Fatores de Emissão'!$C$82:$J$97,8,FALSE))</f>
        <v/>
      </c>
      <c r="K55" s="439" t="str">
        <f t="shared" si="1"/>
        <v/>
      </c>
      <c r="L55" s="439" t="str">
        <f t="shared" si="2"/>
        <v/>
      </c>
      <c r="M55" s="439" t="str">
        <f t="shared" si="3"/>
        <v/>
      </c>
      <c r="N55" s="441" t="str">
        <f t="shared" si="0"/>
        <v/>
      </c>
      <c r="O55" s="440"/>
    </row>
    <row r="56" spans="1:15" s="237" customFormat="1" ht="15" hidden="1" customHeight="1" outlineLevel="2" x14ac:dyDescent="0.25">
      <c r="A56" s="363"/>
      <c r="B56" s="1160"/>
      <c r="C56" s="1160"/>
      <c r="D56" s="1268"/>
      <c r="E56" s="1268"/>
      <c r="F56" s="438"/>
      <c r="G56" s="1161" t="str">
        <f>IF(D56="","",VLOOKUP(D56,'Fatores de Emissão'!$C$82:$D$104,2,FALSE))</f>
        <v/>
      </c>
      <c r="H56" s="439" t="str">
        <f>IF(OR($D56="",$D56="-"),"",VLOOKUP($D56,'Fatores de Emissão'!$C$82:$J$97,6,FALSE))</f>
        <v/>
      </c>
      <c r="I56" s="439" t="str">
        <f>IF(OR($D56="",$D56="-"),"",VLOOKUP($D56,'Fatores de Emissão'!$C$82:$J$97,7,FALSE))</f>
        <v/>
      </c>
      <c r="J56" s="439" t="str">
        <f>IF(OR($D56="",$D56="-"),"",VLOOKUP($D56,'Fatores de Emissão'!$C$82:$J$97,8,FALSE))</f>
        <v/>
      </c>
      <c r="K56" s="439" t="str">
        <f t="shared" si="1"/>
        <v/>
      </c>
      <c r="L56" s="439" t="str">
        <f t="shared" si="2"/>
        <v/>
      </c>
      <c r="M56" s="439" t="str">
        <f t="shared" si="3"/>
        <v/>
      </c>
      <c r="N56" s="441" t="str">
        <f t="shared" si="0"/>
        <v/>
      </c>
      <c r="O56" s="440"/>
    </row>
    <row r="57" spans="1:15" s="237" customFormat="1" ht="15" hidden="1" customHeight="1" outlineLevel="2" x14ac:dyDescent="0.25">
      <c r="A57" s="363"/>
      <c r="B57" s="1160"/>
      <c r="C57" s="1160"/>
      <c r="D57" s="1268"/>
      <c r="E57" s="1268"/>
      <c r="F57" s="438"/>
      <c r="G57" s="1161" t="str">
        <f>IF(D57="","",VLOOKUP(D57,'Fatores de Emissão'!$C$82:$D$104,2,FALSE))</f>
        <v/>
      </c>
      <c r="H57" s="439" t="str">
        <f>IF(OR($D57="",$D57="-"),"",VLOOKUP($D57,'Fatores de Emissão'!$C$82:$J$97,6,FALSE))</f>
        <v/>
      </c>
      <c r="I57" s="439" t="str">
        <f>IF(OR($D57="",$D57="-"),"",VLOOKUP($D57,'Fatores de Emissão'!$C$82:$J$97,7,FALSE))</f>
        <v/>
      </c>
      <c r="J57" s="439" t="str">
        <f>IF(OR($D57="",$D57="-"),"",VLOOKUP($D57,'Fatores de Emissão'!$C$82:$J$97,8,FALSE))</f>
        <v/>
      </c>
      <c r="K57" s="439" t="str">
        <f t="shared" si="1"/>
        <v/>
      </c>
      <c r="L57" s="439" t="str">
        <f t="shared" si="2"/>
        <v/>
      </c>
      <c r="M57" s="439" t="str">
        <f t="shared" si="3"/>
        <v/>
      </c>
      <c r="N57" s="441" t="str">
        <f t="shared" si="0"/>
        <v/>
      </c>
      <c r="O57" s="440"/>
    </row>
    <row r="58" spans="1:15" s="237" customFormat="1" ht="15" hidden="1" customHeight="1" outlineLevel="2" x14ac:dyDescent="0.25">
      <c r="A58" s="363"/>
      <c r="B58" s="1160"/>
      <c r="C58" s="1160"/>
      <c r="D58" s="1268"/>
      <c r="E58" s="1268"/>
      <c r="F58" s="438"/>
      <c r="G58" s="1161" t="str">
        <f>IF(D58="","",VLOOKUP(D58,'Fatores de Emissão'!$C$82:$D$104,2,FALSE))</f>
        <v/>
      </c>
      <c r="H58" s="439" t="str">
        <f>IF(OR($D58="",$D58="-"),"",VLOOKUP($D58,'Fatores de Emissão'!$C$82:$J$97,6,FALSE))</f>
        <v/>
      </c>
      <c r="I58" s="439" t="str">
        <f>IF(OR($D58="",$D58="-"),"",VLOOKUP($D58,'Fatores de Emissão'!$C$82:$J$97,7,FALSE))</f>
        <v/>
      </c>
      <c r="J58" s="439" t="str">
        <f>IF(OR($D58="",$D58="-"),"",VLOOKUP($D58,'Fatores de Emissão'!$C$82:$J$97,8,FALSE))</f>
        <v/>
      </c>
      <c r="K58" s="439" t="str">
        <f t="shared" si="1"/>
        <v/>
      </c>
      <c r="L58" s="439" t="str">
        <f t="shared" si="2"/>
        <v/>
      </c>
      <c r="M58" s="439" t="str">
        <f t="shared" si="3"/>
        <v/>
      </c>
      <c r="N58" s="441" t="str">
        <f t="shared" si="0"/>
        <v/>
      </c>
      <c r="O58" s="440"/>
    </row>
    <row r="59" spans="1:15" s="237" customFormat="1" ht="15" hidden="1" customHeight="1" outlineLevel="2" x14ac:dyDescent="0.25">
      <c r="A59" s="363"/>
      <c r="B59" s="1160"/>
      <c r="C59" s="1160"/>
      <c r="D59" s="1268"/>
      <c r="E59" s="1268"/>
      <c r="F59" s="438"/>
      <c r="G59" s="1161" t="str">
        <f>IF(D59="","",VLOOKUP(D59,'Fatores de Emissão'!$C$82:$D$104,2,FALSE))</f>
        <v/>
      </c>
      <c r="H59" s="439" t="str">
        <f>IF(OR($D59="",$D59="-"),"",VLOOKUP($D59,'Fatores de Emissão'!$C$82:$J$97,6,FALSE))</f>
        <v/>
      </c>
      <c r="I59" s="439" t="str">
        <f>IF(OR($D59="",$D59="-"),"",VLOOKUP($D59,'Fatores de Emissão'!$C$82:$J$97,7,FALSE))</f>
        <v/>
      </c>
      <c r="J59" s="439" t="str">
        <f>IF(OR($D59="",$D59="-"),"",VLOOKUP($D59,'Fatores de Emissão'!$C$82:$J$97,8,FALSE))</f>
        <v/>
      </c>
      <c r="K59" s="439" t="str">
        <f t="shared" si="1"/>
        <v/>
      </c>
      <c r="L59" s="439" t="str">
        <f t="shared" si="2"/>
        <v/>
      </c>
      <c r="M59" s="439" t="str">
        <f t="shared" si="3"/>
        <v/>
      </c>
      <c r="N59" s="441" t="str">
        <f t="shared" si="0"/>
        <v/>
      </c>
      <c r="O59" s="440"/>
    </row>
    <row r="60" spans="1:15" s="237" customFormat="1" ht="15" hidden="1" customHeight="1" outlineLevel="2" x14ac:dyDescent="0.25">
      <c r="A60" s="363"/>
      <c r="B60" s="1160"/>
      <c r="C60" s="1160"/>
      <c r="D60" s="1268"/>
      <c r="E60" s="1268"/>
      <c r="F60" s="438"/>
      <c r="G60" s="1161" t="str">
        <f>IF(D60="","",VLOOKUP(D60,'Fatores de Emissão'!$C$82:$D$104,2,FALSE))</f>
        <v/>
      </c>
      <c r="H60" s="439" t="str">
        <f>IF(OR($D60="",$D60="-"),"",VLOOKUP($D60,'Fatores de Emissão'!$C$82:$J$97,6,FALSE))</f>
        <v/>
      </c>
      <c r="I60" s="439" t="str">
        <f>IF(OR($D60="",$D60="-"),"",VLOOKUP($D60,'Fatores de Emissão'!$C$82:$J$97,7,FALSE))</f>
        <v/>
      </c>
      <c r="J60" s="439" t="str">
        <f>IF(OR($D60="",$D60="-"),"",VLOOKUP($D60,'Fatores de Emissão'!$C$82:$J$97,8,FALSE))</f>
        <v/>
      </c>
      <c r="K60" s="439" t="str">
        <f t="shared" si="1"/>
        <v/>
      </c>
      <c r="L60" s="439" t="str">
        <f t="shared" si="2"/>
        <v/>
      </c>
      <c r="M60" s="439" t="str">
        <f t="shared" si="3"/>
        <v/>
      </c>
      <c r="N60" s="441" t="str">
        <f t="shared" si="0"/>
        <v/>
      </c>
      <c r="O60" s="440"/>
    </row>
    <row r="61" spans="1:15" s="237" customFormat="1" ht="15" hidden="1" customHeight="1" outlineLevel="2" x14ac:dyDescent="0.25">
      <c r="A61" s="363"/>
      <c r="B61" s="1160"/>
      <c r="C61" s="1160"/>
      <c r="D61" s="1268"/>
      <c r="E61" s="1268"/>
      <c r="F61" s="438"/>
      <c r="G61" s="1161" t="str">
        <f>IF(D61="","",VLOOKUP(D61,'Fatores de Emissão'!$C$82:$D$104,2,FALSE))</f>
        <v/>
      </c>
      <c r="H61" s="439" t="str">
        <f>IF(OR($D61="",$D61="-"),"",VLOOKUP($D61,'Fatores de Emissão'!$C$82:$J$97,6,FALSE))</f>
        <v/>
      </c>
      <c r="I61" s="439" t="str">
        <f>IF(OR($D61="",$D61="-"),"",VLOOKUP($D61,'Fatores de Emissão'!$C$82:$J$97,7,FALSE))</f>
        <v/>
      </c>
      <c r="J61" s="439" t="str">
        <f>IF(OR($D61="",$D61="-"),"",VLOOKUP($D61,'Fatores de Emissão'!$C$82:$J$97,8,FALSE))</f>
        <v/>
      </c>
      <c r="K61" s="439" t="str">
        <f t="shared" si="1"/>
        <v/>
      </c>
      <c r="L61" s="439" t="str">
        <f t="shared" si="2"/>
        <v/>
      </c>
      <c r="M61" s="439" t="str">
        <f t="shared" si="3"/>
        <v/>
      </c>
      <c r="N61" s="441" t="str">
        <f t="shared" si="0"/>
        <v/>
      </c>
      <c r="O61" s="440"/>
    </row>
    <row r="62" spans="1:15" s="237" customFormat="1" ht="15" hidden="1" customHeight="1" outlineLevel="2" x14ac:dyDescent="0.25">
      <c r="A62" s="363"/>
      <c r="B62" s="1160"/>
      <c r="C62" s="1160"/>
      <c r="D62" s="1268"/>
      <c r="E62" s="1268"/>
      <c r="F62" s="438"/>
      <c r="G62" s="1161" t="str">
        <f>IF(D62="","",VLOOKUP(D62,'Fatores de Emissão'!$C$82:$D$104,2,FALSE))</f>
        <v/>
      </c>
      <c r="H62" s="439" t="str">
        <f>IF(OR($D62="",$D62="-"),"",VLOOKUP($D62,'Fatores de Emissão'!$C$82:$J$97,6,FALSE))</f>
        <v/>
      </c>
      <c r="I62" s="439" t="str">
        <f>IF(OR($D62="",$D62="-"),"",VLOOKUP($D62,'Fatores de Emissão'!$C$82:$J$97,7,FALSE))</f>
        <v/>
      </c>
      <c r="J62" s="439" t="str">
        <f>IF(OR($D62="",$D62="-"),"",VLOOKUP($D62,'Fatores de Emissão'!$C$82:$J$97,8,FALSE))</f>
        <v/>
      </c>
      <c r="K62" s="439" t="str">
        <f t="shared" si="1"/>
        <v/>
      </c>
      <c r="L62" s="439" t="str">
        <f t="shared" si="2"/>
        <v/>
      </c>
      <c r="M62" s="439" t="str">
        <f t="shared" si="3"/>
        <v/>
      </c>
      <c r="N62" s="441" t="str">
        <f t="shared" si="0"/>
        <v/>
      </c>
      <c r="O62" s="440"/>
    </row>
    <row r="63" spans="1:15" s="237" customFormat="1" ht="15" hidden="1" customHeight="1" outlineLevel="2" x14ac:dyDescent="0.25">
      <c r="A63" s="363"/>
      <c r="B63" s="1160"/>
      <c r="C63" s="1160"/>
      <c r="D63" s="1268"/>
      <c r="E63" s="1268"/>
      <c r="F63" s="438"/>
      <c r="G63" s="1161" t="str">
        <f>IF(D63="","",VLOOKUP(D63,'Fatores de Emissão'!$C$82:$D$104,2,FALSE))</f>
        <v/>
      </c>
      <c r="H63" s="439" t="str">
        <f>IF(OR($D63="",$D63="-"),"",VLOOKUP($D63,'Fatores de Emissão'!$C$82:$J$97,6,FALSE))</f>
        <v/>
      </c>
      <c r="I63" s="439" t="str">
        <f>IF(OR($D63="",$D63="-"),"",VLOOKUP($D63,'Fatores de Emissão'!$C$82:$J$97,7,FALSE))</f>
        <v/>
      </c>
      <c r="J63" s="439" t="str">
        <f>IF(OR($D63="",$D63="-"),"",VLOOKUP($D63,'Fatores de Emissão'!$C$82:$J$97,8,FALSE))</f>
        <v/>
      </c>
      <c r="K63" s="439" t="str">
        <f t="shared" si="1"/>
        <v/>
      </c>
      <c r="L63" s="439" t="str">
        <f t="shared" si="2"/>
        <v/>
      </c>
      <c r="M63" s="439" t="str">
        <f t="shared" si="3"/>
        <v/>
      </c>
      <c r="N63" s="441" t="str">
        <f t="shared" si="0"/>
        <v/>
      </c>
      <c r="O63" s="440"/>
    </row>
    <row r="64" spans="1:15" s="237" customFormat="1" ht="15" hidden="1" customHeight="1" outlineLevel="2" x14ac:dyDescent="0.25">
      <c r="A64" s="363"/>
      <c r="B64" s="1160"/>
      <c r="C64" s="1160"/>
      <c r="D64" s="1268"/>
      <c r="E64" s="1268"/>
      <c r="F64" s="438"/>
      <c r="G64" s="1161" t="str">
        <f>IF(D64="","",VLOOKUP(D64,'Fatores de Emissão'!$C$82:$D$104,2,FALSE))</f>
        <v/>
      </c>
      <c r="H64" s="439" t="str">
        <f>IF(OR($D64="",$D64="-"),"",VLOOKUP($D64,'Fatores de Emissão'!$C$82:$J$97,6,FALSE))</f>
        <v/>
      </c>
      <c r="I64" s="439" t="str">
        <f>IF(OR($D64="",$D64="-"),"",VLOOKUP($D64,'Fatores de Emissão'!$C$82:$J$97,7,FALSE))</f>
        <v/>
      </c>
      <c r="J64" s="439" t="str">
        <f>IF(OR($D64="",$D64="-"),"",VLOOKUP($D64,'Fatores de Emissão'!$C$82:$J$97,8,FALSE))</f>
        <v/>
      </c>
      <c r="K64" s="439" t="str">
        <f t="shared" si="1"/>
        <v/>
      </c>
      <c r="L64" s="439" t="str">
        <f t="shared" si="2"/>
        <v/>
      </c>
      <c r="M64" s="439" t="str">
        <f t="shared" si="3"/>
        <v/>
      </c>
      <c r="N64" s="441" t="str">
        <f t="shared" si="0"/>
        <v/>
      </c>
      <c r="O64" s="440"/>
    </row>
    <row r="65" spans="1:15" s="237" customFormat="1" ht="15" hidden="1" customHeight="1" outlineLevel="2" x14ac:dyDescent="0.25">
      <c r="A65" s="363"/>
      <c r="B65" s="1160"/>
      <c r="C65" s="1160"/>
      <c r="D65" s="1268"/>
      <c r="E65" s="1268"/>
      <c r="F65" s="438"/>
      <c r="G65" s="1161" t="str">
        <f>IF(D65="","",VLOOKUP(D65,'Fatores de Emissão'!$C$82:$D$104,2,FALSE))</f>
        <v/>
      </c>
      <c r="H65" s="439" t="str">
        <f>IF(OR($D65="",$D65="-"),"",VLOOKUP($D65,'Fatores de Emissão'!$C$82:$J$97,6,FALSE))</f>
        <v/>
      </c>
      <c r="I65" s="439" t="str">
        <f>IF(OR($D65="",$D65="-"),"",VLOOKUP($D65,'Fatores de Emissão'!$C$82:$J$97,7,FALSE))</f>
        <v/>
      </c>
      <c r="J65" s="439" t="str">
        <f>IF(OR($D65="",$D65="-"),"",VLOOKUP($D65,'Fatores de Emissão'!$C$82:$J$97,8,FALSE))</f>
        <v/>
      </c>
      <c r="K65" s="439" t="str">
        <f t="shared" si="1"/>
        <v/>
      </c>
      <c r="L65" s="439" t="str">
        <f t="shared" si="2"/>
        <v/>
      </c>
      <c r="M65" s="439" t="str">
        <f t="shared" si="3"/>
        <v/>
      </c>
      <c r="N65" s="441" t="str">
        <f t="shared" si="0"/>
        <v/>
      </c>
      <c r="O65" s="440"/>
    </row>
    <row r="66" spans="1:15" s="237" customFormat="1" ht="15" hidden="1" customHeight="1" outlineLevel="2" x14ac:dyDescent="0.25">
      <c r="A66" s="363"/>
      <c r="B66" s="1160"/>
      <c r="C66" s="1160"/>
      <c r="D66" s="1268"/>
      <c r="E66" s="1268"/>
      <c r="F66" s="438"/>
      <c r="G66" s="1161" t="str">
        <f>IF(D66="","",VLOOKUP(D66,'Fatores de Emissão'!$C$82:$D$104,2,FALSE))</f>
        <v/>
      </c>
      <c r="H66" s="439" t="str">
        <f>IF(OR($D66="",$D66="-"),"",VLOOKUP($D66,'Fatores de Emissão'!$C$82:$J$97,6,FALSE))</f>
        <v/>
      </c>
      <c r="I66" s="439" t="str">
        <f>IF(OR($D66="",$D66="-"),"",VLOOKUP($D66,'Fatores de Emissão'!$C$82:$J$97,7,FALSE))</f>
        <v/>
      </c>
      <c r="J66" s="439" t="str">
        <f>IF(OR($D66="",$D66="-"),"",VLOOKUP($D66,'Fatores de Emissão'!$C$82:$J$97,8,FALSE))</f>
        <v/>
      </c>
      <c r="K66" s="439" t="str">
        <f t="shared" si="1"/>
        <v/>
      </c>
      <c r="L66" s="439" t="str">
        <f t="shared" si="2"/>
        <v/>
      </c>
      <c r="M66" s="439" t="str">
        <f t="shared" si="3"/>
        <v/>
      </c>
      <c r="N66" s="441" t="str">
        <f t="shared" si="0"/>
        <v/>
      </c>
      <c r="O66" s="440"/>
    </row>
    <row r="67" spans="1:15" s="237" customFormat="1" ht="15" hidden="1" customHeight="1" outlineLevel="2" x14ac:dyDescent="0.25">
      <c r="A67" s="363"/>
      <c r="B67" s="1160"/>
      <c r="C67" s="1160"/>
      <c r="D67" s="1268"/>
      <c r="E67" s="1268"/>
      <c r="F67" s="438"/>
      <c r="G67" s="1161" t="str">
        <f>IF(D67="","",VLOOKUP(D67,'Fatores de Emissão'!$C$82:$D$104,2,FALSE))</f>
        <v/>
      </c>
      <c r="H67" s="439" t="str">
        <f>IF(OR($D67="",$D67="-"),"",VLOOKUP($D67,'Fatores de Emissão'!$C$82:$J$97,6,FALSE))</f>
        <v/>
      </c>
      <c r="I67" s="439" t="str">
        <f>IF(OR($D67="",$D67="-"),"",VLOOKUP($D67,'Fatores de Emissão'!$C$82:$J$97,7,FALSE))</f>
        <v/>
      </c>
      <c r="J67" s="439" t="str">
        <f>IF(OR($D67="",$D67="-"),"",VLOOKUP($D67,'Fatores de Emissão'!$C$82:$J$97,8,FALSE))</f>
        <v/>
      </c>
      <c r="K67" s="439" t="str">
        <f t="shared" si="1"/>
        <v/>
      </c>
      <c r="L67" s="439" t="str">
        <f t="shared" si="2"/>
        <v/>
      </c>
      <c r="M67" s="439" t="str">
        <f t="shared" si="3"/>
        <v/>
      </c>
      <c r="N67" s="441" t="str">
        <f t="shared" si="0"/>
        <v/>
      </c>
      <c r="O67" s="440"/>
    </row>
    <row r="68" spans="1:15" s="237" customFormat="1" ht="15" hidden="1" customHeight="1" outlineLevel="2" x14ac:dyDescent="0.25">
      <c r="A68" s="363"/>
      <c r="B68" s="1160"/>
      <c r="C68" s="1160"/>
      <c r="D68" s="1268"/>
      <c r="E68" s="1268"/>
      <c r="F68" s="438"/>
      <c r="G68" s="1161" t="str">
        <f>IF(D68="","",VLOOKUP(D68,'Fatores de Emissão'!$C$82:$D$104,2,FALSE))</f>
        <v/>
      </c>
      <c r="H68" s="439" t="str">
        <f>IF(OR($D68="",$D68="-"),"",VLOOKUP($D68,'Fatores de Emissão'!$C$82:$J$97,6,FALSE))</f>
        <v/>
      </c>
      <c r="I68" s="439" t="str">
        <f>IF(OR($D68="",$D68="-"),"",VLOOKUP($D68,'Fatores de Emissão'!$C$82:$J$97,7,FALSE))</f>
        <v/>
      </c>
      <c r="J68" s="439" t="str">
        <f>IF(OR($D68="",$D68="-"),"",VLOOKUP($D68,'Fatores de Emissão'!$C$82:$J$97,8,FALSE))</f>
        <v/>
      </c>
      <c r="K68" s="439" t="str">
        <f t="shared" si="1"/>
        <v/>
      </c>
      <c r="L68" s="439" t="str">
        <f t="shared" si="2"/>
        <v/>
      </c>
      <c r="M68" s="439" t="str">
        <f t="shared" si="3"/>
        <v/>
      </c>
      <c r="N68" s="441" t="str">
        <f t="shared" si="0"/>
        <v/>
      </c>
      <c r="O68" s="440"/>
    </row>
    <row r="69" spans="1:15" s="237" customFormat="1" ht="15" hidden="1" customHeight="1" outlineLevel="2" x14ac:dyDescent="0.25">
      <c r="A69" s="363"/>
      <c r="B69" s="1160"/>
      <c r="C69" s="1160"/>
      <c r="D69" s="1268"/>
      <c r="E69" s="1268"/>
      <c r="F69" s="438"/>
      <c r="G69" s="1161" t="str">
        <f>IF(D69="","",VLOOKUP(D69,'Fatores de Emissão'!$C$82:$D$104,2,FALSE))</f>
        <v/>
      </c>
      <c r="H69" s="439" t="str">
        <f>IF(OR($D69="",$D69="-"),"",VLOOKUP($D69,'Fatores de Emissão'!$C$82:$J$97,6,FALSE))</f>
        <v/>
      </c>
      <c r="I69" s="439" t="str">
        <f>IF(OR($D69="",$D69="-"),"",VLOOKUP($D69,'Fatores de Emissão'!$C$82:$J$97,7,FALSE))</f>
        <v/>
      </c>
      <c r="J69" s="439" t="str">
        <f>IF(OR($D69="",$D69="-"),"",VLOOKUP($D69,'Fatores de Emissão'!$C$82:$J$97,8,FALSE))</f>
        <v/>
      </c>
      <c r="K69" s="439" t="str">
        <f t="shared" si="1"/>
        <v/>
      </c>
      <c r="L69" s="439" t="str">
        <f t="shared" si="2"/>
        <v/>
      </c>
      <c r="M69" s="439" t="str">
        <f t="shared" si="3"/>
        <v/>
      </c>
      <c r="N69" s="441" t="str">
        <f t="shared" si="0"/>
        <v/>
      </c>
      <c r="O69" s="440"/>
    </row>
    <row r="70" spans="1:15" s="237" customFormat="1" ht="15" hidden="1" customHeight="1" outlineLevel="2" x14ac:dyDescent="0.25">
      <c r="A70" s="363"/>
      <c r="B70" s="1160"/>
      <c r="C70" s="1160"/>
      <c r="D70" s="1268"/>
      <c r="E70" s="1268"/>
      <c r="F70" s="438"/>
      <c r="G70" s="1161" t="str">
        <f>IF(D70="","",VLOOKUP(D70,'Fatores de Emissão'!$C$82:$D$104,2,FALSE))</f>
        <v/>
      </c>
      <c r="H70" s="439" t="str">
        <f>IF(OR($D70="",$D70="-"),"",VLOOKUP($D70,'Fatores de Emissão'!$C$82:$J$97,6,FALSE))</f>
        <v/>
      </c>
      <c r="I70" s="439" t="str">
        <f>IF(OR($D70="",$D70="-"),"",VLOOKUP($D70,'Fatores de Emissão'!$C$82:$J$97,7,FALSE))</f>
        <v/>
      </c>
      <c r="J70" s="439" t="str">
        <f>IF(OR($D70="",$D70="-"),"",VLOOKUP($D70,'Fatores de Emissão'!$C$82:$J$97,8,FALSE))</f>
        <v/>
      </c>
      <c r="K70" s="439" t="str">
        <f t="shared" si="1"/>
        <v/>
      </c>
      <c r="L70" s="439" t="str">
        <f t="shared" si="2"/>
        <v/>
      </c>
      <c r="M70" s="439" t="str">
        <f t="shared" si="3"/>
        <v/>
      </c>
      <c r="N70" s="441" t="str">
        <f t="shared" si="0"/>
        <v/>
      </c>
      <c r="O70" s="440"/>
    </row>
    <row r="71" spans="1:15" s="237" customFormat="1" ht="15" hidden="1" customHeight="1" outlineLevel="2" x14ac:dyDescent="0.25">
      <c r="A71" s="363"/>
      <c r="B71" s="1160"/>
      <c r="C71" s="1160"/>
      <c r="D71" s="1268"/>
      <c r="E71" s="1268"/>
      <c r="F71" s="438"/>
      <c r="G71" s="1161" t="str">
        <f>IF(D71="","",VLOOKUP(D71,'Fatores de Emissão'!$C$82:$D$104,2,FALSE))</f>
        <v/>
      </c>
      <c r="H71" s="439" t="str">
        <f>IF(OR($D71="",$D71="-"),"",VLOOKUP($D71,'Fatores de Emissão'!$C$82:$J$97,6,FALSE))</f>
        <v/>
      </c>
      <c r="I71" s="439" t="str">
        <f>IF(OR($D71="",$D71="-"),"",VLOOKUP($D71,'Fatores de Emissão'!$C$82:$J$97,7,FALSE))</f>
        <v/>
      </c>
      <c r="J71" s="439" t="str">
        <f>IF(OR($D71="",$D71="-"),"",VLOOKUP($D71,'Fatores de Emissão'!$C$82:$J$97,8,FALSE))</f>
        <v/>
      </c>
      <c r="K71" s="439" t="str">
        <f t="shared" si="1"/>
        <v/>
      </c>
      <c r="L71" s="439" t="str">
        <f t="shared" si="2"/>
        <v/>
      </c>
      <c r="M71" s="439" t="str">
        <f t="shared" si="3"/>
        <v/>
      </c>
      <c r="N71" s="441" t="str">
        <f t="shared" si="0"/>
        <v/>
      </c>
      <c r="O71" s="440"/>
    </row>
    <row r="72" spans="1:15" s="237" customFormat="1" ht="15" hidden="1" customHeight="1" outlineLevel="2" x14ac:dyDescent="0.25">
      <c r="A72" s="363"/>
      <c r="B72" s="1160"/>
      <c r="C72" s="1160"/>
      <c r="D72" s="1268"/>
      <c r="E72" s="1268"/>
      <c r="F72" s="438"/>
      <c r="G72" s="1161" t="str">
        <f>IF(D72="","",VLOOKUP(D72,'Fatores de Emissão'!$C$82:$D$104,2,FALSE))</f>
        <v/>
      </c>
      <c r="H72" s="439" t="str">
        <f>IF(OR($D72="",$D72="-"),"",VLOOKUP($D72,'Fatores de Emissão'!$C$82:$J$97,6,FALSE))</f>
        <v/>
      </c>
      <c r="I72" s="439" t="str">
        <f>IF(OR($D72="",$D72="-"),"",VLOOKUP($D72,'Fatores de Emissão'!$C$82:$J$97,7,FALSE))</f>
        <v/>
      </c>
      <c r="J72" s="439" t="str">
        <f>IF(OR($D72="",$D72="-"),"",VLOOKUP($D72,'Fatores de Emissão'!$C$82:$J$97,8,FALSE))</f>
        <v/>
      </c>
      <c r="K72" s="439" t="str">
        <f>IF(D72="","",IF(F72="",0,H72*$F72/1000))</f>
        <v/>
      </c>
      <c r="L72" s="439" t="str">
        <f>IF(D72="","",IF(F72="",0,I72*$F72/1000))</f>
        <v/>
      </c>
      <c r="M72" s="439" t="str">
        <f>IF(D72="","",IF(F72="",0,J72*$F72/1000))</f>
        <v/>
      </c>
      <c r="N72" s="441" t="str">
        <f t="shared" si="0"/>
        <v/>
      </c>
      <c r="O72" s="440"/>
    </row>
    <row r="73" spans="1:15" s="237" customFormat="1" ht="15" hidden="1" customHeight="1" outlineLevel="2" x14ac:dyDescent="0.25">
      <c r="A73" s="363"/>
      <c r="B73" s="1160"/>
      <c r="C73" s="1160"/>
      <c r="D73" s="1268"/>
      <c r="E73" s="1268"/>
      <c r="F73" s="438"/>
      <c r="G73" s="1161" t="str">
        <f>IF(D73="","",VLOOKUP(D73,'Fatores de Emissão'!$C$82:$D$104,2,FALSE))</f>
        <v/>
      </c>
      <c r="H73" s="439" t="str">
        <f>IF(OR($D73="",$D73="-"),"",VLOOKUP($D73,'Fatores de Emissão'!$C$82:$J$97,6,FALSE))</f>
        <v/>
      </c>
      <c r="I73" s="439" t="str">
        <f>IF(OR($D73="",$D73="-"),"",VLOOKUP($D73,'Fatores de Emissão'!$C$82:$J$97,7,FALSE))</f>
        <v/>
      </c>
      <c r="J73" s="439" t="str">
        <f>IF(OR($D73="",$D73="-"),"",VLOOKUP($D73,'Fatores de Emissão'!$C$82:$J$97,8,FALSE))</f>
        <v/>
      </c>
      <c r="K73" s="439" t="str">
        <f t="shared" ref="K73:K91" si="4">IF(D73="","",IF(F73="",0,H73*$F73/1000))</f>
        <v/>
      </c>
      <c r="L73" s="439" t="str">
        <f t="shared" ref="L73:L91" si="5">IF(D73="","",IF(F73="",0,I73*$F73/1000))</f>
        <v/>
      </c>
      <c r="M73" s="439" t="str">
        <f t="shared" ref="M73:M91" si="6">IF(D73="","",IF(F73="",0,J73*$F73/1000))</f>
        <v/>
      </c>
      <c r="N73" s="441" t="str">
        <f t="shared" si="0"/>
        <v/>
      </c>
      <c r="O73" s="440"/>
    </row>
    <row r="74" spans="1:15" s="237" customFormat="1" ht="15" hidden="1" customHeight="1" outlineLevel="2" x14ac:dyDescent="0.25">
      <c r="A74" s="363"/>
      <c r="B74" s="1160"/>
      <c r="C74" s="1160"/>
      <c r="D74" s="1268"/>
      <c r="E74" s="1268"/>
      <c r="F74" s="438"/>
      <c r="G74" s="1161" t="str">
        <f>IF(D74="","",VLOOKUP(D74,'Fatores de Emissão'!$C$82:$D$104,2,FALSE))</f>
        <v/>
      </c>
      <c r="H74" s="439" t="str">
        <f>IF(OR($D74="",$D74="-"),"",VLOOKUP($D74,'Fatores de Emissão'!$C$82:$J$97,6,FALSE))</f>
        <v/>
      </c>
      <c r="I74" s="439" t="str">
        <f>IF(OR($D74="",$D74="-"),"",VLOOKUP($D74,'Fatores de Emissão'!$C$82:$J$97,7,FALSE))</f>
        <v/>
      </c>
      <c r="J74" s="439" t="str">
        <f>IF(OR($D74="",$D74="-"),"",VLOOKUP($D74,'Fatores de Emissão'!$C$82:$J$97,8,FALSE))</f>
        <v/>
      </c>
      <c r="K74" s="439" t="str">
        <f t="shared" si="4"/>
        <v/>
      </c>
      <c r="L74" s="439" t="str">
        <f t="shared" si="5"/>
        <v/>
      </c>
      <c r="M74" s="439" t="str">
        <f t="shared" si="6"/>
        <v/>
      </c>
      <c r="N74" s="441" t="str">
        <f t="shared" si="0"/>
        <v/>
      </c>
      <c r="O74" s="440"/>
    </row>
    <row r="75" spans="1:15" s="237" customFormat="1" ht="15" hidden="1" customHeight="1" outlineLevel="2" x14ac:dyDescent="0.25">
      <c r="A75" s="363"/>
      <c r="B75" s="1160"/>
      <c r="C75" s="1160"/>
      <c r="D75" s="1268"/>
      <c r="E75" s="1268"/>
      <c r="F75" s="438"/>
      <c r="G75" s="1161" t="str">
        <f>IF(D75="","",VLOOKUP(D75,'Fatores de Emissão'!$C$82:$D$104,2,FALSE))</f>
        <v/>
      </c>
      <c r="H75" s="439" t="str">
        <f>IF(OR($D75="",$D75="-"),"",VLOOKUP($D75,'Fatores de Emissão'!$C$82:$J$97,6,FALSE))</f>
        <v/>
      </c>
      <c r="I75" s="439" t="str">
        <f>IF(OR($D75="",$D75="-"),"",VLOOKUP($D75,'Fatores de Emissão'!$C$82:$J$97,7,FALSE))</f>
        <v/>
      </c>
      <c r="J75" s="439" t="str">
        <f>IF(OR($D75="",$D75="-"),"",VLOOKUP($D75,'Fatores de Emissão'!$C$82:$J$97,8,FALSE))</f>
        <v/>
      </c>
      <c r="K75" s="439" t="str">
        <f t="shared" si="4"/>
        <v/>
      </c>
      <c r="L75" s="439" t="str">
        <f t="shared" si="5"/>
        <v/>
      </c>
      <c r="M75" s="439" t="str">
        <f t="shared" si="6"/>
        <v/>
      </c>
      <c r="N75" s="441" t="str">
        <f t="shared" si="0"/>
        <v/>
      </c>
      <c r="O75" s="440"/>
    </row>
    <row r="76" spans="1:15" s="237" customFormat="1" ht="15" hidden="1" customHeight="1" outlineLevel="2" x14ac:dyDescent="0.25">
      <c r="A76" s="363"/>
      <c r="B76" s="1160"/>
      <c r="C76" s="1160"/>
      <c r="D76" s="1268"/>
      <c r="E76" s="1268"/>
      <c r="F76" s="438"/>
      <c r="G76" s="1161" t="str">
        <f>IF(D76="","",VLOOKUP(D76,'Fatores de Emissão'!$C$82:$D$104,2,FALSE))</f>
        <v/>
      </c>
      <c r="H76" s="439" t="str">
        <f>IF(OR($D76="",$D76="-"),"",VLOOKUP($D76,'Fatores de Emissão'!$C$82:$J$97,6,FALSE))</f>
        <v/>
      </c>
      <c r="I76" s="439" t="str">
        <f>IF(OR($D76="",$D76="-"),"",VLOOKUP($D76,'Fatores de Emissão'!$C$82:$J$97,7,FALSE))</f>
        <v/>
      </c>
      <c r="J76" s="439" t="str">
        <f>IF(OR($D76="",$D76="-"),"",VLOOKUP($D76,'Fatores de Emissão'!$C$82:$J$97,8,FALSE))</f>
        <v/>
      </c>
      <c r="K76" s="439" t="str">
        <f t="shared" si="4"/>
        <v/>
      </c>
      <c r="L76" s="439" t="str">
        <f t="shared" si="5"/>
        <v/>
      </c>
      <c r="M76" s="439" t="str">
        <f t="shared" si="6"/>
        <v/>
      </c>
      <c r="N76" s="441" t="str">
        <f t="shared" si="0"/>
        <v/>
      </c>
      <c r="O76" s="440"/>
    </row>
    <row r="77" spans="1:15" s="237" customFormat="1" ht="15" hidden="1" customHeight="1" outlineLevel="2" x14ac:dyDescent="0.25">
      <c r="A77" s="363"/>
      <c r="B77" s="1160"/>
      <c r="C77" s="1160"/>
      <c r="D77" s="1268"/>
      <c r="E77" s="1268"/>
      <c r="F77" s="438"/>
      <c r="G77" s="1161" t="str">
        <f>IF(D77="","",VLOOKUP(D77,'Fatores de Emissão'!$C$82:$D$104,2,FALSE))</f>
        <v/>
      </c>
      <c r="H77" s="439" t="str">
        <f>IF(OR($D77="",$D77="-"),"",VLOOKUP($D77,'Fatores de Emissão'!$C$82:$J$97,6,FALSE))</f>
        <v/>
      </c>
      <c r="I77" s="439" t="str">
        <f>IF(OR($D77="",$D77="-"),"",VLOOKUP($D77,'Fatores de Emissão'!$C$82:$J$97,7,FALSE))</f>
        <v/>
      </c>
      <c r="J77" s="439" t="str">
        <f>IF(OR($D77="",$D77="-"),"",VLOOKUP($D77,'Fatores de Emissão'!$C$82:$J$97,8,FALSE))</f>
        <v/>
      </c>
      <c r="K77" s="439" t="str">
        <f t="shared" si="4"/>
        <v/>
      </c>
      <c r="L77" s="439" t="str">
        <f t="shared" si="5"/>
        <v/>
      </c>
      <c r="M77" s="439" t="str">
        <f t="shared" si="6"/>
        <v/>
      </c>
      <c r="N77" s="441" t="str">
        <f t="shared" si="0"/>
        <v/>
      </c>
      <c r="O77" s="440"/>
    </row>
    <row r="78" spans="1:15" s="237" customFormat="1" ht="15" hidden="1" customHeight="1" outlineLevel="2" x14ac:dyDescent="0.25">
      <c r="A78" s="363"/>
      <c r="B78" s="1160"/>
      <c r="C78" s="1160"/>
      <c r="D78" s="1268"/>
      <c r="E78" s="1268"/>
      <c r="F78" s="438"/>
      <c r="G78" s="1161" t="str">
        <f>IF(D78="","",VLOOKUP(D78,'Fatores de Emissão'!$C$82:$D$104,2,FALSE))</f>
        <v/>
      </c>
      <c r="H78" s="439" t="str">
        <f>IF(OR($D78="",$D78="-"),"",VLOOKUP($D78,'Fatores de Emissão'!$C$82:$J$97,6,FALSE))</f>
        <v/>
      </c>
      <c r="I78" s="439" t="str">
        <f>IF(OR($D78="",$D78="-"),"",VLOOKUP($D78,'Fatores de Emissão'!$C$82:$J$97,7,FALSE))</f>
        <v/>
      </c>
      <c r="J78" s="439" t="str">
        <f>IF(OR($D78="",$D78="-"),"",VLOOKUP($D78,'Fatores de Emissão'!$C$82:$J$97,8,FALSE))</f>
        <v/>
      </c>
      <c r="K78" s="439" t="str">
        <f t="shared" si="4"/>
        <v/>
      </c>
      <c r="L78" s="439" t="str">
        <f t="shared" si="5"/>
        <v/>
      </c>
      <c r="M78" s="439" t="str">
        <f t="shared" si="6"/>
        <v/>
      </c>
      <c r="N78" s="441" t="str">
        <f t="shared" si="0"/>
        <v/>
      </c>
      <c r="O78" s="440"/>
    </row>
    <row r="79" spans="1:15" s="237" customFormat="1" ht="15" hidden="1" customHeight="1" outlineLevel="2" x14ac:dyDescent="0.25">
      <c r="A79" s="363"/>
      <c r="B79" s="1160"/>
      <c r="C79" s="1160"/>
      <c r="D79" s="1268"/>
      <c r="E79" s="1268"/>
      <c r="F79" s="438"/>
      <c r="G79" s="1161" t="str">
        <f>IF(D79="","",VLOOKUP(D79,'Fatores de Emissão'!$C$82:$D$104,2,FALSE))</f>
        <v/>
      </c>
      <c r="H79" s="439" t="str">
        <f>IF(OR($D79="",$D79="-"),"",VLOOKUP($D79,'Fatores de Emissão'!$C$82:$J$97,6,FALSE))</f>
        <v/>
      </c>
      <c r="I79" s="439" t="str">
        <f>IF(OR($D79="",$D79="-"),"",VLOOKUP($D79,'Fatores de Emissão'!$C$82:$J$97,7,FALSE))</f>
        <v/>
      </c>
      <c r="J79" s="439" t="str">
        <f>IF(OR($D79="",$D79="-"),"",VLOOKUP($D79,'Fatores de Emissão'!$C$82:$J$97,8,FALSE))</f>
        <v/>
      </c>
      <c r="K79" s="439" t="str">
        <f t="shared" si="4"/>
        <v/>
      </c>
      <c r="L79" s="439" t="str">
        <f t="shared" si="5"/>
        <v/>
      </c>
      <c r="M79" s="439" t="str">
        <f t="shared" si="6"/>
        <v/>
      </c>
      <c r="N79" s="441" t="str">
        <f t="shared" si="0"/>
        <v/>
      </c>
      <c r="O79" s="440"/>
    </row>
    <row r="80" spans="1:15" s="237" customFormat="1" ht="15" hidden="1" customHeight="1" outlineLevel="2" x14ac:dyDescent="0.25">
      <c r="A80" s="363"/>
      <c r="B80" s="1160"/>
      <c r="C80" s="1160"/>
      <c r="D80" s="1268"/>
      <c r="E80" s="1268"/>
      <c r="F80" s="438"/>
      <c r="G80" s="1161" t="str">
        <f>IF(D80="","",VLOOKUP(D80,'Fatores de Emissão'!$C$82:$D$104,2,FALSE))</f>
        <v/>
      </c>
      <c r="H80" s="439" t="str">
        <f>IF(OR($D80="",$D80="-"),"",VLOOKUP($D80,'Fatores de Emissão'!$C$82:$J$97,6,FALSE))</f>
        <v/>
      </c>
      <c r="I80" s="439" t="str">
        <f>IF(OR($D80="",$D80="-"),"",VLOOKUP($D80,'Fatores de Emissão'!$C$82:$J$97,7,FALSE))</f>
        <v/>
      </c>
      <c r="J80" s="439" t="str">
        <f>IF(OR($D80="",$D80="-"),"",VLOOKUP($D80,'Fatores de Emissão'!$C$82:$J$97,8,FALSE))</f>
        <v/>
      </c>
      <c r="K80" s="439" t="str">
        <f t="shared" si="4"/>
        <v/>
      </c>
      <c r="L80" s="439" t="str">
        <f t="shared" si="5"/>
        <v/>
      </c>
      <c r="M80" s="439" t="str">
        <f t="shared" si="6"/>
        <v/>
      </c>
      <c r="N80" s="441" t="str">
        <f t="shared" si="0"/>
        <v/>
      </c>
      <c r="O80" s="440"/>
    </row>
    <row r="81" spans="1:28" s="237" customFormat="1" ht="15" hidden="1" customHeight="1" outlineLevel="2" x14ac:dyDescent="0.25">
      <c r="A81" s="363"/>
      <c r="B81" s="1160"/>
      <c r="C81" s="1160"/>
      <c r="D81" s="1268"/>
      <c r="E81" s="1268"/>
      <c r="F81" s="438"/>
      <c r="G81" s="1161" t="str">
        <f>IF(D81="","",VLOOKUP(D81,'Fatores de Emissão'!$C$82:$D$104,2,FALSE))</f>
        <v/>
      </c>
      <c r="H81" s="439" t="str">
        <f>IF(OR($D81="",$D81="-"),"",VLOOKUP($D81,'Fatores de Emissão'!$C$82:$J$97,6,FALSE))</f>
        <v/>
      </c>
      <c r="I81" s="439" t="str">
        <f>IF(OR($D81="",$D81="-"),"",VLOOKUP($D81,'Fatores de Emissão'!$C$82:$J$97,7,FALSE))</f>
        <v/>
      </c>
      <c r="J81" s="439" t="str">
        <f>IF(OR($D81="",$D81="-"),"",VLOOKUP($D81,'Fatores de Emissão'!$C$82:$J$97,8,FALSE))</f>
        <v/>
      </c>
      <c r="K81" s="439" t="str">
        <f t="shared" si="4"/>
        <v/>
      </c>
      <c r="L81" s="439" t="str">
        <f t="shared" si="5"/>
        <v/>
      </c>
      <c r="M81" s="439" t="str">
        <f t="shared" si="6"/>
        <v/>
      </c>
      <c r="N81" s="441" t="str">
        <f t="shared" si="0"/>
        <v/>
      </c>
      <c r="O81" s="440"/>
    </row>
    <row r="82" spans="1:28" s="237" customFormat="1" ht="15" hidden="1" customHeight="1" outlineLevel="2" x14ac:dyDescent="0.25">
      <c r="A82" s="363"/>
      <c r="B82" s="1160"/>
      <c r="C82" s="1160"/>
      <c r="D82" s="1268"/>
      <c r="E82" s="1268"/>
      <c r="F82" s="438"/>
      <c r="G82" s="1161" t="str">
        <f>IF(D82="","",VLOOKUP(D82,'Fatores de Emissão'!$C$82:$D$104,2,FALSE))</f>
        <v/>
      </c>
      <c r="H82" s="439" t="str">
        <f>IF(OR($D82="",$D82="-"),"",VLOOKUP($D82,'Fatores de Emissão'!$C$82:$J$97,6,FALSE))</f>
        <v/>
      </c>
      <c r="I82" s="439" t="str">
        <f>IF(OR($D82="",$D82="-"),"",VLOOKUP($D82,'Fatores de Emissão'!$C$82:$J$97,7,FALSE))</f>
        <v/>
      </c>
      <c r="J82" s="439" t="str">
        <f>IF(OR($D82="",$D82="-"),"",VLOOKUP($D82,'Fatores de Emissão'!$C$82:$J$97,8,FALSE))</f>
        <v/>
      </c>
      <c r="K82" s="439" t="str">
        <f t="shared" si="4"/>
        <v/>
      </c>
      <c r="L82" s="439" t="str">
        <f t="shared" si="5"/>
        <v/>
      </c>
      <c r="M82" s="439" t="str">
        <f t="shared" si="6"/>
        <v/>
      </c>
      <c r="N82" s="441" t="str">
        <f t="shared" si="0"/>
        <v/>
      </c>
      <c r="O82" s="440"/>
    </row>
    <row r="83" spans="1:28" s="237" customFormat="1" ht="15" hidden="1" customHeight="1" outlineLevel="2" x14ac:dyDescent="0.25">
      <c r="A83" s="363"/>
      <c r="B83" s="1160"/>
      <c r="C83" s="1160"/>
      <c r="D83" s="1268"/>
      <c r="E83" s="1268"/>
      <c r="F83" s="438"/>
      <c r="G83" s="1161" t="str">
        <f>IF(D83="","",VLOOKUP(D83,'Fatores de Emissão'!$C$82:$D$104,2,FALSE))</f>
        <v/>
      </c>
      <c r="H83" s="439" t="str">
        <f>IF(OR($D83="",$D83="-"),"",VLOOKUP($D83,'Fatores de Emissão'!$C$82:$J$97,6,FALSE))</f>
        <v/>
      </c>
      <c r="I83" s="439" t="str">
        <f>IF(OR($D83="",$D83="-"),"",VLOOKUP($D83,'Fatores de Emissão'!$C$82:$J$97,7,FALSE))</f>
        <v/>
      </c>
      <c r="J83" s="439" t="str">
        <f>IF(OR($D83="",$D83="-"),"",VLOOKUP($D83,'Fatores de Emissão'!$C$82:$J$97,8,FALSE))</f>
        <v/>
      </c>
      <c r="K83" s="439" t="str">
        <f t="shared" si="4"/>
        <v/>
      </c>
      <c r="L83" s="439" t="str">
        <f t="shared" si="5"/>
        <v/>
      </c>
      <c r="M83" s="439" t="str">
        <f t="shared" si="6"/>
        <v/>
      </c>
      <c r="N83" s="441" t="str">
        <f t="shared" si="0"/>
        <v/>
      </c>
      <c r="O83" s="440"/>
    </row>
    <row r="84" spans="1:28" s="237" customFormat="1" ht="15" hidden="1" customHeight="1" outlineLevel="2" x14ac:dyDescent="0.25">
      <c r="A84" s="363"/>
      <c r="B84" s="1160"/>
      <c r="C84" s="1160"/>
      <c r="D84" s="1268"/>
      <c r="E84" s="1268"/>
      <c r="F84" s="438"/>
      <c r="G84" s="1161" t="str">
        <f>IF(D84="","",VLOOKUP(D84,'Fatores de Emissão'!$C$82:$D$104,2,FALSE))</f>
        <v/>
      </c>
      <c r="H84" s="439" t="str">
        <f>IF(OR($D84="",$D84="-"),"",VLOOKUP($D84,'Fatores de Emissão'!$C$82:$J$97,6,FALSE))</f>
        <v/>
      </c>
      <c r="I84" s="439" t="str">
        <f>IF(OR($D84="",$D84="-"),"",VLOOKUP($D84,'Fatores de Emissão'!$C$82:$J$97,7,FALSE))</f>
        <v/>
      </c>
      <c r="J84" s="439" t="str">
        <f>IF(OR($D84="",$D84="-"),"",VLOOKUP($D84,'Fatores de Emissão'!$C$82:$J$97,8,FALSE))</f>
        <v/>
      </c>
      <c r="K84" s="439" t="str">
        <f t="shared" si="4"/>
        <v/>
      </c>
      <c r="L84" s="439" t="str">
        <f t="shared" si="5"/>
        <v/>
      </c>
      <c r="M84" s="439" t="str">
        <f t="shared" si="6"/>
        <v/>
      </c>
      <c r="N84" s="441" t="str">
        <f t="shared" si="0"/>
        <v/>
      </c>
      <c r="O84" s="440"/>
    </row>
    <row r="85" spans="1:28" s="237" customFormat="1" ht="15" hidden="1" customHeight="1" outlineLevel="2" x14ac:dyDescent="0.25">
      <c r="A85" s="363"/>
      <c r="B85" s="1160"/>
      <c r="C85" s="1160"/>
      <c r="D85" s="1268"/>
      <c r="E85" s="1268"/>
      <c r="F85" s="438"/>
      <c r="G85" s="1161" t="str">
        <f>IF(D85="","",VLOOKUP(D85,'Fatores de Emissão'!$C$82:$D$104,2,FALSE))</f>
        <v/>
      </c>
      <c r="H85" s="439" t="str">
        <f>IF(OR($D85="",$D85="-"),"",VLOOKUP($D85,'Fatores de Emissão'!$C$82:$J$97,6,FALSE))</f>
        <v/>
      </c>
      <c r="I85" s="439" t="str">
        <f>IF(OR($D85="",$D85="-"),"",VLOOKUP($D85,'Fatores de Emissão'!$C$82:$J$97,7,FALSE))</f>
        <v/>
      </c>
      <c r="J85" s="439" t="str">
        <f>IF(OR($D85="",$D85="-"),"",VLOOKUP($D85,'Fatores de Emissão'!$C$82:$J$97,8,FALSE))</f>
        <v/>
      </c>
      <c r="K85" s="439" t="str">
        <f t="shared" si="4"/>
        <v/>
      </c>
      <c r="L85" s="439" t="str">
        <f t="shared" si="5"/>
        <v/>
      </c>
      <c r="M85" s="439" t="str">
        <f t="shared" si="6"/>
        <v/>
      </c>
      <c r="N85" s="441" t="str">
        <f t="shared" si="0"/>
        <v/>
      </c>
      <c r="O85" s="440"/>
    </row>
    <row r="86" spans="1:28" s="237" customFormat="1" ht="15" hidden="1" customHeight="1" outlineLevel="2" x14ac:dyDescent="0.25">
      <c r="A86" s="363"/>
      <c r="B86" s="1160"/>
      <c r="C86" s="1160"/>
      <c r="D86" s="1268"/>
      <c r="E86" s="1268"/>
      <c r="F86" s="438"/>
      <c r="G86" s="1161" t="str">
        <f>IF(D86="","",VLOOKUP(D86,'Fatores de Emissão'!$C$82:$D$104,2,FALSE))</f>
        <v/>
      </c>
      <c r="H86" s="439" t="str">
        <f>IF(OR($D86="",$D86="-"),"",VLOOKUP($D86,'Fatores de Emissão'!$C$82:$J$97,6,FALSE))</f>
        <v/>
      </c>
      <c r="I86" s="439" t="str">
        <f>IF(OR($D86="",$D86="-"),"",VLOOKUP($D86,'Fatores de Emissão'!$C$82:$J$97,7,FALSE))</f>
        <v/>
      </c>
      <c r="J86" s="439" t="str">
        <f>IF(OR($D86="",$D86="-"),"",VLOOKUP($D86,'Fatores de Emissão'!$C$82:$J$97,8,FALSE))</f>
        <v/>
      </c>
      <c r="K86" s="439" t="str">
        <f t="shared" si="4"/>
        <v/>
      </c>
      <c r="L86" s="439" t="str">
        <f t="shared" si="5"/>
        <v/>
      </c>
      <c r="M86" s="439" t="str">
        <f t="shared" si="6"/>
        <v/>
      </c>
      <c r="N86" s="441" t="str">
        <f t="shared" si="0"/>
        <v/>
      </c>
      <c r="O86" s="440"/>
    </row>
    <row r="87" spans="1:28" s="237" customFormat="1" ht="15" hidden="1" customHeight="1" outlineLevel="2" x14ac:dyDescent="0.25">
      <c r="A87" s="363"/>
      <c r="B87" s="1160"/>
      <c r="C87" s="1160"/>
      <c r="D87" s="1268"/>
      <c r="E87" s="1268"/>
      <c r="F87" s="438"/>
      <c r="G87" s="1161" t="str">
        <f>IF(D87="","",VLOOKUP(D87,'Fatores de Emissão'!$C$82:$D$104,2,FALSE))</f>
        <v/>
      </c>
      <c r="H87" s="439" t="str">
        <f>IF(OR($D87="",$D87="-"),"",VLOOKUP($D87,'Fatores de Emissão'!$C$82:$J$97,6,FALSE))</f>
        <v/>
      </c>
      <c r="I87" s="439" t="str">
        <f>IF(OR($D87="",$D87="-"),"",VLOOKUP($D87,'Fatores de Emissão'!$C$82:$J$97,7,FALSE))</f>
        <v/>
      </c>
      <c r="J87" s="439" t="str">
        <f>IF(OR($D87="",$D87="-"),"",VLOOKUP($D87,'Fatores de Emissão'!$C$82:$J$97,8,FALSE))</f>
        <v/>
      </c>
      <c r="K87" s="439" t="str">
        <f t="shared" si="4"/>
        <v/>
      </c>
      <c r="L87" s="439" t="str">
        <f t="shared" si="5"/>
        <v/>
      </c>
      <c r="M87" s="439" t="str">
        <f t="shared" si="6"/>
        <v/>
      </c>
      <c r="N87" s="441" t="str">
        <f t="shared" si="0"/>
        <v/>
      </c>
      <c r="O87" s="440"/>
    </row>
    <row r="88" spans="1:28" s="237" customFormat="1" ht="15" hidden="1" customHeight="1" outlineLevel="2" x14ac:dyDescent="0.25">
      <c r="A88" s="363"/>
      <c r="B88" s="1160"/>
      <c r="C88" s="1160"/>
      <c r="D88" s="1268"/>
      <c r="E88" s="1268"/>
      <c r="F88" s="438"/>
      <c r="G88" s="1161" t="str">
        <f>IF(D88="","",VLOOKUP(D88,'Fatores de Emissão'!$C$82:$D$104,2,FALSE))</f>
        <v/>
      </c>
      <c r="H88" s="439" t="str">
        <f>IF(OR($D88="",$D88="-"),"",VLOOKUP($D88,'Fatores de Emissão'!$C$82:$J$97,6,FALSE))</f>
        <v/>
      </c>
      <c r="I88" s="439" t="str">
        <f>IF(OR($D88="",$D88="-"),"",VLOOKUP($D88,'Fatores de Emissão'!$C$82:$J$97,7,FALSE))</f>
        <v/>
      </c>
      <c r="J88" s="439" t="str">
        <f>IF(OR($D88="",$D88="-"),"",VLOOKUP($D88,'Fatores de Emissão'!$C$82:$J$97,8,FALSE))</f>
        <v/>
      </c>
      <c r="K88" s="439" t="str">
        <f t="shared" si="4"/>
        <v/>
      </c>
      <c r="L88" s="439" t="str">
        <f t="shared" si="5"/>
        <v/>
      </c>
      <c r="M88" s="439" t="str">
        <f t="shared" si="6"/>
        <v/>
      </c>
      <c r="N88" s="441" t="str">
        <f t="shared" si="0"/>
        <v/>
      </c>
      <c r="O88" s="440"/>
    </row>
    <row r="89" spans="1:28" s="237" customFormat="1" ht="15" hidden="1" customHeight="1" outlineLevel="2" x14ac:dyDescent="0.25">
      <c r="A89" s="363"/>
      <c r="B89" s="1160"/>
      <c r="C89" s="1160"/>
      <c r="D89" s="1268"/>
      <c r="E89" s="1268"/>
      <c r="F89" s="438"/>
      <c r="G89" s="1161" t="str">
        <f>IF(D89="","",VLOOKUP(D89,'Fatores de Emissão'!$C$82:$D$104,2,FALSE))</f>
        <v/>
      </c>
      <c r="H89" s="439" t="str">
        <f>IF(OR($D89="",$D89="-"),"",VLOOKUP($D89,'Fatores de Emissão'!$C$82:$J$97,6,FALSE))</f>
        <v/>
      </c>
      <c r="I89" s="439" t="str">
        <f>IF(OR($D89="",$D89="-"),"",VLOOKUP($D89,'Fatores de Emissão'!$C$82:$J$97,7,FALSE))</f>
        <v/>
      </c>
      <c r="J89" s="439" t="str">
        <f>IF(OR($D89="",$D89="-"),"",VLOOKUP($D89,'Fatores de Emissão'!$C$82:$J$97,8,FALSE))</f>
        <v/>
      </c>
      <c r="K89" s="439" t="str">
        <f t="shared" si="4"/>
        <v/>
      </c>
      <c r="L89" s="439" t="str">
        <f t="shared" si="5"/>
        <v/>
      </c>
      <c r="M89" s="439" t="str">
        <f t="shared" si="6"/>
        <v/>
      </c>
      <c r="N89" s="441" t="str">
        <f t="shared" si="0"/>
        <v/>
      </c>
      <c r="O89" s="440"/>
    </row>
    <row r="90" spans="1:28" s="237" customFormat="1" ht="15" hidden="1" customHeight="1" outlineLevel="2" x14ac:dyDescent="0.25">
      <c r="A90" s="363"/>
      <c r="B90" s="1160"/>
      <c r="C90" s="1160"/>
      <c r="D90" s="1268"/>
      <c r="E90" s="1268"/>
      <c r="F90" s="438"/>
      <c r="G90" s="1161" t="str">
        <f>IF(D90="","",VLOOKUP(D90,'Fatores de Emissão'!$C$82:$D$104,2,FALSE))</f>
        <v/>
      </c>
      <c r="H90" s="439" t="str">
        <f>IF(OR($D90="",$D90="-"),"",VLOOKUP($D90,'Fatores de Emissão'!$C$82:$J$97,6,FALSE))</f>
        <v/>
      </c>
      <c r="I90" s="439" t="str">
        <f>IF(OR($D90="",$D90="-"),"",VLOOKUP($D90,'Fatores de Emissão'!$C$82:$J$97,7,FALSE))</f>
        <v/>
      </c>
      <c r="J90" s="439" t="str">
        <f>IF(OR($D90="",$D90="-"),"",VLOOKUP($D90,'Fatores de Emissão'!$C$82:$J$97,8,FALSE))</f>
        <v/>
      </c>
      <c r="K90" s="439" t="str">
        <f t="shared" si="4"/>
        <v/>
      </c>
      <c r="L90" s="439" t="str">
        <f t="shared" si="5"/>
        <v/>
      </c>
      <c r="M90" s="439" t="str">
        <f t="shared" si="6"/>
        <v/>
      </c>
      <c r="N90" s="441" t="str">
        <f t="shared" si="0"/>
        <v/>
      </c>
      <c r="O90" s="440"/>
    </row>
    <row r="91" spans="1:28" s="237" customFormat="1" ht="15" hidden="1" customHeight="1" outlineLevel="2" x14ac:dyDescent="0.25">
      <c r="A91" s="363"/>
      <c r="B91" s="1160"/>
      <c r="C91" s="1160"/>
      <c r="D91" s="1268"/>
      <c r="E91" s="1268"/>
      <c r="F91" s="438"/>
      <c r="G91" s="1161" t="str">
        <f>IF(D91="","",VLOOKUP(D91,'Fatores de Emissão'!$C$82:$D$104,2,FALSE))</f>
        <v/>
      </c>
      <c r="H91" s="439" t="str">
        <f>IF(OR($D91="",$D91="-"),"",VLOOKUP($D91,'Fatores de Emissão'!$C$82:$J$97,6,FALSE))</f>
        <v/>
      </c>
      <c r="I91" s="439" t="str">
        <f>IF(OR($D91="",$D91="-"),"",VLOOKUP($D91,'Fatores de Emissão'!$C$82:$J$97,7,FALSE))</f>
        <v/>
      </c>
      <c r="J91" s="439" t="str">
        <f>IF(OR($D91="",$D91="-"),"",VLOOKUP($D91,'Fatores de Emissão'!$C$82:$J$97,8,FALSE))</f>
        <v/>
      </c>
      <c r="K91" s="439" t="str">
        <f t="shared" si="4"/>
        <v/>
      </c>
      <c r="L91" s="439" t="str">
        <f t="shared" si="5"/>
        <v/>
      </c>
      <c r="M91" s="439" t="str">
        <f t="shared" si="6"/>
        <v/>
      </c>
      <c r="N91" s="441" t="str">
        <f t="shared" si="0"/>
        <v/>
      </c>
      <c r="O91" s="440"/>
    </row>
    <row r="92" spans="1:28" s="237" customFormat="1" ht="15" hidden="1" customHeight="1" outlineLevel="2" x14ac:dyDescent="0.25">
      <c r="A92" s="363"/>
      <c r="B92" s="1160"/>
      <c r="C92" s="1160"/>
      <c r="D92" s="1268"/>
      <c r="E92" s="1268"/>
      <c r="F92" s="438"/>
      <c r="G92" s="1161" t="str">
        <f>IF(D92="","",VLOOKUP(D92,'Fatores de Emissão'!$C$82:$D$104,2,FALSE))</f>
        <v/>
      </c>
      <c r="H92" s="439" t="str">
        <f>IF(OR($D92="",$D92="-"),"",VLOOKUP($D92,'Fatores de Emissão'!$C$82:$J$97,6,FALSE))</f>
        <v/>
      </c>
      <c r="I92" s="439" t="str">
        <f>IF(OR($D92="",$D92="-"),"",VLOOKUP($D92,'Fatores de Emissão'!$C$82:$J$97,7,FALSE))</f>
        <v/>
      </c>
      <c r="J92" s="439" t="str">
        <f>IF(OR($D92="",$D92="-"),"",VLOOKUP($D92,'Fatores de Emissão'!$C$82:$J$97,8,FALSE))</f>
        <v/>
      </c>
      <c r="K92" s="439" t="str">
        <f>IF(D92="","",IF(F92="",0,H92*$F92/1000))</f>
        <v/>
      </c>
      <c r="L92" s="439" t="str">
        <f>IF(D92="","",IF(F92="",0,I92*$F92/1000))</f>
        <v/>
      </c>
      <c r="M92" s="439" t="str">
        <f>IF(D92="","",IF(F92="",0,J92*$F92/1000))</f>
        <v/>
      </c>
      <c r="N92" s="441" t="str">
        <f t="shared" si="0"/>
        <v/>
      </c>
      <c r="O92" s="440"/>
    </row>
    <row r="93" spans="1:28" s="237" customFormat="1" ht="15" hidden="1" customHeight="1" outlineLevel="2" x14ac:dyDescent="0.25">
      <c r="A93" s="363"/>
      <c r="B93" s="1160"/>
      <c r="C93" s="1160"/>
      <c r="D93" s="1268"/>
      <c r="E93" s="1268"/>
      <c r="F93" s="438"/>
      <c r="G93" s="1161" t="str">
        <f>IF(D93="","",VLOOKUP(D93,'Fatores de Emissão'!$C$82:$D$104,2,FALSE))</f>
        <v/>
      </c>
      <c r="H93" s="439" t="str">
        <f>IF(OR($D93="",$D93="-"),"",VLOOKUP($D93,'Fatores de Emissão'!$C$82:$J$97,6,FALSE))</f>
        <v/>
      </c>
      <c r="I93" s="439" t="str">
        <f>IF(OR($D93="",$D93="-"),"",VLOOKUP($D93,'Fatores de Emissão'!$C$82:$J$97,7,FALSE))</f>
        <v/>
      </c>
      <c r="J93" s="439" t="str">
        <f>IF(OR($D93="",$D93="-"),"",VLOOKUP($D93,'Fatores de Emissão'!$C$82:$J$97,8,FALSE))</f>
        <v/>
      </c>
      <c r="K93" s="439" t="str">
        <f t="shared" ref="K93" si="7">IF(D93="","",IF(F93="",0,H93*$F93/1000))</f>
        <v/>
      </c>
      <c r="L93" s="439" t="str">
        <f t="shared" ref="L93" si="8">IF(D93="","",IF(F93="",0,I93*$F93/1000))</f>
        <v/>
      </c>
      <c r="M93" s="439" t="str">
        <f t="shared" ref="M93" si="9">IF(D93="","",IF(F93="",0,J93*$F93/1000))</f>
        <v/>
      </c>
      <c r="N93" s="441" t="str">
        <f t="shared" si="0"/>
        <v/>
      </c>
      <c r="O93" s="440"/>
    </row>
    <row r="94" spans="1:28" s="237" customFormat="1" ht="15" customHeight="1" outlineLevel="1" x14ac:dyDescent="0.25">
      <c r="A94" s="363"/>
      <c r="B94" s="373"/>
      <c r="C94" s="373"/>
      <c r="D94" s="442"/>
      <c r="E94" s="442"/>
      <c r="F94" s="373"/>
      <c r="G94" s="373"/>
      <c r="H94" s="1243" t="s">
        <v>78</v>
      </c>
      <c r="I94" s="1243"/>
      <c r="J94" s="1243"/>
      <c r="K94" s="443">
        <f>SUM(K44:K93)</f>
        <v>0</v>
      </c>
      <c r="L94" s="443">
        <f>SUM(L44:L93)</f>
        <v>0</v>
      </c>
      <c r="M94" s="443">
        <f>SUM(M44:M93)</f>
        <v>0</v>
      </c>
      <c r="N94" s="443">
        <f>SUM(N44:N93)</f>
        <v>0</v>
      </c>
      <c r="O94" s="443">
        <f>SUM(O44:O93)</f>
        <v>0</v>
      </c>
    </row>
    <row r="95" spans="1:28" s="237" customFormat="1" ht="15" customHeight="1" outlineLevel="1" x14ac:dyDescent="0.25">
      <c r="A95" s="363"/>
      <c r="B95" s="373"/>
      <c r="C95" s="373"/>
      <c r="D95" s="442"/>
      <c r="E95" s="442"/>
      <c r="F95" s="373"/>
      <c r="G95" s="373"/>
      <c r="H95" s="373"/>
      <c r="I95" s="373"/>
      <c r="J95" s="373"/>
      <c r="K95" s="373"/>
      <c r="L95" s="373"/>
      <c r="M95" s="373"/>
      <c r="N95" s="373"/>
      <c r="O95" s="373"/>
      <c r="P95" s="373"/>
      <c r="Q95" s="373"/>
      <c r="R95" s="373"/>
      <c r="S95" s="373"/>
      <c r="T95" s="373"/>
      <c r="U95" s="373"/>
      <c r="V95" s="363"/>
      <c r="W95" s="373"/>
      <c r="X95" s="373"/>
      <c r="Z95" s="373"/>
      <c r="AA95" s="373"/>
      <c r="AB95" s="373"/>
    </row>
    <row r="96" spans="1:28" s="237" customFormat="1" ht="15" customHeight="1" outlineLevel="1" x14ac:dyDescent="0.25">
      <c r="A96" s="363"/>
      <c r="B96" s="423" t="s">
        <v>1740</v>
      </c>
      <c r="C96" s="217"/>
      <c r="D96" s="442"/>
      <c r="E96" s="442"/>
      <c r="F96" s="373"/>
      <c r="G96" s="373"/>
      <c r="H96" s="373"/>
      <c r="I96" s="373"/>
      <c r="K96" s="373"/>
      <c r="L96" s="373"/>
      <c r="M96" s="373"/>
      <c r="N96" s="373"/>
      <c r="O96" s="373"/>
      <c r="P96" s="373"/>
      <c r="Q96" s="373"/>
      <c r="R96" s="373"/>
      <c r="S96" s="373"/>
      <c r="T96" s="373"/>
      <c r="U96" s="373"/>
      <c r="V96" s="363"/>
      <c r="W96" s="373"/>
      <c r="X96" s="373"/>
      <c r="Y96" s="373"/>
      <c r="Z96" s="373"/>
      <c r="AA96" s="373"/>
      <c r="AB96" s="373"/>
    </row>
    <row r="97" spans="1:28" s="237" customFormat="1" ht="15" customHeight="1" outlineLevel="1" x14ac:dyDescent="0.25">
      <c r="A97" s="363"/>
      <c r="B97" s="363"/>
      <c r="C97" s="217"/>
      <c r="D97" s="442"/>
      <c r="E97" s="442"/>
      <c r="F97" s="373"/>
      <c r="G97" s="373"/>
      <c r="H97" s="373"/>
      <c r="I97" s="373"/>
      <c r="K97" s="373"/>
      <c r="L97" s="373"/>
      <c r="M97" s="373"/>
      <c r="N97" s="373"/>
      <c r="O97" s="373"/>
      <c r="P97" s="373"/>
      <c r="Q97" s="373"/>
      <c r="R97" s="373"/>
      <c r="S97" s="373"/>
      <c r="T97" s="373"/>
      <c r="U97" s="373"/>
      <c r="V97" s="363"/>
      <c r="W97" s="373"/>
      <c r="X97" s="373"/>
      <c r="Y97" s="373"/>
      <c r="Z97" s="373"/>
      <c r="AA97" s="373"/>
      <c r="AB97" s="373"/>
    </row>
    <row r="98" spans="1:28" s="237" customFormat="1" ht="15" customHeight="1" outlineLevel="1" x14ac:dyDescent="0.25">
      <c r="A98" s="363"/>
      <c r="B98" s="217" t="s">
        <v>2067</v>
      </c>
      <c r="C98" s="217"/>
      <c r="D98" s="424"/>
      <c r="E98" s="424"/>
      <c r="F98" s="373"/>
      <c r="G98" s="373"/>
      <c r="H98" s="373"/>
      <c r="I98" s="373"/>
      <c r="J98" s="373"/>
      <c r="K98" s="373"/>
      <c r="L98" s="373"/>
      <c r="M98" s="373"/>
      <c r="N98" s="373"/>
      <c r="O98" s="373"/>
      <c r="P98" s="373"/>
      <c r="Q98" s="373"/>
      <c r="R98" s="373"/>
      <c r="S98" s="363"/>
      <c r="T98" s="363"/>
      <c r="U98" s="363"/>
      <c r="V98" s="363"/>
      <c r="W98" s="363"/>
      <c r="X98" s="363"/>
      <c r="Y98" s="363"/>
      <c r="Z98" s="363"/>
      <c r="AA98" s="363"/>
      <c r="AB98" s="363"/>
    </row>
    <row r="99" spans="1:28" s="237" customFormat="1" ht="15" customHeight="1" outlineLevel="1" x14ac:dyDescent="0.25">
      <c r="A99" s="363"/>
      <c r="B99" s="1267" t="s">
        <v>1860</v>
      </c>
      <c r="C99" s="1267" t="s">
        <v>1868</v>
      </c>
      <c r="D99" s="1267" t="s">
        <v>1870</v>
      </c>
      <c r="E99" s="1249" t="s">
        <v>1743</v>
      </c>
      <c r="F99" s="1249" t="s">
        <v>1861</v>
      </c>
      <c r="G99" s="1267" t="s">
        <v>2069</v>
      </c>
      <c r="H99" s="1284" t="s">
        <v>586</v>
      </c>
      <c r="I99" s="1285"/>
      <c r="J99" s="1255"/>
      <c r="K99" s="1249" t="s">
        <v>1408</v>
      </c>
      <c r="L99" s="1249" t="s">
        <v>1409</v>
      </c>
      <c r="M99" s="1249" t="s">
        <v>1410</v>
      </c>
      <c r="N99" s="1249" t="s">
        <v>1411</v>
      </c>
      <c r="O99" s="1267" t="s">
        <v>1412</v>
      </c>
    </row>
    <row r="100" spans="1:28" s="237" customFormat="1" ht="14.25" customHeight="1" outlineLevel="1" x14ac:dyDescent="0.25">
      <c r="A100" s="363"/>
      <c r="B100" s="1267"/>
      <c r="C100" s="1267"/>
      <c r="D100" s="1267"/>
      <c r="E100" s="1266"/>
      <c r="F100" s="1266"/>
      <c r="G100" s="1267"/>
      <c r="H100" s="1286"/>
      <c r="I100" s="1287"/>
      <c r="J100" s="1256"/>
      <c r="K100" s="1266"/>
      <c r="L100" s="1266"/>
      <c r="M100" s="1266"/>
      <c r="N100" s="1266"/>
      <c r="O100" s="1267"/>
    </row>
    <row r="101" spans="1:28" s="237" customFormat="1" ht="21" customHeight="1" outlineLevel="1" x14ac:dyDescent="0.25">
      <c r="A101" s="363"/>
      <c r="B101" s="1267"/>
      <c r="C101" s="1267"/>
      <c r="D101" s="1267"/>
      <c r="E101" s="1250"/>
      <c r="F101" s="1250"/>
      <c r="G101" s="1267"/>
      <c r="H101" s="1159" t="s">
        <v>1394</v>
      </c>
      <c r="I101" s="1159" t="s">
        <v>1863</v>
      </c>
      <c r="J101" s="1159" t="s">
        <v>1864</v>
      </c>
      <c r="K101" s="1250"/>
      <c r="L101" s="1250"/>
      <c r="M101" s="1250"/>
      <c r="N101" s="1250"/>
      <c r="O101" s="1267"/>
    </row>
    <row r="102" spans="1:28" s="237" customFormat="1" ht="19.5" customHeight="1" outlineLevel="1" x14ac:dyDescent="0.25">
      <c r="A102" s="427" t="s">
        <v>606</v>
      </c>
      <c r="B102" s="444" t="s">
        <v>607</v>
      </c>
      <c r="C102" s="445" t="s">
        <v>2068</v>
      </c>
      <c r="D102" s="445" t="s">
        <v>1669</v>
      </c>
      <c r="E102" s="446">
        <v>1000</v>
      </c>
      <c r="F102" s="1020"/>
      <c r="G102" s="447" t="s">
        <v>1544</v>
      </c>
      <c r="H102" s="1108">
        <v>0.82063338590271195</v>
      </c>
      <c r="I102" s="1108">
        <v>2.3973057242742353E-6</v>
      </c>
      <c r="J102" s="1108">
        <v>1.8493501301544103E-6</v>
      </c>
      <c r="K102" s="1108">
        <v>820.63338590271201</v>
      </c>
      <c r="L102" s="1108">
        <v>2.3973057242742354E-3</v>
      </c>
      <c r="M102" s="1108">
        <v>1.8493501301544103E-3</v>
      </c>
      <c r="N102" s="1157">
        <v>821.24442488460488</v>
      </c>
      <c r="O102" s="1143">
        <v>0</v>
      </c>
    </row>
    <row r="103" spans="1:28" s="237" customFormat="1" ht="15" customHeight="1" outlineLevel="1" x14ac:dyDescent="0.25">
      <c r="A103" s="363"/>
      <c r="B103" s="1160"/>
      <c r="C103" s="436"/>
      <c r="D103" s="436"/>
      <c r="E103" s="438"/>
      <c r="F103" s="438"/>
      <c r="G103" s="1020" t="str">
        <f>IF(OR(D103="",D103="-"),"",VLOOKUP(D103,'Fatores de Emissão'!$E$114:$G$173,3,FALSE))</f>
        <v/>
      </c>
      <c r="H103" s="1110" t="str">
        <f>IF(OR($D103="",$D103="-"),"",VLOOKUP($D103,'Fatores de Emissão'!$E$117:$K$173,2,FALSE))</f>
        <v/>
      </c>
      <c r="I103" s="1110" t="str">
        <f>IF(OR($D103="",$D103="-"),"",VLOOKUP($D103,'Fatores de Emissão'!$E$117:$K$173,4,FALSE))</f>
        <v/>
      </c>
      <c r="J103" s="1110" t="str">
        <f>IF(OR($D103="",$D103="-"),"",VLOOKUP($D103,'Fatores de Emissão'!$E$117:$K$173,6,FALSE))</f>
        <v/>
      </c>
      <c r="K103" s="450" t="str">
        <f>IF($D103="","",IF($G103="kg/km",H103*$E103/1000,$E103*$F103*H103/1000))</f>
        <v/>
      </c>
      <c r="L103" s="450" t="str">
        <f>IF($D103="","",IF($G103="kg/km",I103*$E103/1000,$E103*$F103*I103/1000))</f>
        <v/>
      </c>
      <c r="M103" s="450" t="str">
        <f t="shared" ref="M103:M152" si="10">IF($D103="","",IF($G103="kg/km",J103*$E103/1000,$E103*$F103*J103/1000))</f>
        <v/>
      </c>
      <c r="N103" s="441" t="str">
        <f t="shared" ref="N103:N152" si="11">IFERROR(K103*gwp_CO2+L103*gwp_CH4+M103*gwp_N2O,"")</f>
        <v/>
      </c>
      <c r="O103" s="440"/>
    </row>
    <row r="104" spans="1:28" s="237" customFormat="1" ht="15" customHeight="1" outlineLevel="1" x14ac:dyDescent="0.25">
      <c r="A104" s="363"/>
      <c r="B104" s="1160"/>
      <c r="C104" s="436"/>
      <c r="D104" s="436"/>
      <c r="E104" s="438"/>
      <c r="F104" s="438"/>
      <c r="G104" s="1020" t="str">
        <f>IF(OR(D104="",D104="-"),"",VLOOKUP(D104,'Fatores de Emissão'!$E$114:$G$173,3,FALSE))</f>
        <v/>
      </c>
      <c r="H104" s="1110" t="str">
        <f>IF(OR($D104="",$D104="-"),"",VLOOKUP($D104,'Fatores de Emissão'!$E$117:$K$173,2,FALSE))</f>
        <v/>
      </c>
      <c r="I104" s="1110" t="str">
        <f>IF(OR($D104="",$D104="-"),"",VLOOKUP($D104,'Fatores de Emissão'!$E$117:$K$173,4,FALSE))</f>
        <v/>
      </c>
      <c r="J104" s="1110" t="str">
        <f>IF(OR($D104="",$D104="-"),"",VLOOKUP($D104,'Fatores de Emissão'!$E$117:$K$173,6,FALSE))</f>
        <v/>
      </c>
      <c r="K104" s="450" t="str">
        <f t="shared" ref="K104:L130" si="12">IF($D104="","",IF($G104="kg/km",H104*$E104/1000,$E104*$F104*H104/1000))</f>
        <v/>
      </c>
      <c r="L104" s="450" t="str">
        <f t="shared" si="12"/>
        <v/>
      </c>
      <c r="M104" s="450" t="str">
        <f t="shared" si="10"/>
        <v/>
      </c>
      <c r="N104" s="441" t="str">
        <f t="shared" si="11"/>
        <v/>
      </c>
      <c r="O104" s="440"/>
    </row>
    <row r="105" spans="1:28" s="237" customFormat="1" ht="15" customHeight="1" outlineLevel="1" x14ac:dyDescent="0.25">
      <c r="A105" s="363"/>
      <c r="B105" s="1160"/>
      <c r="C105" s="436"/>
      <c r="D105" s="436"/>
      <c r="E105" s="438"/>
      <c r="F105" s="438"/>
      <c r="G105" s="1020" t="str">
        <f>IF(OR(D105="",D105="-"),"",VLOOKUP(D105,'Fatores de Emissão'!$E$114:$G$173,3,FALSE))</f>
        <v/>
      </c>
      <c r="H105" s="1110" t="str">
        <f>IF(OR($D105="",$D105="-"),"",VLOOKUP($D105,'Fatores de Emissão'!$E$117:$K$173,2,FALSE))</f>
        <v/>
      </c>
      <c r="I105" s="1110" t="str">
        <f>IF(OR($D105="",$D105="-"),"",VLOOKUP($D105,'Fatores de Emissão'!$E$117:$K$173,4,FALSE))</f>
        <v/>
      </c>
      <c r="J105" s="1110" t="str">
        <f>IF(OR($D105="",$D105="-"),"",VLOOKUP($D105,'Fatores de Emissão'!$E$117:$K$173,6,FALSE))</f>
        <v/>
      </c>
      <c r="K105" s="450" t="str">
        <f t="shared" si="12"/>
        <v/>
      </c>
      <c r="L105" s="450" t="str">
        <f t="shared" si="12"/>
        <v/>
      </c>
      <c r="M105" s="450" t="str">
        <f t="shared" si="10"/>
        <v/>
      </c>
      <c r="N105" s="441" t="str">
        <f t="shared" si="11"/>
        <v/>
      </c>
      <c r="O105" s="440"/>
    </row>
    <row r="106" spans="1:28" s="237" customFormat="1" ht="15" customHeight="1" outlineLevel="1" x14ac:dyDescent="0.25">
      <c r="A106" s="363"/>
      <c r="B106" s="1160"/>
      <c r="C106" s="436"/>
      <c r="D106" s="436"/>
      <c r="E106" s="438"/>
      <c r="F106" s="438"/>
      <c r="G106" s="1020" t="str">
        <f>IF(OR(D106="",D106="-"),"",VLOOKUP(D106,'Fatores de Emissão'!$E$114:$G$173,3,FALSE))</f>
        <v/>
      </c>
      <c r="H106" s="1110" t="str">
        <f>IF(OR($D106="",$D106="-"),"",VLOOKUP($D106,'Fatores de Emissão'!$E$117:$K$173,2,FALSE))</f>
        <v/>
      </c>
      <c r="I106" s="1110" t="str">
        <f>IF(OR($D106="",$D106="-"),"",VLOOKUP($D106,'Fatores de Emissão'!$E$117:$K$173,4,FALSE))</f>
        <v/>
      </c>
      <c r="J106" s="1110" t="str">
        <f>IF(OR($D106="",$D106="-"),"",VLOOKUP($D106,'Fatores de Emissão'!$E$117:$K$173,6,FALSE))</f>
        <v/>
      </c>
      <c r="K106" s="450" t="str">
        <f t="shared" si="12"/>
        <v/>
      </c>
      <c r="L106" s="450" t="str">
        <f t="shared" si="12"/>
        <v/>
      </c>
      <c r="M106" s="450" t="str">
        <f t="shared" si="10"/>
        <v/>
      </c>
      <c r="N106" s="441" t="str">
        <f t="shared" si="11"/>
        <v/>
      </c>
      <c r="O106" s="440"/>
    </row>
    <row r="107" spans="1:28" s="237" customFormat="1" ht="15" customHeight="1" outlineLevel="1" x14ac:dyDescent="0.25">
      <c r="A107" s="363"/>
      <c r="B107" s="1160"/>
      <c r="C107" s="436"/>
      <c r="D107" s="436"/>
      <c r="E107" s="438"/>
      <c r="F107" s="438"/>
      <c r="G107" s="1020" t="str">
        <f>IF(OR(D107="",D107="-"),"",VLOOKUP(D107,'Fatores de Emissão'!$E$114:$G$173,3,FALSE))</f>
        <v/>
      </c>
      <c r="H107" s="1110" t="str">
        <f>IF(OR($D107="",$D107="-"),"",VLOOKUP($D107,'Fatores de Emissão'!$E$117:$K$173,2,FALSE))</f>
        <v/>
      </c>
      <c r="I107" s="1110" t="str">
        <f>IF(OR($D107="",$D107="-"),"",VLOOKUP($D107,'Fatores de Emissão'!$E$117:$K$173,4,FALSE))</f>
        <v/>
      </c>
      <c r="J107" s="1110" t="str">
        <f>IF(OR($D107="",$D107="-"),"",VLOOKUP($D107,'Fatores de Emissão'!$E$117:$K$173,6,FALSE))</f>
        <v/>
      </c>
      <c r="K107" s="450" t="str">
        <f t="shared" si="12"/>
        <v/>
      </c>
      <c r="L107" s="450" t="str">
        <f t="shared" si="12"/>
        <v/>
      </c>
      <c r="M107" s="450" t="str">
        <f t="shared" si="10"/>
        <v/>
      </c>
      <c r="N107" s="441" t="str">
        <f t="shared" si="11"/>
        <v/>
      </c>
      <c r="O107" s="440"/>
    </row>
    <row r="108" spans="1:28" s="237" customFormat="1" ht="15" customHeight="1" outlineLevel="1" x14ac:dyDescent="0.25">
      <c r="A108" s="363"/>
      <c r="B108" s="1160"/>
      <c r="C108" s="436"/>
      <c r="D108" s="436"/>
      <c r="E108" s="438"/>
      <c r="F108" s="438"/>
      <c r="G108" s="1020" t="str">
        <f>IF(OR(D108="",D108="-"),"",VLOOKUP(D108,'Fatores de Emissão'!$E$114:$G$173,3,FALSE))</f>
        <v/>
      </c>
      <c r="H108" s="1110" t="str">
        <f>IF(OR($D108="",$D108="-"),"",VLOOKUP($D108,'Fatores de Emissão'!$E$117:$K$173,2,FALSE))</f>
        <v/>
      </c>
      <c r="I108" s="1110" t="str">
        <f>IF(OR($D108="",$D108="-"),"",VLOOKUP($D108,'Fatores de Emissão'!$E$117:$K$173,4,FALSE))</f>
        <v/>
      </c>
      <c r="J108" s="1110" t="str">
        <f>IF(OR($D108="",$D108="-"),"",VLOOKUP($D108,'Fatores de Emissão'!$E$117:$K$173,6,FALSE))</f>
        <v/>
      </c>
      <c r="K108" s="450" t="str">
        <f t="shared" si="12"/>
        <v/>
      </c>
      <c r="L108" s="450" t="str">
        <f t="shared" si="12"/>
        <v/>
      </c>
      <c r="M108" s="450" t="str">
        <f t="shared" si="10"/>
        <v/>
      </c>
      <c r="N108" s="441" t="str">
        <f t="shared" si="11"/>
        <v/>
      </c>
      <c r="O108" s="440"/>
    </row>
    <row r="109" spans="1:28" s="237" customFormat="1" ht="15" customHeight="1" outlineLevel="1" x14ac:dyDescent="0.25">
      <c r="A109" s="363"/>
      <c r="B109" s="1160"/>
      <c r="C109" s="436"/>
      <c r="D109" s="436"/>
      <c r="E109" s="438"/>
      <c r="F109" s="438"/>
      <c r="G109" s="1020" t="str">
        <f>IF(OR(D109="",D109="-"),"",VLOOKUP(D109,'Fatores de Emissão'!$E$114:$G$173,3,FALSE))</f>
        <v/>
      </c>
      <c r="H109" s="1110" t="str">
        <f>IF(OR($D109="",$D109="-"),"",VLOOKUP($D109,'Fatores de Emissão'!$E$117:$K$173,2,FALSE))</f>
        <v/>
      </c>
      <c r="I109" s="1110" t="str">
        <f>IF(OR($D109="",$D109="-"),"",VLOOKUP($D109,'Fatores de Emissão'!$E$117:$K$173,4,FALSE))</f>
        <v/>
      </c>
      <c r="J109" s="1110" t="str">
        <f>IF(OR($D109="",$D109="-"),"",VLOOKUP($D109,'Fatores de Emissão'!$E$117:$K$173,6,FALSE))</f>
        <v/>
      </c>
      <c r="K109" s="450" t="str">
        <f t="shared" si="12"/>
        <v/>
      </c>
      <c r="L109" s="450" t="str">
        <f t="shared" si="12"/>
        <v/>
      </c>
      <c r="M109" s="450" t="str">
        <f t="shared" si="10"/>
        <v/>
      </c>
      <c r="N109" s="441" t="str">
        <f t="shared" si="11"/>
        <v/>
      </c>
      <c r="O109" s="440"/>
    </row>
    <row r="110" spans="1:28" s="237" customFormat="1" ht="15" customHeight="1" outlineLevel="1" x14ac:dyDescent="0.25">
      <c r="A110" s="363"/>
      <c r="B110" s="1160"/>
      <c r="C110" s="436"/>
      <c r="D110" s="436"/>
      <c r="E110" s="438"/>
      <c r="F110" s="438"/>
      <c r="G110" s="1020" t="str">
        <f>IF(OR(D110="",D110="-"),"",VLOOKUP(D110,'Fatores de Emissão'!$E$114:$G$173,3,FALSE))</f>
        <v/>
      </c>
      <c r="H110" s="1110" t="str">
        <f>IF(OR($D110="",$D110="-"),"",VLOOKUP($D110,'Fatores de Emissão'!$E$117:$K$173,2,FALSE))</f>
        <v/>
      </c>
      <c r="I110" s="1110" t="str">
        <f>IF(OR($D110="",$D110="-"),"",VLOOKUP($D110,'Fatores de Emissão'!$E$117:$K$173,4,FALSE))</f>
        <v/>
      </c>
      <c r="J110" s="1110" t="str">
        <f>IF(OR($D110="",$D110="-"),"",VLOOKUP($D110,'Fatores de Emissão'!$E$117:$K$173,6,FALSE))</f>
        <v/>
      </c>
      <c r="K110" s="450" t="str">
        <f t="shared" si="12"/>
        <v/>
      </c>
      <c r="L110" s="450" t="str">
        <f t="shared" si="12"/>
        <v/>
      </c>
      <c r="M110" s="450" t="str">
        <f t="shared" si="10"/>
        <v/>
      </c>
      <c r="N110" s="441" t="str">
        <f t="shared" si="11"/>
        <v/>
      </c>
      <c r="O110" s="440"/>
    </row>
    <row r="111" spans="1:28" s="237" customFormat="1" ht="15" customHeight="1" outlineLevel="1" x14ac:dyDescent="0.25">
      <c r="A111" s="363"/>
      <c r="B111" s="1160"/>
      <c r="C111" s="436"/>
      <c r="D111" s="436"/>
      <c r="E111" s="438"/>
      <c r="F111" s="438"/>
      <c r="G111" s="1020" t="str">
        <f>IF(OR(D111="",D111="-"),"",VLOOKUP(D111,'Fatores de Emissão'!$E$114:$G$173,3,FALSE))</f>
        <v/>
      </c>
      <c r="H111" s="1110" t="str">
        <f>IF(OR($D111="",$D111="-"),"",VLOOKUP($D111,'Fatores de Emissão'!$E$117:$K$173,2,FALSE))</f>
        <v/>
      </c>
      <c r="I111" s="1110" t="str">
        <f>IF(OR($D111="",$D111="-"),"",VLOOKUP($D111,'Fatores de Emissão'!$E$117:$K$173,4,FALSE))</f>
        <v/>
      </c>
      <c r="J111" s="1110" t="str">
        <f>IF(OR($D111="",$D111="-"),"",VLOOKUP($D111,'Fatores de Emissão'!$E$117:$K$173,6,FALSE))</f>
        <v/>
      </c>
      <c r="K111" s="450" t="str">
        <f t="shared" si="12"/>
        <v/>
      </c>
      <c r="L111" s="450" t="str">
        <f t="shared" si="12"/>
        <v/>
      </c>
      <c r="M111" s="450" t="str">
        <f t="shared" si="10"/>
        <v/>
      </c>
      <c r="N111" s="441" t="str">
        <f t="shared" si="11"/>
        <v/>
      </c>
      <c r="O111" s="440"/>
    </row>
    <row r="112" spans="1:28" s="237" customFormat="1" ht="15" customHeight="1" outlineLevel="1" collapsed="1" x14ac:dyDescent="0.25">
      <c r="A112" s="363"/>
      <c r="B112" s="1160"/>
      <c r="C112" s="436"/>
      <c r="D112" s="436"/>
      <c r="E112" s="438"/>
      <c r="F112" s="438"/>
      <c r="G112" s="1020" t="str">
        <f>IF(OR(D112="",D112="-"),"",VLOOKUP(D112,'Fatores de Emissão'!$E$114:$G$173,3,FALSE))</f>
        <v/>
      </c>
      <c r="H112" s="1110" t="str">
        <f>IF(OR($D112="",$D112="-"),"",VLOOKUP($D112,'Fatores de Emissão'!$E$117:$K$173,2,FALSE))</f>
        <v/>
      </c>
      <c r="I112" s="1110" t="str">
        <f>IF(OR($D112="",$D112="-"),"",VLOOKUP($D112,'Fatores de Emissão'!$E$117:$K$173,4,FALSE))</f>
        <v/>
      </c>
      <c r="J112" s="1110" t="str">
        <f>IF(OR($D112="",$D112="-"),"",VLOOKUP($D112,'Fatores de Emissão'!$E$117:$K$173,6,FALSE))</f>
        <v/>
      </c>
      <c r="K112" s="450" t="str">
        <f t="shared" si="12"/>
        <v/>
      </c>
      <c r="L112" s="450" t="str">
        <f t="shared" si="12"/>
        <v/>
      </c>
      <c r="M112" s="450" t="str">
        <f t="shared" si="10"/>
        <v/>
      </c>
      <c r="N112" s="441" t="str">
        <f t="shared" si="11"/>
        <v/>
      </c>
      <c r="O112" s="440"/>
    </row>
    <row r="113" spans="1:15" s="237" customFormat="1" ht="15" hidden="1" customHeight="1" outlineLevel="2" x14ac:dyDescent="0.25">
      <c r="A113" s="363"/>
      <c r="B113" s="1160"/>
      <c r="C113" s="436"/>
      <c r="D113" s="436"/>
      <c r="E113" s="438"/>
      <c r="F113" s="438"/>
      <c r="G113" s="1020" t="str">
        <f>IF(OR(D113="",D113="-"),"",VLOOKUP(D113,'Fatores de Emissão'!$E$114:$G$173,3,FALSE))</f>
        <v/>
      </c>
      <c r="H113" s="1110" t="str">
        <f>IF(OR($D113="",$D113="-"),"",VLOOKUP($D113,'Fatores de Emissão'!$E$117:$K$173,2,FALSE))</f>
        <v/>
      </c>
      <c r="I113" s="1110" t="str">
        <f>IF(OR($D113="",$D113="-"),"",VLOOKUP($D113,'Fatores de Emissão'!$E$117:$K$173,4,FALSE))</f>
        <v/>
      </c>
      <c r="J113" s="1110" t="str">
        <f>IF(OR($D113="",$D113="-"),"",VLOOKUP($D113,'Fatores de Emissão'!$E$117:$K$173,6,FALSE))</f>
        <v/>
      </c>
      <c r="K113" s="450" t="str">
        <f t="shared" si="12"/>
        <v/>
      </c>
      <c r="L113" s="450" t="str">
        <f t="shared" si="12"/>
        <v/>
      </c>
      <c r="M113" s="450" t="str">
        <f t="shared" si="10"/>
        <v/>
      </c>
      <c r="N113" s="441" t="str">
        <f t="shared" si="11"/>
        <v/>
      </c>
      <c r="O113" s="440"/>
    </row>
    <row r="114" spans="1:15" s="237" customFormat="1" ht="15" hidden="1" customHeight="1" outlineLevel="2" x14ac:dyDescent="0.25">
      <c r="A114" s="363"/>
      <c r="B114" s="1160"/>
      <c r="C114" s="436"/>
      <c r="D114" s="436"/>
      <c r="E114" s="438"/>
      <c r="F114" s="438"/>
      <c r="G114" s="1020" t="str">
        <f>IF(OR(D114="",D114="-"),"",VLOOKUP(D114,'Fatores de Emissão'!$E$114:$G$173,3,FALSE))</f>
        <v/>
      </c>
      <c r="H114" s="1110" t="str">
        <f>IF(OR($D114="",$D114="-"),"",VLOOKUP($D114,'Fatores de Emissão'!$E$117:$K$173,2,FALSE))</f>
        <v/>
      </c>
      <c r="I114" s="1110" t="str">
        <f>IF(OR($D114="",$D114="-"),"",VLOOKUP($D114,'Fatores de Emissão'!$E$117:$K$173,4,FALSE))</f>
        <v/>
      </c>
      <c r="J114" s="1110" t="str">
        <f>IF(OR($D114="",$D114="-"),"",VLOOKUP($D114,'Fatores de Emissão'!$E$117:$K$173,6,FALSE))</f>
        <v/>
      </c>
      <c r="K114" s="450" t="str">
        <f t="shared" si="12"/>
        <v/>
      </c>
      <c r="L114" s="450" t="str">
        <f t="shared" si="12"/>
        <v/>
      </c>
      <c r="M114" s="450" t="str">
        <f t="shared" si="10"/>
        <v/>
      </c>
      <c r="N114" s="441" t="str">
        <f t="shared" si="11"/>
        <v/>
      </c>
      <c r="O114" s="440"/>
    </row>
    <row r="115" spans="1:15" s="237" customFormat="1" ht="15" hidden="1" customHeight="1" outlineLevel="2" x14ac:dyDescent="0.25">
      <c r="A115" s="363"/>
      <c r="B115" s="1160"/>
      <c r="C115" s="436"/>
      <c r="D115" s="436"/>
      <c r="E115" s="438"/>
      <c r="F115" s="438"/>
      <c r="G115" s="1020" t="str">
        <f>IF(OR(D115="",D115="-"),"",VLOOKUP(D115,'Fatores de Emissão'!$E$114:$G$173,3,FALSE))</f>
        <v/>
      </c>
      <c r="H115" s="1110" t="str">
        <f>IF(OR($D115="",$D115="-"),"",VLOOKUP($D115,'Fatores de Emissão'!$E$117:$K$173,2,FALSE))</f>
        <v/>
      </c>
      <c r="I115" s="1110" t="str">
        <f>IF(OR($D115="",$D115="-"),"",VLOOKUP($D115,'Fatores de Emissão'!$E$117:$K$173,4,FALSE))</f>
        <v/>
      </c>
      <c r="J115" s="1110" t="str">
        <f>IF(OR($D115="",$D115="-"),"",VLOOKUP($D115,'Fatores de Emissão'!$E$117:$K$173,6,FALSE))</f>
        <v/>
      </c>
      <c r="K115" s="450" t="str">
        <f t="shared" si="12"/>
        <v/>
      </c>
      <c r="L115" s="450" t="str">
        <f t="shared" si="12"/>
        <v/>
      </c>
      <c r="M115" s="450" t="str">
        <f t="shared" si="10"/>
        <v/>
      </c>
      <c r="N115" s="441" t="str">
        <f t="shared" si="11"/>
        <v/>
      </c>
      <c r="O115" s="440"/>
    </row>
    <row r="116" spans="1:15" s="237" customFormat="1" ht="15" hidden="1" customHeight="1" outlineLevel="2" x14ac:dyDescent="0.25">
      <c r="A116" s="363"/>
      <c r="B116" s="1160"/>
      <c r="C116" s="436"/>
      <c r="D116" s="436"/>
      <c r="E116" s="438"/>
      <c r="F116" s="438"/>
      <c r="G116" s="1020" t="str">
        <f>IF(OR(D116="",D116="-"),"",VLOOKUP(D116,'Fatores de Emissão'!$E$114:$G$173,3,FALSE))</f>
        <v/>
      </c>
      <c r="H116" s="1110" t="str">
        <f>IF(OR($D116="",$D116="-"),"",VLOOKUP($D116,'Fatores de Emissão'!$E$117:$K$173,2,FALSE))</f>
        <v/>
      </c>
      <c r="I116" s="1110" t="str">
        <f>IF(OR($D116="",$D116="-"),"",VLOOKUP($D116,'Fatores de Emissão'!$E$117:$K$173,4,FALSE))</f>
        <v/>
      </c>
      <c r="J116" s="1110" t="str">
        <f>IF(OR($D116="",$D116="-"),"",VLOOKUP($D116,'Fatores de Emissão'!$E$117:$K$173,6,FALSE))</f>
        <v/>
      </c>
      <c r="K116" s="450" t="str">
        <f t="shared" si="12"/>
        <v/>
      </c>
      <c r="L116" s="450" t="str">
        <f t="shared" si="12"/>
        <v/>
      </c>
      <c r="M116" s="450" t="str">
        <f t="shared" si="10"/>
        <v/>
      </c>
      <c r="N116" s="441" t="str">
        <f t="shared" si="11"/>
        <v/>
      </c>
      <c r="O116" s="440"/>
    </row>
    <row r="117" spans="1:15" s="237" customFormat="1" ht="15" hidden="1" customHeight="1" outlineLevel="2" x14ac:dyDescent="0.25">
      <c r="A117" s="363"/>
      <c r="B117" s="1160"/>
      <c r="C117" s="436"/>
      <c r="D117" s="436"/>
      <c r="E117" s="438"/>
      <c r="F117" s="438"/>
      <c r="G117" s="1020" t="str">
        <f>IF(OR(D117="",D117="-"),"",VLOOKUP(D117,'Fatores de Emissão'!$E$114:$G$173,3,FALSE))</f>
        <v/>
      </c>
      <c r="H117" s="1110" t="str">
        <f>IF(OR($D117="",$D117="-"),"",VLOOKUP($D117,'Fatores de Emissão'!$E$117:$K$173,2,FALSE))</f>
        <v/>
      </c>
      <c r="I117" s="1110" t="str">
        <f>IF(OR($D117="",$D117="-"),"",VLOOKUP($D117,'Fatores de Emissão'!$E$117:$K$173,4,FALSE))</f>
        <v/>
      </c>
      <c r="J117" s="1110" t="str">
        <f>IF(OR($D117="",$D117="-"),"",VLOOKUP($D117,'Fatores de Emissão'!$E$117:$K$173,6,FALSE))</f>
        <v/>
      </c>
      <c r="K117" s="450" t="str">
        <f t="shared" si="12"/>
        <v/>
      </c>
      <c r="L117" s="450" t="str">
        <f t="shared" si="12"/>
        <v/>
      </c>
      <c r="M117" s="450" t="str">
        <f t="shared" si="10"/>
        <v/>
      </c>
      <c r="N117" s="441" t="str">
        <f t="shared" si="11"/>
        <v/>
      </c>
      <c r="O117" s="440"/>
    </row>
    <row r="118" spans="1:15" s="237" customFormat="1" ht="15" hidden="1" customHeight="1" outlineLevel="2" x14ac:dyDescent="0.25">
      <c r="A118" s="363"/>
      <c r="B118" s="1160"/>
      <c r="C118" s="436"/>
      <c r="D118" s="436"/>
      <c r="E118" s="438"/>
      <c r="F118" s="438"/>
      <c r="G118" s="1020" t="str">
        <f>IF(OR(D118="",D118="-"),"",VLOOKUP(D118,'Fatores de Emissão'!$E$114:$G$173,3,FALSE))</f>
        <v/>
      </c>
      <c r="H118" s="1110" t="str">
        <f>IF(OR($D118="",$D118="-"),"",VLOOKUP($D118,'Fatores de Emissão'!$E$117:$K$173,2,FALSE))</f>
        <v/>
      </c>
      <c r="I118" s="1110" t="str">
        <f>IF(OR($D118="",$D118="-"),"",VLOOKUP($D118,'Fatores de Emissão'!$E$117:$K$173,4,FALSE))</f>
        <v/>
      </c>
      <c r="J118" s="1110" t="str">
        <f>IF(OR($D118="",$D118="-"),"",VLOOKUP($D118,'Fatores de Emissão'!$E$117:$K$173,6,FALSE))</f>
        <v/>
      </c>
      <c r="K118" s="450" t="str">
        <f t="shared" si="12"/>
        <v/>
      </c>
      <c r="L118" s="450" t="str">
        <f t="shared" si="12"/>
        <v/>
      </c>
      <c r="M118" s="450" t="str">
        <f t="shared" si="10"/>
        <v/>
      </c>
      <c r="N118" s="441" t="str">
        <f t="shared" si="11"/>
        <v/>
      </c>
      <c r="O118" s="440"/>
    </row>
    <row r="119" spans="1:15" s="237" customFormat="1" ht="15" hidden="1" customHeight="1" outlineLevel="2" x14ac:dyDescent="0.25">
      <c r="A119" s="363"/>
      <c r="B119" s="1160"/>
      <c r="C119" s="436"/>
      <c r="D119" s="436"/>
      <c r="E119" s="438"/>
      <c r="F119" s="438"/>
      <c r="G119" s="1020" t="str">
        <f>IF(OR(D119="",D119="-"),"",VLOOKUP(D119,'Fatores de Emissão'!$E$114:$G$173,3,FALSE))</f>
        <v/>
      </c>
      <c r="H119" s="1110" t="str">
        <f>IF(OR($D119="",$D119="-"),"",VLOOKUP($D119,'Fatores de Emissão'!$E$117:$K$173,2,FALSE))</f>
        <v/>
      </c>
      <c r="I119" s="1110" t="str">
        <f>IF(OR($D119="",$D119="-"),"",VLOOKUP($D119,'Fatores de Emissão'!$E$117:$K$173,4,FALSE))</f>
        <v/>
      </c>
      <c r="J119" s="1110" t="str">
        <f>IF(OR($D119="",$D119="-"),"",VLOOKUP($D119,'Fatores de Emissão'!$E$117:$K$173,6,FALSE))</f>
        <v/>
      </c>
      <c r="K119" s="450" t="str">
        <f t="shared" si="12"/>
        <v/>
      </c>
      <c r="L119" s="450" t="str">
        <f t="shared" si="12"/>
        <v/>
      </c>
      <c r="M119" s="450" t="str">
        <f t="shared" si="10"/>
        <v/>
      </c>
      <c r="N119" s="441" t="str">
        <f t="shared" si="11"/>
        <v/>
      </c>
      <c r="O119" s="440"/>
    </row>
    <row r="120" spans="1:15" s="237" customFormat="1" ht="15" hidden="1" customHeight="1" outlineLevel="2" x14ac:dyDescent="0.25">
      <c r="A120" s="363"/>
      <c r="B120" s="1160"/>
      <c r="C120" s="436"/>
      <c r="D120" s="436"/>
      <c r="E120" s="438"/>
      <c r="F120" s="438"/>
      <c r="G120" s="1020" t="str">
        <f>IF(OR(D120="",D120="-"),"",VLOOKUP(D120,'Fatores de Emissão'!$E$114:$G$173,3,FALSE))</f>
        <v/>
      </c>
      <c r="H120" s="1110" t="str">
        <f>IF(OR($D120="",$D120="-"),"",VLOOKUP($D120,'Fatores de Emissão'!$E$117:$K$173,2,FALSE))</f>
        <v/>
      </c>
      <c r="I120" s="1110" t="str">
        <f>IF(OR($D120="",$D120="-"),"",VLOOKUP($D120,'Fatores de Emissão'!$E$117:$K$173,4,FALSE))</f>
        <v/>
      </c>
      <c r="J120" s="1110" t="str">
        <f>IF(OR($D120="",$D120="-"),"",VLOOKUP($D120,'Fatores de Emissão'!$E$117:$K$173,6,FALSE))</f>
        <v/>
      </c>
      <c r="K120" s="450" t="str">
        <f t="shared" si="12"/>
        <v/>
      </c>
      <c r="L120" s="450" t="str">
        <f t="shared" si="12"/>
        <v/>
      </c>
      <c r="M120" s="450" t="str">
        <f t="shared" si="10"/>
        <v/>
      </c>
      <c r="N120" s="441" t="str">
        <f t="shared" si="11"/>
        <v/>
      </c>
      <c r="O120" s="440"/>
    </row>
    <row r="121" spans="1:15" s="237" customFormat="1" ht="15" hidden="1" customHeight="1" outlineLevel="2" x14ac:dyDescent="0.25">
      <c r="A121" s="363"/>
      <c r="B121" s="1160"/>
      <c r="C121" s="436"/>
      <c r="D121" s="436"/>
      <c r="E121" s="438"/>
      <c r="F121" s="438"/>
      <c r="G121" s="1020" t="str">
        <f>IF(OR(D121="",D121="-"),"",VLOOKUP(D121,'Fatores de Emissão'!$E$114:$G$173,3,FALSE))</f>
        <v/>
      </c>
      <c r="H121" s="1110" t="str">
        <f>IF(OR($D121="",$D121="-"),"",VLOOKUP($D121,'Fatores de Emissão'!$E$117:$K$173,2,FALSE))</f>
        <v/>
      </c>
      <c r="I121" s="1110" t="str">
        <f>IF(OR($D121="",$D121="-"),"",VLOOKUP($D121,'Fatores de Emissão'!$E$117:$K$173,4,FALSE))</f>
        <v/>
      </c>
      <c r="J121" s="1110" t="str">
        <f>IF(OR($D121="",$D121="-"),"",VLOOKUP($D121,'Fatores de Emissão'!$E$117:$K$173,6,FALSE))</f>
        <v/>
      </c>
      <c r="K121" s="450" t="str">
        <f t="shared" si="12"/>
        <v/>
      </c>
      <c r="L121" s="450" t="str">
        <f t="shared" si="12"/>
        <v/>
      </c>
      <c r="M121" s="450" t="str">
        <f t="shared" si="10"/>
        <v/>
      </c>
      <c r="N121" s="441" t="str">
        <f t="shared" si="11"/>
        <v/>
      </c>
      <c r="O121" s="440"/>
    </row>
    <row r="122" spans="1:15" s="237" customFormat="1" ht="15" hidden="1" customHeight="1" outlineLevel="2" x14ac:dyDescent="0.25">
      <c r="A122" s="363"/>
      <c r="B122" s="1160"/>
      <c r="C122" s="436"/>
      <c r="D122" s="436"/>
      <c r="E122" s="438"/>
      <c r="F122" s="438"/>
      <c r="G122" s="1020" t="str">
        <f>IF(OR(D122="",D122="-"),"",VLOOKUP(D122,'Fatores de Emissão'!$E$114:$G$173,3,FALSE))</f>
        <v/>
      </c>
      <c r="H122" s="1110" t="str">
        <f>IF(OR($D122="",$D122="-"),"",VLOOKUP($D122,'Fatores de Emissão'!$E$117:$K$173,2,FALSE))</f>
        <v/>
      </c>
      <c r="I122" s="1110" t="str">
        <f>IF(OR($D122="",$D122="-"),"",VLOOKUP($D122,'Fatores de Emissão'!$E$117:$K$173,4,FALSE))</f>
        <v/>
      </c>
      <c r="J122" s="1110" t="str">
        <f>IF(OR($D122="",$D122="-"),"",VLOOKUP($D122,'Fatores de Emissão'!$E$117:$K$173,6,FALSE))</f>
        <v/>
      </c>
      <c r="K122" s="450" t="str">
        <f t="shared" si="12"/>
        <v/>
      </c>
      <c r="L122" s="450" t="str">
        <f t="shared" si="12"/>
        <v/>
      </c>
      <c r="M122" s="450" t="str">
        <f t="shared" si="10"/>
        <v/>
      </c>
      <c r="N122" s="441" t="str">
        <f t="shared" si="11"/>
        <v/>
      </c>
      <c r="O122" s="440"/>
    </row>
    <row r="123" spans="1:15" s="237" customFormat="1" ht="15" hidden="1" customHeight="1" outlineLevel="2" x14ac:dyDescent="0.25">
      <c r="A123" s="363"/>
      <c r="B123" s="1160"/>
      <c r="C123" s="436"/>
      <c r="D123" s="436"/>
      <c r="E123" s="438"/>
      <c r="F123" s="438"/>
      <c r="G123" s="1020" t="str">
        <f>IF(OR(D123="",D123="-"),"",VLOOKUP(D123,'Fatores de Emissão'!$E$114:$G$173,3,FALSE))</f>
        <v/>
      </c>
      <c r="H123" s="1110" t="str">
        <f>IF(OR($D123="",$D123="-"),"",VLOOKUP($D123,'Fatores de Emissão'!$E$117:$K$173,2,FALSE))</f>
        <v/>
      </c>
      <c r="I123" s="1110" t="str">
        <f>IF(OR($D123="",$D123="-"),"",VLOOKUP($D123,'Fatores de Emissão'!$E$117:$K$173,4,FALSE))</f>
        <v/>
      </c>
      <c r="J123" s="1110" t="str">
        <f>IF(OR($D123="",$D123="-"),"",VLOOKUP($D123,'Fatores de Emissão'!$E$117:$K$173,6,FALSE))</f>
        <v/>
      </c>
      <c r="K123" s="450" t="str">
        <f t="shared" si="12"/>
        <v/>
      </c>
      <c r="L123" s="450" t="str">
        <f t="shared" si="12"/>
        <v/>
      </c>
      <c r="M123" s="450" t="str">
        <f t="shared" si="10"/>
        <v/>
      </c>
      <c r="N123" s="441" t="str">
        <f t="shared" si="11"/>
        <v/>
      </c>
      <c r="O123" s="440"/>
    </row>
    <row r="124" spans="1:15" s="237" customFormat="1" ht="15" hidden="1" customHeight="1" outlineLevel="2" x14ac:dyDescent="0.25">
      <c r="A124" s="363"/>
      <c r="B124" s="1160"/>
      <c r="C124" s="436"/>
      <c r="D124" s="436"/>
      <c r="E124" s="438"/>
      <c r="F124" s="438"/>
      <c r="G124" s="1020" t="str">
        <f>IF(OR(D124="",D124="-"),"",VLOOKUP(D124,'Fatores de Emissão'!$E$114:$G$173,3,FALSE))</f>
        <v/>
      </c>
      <c r="H124" s="1110" t="str">
        <f>IF(OR($D124="",$D124="-"),"",VLOOKUP($D124,'Fatores de Emissão'!$E$117:$K$173,2,FALSE))</f>
        <v/>
      </c>
      <c r="I124" s="1110" t="str">
        <f>IF(OR($D124="",$D124="-"),"",VLOOKUP($D124,'Fatores de Emissão'!$E$117:$K$173,4,FALSE))</f>
        <v/>
      </c>
      <c r="J124" s="1110" t="str">
        <f>IF(OR($D124="",$D124="-"),"",VLOOKUP($D124,'Fatores de Emissão'!$E$117:$K$173,6,FALSE))</f>
        <v/>
      </c>
      <c r="K124" s="450" t="str">
        <f t="shared" si="12"/>
        <v/>
      </c>
      <c r="L124" s="450" t="str">
        <f t="shared" si="12"/>
        <v/>
      </c>
      <c r="M124" s="450" t="str">
        <f t="shared" si="10"/>
        <v/>
      </c>
      <c r="N124" s="441" t="str">
        <f t="shared" si="11"/>
        <v/>
      </c>
      <c r="O124" s="440"/>
    </row>
    <row r="125" spans="1:15" s="237" customFormat="1" ht="15" hidden="1" customHeight="1" outlineLevel="2" x14ac:dyDescent="0.25">
      <c r="A125" s="363"/>
      <c r="B125" s="1160"/>
      <c r="C125" s="436"/>
      <c r="D125" s="436"/>
      <c r="E125" s="438"/>
      <c r="F125" s="438"/>
      <c r="G125" s="1020" t="str">
        <f>IF(OR(D125="",D125="-"),"",VLOOKUP(D125,'Fatores de Emissão'!$E$114:$G$173,3,FALSE))</f>
        <v/>
      </c>
      <c r="H125" s="1110" t="str">
        <f>IF(OR($D125="",$D125="-"),"",VLOOKUP($D125,'Fatores de Emissão'!$E$117:$K$173,2,FALSE))</f>
        <v/>
      </c>
      <c r="I125" s="1110" t="str">
        <f>IF(OR($D125="",$D125="-"),"",VLOOKUP($D125,'Fatores de Emissão'!$E$117:$K$173,4,FALSE))</f>
        <v/>
      </c>
      <c r="J125" s="1110" t="str">
        <f>IF(OR($D125="",$D125="-"),"",VLOOKUP($D125,'Fatores de Emissão'!$E$117:$K$173,6,FALSE))</f>
        <v/>
      </c>
      <c r="K125" s="450" t="str">
        <f t="shared" si="12"/>
        <v/>
      </c>
      <c r="L125" s="450" t="str">
        <f t="shared" si="12"/>
        <v/>
      </c>
      <c r="M125" s="450" t="str">
        <f t="shared" si="10"/>
        <v/>
      </c>
      <c r="N125" s="441" t="str">
        <f t="shared" si="11"/>
        <v/>
      </c>
      <c r="O125" s="440"/>
    </row>
    <row r="126" spans="1:15" s="237" customFormat="1" ht="15" hidden="1" customHeight="1" outlineLevel="2" x14ac:dyDescent="0.25">
      <c r="A126" s="363"/>
      <c r="B126" s="1160"/>
      <c r="C126" s="436"/>
      <c r="D126" s="436"/>
      <c r="E126" s="438"/>
      <c r="F126" s="438"/>
      <c r="G126" s="1020" t="str">
        <f>IF(OR(D126="",D126="-"),"",VLOOKUP(D126,'Fatores de Emissão'!$E$114:$G$173,3,FALSE))</f>
        <v/>
      </c>
      <c r="H126" s="1110" t="str">
        <f>IF(OR($D126="",$D126="-"),"",VLOOKUP($D126,'Fatores de Emissão'!$E$117:$K$173,2,FALSE))</f>
        <v/>
      </c>
      <c r="I126" s="1110" t="str">
        <f>IF(OR($D126="",$D126="-"),"",VLOOKUP($D126,'Fatores de Emissão'!$E$117:$K$173,4,FALSE))</f>
        <v/>
      </c>
      <c r="J126" s="1110" t="str">
        <f>IF(OR($D126="",$D126="-"),"",VLOOKUP($D126,'Fatores de Emissão'!$E$117:$K$173,6,FALSE))</f>
        <v/>
      </c>
      <c r="K126" s="450" t="str">
        <f t="shared" si="12"/>
        <v/>
      </c>
      <c r="L126" s="450" t="str">
        <f t="shared" si="12"/>
        <v/>
      </c>
      <c r="M126" s="450" t="str">
        <f t="shared" si="10"/>
        <v/>
      </c>
      <c r="N126" s="441" t="str">
        <f t="shared" si="11"/>
        <v/>
      </c>
      <c r="O126" s="440"/>
    </row>
    <row r="127" spans="1:15" s="237" customFormat="1" ht="15" hidden="1" customHeight="1" outlineLevel="2" x14ac:dyDescent="0.25">
      <c r="A127" s="363"/>
      <c r="B127" s="1160"/>
      <c r="C127" s="436"/>
      <c r="D127" s="436"/>
      <c r="E127" s="438"/>
      <c r="F127" s="438"/>
      <c r="G127" s="1020" t="str">
        <f>IF(OR(D127="",D127="-"),"",VLOOKUP(D127,'Fatores de Emissão'!$E$114:$G$173,3,FALSE))</f>
        <v/>
      </c>
      <c r="H127" s="1110" t="str">
        <f>IF(OR($D127="",$D127="-"),"",VLOOKUP($D127,'Fatores de Emissão'!$E$117:$K$173,2,FALSE))</f>
        <v/>
      </c>
      <c r="I127" s="1110" t="str">
        <f>IF(OR($D127="",$D127="-"),"",VLOOKUP($D127,'Fatores de Emissão'!$E$117:$K$173,4,FALSE))</f>
        <v/>
      </c>
      <c r="J127" s="1110" t="str">
        <f>IF(OR($D127="",$D127="-"),"",VLOOKUP($D127,'Fatores de Emissão'!$E$117:$K$173,6,FALSE))</f>
        <v/>
      </c>
      <c r="K127" s="450" t="str">
        <f t="shared" si="12"/>
        <v/>
      </c>
      <c r="L127" s="450" t="str">
        <f t="shared" si="12"/>
        <v/>
      </c>
      <c r="M127" s="450" t="str">
        <f t="shared" si="10"/>
        <v/>
      </c>
      <c r="N127" s="441" t="str">
        <f t="shared" si="11"/>
        <v/>
      </c>
      <c r="O127" s="440"/>
    </row>
    <row r="128" spans="1:15" s="237" customFormat="1" ht="15" hidden="1" customHeight="1" outlineLevel="2" x14ac:dyDescent="0.25">
      <c r="A128" s="363"/>
      <c r="B128" s="1160"/>
      <c r="C128" s="436"/>
      <c r="D128" s="436"/>
      <c r="E128" s="438"/>
      <c r="F128" s="438"/>
      <c r="G128" s="1020" t="str">
        <f>IF(OR(D128="",D128="-"),"",VLOOKUP(D128,'Fatores de Emissão'!$E$114:$G$173,3,FALSE))</f>
        <v/>
      </c>
      <c r="H128" s="1110" t="str">
        <f>IF(OR($D128="",$D128="-"),"",VLOOKUP($D128,'Fatores de Emissão'!$E$117:$K$173,2,FALSE))</f>
        <v/>
      </c>
      <c r="I128" s="1110" t="str">
        <f>IF(OR($D128="",$D128="-"),"",VLOOKUP($D128,'Fatores de Emissão'!$E$117:$K$173,4,FALSE))</f>
        <v/>
      </c>
      <c r="J128" s="1110" t="str">
        <f>IF(OR($D128="",$D128="-"),"",VLOOKUP($D128,'Fatores de Emissão'!$E$117:$K$173,6,FALSE))</f>
        <v/>
      </c>
      <c r="K128" s="450" t="str">
        <f t="shared" si="12"/>
        <v/>
      </c>
      <c r="L128" s="450" t="str">
        <f t="shared" si="12"/>
        <v/>
      </c>
      <c r="M128" s="450" t="str">
        <f t="shared" si="10"/>
        <v/>
      </c>
      <c r="N128" s="441" t="str">
        <f t="shared" si="11"/>
        <v/>
      </c>
      <c r="O128" s="440"/>
    </row>
    <row r="129" spans="1:15" s="237" customFormat="1" ht="15" hidden="1" customHeight="1" outlineLevel="2" x14ac:dyDescent="0.25">
      <c r="A129" s="363"/>
      <c r="B129" s="1160"/>
      <c r="C129" s="436"/>
      <c r="D129" s="436"/>
      <c r="E129" s="438"/>
      <c r="F129" s="438"/>
      <c r="G129" s="1020" t="str">
        <f>IF(OR(D129="",D129="-"),"",VLOOKUP(D129,'Fatores de Emissão'!$E$114:$G$173,3,FALSE))</f>
        <v/>
      </c>
      <c r="H129" s="1110" t="str">
        <f>IF(OR($D129="",$D129="-"),"",VLOOKUP($D129,'Fatores de Emissão'!$E$117:$K$173,2,FALSE))</f>
        <v/>
      </c>
      <c r="I129" s="1110" t="str">
        <f>IF(OR($D129="",$D129="-"),"",VLOOKUP($D129,'Fatores de Emissão'!$E$117:$K$173,4,FALSE))</f>
        <v/>
      </c>
      <c r="J129" s="1110" t="str">
        <f>IF(OR($D129="",$D129="-"),"",VLOOKUP($D129,'Fatores de Emissão'!$E$117:$K$173,6,FALSE))</f>
        <v/>
      </c>
      <c r="K129" s="450" t="str">
        <f t="shared" si="12"/>
        <v/>
      </c>
      <c r="L129" s="450" t="str">
        <f t="shared" si="12"/>
        <v/>
      </c>
      <c r="M129" s="450" t="str">
        <f t="shared" si="10"/>
        <v/>
      </c>
      <c r="N129" s="441" t="str">
        <f t="shared" si="11"/>
        <v/>
      </c>
      <c r="O129" s="440"/>
    </row>
    <row r="130" spans="1:15" s="237" customFormat="1" ht="15" hidden="1" customHeight="1" outlineLevel="2" x14ac:dyDescent="0.25">
      <c r="A130" s="363"/>
      <c r="B130" s="1160"/>
      <c r="C130" s="436"/>
      <c r="D130" s="436"/>
      <c r="E130" s="438"/>
      <c r="F130" s="438"/>
      <c r="G130" s="1020" t="str">
        <f>IF(OR(D130="",D130="-"),"",VLOOKUP(D130,'Fatores de Emissão'!$E$114:$G$173,3,FALSE))</f>
        <v/>
      </c>
      <c r="H130" s="1110" t="str">
        <f>IF(OR($D130="",$D130="-"),"",VLOOKUP($D130,'Fatores de Emissão'!$E$117:$K$173,2,FALSE))</f>
        <v/>
      </c>
      <c r="I130" s="1110" t="str">
        <f>IF(OR($D130="",$D130="-"),"",VLOOKUP($D130,'Fatores de Emissão'!$E$117:$K$173,4,FALSE))</f>
        <v/>
      </c>
      <c r="J130" s="1110" t="str">
        <f>IF(OR($D130="",$D130="-"),"",VLOOKUP($D130,'Fatores de Emissão'!$E$117:$K$173,6,FALSE))</f>
        <v/>
      </c>
      <c r="K130" s="450" t="str">
        <f t="shared" si="12"/>
        <v/>
      </c>
      <c r="L130" s="450" t="str">
        <f t="shared" si="12"/>
        <v/>
      </c>
      <c r="M130" s="450" t="str">
        <f t="shared" si="10"/>
        <v/>
      </c>
      <c r="N130" s="441" t="str">
        <f t="shared" si="11"/>
        <v/>
      </c>
      <c r="O130" s="440"/>
    </row>
    <row r="131" spans="1:15" s="237" customFormat="1" ht="15" hidden="1" customHeight="1" outlineLevel="2" x14ac:dyDescent="0.25">
      <c r="A131" s="363"/>
      <c r="B131" s="1160"/>
      <c r="C131" s="436"/>
      <c r="D131" s="436"/>
      <c r="E131" s="438"/>
      <c r="F131" s="438"/>
      <c r="G131" s="1020" t="str">
        <f>IF(OR(D131="",D131="-"),"",VLOOKUP(D131,'Fatores de Emissão'!$E$114:$G$173,3,FALSE))</f>
        <v/>
      </c>
      <c r="H131" s="1110" t="str">
        <f>IF(OR($D131="",$D131="-"),"",VLOOKUP($D131,'Fatores de Emissão'!$E$117:$K$173,2,FALSE))</f>
        <v/>
      </c>
      <c r="I131" s="1110" t="str">
        <f>IF(OR($D131="",$D131="-"),"",VLOOKUP($D131,'Fatores de Emissão'!$E$117:$K$173,4,FALSE))</f>
        <v/>
      </c>
      <c r="J131" s="1110" t="str">
        <f>IF(OR($D131="",$D131="-"),"",VLOOKUP($D131,'Fatores de Emissão'!$E$117:$K$173,6,FALSE))</f>
        <v/>
      </c>
      <c r="K131" s="450" t="str">
        <f>IF($D131="","",IF($G131="kg/km",H131*$E131/1000,$E131*$F131*H131/1000))</f>
        <v/>
      </c>
      <c r="L131" s="450" t="str">
        <f>IF($D131="","",IF($G131="kg/km",I131*$E131/1000,$E131*$F131*I131/1000))</f>
        <v/>
      </c>
      <c r="M131" s="450" t="str">
        <f t="shared" si="10"/>
        <v/>
      </c>
      <c r="N131" s="441" t="str">
        <f t="shared" si="11"/>
        <v/>
      </c>
      <c r="O131" s="440"/>
    </row>
    <row r="132" spans="1:15" s="237" customFormat="1" ht="15" hidden="1" customHeight="1" outlineLevel="2" x14ac:dyDescent="0.25">
      <c r="A132" s="363"/>
      <c r="B132" s="1160"/>
      <c r="C132" s="436"/>
      <c r="D132" s="436"/>
      <c r="E132" s="438"/>
      <c r="F132" s="438"/>
      <c r="G132" s="1020" t="str">
        <f>IF(OR(D132="",D132="-"),"",VLOOKUP(D132,'Fatores de Emissão'!$E$114:$G$173,3,FALSE))</f>
        <v/>
      </c>
      <c r="H132" s="1110" t="str">
        <f>IF(OR($D132="",$D132="-"),"",VLOOKUP($D132,'Fatores de Emissão'!$E$117:$K$173,2,FALSE))</f>
        <v/>
      </c>
      <c r="I132" s="1110" t="str">
        <f>IF(OR($D132="",$D132="-"),"",VLOOKUP($D132,'Fatores de Emissão'!$E$117:$K$173,4,FALSE))</f>
        <v/>
      </c>
      <c r="J132" s="1110" t="str">
        <f>IF(OR($D132="",$D132="-"),"",VLOOKUP($D132,'Fatores de Emissão'!$E$117:$K$173,6,FALSE))</f>
        <v/>
      </c>
      <c r="K132" s="450" t="str">
        <f t="shared" ref="K132:L152" si="13">IF($D132="","",IF($G132="kg/km",H132*$E132/1000,$E132*$F132*H132/1000))</f>
        <v/>
      </c>
      <c r="L132" s="450" t="str">
        <f t="shared" si="13"/>
        <v/>
      </c>
      <c r="M132" s="450" t="str">
        <f t="shared" si="10"/>
        <v/>
      </c>
      <c r="N132" s="441" t="str">
        <f t="shared" si="11"/>
        <v/>
      </c>
      <c r="O132" s="440"/>
    </row>
    <row r="133" spans="1:15" s="237" customFormat="1" ht="15" hidden="1" customHeight="1" outlineLevel="2" x14ac:dyDescent="0.25">
      <c r="A133" s="363"/>
      <c r="B133" s="1160"/>
      <c r="C133" s="436"/>
      <c r="D133" s="436"/>
      <c r="E133" s="438"/>
      <c r="F133" s="438"/>
      <c r="G133" s="1020" t="str">
        <f>IF(OR(D133="",D133="-"),"",VLOOKUP(D133,'Fatores de Emissão'!$E$114:$G$173,3,FALSE))</f>
        <v/>
      </c>
      <c r="H133" s="1110" t="str">
        <f>IF(OR($D133="",$D133="-"),"",VLOOKUP($D133,'Fatores de Emissão'!$E$117:$K$173,2,FALSE))</f>
        <v/>
      </c>
      <c r="I133" s="1110" t="str">
        <f>IF(OR($D133="",$D133="-"),"",VLOOKUP($D133,'Fatores de Emissão'!$E$117:$K$173,4,FALSE))</f>
        <v/>
      </c>
      <c r="J133" s="1110" t="str">
        <f>IF(OR($D133="",$D133="-"),"",VLOOKUP($D133,'Fatores de Emissão'!$E$117:$K$173,6,FALSE))</f>
        <v/>
      </c>
      <c r="K133" s="450" t="str">
        <f t="shared" si="13"/>
        <v/>
      </c>
      <c r="L133" s="450" t="str">
        <f t="shared" si="13"/>
        <v/>
      </c>
      <c r="M133" s="450" t="str">
        <f t="shared" si="10"/>
        <v/>
      </c>
      <c r="N133" s="441" t="str">
        <f t="shared" si="11"/>
        <v/>
      </c>
      <c r="O133" s="440"/>
    </row>
    <row r="134" spans="1:15" s="237" customFormat="1" ht="15" hidden="1" customHeight="1" outlineLevel="2" x14ac:dyDescent="0.25">
      <c r="A134" s="363"/>
      <c r="B134" s="1160"/>
      <c r="C134" s="436"/>
      <c r="D134" s="436"/>
      <c r="E134" s="438"/>
      <c r="F134" s="438"/>
      <c r="G134" s="1020" t="str">
        <f>IF(OR(D134="",D134="-"),"",VLOOKUP(D134,'Fatores de Emissão'!$E$114:$G$173,3,FALSE))</f>
        <v/>
      </c>
      <c r="H134" s="1110" t="str">
        <f>IF(OR($D134="",$D134="-"),"",VLOOKUP($D134,'Fatores de Emissão'!$E$117:$K$173,2,FALSE))</f>
        <v/>
      </c>
      <c r="I134" s="1110" t="str">
        <f>IF(OR($D134="",$D134="-"),"",VLOOKUP($D134,'Fatores de Emissão'!$E$117:$K$173,4,FALSE))</f>
        <v/>
      </c>
      <c r="J134" s="1110" t="str">
        <f>IF(OR($D134="",$D134="-"),"",VLOOKUP($D134,'Fatores de Emissão'!$E$117:$K$173,6,FALSE))</f>
        <v/>
      </c>
      <c r="K134" s="450" t="str">
        <f t="shared" si="13"/>
        <v/>
      </c>
      <c r="L134" s="450" t="str">
        <f t="shared" si="13"/>
        <v/>
      </c>
      <c r="M134" s="450" t="str">
        <f t="shared" si="10"/>
        <v/>
      </c>
      <c r="N134" s="441" t="str">
        <f t="shared" si="11"/>
        <v/>
      </c>
      <c r="O134" s="440"/>
    </row>
    <row r="135" spans="1:15" s="237" customFormat="1" ht="15" hidden="1" customHeight="1" outlineLevel="2" x14ac:dyDescent="0.25">
      <c r="A135" s="363"/>
      <c r="B135" s="1160"/>
      <c r="C135" s="436"/>
      <c r="D135" s="436"/>
      <c r="E135" s="438"/>
      <c r="F135" s="438"/>
      <c r="G135" s="1020" t="str">
        <f>IF(OR(D135="",D135="-"),"",VLOOKUP(D135,'Fatores de Emissão'!$E$114:$G$173,3,FALSE))</f>
        <v/>
      </c>
      <c r="H135" s="1110" t="str">
        <f>IF(OR($D135="",$D135="-"),"",VLOOKUP($D135,'Fatores de Emissão'!$E$117:$K$173,2,FALSE))</f>
        <v/>
      </c>
      <c r="I135" s="1110" t="str">
        <f>IF(OR($D135="",$D135="-"),"",VLOOKUP($D135,'Fatores de Emissão'!$E$117:$K$173,4,FALSE))</f>
        <v/>
      </c>
      <c r="J135" s="1110" t="str">
        <f>IF(OR($D135="",$D135="-"),"",VLOOKUP($D135,'Fatores de Emissão'!$E$117:$K$173,6,FALSE))</f>
        <v/>
      </c>
      <c r="K135" s="450" t="str">
        <f t="shared" si="13"/>
        <v/>
      </c>
      <c r="L135" s="450" t="str">
        <f t="shared" si="13"/>
        <v/>
      </c>
      <c r="M135" s="450" t="str">
        <f t="shared" si="10"/>
        <v/>
      </c>
      <c r="N135" s="441" t="str">
        <f t="shared" si="11"/>
        <v/>
      </c>
      <c r="O135" s="440"/>
    </row>
    <row r="136" spans="1:15" s="237" customFormat="1" ht="15" hidden="1" customHeight="1" outlineLevel="2" x14ac:dyDescent="0.25">
      <c r="A136" s="363"/>
      <c r="B136" s="1160"/>
      <c r="C136" s="436"/>
      <c r="D136" s="436"/>
      <c r="E136" s="438"/>
      <c r="F136" s="438"/>
      <c r="G136" s="1020" t="str">
        <f>IF(OR(D136="",D136="-"),"",VLOOKUP(D136,'Fatores de Emissão'!$E$114:$G$173,3,FALSE))</f>
        <v/>
      </c>
      <c r="H136" s="1110" t="str">
        <f>IF(OR($D136="",$D136="-"),"",VLOOKUP($D136,'Fatores de Emissão'!$E$117:$K$173,2,FALSE))</f>
        <v/>
      </c>
      <c r="I136" s="1110" t="str">
        <f>IF(OR($D136="",$D136="-"),"",VLOOKUP($D136,'Fatores de Emissão'!$E$117:$K$173,4,FALSE))</f>
        <v/>
      </c>
      <c r="J136" s="1110" t="str">
        <f>IF(OR($D136="",$D136="-"),"",VLOOKUP($D136,'Fatores de Emissão'!$E$117:$K$173,6,FALSE))</f>
        <v/>
      </c>
      <c r="K136" s="450" t="str">
        <f t="shared" si="13"/>
        <v/>
      </c>
      <c r="L136" s="450" t="str">
        <f t="shared" si="13"/>
        <v/>
      </c>
      <c r="M136" s="450" t="str">
        <f t="shared" si="10"/>
        <v/>
      </c>
      <c r="N136" s="441" t="str">
        <f t="shared" si="11"/>
        <v/>
      </c>
      <c r="O136" s="440"/>
    </row>
    <row r="137" spans="1:15" s="237" customFormat="1" ht="15" hidden="1" customHeight="1" outlineLevel="2" x14ac:dyDescent="0.25">
      <c r="A137" s="363"/>
      <c r="B137" s="1160"/>
      <c r="C137" s="436"/>
      <c r="D137" s="436"/>
      <c r="E137" s="438"/>
      <c r="F137" s="438"/>
      <c r="G137" s="1020" t="str">
        <f>IF(OR(D137="",D137="-"),"",VLOOKUP(D137,'Fatores de Emissão'!$E$114:$G$173,3,FALSE))</f>
        <v/>
      </c>
      <c r="H137" s="1110" t="str">
        <f>IF(OR($D137="",$D137="-"),"",VLOOKUP($D137,'Fatores de Emissão'!$E$117:$K$173,2,FALSE))</f>
        <v/>
      </c>
      <c r="I137" s="1110" t="str">
        <f>IF(OR($D137="",$D137="-"),"",VLOOKUP($D137,'Fatores de Emissão'!$E$117:$K$173,4,FALSE))</f>
        <v/>
      </c>
      <c r="J137" s="1110" t="str">
        <f>IF(OR($D137="",$D137="-"),"",VLOOKUP($D137,'Fatores de Emissão'!$E$117:$K$173,6,FALSE))</f>
        <v/>
      </c>
      <c r="K137" s="450" t="str">
        <f t="shared" si="13"/>
        <v/>
      </c>
      <c r="L137" s="450" t="str">
        <f t="shared" si="13"/>
        <v/>
      </c>
      <c r="M137" s="450" t="str">
        <f t="shared" si="10"/>
        <v/>
      </c>
      <c r="N137" s="441" t="str">
        <f t="shared" si="11"/>
        <v/>
      </c>
      <c r="O137" s="440"/>
    </row>
    <row r="138" spans="1:15" s="237" customFormat="1" ht="15" hidden="1" customHeight="1" outlineLevel="2" x14ac:dyDescent="0.25">
      <c r="A138" s="363"/>
      <c r="B138" s="1160"/>
      <c r="C138" s="436"/>
      <c r="D138" s="436"/>
      <c r="E138" s="438"/>
      <c r="F138" s="438"/>
      <c r="G138" s="1020" t="str">
        <f>IF(OR(D138="",D138="-"),"",VLOOKUP(D138,'Fatores de Emissão'!$E$114:$G$173,3,FALSE))</f>
        <v/>
      </c>
      <c r="H138" s="1110" t="str">
        <f>IF(OR($D138="",$D138="-"),"",VLOOKUP($D138,'Fatores de Emissão'!$E$117:$K$173,2,FALSE))</f>
        <v/>
      </c>
      <c r="I138" s="1110" t="str">
        <f>IF(OR($D138="",$D138="-"),"",VLOOKUP($D138,'Fatores de Emissão'!$E$117:$K$173,4,FALSE))</f>
        <v/>
      </c>
      <c r="J138" s="1110" t="str">
        <f>IF(OR($D138="",$D138="-"),"",VLOOKUP($D138,'Fatores de Emissão'!$E$117:$K$173,6,FALSE))</f>
        <v/>
      </c>
      <c r="K138" s="450" t="str">
        <f t="shared" si="13"/>
        <v/>
      </c>
      <c r="L138" s="450" t="str">
        <f t="shared" si="13"/>
        <v/>
      </c>
      <c r="M138" s="450" t="str">
        <f t="shared" si="10"/>
        <v/>
      </c>
      <c r="N138" s="441" t="str">
        <f t="shared" si="11"/>
        <v/>
      </c>
      <c r="O138" s="440"/>
    </row>
    <row r="139" spans="1:15" s="237" customFormat="1" ht="15" hidden="1" customHeight="1" outlineLevel="2" x14ac:dyDescent="0.25">
      <c r="A139" s="363"/>
      <c r="B139" s="1160"/>
      <c r="C139" s="436"/>
      <c r="D139" s="436"/>
      <c r="E139" s="438"/>
      <c r="F139" s="438"/>
      <c r="G139" s="1020" t="str">
        <f>IF(OR(D139="",D139="-"),"",VLOOKUP(D139,'Fatores de Emissão'!$E$114:$G$173,3,FALSE))</f>
        <v/>
      </c>
      <c r="H139" s="1110" t="str">
        <f>IF(OR($D139="",$D139="-"),"",VLOOKUP($D139,'Fatores de Emissão'!$E$117:$K$173,2,FALSE))</f>
        <v/>
      </c>
      <c r="I139" s="1110" t="str">
        <f>IF(OR($D139="",$D139="-"),"",VLOOKUP($D139,'Fatores de Emissão'!$E$117:$K$173,4,FALSE))</f>
        <v/>
      </c>
      <c r="J139" s="1110" t="str">
        <f>IF(OR($D139="",$D139="-"),"",VLOOKUP($D139,'Fatores de Emissão'!$E$117:$K$173,6,FALSE))</f>
        <v/>
      </c>
      <c r="K139" s="450" t="str">
        <f t="shared" si="13"/>
        <v/>
      </c>
      <c r="L139" s="450" t="str">
        <f t="shared" si="13"/>
        <v/>
      </c>
      <c r="M139" s="450" t="str">
        <f t="shared" si="10"/>
        <v/>
      </c>
      <c r="N139" s="441" t="str">
        <f t="shared" si="11"/>
        <v/>
      </c>
      <c r="O139" s="440"/>
    </row>
    <row r="140" spans="1:15" s="237" customFormat="1" ht="15" hidden="1" customHeight="1" outlineLevel="2" x14ac:dyDescent="0.25">
      <c r="A140" s="363"/>
      <c r="B140" s="1160"/>
      <c r="C140" s="436"/>
      <c r="D140" s="436"/>
      <c r="E140" s="438"/>
      <c r="F140" s="438"/>
      <c r="G140" s="1020" t="str">
        <f>IF(OR(D140="",D140="-"),"",VLOOKUP(D140,'Fatores de Emissão'!$E$114:$G$173,3,FALSE))</f>
        <v/>
      </c>
      <c r="H140" s="1110" t="str">
        <f>IF(OR($D140="",$D140="-"),"",VLOOKUP($D140,'Fatores de Emissão'!$E$117:$K$173,2,FALSE))</f>
        <v/>
      </c>
      <c r="I140" s="1110" t="str">
        <f>IF(OR($D140="",$D140="-"),"",VLOOKUP($D140,'Fatores de Emissão'!$E$117:$K$173,4,FALSE))</f>
        <v/>
      </c>
      <c r="J140" s="1110" t="str">
        <f>IF(OR($D140="",$D140="-"),"",VLOOKUP($D140,'Fatores de Emissão'!$E$117:$K$173,6,FALSE))</f>
        <v/>
      </c>
      <c r="K140" s="450" t="str">
        <f t="shared" si="13"/>
        <v/>
      </c>
      <c r="L140" s="450" t="str">
        <f t="shared" si="13"/>
        <v/>
      </c>
      <c r="M140" s="450" t="str">
        <f t="shared" si="10"/>
        <v/>
      </c>
      <c r="N140" s="441" t="str">
        <f t="shared" si="11"/>
        <v/>
      </c>
      <c r="O140" s="440"/>
    </row>
    <row r="141" spans="1:15" s="237" customFormat="1" ht="15" hidden="1" customHeight="1" outlineLevel="2" x14ac:dyDescent="0.25">
      <c r="A141" s="363"/>
      <c r="B141" s="1160"/>
      <c r="C141" s="436"/>
      <c r="D141" s="436"/>
      <c r="E141" s="438"/>
      <c r="F141" s="438"/>
      <c r="G141" s="1020" t="str">
        <f>IF(OR(D141="",D141="-"),"",VLOOKUP(D141,'Fatores de Emissão'!$E$114:$G$173,3,FALSE))</f>
        <v/>
      </c>
      <c r="H141" s="1110" t="str">
        <f>IF(OR($D141="",$D141="-"),"",VLOOKUP($D141,'Fatores de Emissão'!$E$117:$K$173,2,FALSE))</f>
        <v/>
      </c>
      <c r="I141" s="1110" t="str">
        <f>IF(OR($D141="",$D141="-"),"",VLOOKUP($D141,'Fatores de Emissão'!$E$117:$K$173,4,FALSE))</f>
        <v/>
      </c>
      <c r="J141" s="1110" t="str">
        <f>IF(OR($D141="",$D141="-"),"",VLOOKUP($D141,'Fatores de Emissão'!$E$117:$K$173,6,FALSE))</f>
        <v/>
      </c>
      <c r="K141" s="450" t="str">
        <f t="shared" si="13"/>
        <v/>
      </c>
      <c r="L141" s="450" t="str">
        <f t="shared" si="13"/>
        <v/>
      </c>
      <c r="M141" s="450" t="str">
        <f t="shared" si="10"/>
        <v/>
      </c>
      <c r="N141" s="441" t="str">
        <f t="shared" si="11"/>
        <v/>
      </c>
      <c r="O141" s="440"/>
    </row>
    <row r="142" spans="1:15" s="237" customFormat="1" ht="15" hidden="1" customHeight="1" outlineLevel="2" x14ac:dyDescent="0.25">
      <c r="A142" s="363"/>
      <c r="B142" s="1160"/>
      <c r="C142" s="436"/>
      <c r="D142" s="436"/>
      <c r="E142" s="438"/>
      <c r="F142" s="438"/>
      <c r="G142" s="1020" t="str">
        <f>IF(OR(D142="",D142="-"),"",VLOOKUP(D142,'Fatores de Emissão'!$E$114:$G$173,3,FALSE))</f>
        <v/>
      </c>
      <c r="H142" s="1110" t="str">
        <f>IF(OR($D142="",$D142="-"),"",VLOOKUP($D142,'Fatores de Emissão'!$E$117:$K$173,2,FALSE))</f>
        <v/>
      </c>
      <c r="I142" s="1110" t="str">
        <f>IF(OR($D142="",$D142="-"),"",VLOOKUP($D142,'Fatores de Emissão'!$E$117:$K$173,4,FALSE))</f>
        <v/>
      </c>
      <c r="J142" s="1110" t="str">
        <f>IF(OR($D142="",$D142="-"),"",VLOOKUP($D142,'Fatores de Emissão'!$E$117:$K$173,6,FALSE))</f>
        <v/>
      </c>
      <c r="K142" s="450" t="str">
        <f t="shared" si="13"/>
        <v/>
      </c>
      <c r="L142" s="450" t="str">
        <f t="shared" si="13"/>
        <v/>
      </c>
      <c r="M142" s="450" t="str">
        <f t="shared" si="10"/>
        <v/>
      </c>
      <c r="N142" s="441" t="str">
        <f t="shared" si="11"/>
        <v/>
      </c>
      <c r="O142" s="440"/>
    </row>
    <row r="143" spans="1:15" s="237" customFormat="1" ht="15" hidden="1" customHeight="1" outlineLevel="2" x14ac:dyDescent="0.25">
      <c r="A143" s="363"/>
      <c r="B143" s="1160"/>
      <c r="C143" s="436"/>
      <c r="D143" s="436"/>
      <c r="E143" s="438"/>
      <c r="F143" s="438"/>
      <c r="G143" s="1020" t="str">
        <f>IF(OR(D143="",D143="-"),"",VLOOKUP(D143,'Fatores de Emissão'!$E$114:$G$173,3,FALSE))</f>
        <v/>
      </c>
      <c r="H143" s="1110" t="str">
        <f>IF(OR($D143="",$D143="-"),"",VLOOKUP($D143,'Fatores de Emissão'!$E$117:$K$173,2,FALSE))</f>
        <v/>
      </c>
      <c r="I143" s="1110" t="str">
        <f>IF(OR($D143="",$D143="-"),"",VLOOKUP($D143,'Fatores de Emissão'!$E$117:$K$173,4,FALSE))</f>
        <v/>
      </c>
      <c r="J143" s="1110" t="str">
        <f>IF(OR($D143="",$D143="-"),"",VLOOKUP($D143,'Fatores de Emissão'!$E$117:$K$173,6,FALSE))</f>
        <v/>
      </c>
      <c r="K143" s="450" t="str">
        <f t="shared" si="13"/>
        <v/>
      </c>
      <c r="L143" s="450" t="str">
        <f t="shared" si="13"/>
        <v/>
      </c>
      <c r="M143" s="450" t="str">
        <f t="shared" si="10"/>
        <v/>
      </c>
      <c r="N143" s="441" t="str">
        <f t="shared" si="11"/>
        <v/>
      </c>
      <c r="O143" s="440"/>
    </row>
    <row r="144" spans="1:15" s="237" customFormat="1" ht="15" hidden="1" customHeight="1" outlineLevel="2" x14ac:dyDescent="0.25">
      <c r="A144" s="363"/>
      <c r="B144" s="1160"/>
      <c r="C144" s="436"/>
      <c r="D144" s="436"/>
      <c r="E144" s="438"/>
      <c r="F144" s="438"/>
      <c r="G144" s="1020" t="str">
        <f>IF(OR(D144="",D144="-"),"",VLOOKUP(D144,'Fatores de Emissão'!$E$114:$G$173,3,FALSE))</f>
        <v/>
      </c>
      <c r="H144" s="1110" t="str">
        <f>IF(OR($D144="",$D144="-"),"",VLOOKUP($D144,'Fatores de Emissão'!$E$117:$K$173,2,FALSE))</f>
        <v/>
      </c>
      <c r="I144" s="1110" t="str">
        <f>IF(OR($D144="",$D144="-"),"",VLOOKUP($D144,'Fatores de Emissão'!$E$117:$K$173,4,FALSE))</f>
        <v/>
      </c>
      <c r="J144" s="1110" t="str">
        <f>IF(OR($D144="",$D144="-"),"",VLOOKUP($D144,'Fatores de Emissão'!$E$117:$K$173,6,FALSE))</f>
        <v/>
      </c>
      <c r="K144" s="450" t="str">
        <f t="shared" si="13"/>
        <v/>
      </c>
      <c r="L144" s="450" t="str">
        <f t="shared" si="13"/>
        <v/>
      </c>
      <c r="M144" s="450" t="str">
        <f t="shared" si="10"/>
        <v/>
      </c>
      <c r="N144" s="441" t="str">
        <f t="shared" si="11"/>
        <v/>
      </c>
      <c r="O144" s="440"/>
    </row>
    <row r="145" spans="1:58" s="237" customFormat="1" ht="15" hidden="1" customHeight="1" outlineLevel="2" x14ac:dyDescent="0.25">
      <c r="A145" s="363"/>
      <c r="B145" s="1160"/>
      <c r="C145" s="436"/>
      <c r="D145" s="436"/>
      <c r="E145" s="438"/>
      <c r="F145" s="438"/>
      <c r="G145" s="1020" t="str">
        <f>IF(OR(D145="",D145="-"),"",VLOOKUP(D145,'Fatores de Emissão'!$E$114:$G$173,3,FALSE))</f>
        <v/>
      </c>
      <c r="H145" s="1110" t="str">
        <f>IF(OR($D145="",$D145="-"),"",VLOOKUP($D145,'Fatores de Emissão'!$E$117:$K$173,2,FALSE))</f>
        <v/>
      </c>
      <c r="I145" s="1110" t="str">
        <f>IF(OR($D145="",$D145="-"),"",VLOOKUP($D145,'Fatores de Emissão'!$E$117:$K$173,4,FALSE))</f>
        <v/>
      </c>
      <c r="J145" s="1110" t="str">
        <f>IF(OR($D145="",$D145="-"),"",VLOOKUP($D145,'Fatores de Emissão'!$E$117:$K$173,6,FALSE))</f>
        <v/>
      </c>
      <c r="K145" s="450" t="str">
        <f t="shared" si="13"/>
        <v/>
      </c>
      <c r="L145" s="450" t="str">
        <f t="shared" si="13"/>
        <v/>
      </c>
      <c r="M145" s="450" t="str">
        <f t="shared" si="10"/>
        <v/>
      </c>
      <c r="N145" s="441" t="str">
        <f t="shared" si="11"/>
        <v/>
      </c>
      <c r="O145" s="440"/>
    </row>
    <row r="146" spans="1:58" s="237" customFormat="1" ht="15" hidden="1" customHeight="1" outlineLevel="2" x14ac:dyDescent="0.25">
      <c r="A146" s="363"/>
      <c r="B146" s="1160"/>
      <c r="C146" s="436"/>
      <c r="D146" s="436"/>
      <c r="E146" s="438"/>
      <c r="F146" s="438"/>
      <c r="G146" s="1020" t="str">
        <f>IF(OR(D146="",D146="-"),"",VLOOKUP(D146,'Fatores de Emissão'!$E$114:$G$173,3,FALSE))</f>
        <v/>
      </c>
      <c r="H146" s="1110" t="str">
        <f>IF(OR($D146="",$D146="-"),"",VLOOKUP($D146,'Fatores de Emissão'!$E$117:$K$173,2,FALSE))</f>
        <v/>
      </c>
      <c r="I146" s="1110" t="str">
        <f>IF(OR($D146="",$D146="-"),"",VLOOKUP($D146,'Fatores de Emissão'!$E$117:$K$173,4,FALSE))</f>
        <v/>
      </c>
      <c r="J146" s="1110" t="str">
        <f>IF(OR($D146="",$D146="-"),"",VLOOKUP($D146,'Fatores de Emissão'!$E$117:$K$173,6,FALSE))</f>
        <v/>
      </c>
      <c r="K146" s="450" t="str">
        <f t="shared" si="13"/>
        <v/>
      </c>
      <c r="L146" s="450" t="str">
        <f t="shared" si="13"/>
        <v/>
      </c>
      <c r="M146" s="450" t="str">
        <f t="shared" si="10"/>
        <v/>
      </c>
      <c r="N146" s="441" t="str">
        <f t="shared" si="11"/>
        <v/>
      </c>
      <c r="O146" s="440"/>
    </row>
    <row r="147" spans="1:58" s="237" customFormat="1" ht="15" hidden="1" customHeight="1" outlineLevel="2" x14ac:dyDescent="0.25">
      <c r="A147" s="363"/>
      <c r="B147" s="1160"/>
      <c r="C147" s="436"/>
      <c r="D147" s="436"/>
      <c r="E147" s="438"/>
      <c r="F147" s="438"/>
      <c r="G147" s="1020" t="str">
        <f>IF(OR(D147="",D147="-"),"",VLOOKUP(D147,'Fatores de Emissão'!$E$114:$G$173,3,FALSE))</f>
        <v/>
      </c>
      <c r="H147" s="1110" t="str">
        <f>IF(OR($D147="",$D147="-"),"",VLOOKUP($D147,'Fatores de Emissão'!$E$117:$K$173,2,FALSE))</f>
        <v/>
      </c>
      <c r="I147" s="1110" t="str">
        <f>IF(OR($D147="",$D147="-"),"",VLOOKUP($D147,'Fatores de Emissão'!$E$117:$K$173,4,FALSE))</f>
        <v/>
      </c>
      <c r="J147" s="1110" t="str">
        <f>IF(OR($D147="",$D147="-"),"",VLOOKUP($D147,'Fatores de Emissão'!$E$117:$K$173,6,FALSE))</f>
        <v/>
      </c>
      <c r="K147" s="450" t="str">
        <f t="shared" si="13"/>
        <v/>
      </c>
      <c r="L147" s="450" t="str">
        <f t="shared" si="13"/>
        <v/>
      </c>
      <c r="M147" s="450" t="str">
        <f t="shared" si="10"/>
        <v/>
      </c>
      <c r="N147" s="441" t="str">
        <f t="shared" si="11"/>
        <v/>
      </c>
      <c r="O147" s="440"/>
    </row>
    <row r="148" spans="1:58" s="237" customFormat="1" ht="15" hidden="1" customHeight="1" outlineLevel="2" x14ac:dyDescent="0.25">
      <c r="A148" s="363"/>
      <c r="B148" s="1160"/>
      <c r="C148" s="436"/>
      <c r="D148" s="436"/>
      <c r="E148" s="438"/>
      <c r="F148" s="438"/>
      <c r="G148" s="1020" t="str">
        <f>IF(OR(D148="",D148="-"),"",VLOOKUP(D148,'Fatores de Emissão'!$E$114:$G$173,3,FALSE))</f>
        <v/>
      </c>
      <c r="H148" s="1110" t="str">
        <f>IF(OR($D148="",$D148="-"),"",VLOOKUP($D148,'Fatores de Emissão'!$E$117:$K$173,2,FALSE))</f>
        <v/>
      </c>
      <c r="I148" s="1110" t="str">
        <f>IF(OR($D148="",$D148="-"),"",VLOOKUP($D148,'Fatores de Emissão'!$E$117:$K$173,4,FALSE))</f>
        <v/>
      </c>
      <c r="J148" s="1110" t="str">
        <f>IF(OR($D148="",$D148="-"),"",VLOOKUP($D148,'Fatores de Emissão'!$E$117:$K$173,6,FALSE))</f>
        <v/>
      </c>
      <c r="K148" s="450" t="str">
        <f t="shared" si="13"/>
        <v/>
      </c>
      <c r="L148" s="450" t="str">
        <f t="shared" si="13"/>
        <v/>
      </c>
      <c r="M148" s="450" t="str">
        <f t="shared" si="10"/>
        <v/>
      </c>
      <c r="N148" s="441" t="str">
        <f t="shared" si="11"/>
        <v/>
      </c>
      <c r="O148" s="440"/>
    </row>
    <row r="149" spans="1:58" s="237" customFormat="1" ht="15" hidden="1" customHeight="1" outlineLevel="2" x14ac:dyDescent="0.25">
      <c r="A149" s="363"/>
      <c r="B149" s="1160"/>
      <c r="C149" s="436"/>
      <c r="D149" s="436"/>
      <c r="E149" s="438"/>
      <c r="F149" s="438"/>
      <c r="G149" s="1020" t="str">
        <f>IF(OR(D149="",D149="-"),"",VLOOKUP(D149,'Fatores de Emissão'!$E$114:$G$173,3,FALSE))</f>
        <v/>
      </c>
      <c r="H149" s="1110" t="str">
        <f>IF(OR($D149="",$D149="-"),"",VLOOKUP($D149,'Fatores de Emissão'!$E$117:$K$173,2,FALSE))</f>
        <v/>
      </c>
      <c r="I149" s="1110" t="str">
        <f>IF(OR($D149="",$D149="-"),"",VLOOKUP($D149,'Fatores de Emissão'!$E$117:$K$173,4,FALSE))</f>
        <v/>
      </c>
      <c r="J149" s="1110" t="str">
        <f>IF(OR($D149="",$D149="-"),"",VLOOKUP($D149,'Fatores de Emissão'!$E$117:$K$173,6,FALSE))</f>
        <v/>
      </c>
      <c r="K149" s="450" t="str">
        <f t="shared" si="13"/>
        <v/>
      </c>
      <c r="L149" s="450" t="str">
        <f t="shared" si="13"/>
        <v/>
      </c>
      <c r="M149" s="450" t="str">
        <f t="shared" si="10"/>
        <v/>
      </c>
      <c r="N149" s="441" t="str">
        <f t="shared" si="11"/>
        <v/>
      </c>
      <c r="O149" s="440"/>
    </row>
    <row r="150" spans="1:58" s="237" customFormat="1" ht="15" hidden="1" customHeight="1" outlineLevel="2" x14ac:dyDescent="0.25">
      <c r="A150" s="363"/>
      <c r="B150" s="1160"/>
      <c r="C150" s="436"/>
      <c r="D150" s="436"/>
      <c r="E150" s="438"/>
      <c r="F150" s="438"/>
      <c r="G150" s="1020" t="str">
        <f>IF(OR(D150="",D150="-"),"",VLOOKUP(D150,'Fatores de Emissão'!$E$114:$G$173,3,FALSE))</f>
        <v/>
      </c>
      <c r="H150" s="1110" t="str">
        <f>IF(OR($D150="",$D150="-"),"",VLOOKUP($D150,'Fatores de Emissão'!$E$117:$K$173,2,FALSE))</f>
        <v/>
      </c>
      <c r="I150" s="1110" t="str">
        <f>IF(OR($D150="",$D150="-"),"",VLOOKUP($D150,'Fatores de Emissão'!$E$117:$K$173,4,FALSE))</f>
        <v/>
      </c>
      <c r="J150" s="1110" t="str">
        <f>IF(OR($D150="",$D150="-"),"",VLOOKUP($D150,'Fatores de Emissão'!$E$117:$K$173,6,FALSE))</f>
        <v/>
      </c>
      <c r="K150" s="450" t="str">
        <f t="shared" si="13"/>
        <v/>
      </c>
      <c r="L150" s="450" t="str">
        <f t="shared" si="13"/>
        <v/>
      </c>
      <c r="M150" s="450" t="str">
        <f t="shared" si="10"/>
        <v/>
      </c>
      <c r="N150" s="441" t="str">
        <f t="shared" si="11"/>
        <v/>
      </c>
      <c r="O150" s="440"/>
    </row>
    <row r="151" spans="1:58" s="237" customFormat="1" ht="15" hidden="1" customHeight="1" outlineLevel="2" x14ac:dyDescent="0.25">
      <c r="A151" s="363"/>
      <c r="B151" s="1160"/>
      <c r="C151" s="436"/>
      <c r="D151" s="436"/>
      <c r="E151" s="438"/>
      <c r="F151" s="438"/>
      <c r="G151" s="1020" t="str">
        <f>IF(OR(D151="",D151="-"),"",VLOOKUP(D151,'Fatores de Emissão'!$E$114:$G$173,3,FALSE))</f>
        <v/>
      </c>
      <c r="H151" s="1110" t="str">
        <f>IF(OR($D151="",$D151="-"),"",VLOOKUP($D151,'Fatores de Emissão'!$E$117:$K$173,2,FALSE))</f>
        <v/>
      </c>
      <c r="I151" s="1110" t="str">
        <f>IF(OR($D151="",$D151="-"),"",VLOOKUP($D151,'Fatores de Emissão'!$E$117:$K$173,4,FALSE))</f>
        <v/>
      </c>
      <c r="J151" s="1110" t="str">
        <f>IF(OR($D151="",$D151="-"),"",VLOOKUP($D151,'Fatores de Emissão'!$E$117:$K$173,6,FALSE))</f>
        <v/>
      </c>
      <c r="K151" s="450" t="str">
        <f t="shared" si="13"/>
        <v/>
      </c>
      <c r="L151" s="450" t="str">
        <f t="shared" si="13"/>
        <v/>
      </c>
      <c r="M151" s="450" t="str">
        <f t="shared" si="10"/>
        <v/>
      </c>
      <c r="N151" s="441" t="str">
        <f t="shared" si="11"/>
        <v/>
      </c>
      <c r="O151" s="440"/>
    </row>
    <row r="152" spans="1:58" s="237" customFormat="1" ht="15" hidden="1" customHeight="1" outlineLevel="2" x14ac:dyDescent="0.25">
      <c r="A152" s="363"/>
      <c r="B152" s="1160"/>
      <c r="C152" s="436"/>
      <c r="D152" s="436"/>
      <c r="E152" s="438"/>
      <c r="F152" s="438"/>
      <c r="G152" s="1020" t="str">
        <f>IF(OR(D152="",D152="-"),"",VLOOKUP(D152,'Fatores de Emissão'!$E$114:$G$173,3,FALSE))</f>
        <v/>
      </c>
      <c r="H152" s="1110" t="str">
        <f>IF(OR($D152="",$D152="-"),"",VLOOKUP($D152,'Fatores de Emissão'!$E$117:$K$173,2,FALSE))</f>
        <v/>
      </c>
      <c r="I152" s="1110" t="str">
        <f>IF(OR($D152="",$D152="-"),"",VLOOKUP($D152,'Fatores de Emissão'!$E$117:$K$173,4,FALSE))</f>
        <v/>
      </c>
      <c r="J152" s="1110" t="str">
        <f>IF(OR($D152="",$D152="-"),"",VLOOKUP($D152,'Fatores de Emissão'!$E$117:$K$173,6,FALSE))</f>
        <v/>
      </c>
      <c r="K152" s="450" t="str">
        <f t="shared" si="13"/>
        <v/>
      </c>
      <c r="L152" s="450" t="str">
        <f t="shared" si="13"/>
        <v/>
      </c>
      <c r="M152" s="450" t="str">
        <f t="shared" si="10"/>
        <v/>
      </c>
      <c r="N152" s="441" t="str">
        <f t="shared" si="11"/>
        <v/>
      </c>
      <c r="O152" s="440"/>
    </row>
    <row r="153" spans="1:58" s="237" customFormat="1" ht="15" customHeight="1" outlineLevel="1" x14ac:dyDescent="0.25">
      <c r="A153" s="454"/>
      <c r="B153" s="454"/>
      <c r="C153" s="454"/>
      <c r="D153" s="454"/>
      <c r="E153" s="454"/>
      <c r="G153" s="454"/>
      <c r="H153" s="454"/>
      <c r="I153" s="1243" t="s">
        <v>78</v>
      </c>
      <c r="J153" s="1243"/>
      <c r="K153" s="443">
        <f>SUM(K103:K152)</f>
        <v>0</v>
      </c>
      <c r="L153" s="443">
        <f>SUM(L103:L152)</f>
        <v>0</v>
      </c>
      <c r="M153" s="443">
        <f>SUM(M103:M152)</f>
        <v>0</v>
      </c>
      <c r="N153" s="443">
        <f>SUM(N103:N152)</f>
        <v>0</v>
      </c>
      <c r="O153" s="443">
        <f>SUM(O103:O152)</f>
        <v>0</v>
      </c>
    </row>
    <row r="154" spans="1:58" s="237" customFormat="1" ht="15" customHeight="1" collapsed="1" x14ac:dyDescent="0.25">
      <c r="A154" s="363"/>
      <c r="B154" s="373"/>
      <c r="C154" s="442"/>
      <c r="D154" s="442"/>
      <c r="E154" s="442"/>
      <c r="F154" s="363"/>
      <c r="G154" s="363"/>
      <c r="H154" s="363"/>
      <c r="I154" s="363"/>
      <c r="J154" s="363"/>
      <c r="K154" s="363"/>
      <c r="L154" s="363"/>
      <c r="M154" s="363"/>
      <c r="N154" s="363"/>
      <c r="O154" s="363"/>
      <c r="P154" s="363"/>
      <c r="Q154" s="363"/>
      <c r="R154" s="363"/>
      <c r="AI154" s="363"/>
      <c r="AJ154" s="363"/>
      <c r="AK154" s="363"/>
      <c r="AL154" s="363"/>
      <c r="AM154" s="363"/>
      <c r="AO154" s="363"/>
      <c r="AP154" s="363"/>
      <c r="AQ154" s="363"/>
    </row>
    <row r="155" spans="1:58" s="463" customFormat="1" ht="18" customHeight="1" x14ac:dyDescent="0.3">
      <c r="A155" s="458"/>
      <c r="B155" s="733" t="s">
        <v>21</v>
      </c>
      <c r="C155" s="459"/>
      <c r="D155" s="460"/>
      <c r="E155" s="460"/>
      <c r="F155" s="460"/>
      <c r="G155" s="461"/>
      <c r="H155" s="461"/>
      <c r="I155" s="461"/>
      <c r="J155" s="461"/>
      <c r="K155" s="461"/>
      <c r="L155" s="461"/>
      <c r="M155" s="461"/>
      <c r="N155" s="461"/>
      <c r="O155" s="461"/>
      <c r="P155" s="461"/>
      <c r="Q155" s="461"/>
      <c r="R155" s="461"/>
      <c r="S155" s="461"/>
      <c r="T155" s="461"/>
      <c r="U155" s="461"/>
      <c r="V155" s="461"/>
      <c r="W155" s="461"/>
      <c r="X155" s="461"/>
      <c r="Y155" s="461"/>
      <c r="Z155" s="461"/>
      <c r="AA155" s="461"/>
      <c r="AB155" s="461"/>
      <c r="AC155" s="461"/>
      <c r="AD155" s="461"/>
      <c r="AE155" s="461"/>
      <c r="AF155" s="461"/>
      <c r="AG155" s="461"/>
      <c r="AH155" s="461"/>
      <c r="AI155" s="461"/>
      <c r="AJ155" s="461"/>
      <c r="AK155" s="461"/>
      <c r="AL155" s="461"/>
      <c r="AM155" s="461"/>
      <c r="AN155" s="461"/>
      <c r="AO155" s="461"/>
      <c r="AP155" s="461"/>
      <c r="AQ155" s="461"/>
      <c r="AR155" s="461"/>
      <c r="AS155" s="461"/>
      <c r="AT155" s="461"/>
      <c r="AU155" s="461"/>
      <c r="AV155" s="461"/>
      <c r="AW155" s="461"/>
      <c r="AX155" s="461"/>
      <c r="AY155" s="461"/>
      <c r="AZ155" s="461"/>
      <c r="BA155" s="461"/>
      <c r="BB155" s="461"/>
      <c r="BC155" s="461"/>
      <c r="BD155" s="461"/>
      <c r="BE155" s="461"/>
      <c r="BF155" s="462"/>
    </row>
    <row r="156" spans="1:58" ht="15" customHeight="1" outlineLevel="1" x14ac:dyDescent="0.2">
      <c r="A156" s="339"/>
      <c r="B156" s="920"/>
      <c r="C156" s="416"/>
      <c r="D156" s="416"/>
      <c r="E156" s="416"/>
      <c r="F156" s="339"/>
      <c r="G156" s="339"/>
      <c r="H156" s="339"/>
      <c r="I156" s="339"/>
      <c r="J156" s="339"/>
      <c r="K156" s="339"/>
      <c r="L156" s="339"/>
      <c r="M156" s="339"/>
      <c r="N156" s="339"/>
      <c r="O156" s="339"/>
      <c r="P156" s="339"/>
      <c r="Q156" s="339"/>
      <c r="R156" s="339"/>
      <c r="AI156" s="339"/>
      <c r="AJ156" s="339"/>
      <c r="AK156" s="339"/>
      <c r="AL156" s="339"/>
      <c r="AM156" s="339"/>
      <c r="AO156" s="339"/>
      <c r="AP156" s="339"/>
      <c r="AQ156" s="339"/>
    </row>
    <row r="157" spans="1:58" ht="15" customHeight="1" outlineLevel="1" x14ac:dyDescent="0.25">
      <c r="A157" s="339"/>
      <c r="B157" s="523" t="s">
        <v>124</v>
      </c>
      <c r="C157" s="416"/>
      <c r="D157" s="416"/>
      <c r="E157" s="416"/>
      <c r="F157" s="339"/>
      <c r="G157" s="339"/>
      <c r="H157" s="339"/>
      <c r="I157" s="339"/>
      <c r="J157" s="339"/>
      <c r="K157" s="339"/>
      <c r="L157" s="339"/>
      <c r="M157" s="339"/>
      <c r="N157" s="339"/>
      <c r="O157" s="339"/>
      <c r="P157" s="339"/>
      <c r="Q157" s="339"/>
      <c r="R157" s="339"/>
      <c r="AI157" s="339"/>
      <c r="AJ157" s="339"/>
      <c r="AK157" s="339"/>
      <c r="AL157" s="339"/>
      <c r="AM157" s="339"/>
      <c r="AO157" s="339"/>
      <c r="AP157" s="339"/>
      <c r="AQ157" s="339"/>
    </row>
    <row r="158" spans="1:58" s="237" customFormat="1" ht="15" customHeight="1" outlineLevel="1" x14ac:dyDescent="0.25">
      <c r="A158" s="363"/>
      <c r="B158" s="449" t="s">
        <v>2060</v>
      </c>
      <c r="C158" s="442"/>
      <c r="D158" s="442"/>
      <c r="E158" s="442"/>
      <c r="F158" s="363"/>
      <c r="G158" s="363"/>
      <c r="H158" s="363"/>
      <c r="I158" s="363"/>
      <c r="J158" s="363"/>
      <c r="K158" s="363"/>
      <c r="L158" s="363"/>
      <c r="M158" s="363"/>
      <c r="N158" s="363"/>
      <c r="O158" s="363"/>
      <c r="P158" s="363"/>
      <c r="Q158" s="363"/>
      <c r="R158" s="363"/>
      <c r="AI158" s="363"/>
      <c r="AJ158" s="363"/>
      <c r="AK158" s="363"/>
      <c r="AL158" s="363"/>
      <c r="AM158" s="363"/>
      <c r="AO158" s="363"/>
      <c r="AP158" s="363"/>
      <c r="AQ158" s="363"/>
    </row>
    <row r="159" spans="1:58" s="237" customFormat="1" ht="15" customHeight="1" outlineLevel="1" x14ac:dyDescent="0.25">
      <c r="A159" s="363"/>
      <c r="B159" s="470" t="s">
        <v>1533</v>
      </c>
      <c r="C159" s="442"/>
      <c r="D159" s="442"/>
      <c r="E159" s="442"/>
      <c r="F159" s="363"/>
      <c r="G159" s="363"/>
      <c r="H159" s="363"/>
      <c r="I159" s="363"/>
      <c r="J159" s="363"/>
      <c r="K159" s="363"/>
      <c r="L159" s="363"/>
      <c r="M159" s="363"/>
      <c r="N159" s="363"/>
      <c r="O159" s="363"/>
      <c r="P159" s="363"/>
      <c r="Q159" s="363"/>
      <c r="R159" s="363"/>
      <c r="AI159" s="363"/>
      <c r="AJ159" s="363"/>
      <c r="AK159" s="363"/>
      <c r="AL159" s="363"/>
      <c r="AM159" s="363"/>
      <c r="AO159" s="363"/>
      <c r="AP159" s="363"/>
      <c r="AQ159" s="363"/>
    </row>
    <row r="160" spans="1:58" s="237" customFormat="1" ht="15" customHeight="1" outlineLevel="1" x14ac:dyDescent="0.25">
      <c r="A160" s="363"/>
      <c r="B160" s="917"/>
      <c r="C160" s="442"/>
      <c r="D160" s="442"/>
      <c r="E160" s="442"/>
      <c r="F160" s="363"/>
      <c r="G160" s="363"/>
      <c r="H160" s="363"/>
      <c r="I160" s="363"/>
      <c r="J160" s="363"/>
      <c r="K160" s="363"/>
      <c r="L160" s="363"/>
      <c r="M160" s="363"/>
      <c r="N160" s="363"/>
      <c r="O160" s="363"/>
      <c r="P160" s="363"/>
      <c r="Q160" s="363"/>
      <c r="R160" s="363"/>
      <c r="AI160" s="363"/>
      <c r="AJ160" s="363"/>
      <c r="AK160" s="363"/>
      <c r="AL160" s="363"/>
      <c r="AM160" s="363"/>
      <c r="AO160" s="363"/>
      <c r="AP160" s="363"/>
      <c r="AQ160" s="363"/>
    </row>
    <row r="161" spans="1:43" s="237" customFormat="1" ht="15" customHeight="1" outlineLevel="1" x14ac:dyDescent="0.25">
      <c r="A161" s="363"/>
      <c r="B161" s="362" t="s">
        <v>2070</v>
      </c>
      <c r="C161" s="442"/>
      <c r="D161" s="442"/>
      <c r="E161" s="442"/>
      <c r="F161" s="363"/>
      <c r="G161" s="363"/>
      <c r="H161" s="363"/>
      <c r="I161" s="363"/>
      <c r="J161" s="363"/>
      <c r="K161" s="363"/>
      <c r="L161" s="363"/>
      <c r="M161" s="363"/>
      <c r="N161" s="363"/>
      <c r="O161" s="363"/>
      <c r="P161" s="363"/>
      <c r="Q161" s="363"/>
      <c r="R161" s="363"/>
      <c r="AI161" s="363"/>
      <c r="AJ161" s="363"/>
      <c r="AK161" s="363"/>
      <c r="AL161" s="363"/>
      <c r="AM161" s="363"/>
      <c r="AO161" s="363"/>
      <c r="AP161" s="363"/>
      <c r="AQ161" s="363"/>
    </row>
    <row r="162" spans="1:43" s="237" customFormat="1" ht="15" customHeight="1" outlineLevel="1" x14ac:dyDescent="0.25">
      <c r="A162" s="363"/>
      <c r="B162" s="1267" t="s">
        <v>1531</v>
      </c>
      <c r="C162" s="1267" t="s">
        <v>1868</v>
      </c>
      <c r="D162" s="1267" t="s">
        <v>1870</v>
      </c>
      <c r="E162" s="1267"/>
      <c r="F162" s="1249" t="s">
        <v>1743</v>
      </c>
      <c r="G162" s="1249" t="s">
        <v>1861</v>
      </c>
      <c r="H162" s="1249" t="s">
        <v>1862</v>
      </c>
      <c r="I162" s="1267" t="s">
        <v>588</v>
      </c>
      <c r="J162" s="1267"/>
      <c r="K162" s="1267"/>
      <c r="L162" s="1249" t="s">
        <v>1408</v>
      </c>
      <c r="M162" s="1249" t="s">
        <v>1409</v>
      </c>
      <c r="N162" s="1249" t="s">
        <v>1410</v>
      </c>
      <c r="O162" s="1249" t="s">
        <v>1411</v>
      </c>
      <c r="P162" s="1267" t="s">
        <v>1530</v>
      </c>
    </row>
    <row r="163" spans="1:43" s="237" customFormat="1" ht="15" customHeight="1" outlineLevel="1" x14ac:dyDescent="0.25">
      <c r="A163" s="363"/>
      <c r="B163" s="1267"/>
      <c r="C163" s="1267"/>
      <c r="D163" s="1267"/>
      <c r="E163" s="1267"/>
      <c r="F163" s="1266"/>
      <c r="G163" s="1266"/>
      <c r="H163" s="1266"/>
      <c r="I163" s="1267"/>
      <c r="J163" s="1267"/>
      <c r="K163" s="1267"/>
      <c r="L163" s="1266"/>
      <c r="M163" s="1266"/>
      <c r="N163" s="1266"/>
      <c r="O163" s="1266"/>
      <c r="P163" s="1267"/>
    </row>
    <row r="164" spans="1:43" s="237" customFormat="1" ht="28.5" customHeight="1" outlineLevel="1" x14ac:dyDescent="0.25">
      <c r="A164" s="363"/>
      <c r="B164" s="1267"/>
      <c r="C164" s="1267"/>
      <c r="D164" s="1267"/>
      <c r="E164" s="1267"/>
      <c r="F164" s="1250"/>
      <c r="G164" s="1250"/>
      <c r="H164" s="1250"/>
      <c r="I164" s="1159" t="s">
        <v>1394</v>
      </c>
      <c r="J164" s="1159" t="s">
        <v>1863</v>
      </c>
      <c r="K164" s="1159" t="s">
        <v>1864</v>
      </c>
      <c r="L164" s="1250"/>
      <c r="M164" s="1250"/>
      <c r="N164" s="1250"/>
      <c r="O164" s="1250"/>
      <c r="P164" s="1267"/>
    </row>
    <row r="165" spans="1:43" s="237" customFormat="1" ht="15" customHeight="1" outlineLevel="1" x14ac:dyDescent="0.25">
      <c r="A165" s="427" t="s">
        <v>606</v>
      </c>
      <c r="B165" s="444" t="s">
        <v>609</v>
      </c>
      <c r="C165" s="1107" t="s">
        <v>92</v>
      </c>
      <c r="D165" s="1272" t="s">
        <v>1872</v>
      </c>
      <c r="E165" s="1272"/>
      <c r="F165" s="446">
        <v>1000</v>
      </c>
      <c r="G165" s="446">
        <v>1000</v>
      </c>
      <c r="H165" s="447" t="s">
        <v>1566</v>
      </c>
      <c r="I165" s="472">
        <v>0</v>
      </c>
      <c r="J165" s="473">
        <v>1.3698889852995631E-6</v>
      </c>
      <c r="K165" s="473">
        <v>4.1096669558986883E-7</v>
      </c>
      <c r="L165" s="474">
        <v>0</v>
      </c>
      <c r="M165" s="474">
        <v>1.369888985299563E-3</v>
      </c>
      <c r="N165" s="474">
        <v>4.1096669558986882E-4</v>
      </c>
      <c r="O165" s="475">
        <v>0.15671529991826999</v>
      </c>
      <c r="P165" s="1143"/>
    </row>
    <row r="166" spans="1:43" s="237" customFormat="1" ht="15" customHeight="1" outlineLevel="1" x14ac:dyDescent="0.25">
      <c r="A166" s="363"/>
      <c r="B166" s="1160"/>
      <c r="C166" s="1160"/>
      <c r="D166" s="1268"/>
      <c r="E166" s="1268"/>
      <c r="F166" s="438"/>
      <c r="G166" s="438"/>
      <c r="H166" s="1020" t="str">
        <f>IF(OR(D166="",D166="-"),"",VLOOKUP(D166,'Fatores de Emissão'!$E$183:$K$184,3,FALSE))</f>
        <v/>
      </c>
      <c r="I166" s="1110" t="str">
        <f>IF(OR(D166="",D166="-"),"",VLOOKUP(D166,'Fatores de Emissão'!$E$181:$K$184,2,FALSE))</f>
        <v/>
      </c>
      <c r="J166" s="1110" t="str">
        <f>IF(OR(D166="",D166="-"),"",VLOOKUP(D166,'Fatores de Emissão'!$E$181:$K$184,4,FALSE))</f>
        <v/>
      </c>
      <c r="K166" s="1110" t="str">
        <f>IF(OR(D166="",D166="-"),"",VLOOKUP(D166,'Fatores de Emissão'!$E$181:$K$184,6,FALSE))</f>
        <v/>
      </c>
      <c r="L166" s="478" t="str">
        <f>IF($D166="","",$F166*$G166*I166/1000)</f>
        <v/>
      </c>
      <c r="M166" s="478" t="str">
        <f>IF($D166="","",$F166*$G166*J166/1000)</f>
        <v/>
      </c>
      <c r="N166" s="478" t="str">
        <f>IF($D166="","",$F166*$G166*K166/1000)</f>
        <v/>
      </c>
      <c r="O166" s="479" t="str">
        <f>IF(ISERR(L166*gwp_CO2+M166*gwp_CH4+N166*gwp_N2O),"",L166*gwp_CO2+M166*gwp_CH4+N166*gwp_N2O)</f>
        <v/>
      </c>
      <c r="P166" s="480"/>
    </row>
    <row r="167" spans="1:43" s="237" customFormat="1" ht="15" customHeight="1" outlineLevel="1" x14ac:dyDescent="0.25">
      <c r="A167" s="363"/>
      <c r="B167" s="1160"/>
      <c r="C167" s="1160"/>
      <c r="D167" s="1268"/>
      <c r="E167" s="1268"/>
      <c r="F167" s="438"/>
      <c r="G167" s="438"/>
      <c r="H167" s="1020" t="str">
        <f>IF(OR(D167="",D167="-"),"",VLOOKUP(D167,'Fatores de Emissão'!$E$181:$K$184,3,FALSE))</f>
        <v/>
      </c>
      <c r="I167" s="1110" t="str">
        <f>IF(OR(D167="",D167="-"),"",VLOOKUP(D167,'Fatores de Emissão'!$E$181:$K$184,2,FALSE))</f>
        <v/>
      </c>
      <c r="J167" s="1110" t="str">
        <f>IF(OR(D167="",D167="-"),"",VLOOKUP(D167,'Fatores de Emissão'!$E$181:$K$184,4,FALSE))</f>
        <v/>
      </c>
      <c r="K167" s="1110" t="str">
        <f>IF(OR(D167="",D167="-"),"",VLOOKUP(D167,'Fatores de Emissão'!$E$181:$K$184,6,FALSE))</f>
        <v/>
      </c>
      <c r="L167" s="478" t="str">
        <f t="shared" ref="L167:N215" si="14">IF($D167="","",$F167*$G167*I167/1000)</f>
        <v/>
      </c>
      <c r="M167" s="478" t="str">
        <f t="shared" si="14"/>
        <v/>
      </c>
      <c r="N167" s="478" t="str">
        <f t="shared" si="14"/>
        <v/>
      </c>
      <c r="O167" s="479" t="str">
        <f t="shared" ref="O167:O215" si="15">IF(ISERR(L167*gwp_CO2+M167*gwp_CH4+N167*gwp_N2O),"",L167*gwp_CO2+M167*gwp_CH4+N167*gwp_N2O)</f>
        <v/>
      </c>
      <c r="P167" s="480"/>
    </row>
    <row r="168" spans="1:43" s="237" customFormat="1" ht="15" customHeight="1" outlineLevel="1" x14ac:dyDescent="0.25">
      <c r="A168" s="363"/>
      <c r="B168" s="1160"/>
      <c r="C168" s="1160"/>
      <c r="D168" s="1268"/>
      <c r="E168" s="1268"/>
      <c r="F168" s="438"/>
      <c r="G168" s="438"/>
      <c r="H168" s="1020" t="str">
        <f>IF(OR(C168="",C168="-"),"",VLOOKUP(C168,'Fatores de Emissão'!$E$181:$K$184,3,FALSE))</f>
        <v/>
      </c>
      <c r="I168" s="1110" t="str">
        <f>IF(OR(D168="",D168="-"),"",VLOOKUP(D168,'Fatores de Emissão'!$E$181:$K$184,2,FALSE))</f>
        <v/>
      </c>
      <c r="J168" s="1110" t="str">
        <f>IF(OR(D168="",D168="-"),"",VLOOKUP(D168,'Fatores de Emissão'!$E$181:$K$184,4,FALSE))</f>
        <v/>
      </c>
      <c r="K168" s="1110" t="str">
        <f>IF(OR(D168="",D168="-"),"",VLOOKUP(D168,'Fatores de Emissão'!$E$181:$K$184,6,FALSE))</f>
        <v/>
      </c>
      <c r="L168" s="478" t="str">
        <f t="shared" si="14"/>
        <v/>
      </c>
      <c r="M168" s="478" t="str">
        <f t="shared" si="14"/>
        <v/>
      </c>
      <c r="N168" s="478" t="str">
        <f t="shared" si="14"/>
        <v/>
      </c>
      <c r="O168" s="479" t="str">
        <f t="shared" si="15"/>
        <v/>
      </c>
      <c r="P168" s="480"/>
    </row>
    <row r="169" spans="1:43" s="237" customFormat="1" ht="15" customHeight="1" outlineLevel="1" x14ac:dyDescent="0.25">
      <c r="A169" s="363"/>
      <c r="B169" s="1160"/>
      <c r="C169" s="1160"/>
      <c r="D169" s="1268"/>
      <c r="E169" s="1268"/>
      <c r="F169" s="438"/>
      <c r="G169" s="438"/>
      <c r="H169" s="1020" t="str">
        <f>IF(OR(C169="",C169="-"),"",VLOOKUP(C169,'Fatores de Emissão'!$E$181:$K$184,3,FALSE))</f>
        <v/>
      </c>
      <c r="I169" s="1110" t="str">
        <f>IF(OR(D169="",D169="-"),"",VLOOKUP(D169,'Fatores de Emissão'!$E$181:$K$184,2,FALSE))</f>
        <v/>
      </c>
      <c r="J169" s="1110" t="str">
        <f>IF(OR(D169="",D169="-"),"",VLOOKUP(D169,'Fatores de Emissão'!$E$181:$K$184,4,FALSE))</f>
        <v/>
      </c>
      <c r="K169" s="1110" t="str">
        <f>IF(OR(D169="",D169="-"),"",VLOOKUP(D169,'Fatores de Emissão'!$E$181:$K$184,6,FALSE))</f>
        <v/>
      </c>
      <c r="L169" s="478" t="str">
        <f t="shared" si="14"/>
        <v/>
      </c>
      <c r="M169" s="478" t="str">
        <f t="shared" si="14"/>
        <v/>
      </c>
      <c r="N169" s="478" t="str">
        <f t="shared" si="14"/>
        <v/>
      </c>
      <c r="O169" s="479" t="str">
        <f t="shared" si="15"/>
        <v/>
      </c>
      <c r="P169" s="480"/>
    </row>
    <row r="170" spans="1:43" s="237" customFormat="1" ht="15" customHeight="1" outlineLevel="1" x14ac:dyDescent="0.25">
      <c r="A170" s="363"/>
      <c r="B170" s="1160"/>
      <c r="C170" s="1160"/>
      <c r="D170" s="1268"/>
      <c r="E170" s="1268"/>
      <c r="F170" s="438"/>
      <c r="G170" s="438"/>
      <c r="H170" s="1020" t="str">
        <f>IF(OR(C170="",C170="-"),"",VLOOKUP(C170,'Fatores de Emissão'!$E$181:$K$184,3,FALSE))</f>
        <v/>
      </c>
      <c r="I170" s="1110" t="str">
        <f>IF(OR(D170="",D170="-"),"",VLOOKUP(D170,'Fatores de Emissão'!$E$181:$K$184,2,FALSE))</f>
        <v/>
      </c>
      <c r="J170" s="1110" t="str">
        <f>IF(OR(D170="",D170="-"),"",VLOOKUP(D170,'Fatores de Emissão'!$E$181:$K$184,4,FALSE))</f>
        <v/>
      </c>
      <c r="K170" s="1110" t="str">
        <f>IF(OR(D170="",D170="-"),"",VLOOKUP(D170,'Fatores de Emissão'!$E$181:$K$184,6,FALSE))</f>
        <v/>
      </c>
      <c r="L170" s="478" t="str">
        <f t="shared" si="14"/>
        <v/>
      </c>
      <c r="M170" s="478" t="str">
        <f t="shared" si="14"/>
        <v/>
      </c>
      <c r="N170" s="478" t="str">
        <f t="shared" si="14"/>
        <v/>
      </c>
      <c r="O170" s="479" t="str">
        <f t="shared" si="15"/>
        <v/>
      </c>
      <c r="P170" s="480"/>
    </row>
    <row r="171" spans="1:43" s="237" customFormat="1" ht="15" customHeight="1" outlineLevel="1" x14ac:dyDescent="0.25">
      <c r="A171" s="363"/>
      <c r="B171" s="1160"/>
      <c r="C171" s="1160"/>
      <c r="D171" s="1268"/>
      <c r="E171" s="1268"/>
      <c r="F171" s="438"/>
      <c r="G171" s="438"/>
      <c r="H171" s="1020" t="str">
        <f>IF(OR(C171="",C171="-"),"",VLOOKUP(C171,'Fatores de Emissão'!$E$181:$K$184,3,FALSE))</f>
        <v/>
      </c>
      <c r="I171" s="1110" t="str">
        <f>IF(OR(D171="",D171="-"),"",VLOOKUP(D171,'Fatores de Emissão'!$E$181:$K$184,2,FALSE))</f>
        <v/>
      </c>
      <c r="J171" s="1110" t="str">
        <f>IF(OR(D171="",D171="-"),"",VLOOKUP(D171,'Fatores de Emissão'!$E$181:$K$184,4,FALSE))</f>
        <v/>
      </c>
      <c r="K171" s="1110" t="str">
        <f>IF(OR(D171="",D171="-"),"",VLOOKUP(D171,'Fatores de Emissão'!$E$181:$K$184,6,FALSE))</f>
        <v/>
      </c>
      <c r="L171" s="478" t="str">
        <f t="shared" si="14"/>
        <v/>
      </c>
      <c r="M171" s="478" t="str">
        <f t="shared" si="14"/>
        <v/>
      </c>
      <c r="N171" s="478" t="str">
        <f t="shared" si="14"/>
        <v/>
      </c>
      <c r="O171" s="479" t="str">
        <f t="shared" si="15"/>
        <v/>
      </c>
      <c r="P171" s="480"/>
    </row>
    <row r="172" spans="1:43" s="237" customFormat="1" ht="15" customHeight="1" outlineLevel="1" x14ac:dyDescent="0.25">
      <c r="A172" s="363"/>
      <c r="B172" s="1160"/>
      <c r="C172" s="1160"/>
      <c r="D172" s="1268"/>
      <c r="E172" s="1268"/>
      <c r="F172" s="438"/>
      <c r="G172" s="438"/>
      <c r="H172" s="1020" t="str">
        <f>IF(OR(C172="",C172="-"),"",VLOOKUP(C172,'Fatores de Emissão'!$E$181:$K$184,3,FALSE))</f>
        <v/>
      </c>
      <c r="I172" s="1110" t="str">
        <f>IF(OR(D172="",D172="-"),"",VLOOKUP(D172,'Fatores de Emissão'!$E$181:$K$184,2,FALSE))</f>
        <v/>
      </c>
      <c r="J172" s="1110" t="str">
        <f>IF(OR(D172="",D172="-"),"",VLOOKUP(D172,'Fatores de Emissão'!$E$181:$K$184,4,FALSE))</f>
        <v/>
      </c>
      <c r="K172" s="1110" t="str">
        <f>IF(OR(D172="",D172="-"),"",VLOOKUP(D172,'Fatores de Emissão'!$E$181:$K$184,6,FALSE))</f>
        <v/>
      </c>
      <c r="L172" s="478" t="str">
        <f t="shared" si="14"/>
        <v/>
      </c>
      <c r="M172" s="478" t="str">
        <f t="shared" si="14"/>
        <v/>
      </c>
      <c r="N172" s="478" t="str">
        <f t="shared" si="14"/>
        <v/>
      </c>
      <c r="O172" s="479" t="str">
        <f t="shared" si="15"/>
        <v/>
      </c>
      <c r="P172" s="480"/>
    </row>
    <row r="173" spans="1:43" s="237" customFormat="1" ht="15" customHeight="1" outlineLevel="1" x14ac:dyDescent="0.25">
      <c r="A173" s="363"/>
      <c r="B173" s="1160"/>
      <c r="C173" s="1160"/>
      <c r="D173" s="1268"/>
      <c r="E173" s="1268"/>
      <c r="F173" s="438"/>
      <c r="G173" s="438"/>
      <c r="H173" s="1020" t="str">
        <f>IF(OR(C173="",C173="-"),"",VLOOKUP(C173,'Fatores de Emissão'!$E$181:$K$184,3,FALSE))</f>
        <v/>
      </c>
      <c r="I173" s="1110" t="str">
        <f>IF(OR(D173="",D173="-"),"",VLOOKUP(D173,'Fatores de Emissão'!$E$181:$K$184,2,FALSE))</f>
        <v/>
      </c>
      <c r="J173" s="1110" t="str">
        <f>IF(OR(D173="",D173="-"),"",VLOOKUP(D173,'Fatores de Emissão'!$E$181:$K$184,4,FALSE))</f>
        <v/>
      </c>
      <c r="K173" s="1110" t="str">
        <f>IF(OR(D173="",D173="-"),"",VLOOKUP(D173,'Fatores de Emissão'!$E$181:$K$184,6,FALSE))</f>
        <v/>
      </c>
      <c r="L173" s="478" t="str">
        <f t="shared" si="14"/>
        <v/>
      </c>
      <c r="M173" s="478" t="str">
        <f t="shared" si="14"/>
        <v/>
      </c>
      <c r="N173" s="478" t="str">
        <f t="shared" si="14"/>
        <v/>
      </c>
      <c r="O173" s="479" t="str">
        <f t="shared" si="15"/>
        <v/>
      </c>
      <c r="P173" s="480"/>
    </row>
    <row r="174" spans="1:43" s="237" customFormat="1" ht="15" customHeight="1" outlineLevel="1" x14ac:dyDescent="0.25">
      <c r="A174" s="363"/>
      <c r="B174" s="1160"/>
      <c r="C174" s="1160"/>
      <c r="D174" s="1268"/>
      <c r="E174" s="1268"/>
      <c r="F174" s="438"/>
      <c r="G174" s="438"/>
      <c r="H174" s="1020" t="str">
        <f>IF(OR(C174="",C174="-"),"",VLOOKUP(C174,'Fatores de Emissão'!$E$181:$K$184,3,FALSE))</f>
        <v/>
      </c>
      <c r="I174" s="1110" t="str">
        <f>IF(OR(D174="",D174="-"),"",VLOOKUP(D174,'Fatores de Emissão'!$E$181:$K$184,2,FALSE))</f>
        <v/>
      </c>
      <c r="J174" s="1110" t="str">
        <f>IF(OR(D174="",D174="-"),"",VLOOKUP(D174,'Fatores de Emissão'!$E$181:$K$184,4,FALSE))</f>
        <v/>
      </c>
      <c r="K174" s="1110" t="str">
        <f>IF(OR(D174="",D174="-"),"",VLOOKUP(D174,'Fatores de Emissão'!$E$181:$K$184,6,FALSE))</f>
        <v/>
      </c>
      <c r="L174" s="478" t="str">
        <f t="shared" si="14"/>
        <v/>
      </c>
      <c r="M174" s="478" t="str">
        <f t="shared" si="14"/>
        <v/>
      </c>
      <c r="N174" s="478" t="str">
        <f t="shared" si="14"/>
        <v/>
      </c>
      <c r="O174" s="479" t="str">
        <f t="shared" si="15"/>
        <v/>
      </c>
      <c r="P174" s="480"/>
    </row>
    <row r="175" spans="1:43" s="237" customFormat="1" ht="15" customHeight="1" outlineLevel="1" collapsed="1" x14ac:dyDescent="0.25">
      <c r="A175" s="363"/>
      <c r="B175" s="1160"/>
      <c r="C175" s="1160"/>
      <c r="D175" s="1268"/>
      <c r="E175" s="1268"/>
      <c r="F175" s="438"/>
      <c r="G175" s="438"/>
      <c r="H175" s="1020" t="str">
        <f>IF(OR(C175="",C175="-"),"",VLOOKUP(C175,'Fatores de Emissão'!$E$181:$K$184,3,FALSE))</f>
        <v/>
      </c>
      <c r="I175" s="1110" t="str">
        <f>IF(OR(D175="",D175="-"),"",VLOOKUP(D175,'Fatores de Emissão'!$E$181:$K$184,2,FALSE))</f>
        <v/>
      </c>
      <c r="J175" s="1110" t="str">
        <f>IF(OR(D175="",D175="-"),"",VLOOKUP(D175,'Fatores de Emissão'!$E$181:$K$184,4,FALSE))</f>
        <v/>
      </c>
      <c r="K175" s="1110" t="str">
        <f>IF(OR(D175="",D175="-"),"",VLOOKUP(D175,'Fatores de Emissão'!$E$181:$K$184,6,FALSE))</f>
        <v/>
      </c>
      <c r="L175" s="478" t="str">
        <f t="shared" si="14"/>
        <v/>
      </c>
      <c r="M175" s="478" t="str">
        <f t="shared" si="14"/>
        <v/>
      </c>
      <c r="N175" s="478" t="str">
        <f t="shared" si="14"/>
        <v/>
      </c>
      <c r="O175" s="479" t="str">
        <f t="shared" si="15"/>
        <v/>
      </c>
      <c r="P175" s="480"/>
    </row>
    <row r="176" spans="1:43" s="237" customFormat="1" ht="15" hidden="1" customHeight="1" outlineLevel="2" x14ac:dyDescent="0.25">
      <c r="A176" s="363"/>
      <c r="B176" s="1160"/>
      <c r="C176" s="1160"/>
      <c r="D176" s="1268"/>
      <c r="E176" s="1268"/>
      <c r="F176" s="438"/>
      <c r="G176" s="438"/>
      <c r="H176" s="1020" t="str">
        <f>IF(OR(C176="",C176="-"),"",VLOOKUP(C176,'Fatores de Emissão'!$E$181:$K$184,3,FALSE))</f>
        <v/>
      </c>
      <c r="I176" s="1110" t="str">
        <f>IF(OR(D176="",D176="-"),"",VLOOKUP(D176,'Fatores de Emissão'!$E$181:$K$184,2,FALSE))</f>
        <v/>
      </c>
      <c r="J176" s="1110" t="str">
        <f>IF(OR(D176="",D176="-"),"",VLOOKUP(D176,'Fatores de Emissão'!$E$181:$K$184,4,FALSE))</f>
        <v/>
      </c>
      <c r="K176" s="1110" t="str">
        <f>IF(OR(D176="",D176="-"),"",VLOOKUP(D176,'Fatores de Emissão'!$E$181:$K$184,6,FALSE))</f>
        <v/>
      </c>
      <c r="L176" s="478" t="str">
        <f t="shared" si="14"/>
        <v/>
      </c>
      <c r="M176" s="478" t="str">
        <f t="shared" si="14"/>
        <v/>
      </c>
      <c r="N176" s="478" t="str">
        <f t="shared" si="14"/>
        <v/>
      </c>
      <c r="O176" s="479" t="str">
        <f t="shared" si="15"/>
        <v/>
      </c>
      <c r="P176" s="480"/>
    </row>
    <row r="177" spans="1:16" s="237" customFormat="1" ht="15" hidden="1" customHeight="1" outlineLevel="2" x14ac:dyDescent="0.25">
      <c r="A177" s="363"/>
      <c r="B177" s="1160"/>
      <c r="C177" s="1160"/>
      <c r="D177" s="1268"/>
      <c r="E177" s="1268"/>
      <c r="F177" s="438"/>
      <c r="G177" s="438"/>
      <c r="H177" s="1020" t="str">
        <f>IF(OR(C177="",C177="-"),"",VLOOKUP(C177,'Fatores de Emissão'!$E$181:$K$184,3,FALSE))</f>
        <v/>
      </c>
      <c r="I177" s="1110" t="str">
        <f>IF(OR(D177="",D177="-"),"",VLOOKUP(D177,'Fatores de Emissão'!$E$181:$K$184,2,FALSE))</f>
        <v/>
      </c>
      <c r="J177" s="1110" t="str">
        <f>IF(OR(D177="",D177="-"),"",VLOOKUP(D177,'Fatores de Emissão'!$E$181:$K$184,4,FALSE))</f>
        <v/>
      </c>
      <c r="K177" s="1110" t="str">
        <f>IF(OR(D177="",D177="-"),"",VLOOKUP(D177,'Fatores de Emissão'!$E$181:$K$184,6,FALSE))</f>
        <v/>
      </c>
      <c r="L177" s="478" t="str">
        <f t="shared" si="14"/>
        <v/>
      </c>
      <c r="M177" s="478" t="str">
        <f t="shared" si="14"/>
        <v/>
      </c>
      <c r="N177" s="478" t="str">
        <f t="shared" si="14"/>
        <v/>
      </c>
      <c r="O177" s="479" t="str">
        <f t="shared" si="15"/>
        <v/>
      </c>
      <c r="P177" s="480"/>
    </row>
    <row r="178" spans="1:16" s="237" customFormat="1" ht="15" hidden="1" customHeight="1" outlineLevel="2" x14ac:dyDescent="0.25">
      <c r="A178" s="363"/>
      <c r="B178" s="1160"/>
      <c r="C178" s="1160"/>
      <c r="D178" s="1268"/>
      <c r="E178" s="1268"/>
      <c r="F178" s="438"/>
      <c r="G178" s="438"/>
      <c r="H178" s="1020" t="str">
        <f>IF(OR(C178="",C178="-"),"",VLOOKUP(C178,'Fatores de Emissão'!$E$181:$K$184,3,FALSE))</f>
        <v/>
      </c>
      <c r="I178" s="1110" t="str">
        <f>IF(OR(D178="",D178="-"),"",VLOOKUP(D178,'Fatores de Emissão'!$E$181:$K$184,2,FALSE))</f>
        <v/>
      </c>
      <c r="J178" s="1110" t="str">
        <f>IF(OR(D178="",D178="-"),"",VLOOKUP(D178,'Fatores de Emissão'!$E$181:$K$184,4,FALSE))</f>
        <v/>
      </c>
      <c r="K178" s="1110" t="str">
        <f>IF(OR(D178="",D178="-"),"",VLOOKUP(D178,'Fatores de Emissão'!$E$181:$K$184,6,FALSE))</f>
        <v/>
      </c>
      <c r="L178" s="478" t="str">
        <f t="shared" si="14"/>
        <v/>
      </c>
      <c r="M178" s="478" t="str">
        <f t="shared" si="14"/>
        <v/>
      </c>
      <c r="N178" s="478" t="str">
        <f t="shared" si="14"/>
        <v/>
      </c>
      <c r="O178" s="479" t="str">
        <f t="shared" si="15"/>
        <v/>
      </c>
      <c r="P178" s="480"/>
    </row>
    <row r="179" spans="1:16" s="237" customFormat="1" ht="15" hidden="1" customHeight="1" outlineLevel="2" x14ac:dyDescent="0.25">
      <c r="A179" s="363"/>
      <c r="B179" s="1160"/>
      <c r="C179" s="1160"/>
      <c r="D179" s="1268"/>
      <c r="E179" s="1268"/>
      <c r="F179" s="438"/>
      <c r="G179" s="438"/>
      <c r="H179" s="1020" t="str">
        <f>IF(OR(C179="",C179="-"),"",VLOOKUP(C179,'Fatores de Emissão'!$E$181:$K$184,3,FALSE))</f>
        <v/>
      </c>
      <c r="I179" s="1110" t="str">
        <f>IF(OR(D179="",D179="-"),"",VLOOKUP(D179,'Fatores de Emissão'!$E$181:$K$184,2,FALSE))</f>
        <v/>
      </c>
      <c r="J179" s="1110" t="str">
        <f>IF(OR(D179="",D179="-"),"",VLOOKUP(D179,'Fatores de Emissão'!$E$181:$K$184,4,FALSE))</f>
        <v/>
      </c>
      <c r="K179" s="1110" t="str">
        <f>IF(OR(D179="",D179="-"),"",VLOOKUP(D179,'Fatores de Emissão'!$E$181:$K$184,6,FALSE))</f>
        <v/>
      </c>
      <c r="L179" s="478" t="str">
        <f t="shared" si="14"/>
        <v/>
      </c>
      <c r="M179" s="478" t="str">
        <f t="shared" si="14"/>
        <v/>
      </c>
      <c r="N179" s="478" t="str">
        <f t="shared" si="14"/>
        <v/>
      </c>
      <c r="O179" s="479" t="str">
        <f t="shared" si="15"/>
        <v/>
      </c>
      <c r="P179" s="480"/>
    </row>
    <row r="180" spans="1:16" s="237" customFormat="1" ht="15" hidden="1" customHeight="1" outlineLevel="2" x14ac:dyDescent="0.25">
      <c r="A180" s="363"/>
      <c r="B180" s="1160"/>
      <c r="C180" s="1160"/>
      <c r="D180" s="1268"/>
      <c r="E180" s="1268"/>
      <c r="F180" s="438"/>
      <c r="G180" s="438"/>
      <c r="H180" s="1020" t="str">
        <f>IF(OR(C180="",C180="-"),"",VLOOKUP(C180,'Fatores de Emissão'!$E$181:$K$184,3,FALSE))</f>
        <v/>
      </c>
      <c r="I180" s="1110" t="str">
        <f>IF(OR(D180="",D180="-"),"",VLOOKUP(D180,'Fatores de Emissão'!$E$181:$K$184,2,FALSE))</f>
        <v/>
      </c>
      <c r="J180" s="1110" t="str">
        <f>IF(OR(D180="",D180="-"),"",VLOOKUP(D180,'Fatores de Emissão'!$E$181:$K$184,4,FALSE))</f>
        <v/>
      </c>
      <c r="K180" s="1110" t="str">
        <f>IF(OR(D180="",D180="-"),"",VLOOKUP(D180,'Fatores de Emissão'!$E$181:$K$184,6,FALSE))</f>
        <v/>
      </c>
      <c r="L180" s="478" t="str">
        <f t="shared" si="14"/>
        <v/>
      </c>
      <c r="M180" s="478" t="str">
        <f t="shared" si="14"/>
        <v/>
      </c>
      <c r="N180" s="478" t="str">
        <f t="shared" si="14"/>
        <v/>
      </c>
      <c r="O180" s="479" t="str">
        <f t="shared" si="15"/>
        <v/>
      </c>
      <c r="P180" s="480"/>
    </row>
    <row r="181" spans="1:16" s="237" customFormat="1" ht="15" hidden="1" customHeight="1" outlineLevel="2" x14ac:dyDescent="0.25">
      <c r="A181" s="363"/>
      <c r="B181" s="1160"/>
      <c r="C181" s="1160"/>
      <c r="D181" s="1268"/>
      <c r="E181" s="1268"/>
      <c r="F181" s="438"/>
      <c r="G181" s="438"/>
      <c r="H181" s="1020" t="str">
        <f>IF(OR(C181="",C181="-"),"",VLOOKUP(C181,'Fatores de Emissão'!$E$181:$K$184,3,FALSE))</f>
        <v/>
      </c>
      <c r="I181" s="1110" t="str">
        <f>IF(OR(D181="",D181="-"),"",VLOOKUP(D181,'Fatores de Emissão'!$E$181:$K$184,2,FALSE))</f>
        <v/>
      </c>
      <c r="J181" s="1110" t="str">
        <f>IF(OR(D181="",D181="-"),"",VLOOKUP(D181,'Fatores de Emissão'!$E$181:$K$184,4,FALSE))</f>
        <v/>
      </c>
      <c r="K181" s="1110" t="str">
        <f>IF(OR(D181="",D181="-"),"",VLOOKUP(D181,'Fatores de Emissão'!$E$181:$K$184,6,FALSE))</f>
        <v/>
      </c>
      <c r="L181" s="478" t="str">
        <f t="shared" si="14"/>
        <v/>
      </c>
      <c r="M181" s="478" t="str">
        <f t="shared" si="14"/>
        <v/>
      </c>
      <c r="N181" s="478" t="str">
        <f t="shared" si="14"/>
        <v/>
      </c>
      <c r="O181" s="479" t="str">
        <f t="shared" si="15"/>
        <v/>
      </c>
      <c r="P181" s="480"/>
    </row>
    <row r="182" spans="1:16" s="237" customFormat="1" ht="15" hidden="1" customHeight="1" outlineLevel="2" x14ac:dyDescent="0.25">
      <c r="A182" s="363"/>
      <c r="B182" s="1160"/>
      <c r="C182" s="1160"/>
      <c r="D182" s="1268"/>
      <c r="E182" s="1268"/>
      <c r="F182" s="438"/>
      <c r="G182" s="438"/>
      <c r="H182" s="1020" t="str">
        <f>IF(OR(C182="",C182="-"),"",VLOOKUP(C182,'Fatores de Emissão'!$E$181:$K$184,3,FALSE))</f>
        <v/>
      </c>
      <c r="I182" s="1110" t="str">
        <f>IF(OR(D182="",D182="-"),"",VLOOKUP(D182,'Fatores de Emissão'!$E$181:$K$184,2,FALSE))</f>
        <v/>
      </c>
      <c r="J182" s="1110" t="str">
        <f>IF(OR(D182="",D182="-"),"",VLOOKUP(D182,'Fatores de Emissão'!$E$181:$K$184,4,FALSE))</f>
        <v/>
      </c>
      <c r="K182" s="1110" t="str">
        <f>IF(OR(D182="",D182="-"),"",VLOOKUP(D182,'Fatores de Emissão'!$E$181:$K$184,6,FALSE))</f>
        <v/>
      </c>
      <c r="L182" s="478" t="str">
        <f t="shared" si="14"/>
        <v/>
      </c>
      <c r="M182" s="478" t="str">
        <f t="shared" si="14"/>
        <v/>
      </c>
      <c r="N182" s="478" t="str">
        <f t="shared" si="14"/>
        <v/>
      </c>
      <c r="O182" s="479" t="str">
        <f t="shared" si="15"/>
        <v/>
      </c>
      <c r="P182" s="480"/>
    </row>
    <row r="183" spans="1:16" s="237" customFormat="1" ht="15" hidden="1" customHeight="1" outlineLevel="2" x14ac:dyDescent="0.25">
      <c r="A183" s="363"/>
      <c r="B183" s="1160"/>
      <c r="C183" s="1160"/>
      <c r="D183" s="1268"/>
      <c r="E183" s="1268"/>
      <c r="F183" s="438"/>
      <c r="G183" s="438"/>
      <c r="H183" s="1020" t="str">
        <f>IF(OR(C183="",C183="-"),"",VLOOKUP(C183,'Fatores de Emissão'!$E$181:$K$184,3,FALSE))</f>
        <v/>
      </c>
      <c r="I183" s="1110" t="str">
        <f>IF(OR(D183="",D183="-"),"",VLOOKUP(D183,'Fatores de Emissão'!$E$181:$K$184,2,FALSE))</f>
        <v/>
      </c>
      <c r="J183" s="1110" t="str">
        <f>IF(OR(D183="",D183="-"),"",VLOOKUP(D183,'Fatores de Emissão'!$E$181:$K$184,4,FALSE))</f>
        <v/>
      </c>
      <c r="K183" s="1110" t="str">
        <f>IF(OR(D183="",D183="-"),"",VLOOKUP(D183,'Fatores de Emissão'!$E$181:$K$184,6,FALSE))</f>
        <v/>
      </c>
      <c r="L183" s="478" t="str">
        <f t="shared" si="14"/>
        <v/>
      </c>
      <c r="M183" s="478" t="str">
        <f t="shared" si="14"/>
        <v/>
      </c>
      <c r="N183" s="478" t="str">
        <f t="shared" si="14"/>
        <v/>
      </c>
      <c r="O183" s="479" t="str">
        <f t="shared" si="15"/>
        <v/>
      </c>
      <c r="P183" s="480"/>
    </row>
    <row r="184" spans="1:16" s="237" customFormat="1" ht="15" hidden="1" customHeight="1" outlineLevel="2" x14ac:dyDescent="0.25">
      <c r="A184" s="363"/>
      <c r="B184" s="1160"/>
      <c r="C184" s="1160"/>
      <c r="D184" s="1268"/>
      <c r="E184" s="1268"/>
      <c r="F184" s="438"/>
      <c r="G184" s="438"/>
      <c r="H184" s="1020" t="str">
        <f>IF(OR(C184="",C184="-"),"",VLOOKUP(C184,'Fatores de Emissão'!$E$181:$K$184,3,FALSE))</f>
        <v/>
      </c>
      <c r="I184" s="1110" t="str">
        <f>IF(OR(D184="",D184="-"),"",VLOOKUP(D184,'Fatores de Emissão'!$E$181:$K$184,2,FALSE))</f>
        <v/>
      </c>
      <c r="J184" s="1110" t="str">
        <f>IF(OR(D184="",D184="-"),"",VLOOKUP(D184,'Fatores de Emissão'!$E$181:$K$184,4,FALSE))</f>
        <v/>
      </c>
      <c r="K184" s="1110" t="str">
        <f>IF(OR(D184="",D184="-"),"",VLOOKUP(D184,'Fatores de Emissão'!$E$181:$K$184,6,FALSE))</f>
        <v/>
      </c>
      <c r="L184" s="478" t="str">
        <f t="shared" si="14"/>
        <v/>
      </c>
      <c r="M184" s="478" t="str">
        <f t="shared" si="14"/>
        <v/>
      </c>
      <c r="N184" s="478" t="str">
        <f t="shared" si="14"/>
        <v/>
      </c>
      <c r="O184" s="479" t="str">
        <f t="shared" si="15"/>
        <v/>
      </c>
      <c r="P184" s="480"/>
    </row>
    <row r="185" spans="1:16" s="237" customFormat="1" ht="15" hidden="1" customHeight="1" outlineLevel="2" x14ac:dyDescent="0.25">
      <c r="A185" s="363"/>
      <c r="B185" s="1160"/>
      <c r="C185" s="1160"/>
      <c r="D185" s="1268"/>
      <c r="E185" s="1268"/>
      <c r="F185" s="438"/>
      <c r="G185" s="438"/>
      <c r="H185" s="1020" t="str">
        <f>IF(OR(C185="",C185="-"),"",VLOOKUP(C185,'Fatores de Emissão'!$E$181:$K$184,3,FALSE))</f>
        <v/>
      </c>
      <c r="I185" s="1110" t="str">
        <f>IF(OR(D185="",D185="-"),"",VLOOKUP(D185,'Fatores de Emissão'!$E$181:$K$184,2,FALSE))</f>
        <v/>
      </c>
      <c r="J185" s="1110" t="str">
        <f>IF(OR(D185="",D185="-"),"",VLOOKUP(D185,'Fatores de Emissão'!$E$181:$K$184,4,FALSE))</f>
        <v/>
      </c>
      <c r="K185" s="1110" t="str">
        <f>IF(OR(D185="",D185="-"),"",VLOOKUP(D185,'Fatores de Emissão'!$E$181:$K$184,6,FALSE))</f>
        <v/>
      </c>
      <c r="L185" s="478" t="str">
        <f t="shared" si="14"/>
        <v/>
      </c>
      <c r="M185" s="478" t="str">
        <f t="shared" si="14"/>
        <v/>
      </c>
      <c r="N185" s="478" t="str">
        <f t="shared" si="14"/>
        <v/>
      </c>
      <c r="O185" s="479" t="str">
        <f t="shared" si="15"/>
        <v/>
      </c>
      <c r="P185" s="480"/>
    </row>
    <row r="186" spans="1:16" s="237" customFormat="1" ht="15" hidden="1" customHeight="1" outlineLevel="2" x14ac:dyDescent="0.25">
      <c r="A186" s="363"/>
      <c r="B186" s="1160"/>
      <c r="C186" s="1160"/>
      <c r="D186" s="1268"/>
      <c r="E186" s="1268"/>
      <c r="F186" s="438"/>
      <c r="G186" s="438"/>
      <c r="H186" s="1020" t="str">
        <f>IF(OR(C186="",C186="-"),"",VLOOKUP(C186,'Fatores de Emissão'!$E$181:$K$184,3,FALSE))</f>
        <v/>
      </c>
      <c r="I186" s="1110" t="str">
        <f>IF(OR(D186="",D186="-"),"",VLOOKUP(D186,'Fatores de Emissão'!$E$181:$K$184,2,FALSE))</f>
        <v/>
      </c>
      <c r="J186" s="1110" t="str">
        <f>IF(OR(D186="",D186="-"),"",VLOOKUP(D186,'Fatores de Emissão'!$E$181:$K$184,4,FALSE))</f>
        <v/>
      </c>
      <c r="K186" s="1110" t="str">
        <f>IF(OR(D186="",D186="-"),"",VLOOKUP(D186,'Fatores de Emissão'!$E$181:$K$184,6,FALSE))</f>
        <v/>
      </c>
      <c r="L186" s="478" t="str">
        <f t="shared" si="14"/>
        <v/>
      </c>
      <c r="M186" s="478" t="str">
        <f t="shared" si="14"/>
        <v/>
      </c>
      <c r="N186" s="478" t="str">
        <f t="shared" si="14"/>
        <v/>
      </c>
      <c r="O186" s="479" t="str">
        <f t="shared" si="15"/>
        <v/>
      </c>
      <c r="P186" s="480"/>
    </row>
    <row r="187" spans="1:16" s="237" customFormat="1" ht="15" hidden="1" customHeight="1" outlineLevel="2" x14ac:dyDescent="0.25">
      <c r="A187" s="363"/>
      <c r="B187" s="1160"/>
      <c r="C187" s="1160"/>
      <c r="D187" s="1268"/>
      <c r="E187" s="1268"/>
      <c r="F187" s="438"/>
      <c r="G187" s="438"/>
      <c r="H187" s="1020" t="str">
        <f>IF(OR(C187="",C187="-"),"",VLOOKUP(C187,'Fatores de Emissão'!$E$181:$K$184,3,FALSE))</f>
        <v/>
      </c>
      <c r="I187" s="1110" t="str">
        <f>IF(OR(D187="",D187="-"),"",VLOOKUP(D187,'Fatores de Emissão'!$E$181:$K$184,2,FALSE))</f>
        <v/>
      </c>
      <c r="J187" s="1110" t="str">
        <f>IF(OR(D187="",D187="-"),"",VLOOKUP(D187,'Fatores de Emissão'!$E$181:$K$184,4,FALSE))</f>
        <v/>
      </c>
      <c r="K187" s="1110" t="str">
        <f>IF(OR(D187="",D187="-"),"",VLOOKUP(D187,'Fatores de Emissão'!$E$181:$K$184,6,FALSE))</f>
        <v/>
      </c>
      <c r="L187" s="478" t="str">
        <f t="shared" si="14"/>
        <v/>
      </c>
      <c r="M187" s="478" t="str">
        <f t="shared" si="14"/>
        <v/>
      </c>
      <c r="N187" s="478" t="str">
        <f t="shared" si="14"/>
        <v/>
      </c>
      <c r="O187" s="479" t="str">
        <f t="shared" si="15"/>
        <v/>
      </c>
      <c r="P187" s="480"/>
    </row>
    <row r="188" spans="1:16" s="237" customFormat="1" ht="15" hidden="1" customHeight="1" outlineLevel="2" x14ac:dyDescent="0.25">
      <c r="A188" s="363"/>
      <c r="B188" s="1160"/>
      <c r="C188" s="1160"/>
      <c r="D188" s="1268"/>
      <c r="E188" s="1268"/>
      <c r="F188" s="438"/>
      <c r="G188" s="438"/>
      <c r="H188" s="1020" t="str">
        <f>IF(OR(C188="",C188="-"),"",VLOOKUP(C188,'Fatores de Emissão'!$E$181:$K$184,3,FALSE))</f>
        <v/>
      </c>
      <c r="I188" s="1110" t="str">
        <f>IF(OR(D188="",D188="-"),"",VLOOKUP(D188,'Fatores de Emissão'!$E$181:$K$184,2,FALSE))</f>
        <v/>
      </c>
      <c r="J188" s="1110" t="str">
        <f>IF(OR(D188="",D188="-"),"",VLOOKUP(D188,'Fatores de Emissão'!$E$181:$K$184,4,FALSE))</f>
        <v/>
      </c>
      <c r="K188" s="1110" t="str">
        <f>IF(OR(D188="",D188="-"),"",VLOOKUP(D188,'Fatores de Emissão'!$E$181:$K$184,6,FALSE))</f>
        <v/>
      </c>
      <c r="L188" s="478" t="str">
        <f t="shared" si="14"/>
        <v/>
      </c>
      <c r="M188" s="478" t="str">
        <f t="shared" si="14"/>
        <v/>
      </c>
      <c r="N188" s="478" t="str">
        <f t="shared" si="14"/>
        <v/>
      </c>
      <c r="O188" s="479" t="str">
        <f t="shared" si="15"/>
        <v/>
      </c>
      <c r="P188" s="480"/>
    </row>
    <row r="189" spans="1:16" s="237" customFormat="1" ht="15" hidden="1" customHeight="1" outlineLevel="2" x14ac:dyDescent="0.25">
      <c r="A189" s="363"/>
      <c r="B189" s="1160"/>
      <c r="C189" s="1160"/>
      <c r="D189" s="1268"/>
      <c r="E189" s="1268"/>
      <c r="F189" s="438"/>
      <c r="G189" s="438"/>
      <c r="H189" s="1020" t="str">
        <f>IF(OR(C189="",C189="-"),"",VLOOKUP(C189,'Fatores de Emissão'!$E$181:$K$184,3,FALSE))</f>
        <v/>
      </c>
      <c r="I189" s="1110" t="str">
        <f>IF(OR(D189="",D189="-"),"",VLOOKUP(D189,'Fatores de Emissão'!$E$181:$K$184,2,FALSE))</f>
        <v/>
      </c>
      <c r="J189" s="1110" t="str">
        <f>IF(OR(D189="",D189="-"),"",VLOOKUP(D189,'Fatores de Emissão'!$E$181:$K$184,4,FALSE))</f>
        <v/>
      </c>
      <c r="K189" s="1110" t="str">
        <f>IF(OR(D189="",D189="-"),"",VLOOKUP(D189,'Fatores de Emissão'!$E$181:$K$184,6,FALSE))</f>
        <v/>
      </c>
      <c r="L189" s="478" t="str">
        <f t="shared" si="14"/>
        <v/>
      </c>
      <c r="M189" s="478" t="str">
        <f t="shared" si="14"/>
        <v/>
      </c>
      <c r="N189" s="478" t="str">
        <f t="shared" si="14"/>
        <v/>
      </c>
      <c r="O189" s="479" t="str">
        <f t="shared" si="15"/>
        <v/>
      </c>
      <c r="P189" s="480"/>
    </row>
    <row r="190" spans="1:16" s="237" customFormat="1" ht="15" hidden="1" customHeight="1" outlineLevel="2" x14ac:dyDescent="0.25">
      <c r="A190" s="363"/>
      <c r="B190" s="1160"/>
      <c r="C190" s="1160"/>
      <c r="D190" s="1268"/>
      <c r="E190" s="1268"/>
      <c r="F190" s="438"/>
      <c r="G190" s="438"/>
      <c r="H190" s="1020" t="str">
        <f>IF(OR(C190="",C190="-"),"",VLOOKUP(C190,'Fatores de Emissão'!$E$181:$K$184,3,FALSE))</f>
        <v/>
      </c>
      <c r="I190" s="1110" t="str">
        <f>IF(OR(D190="",D190="-"),"",VLOOKUP(D190,'Fatores de Emissão'!$E$181:$K$184,2,FALSE))</f>
        <v/>
      </c>
      <c r="J190" s="1110" t="str">
        <f>IF(OR(D190="",D190="-"),"",VLOOKUP(D190,'Fatores de Emissão'!$E$181:$K$184,4,FALSE))</f>
        <v/>
      </c>
      <c r="K190" s="1110" t="str">
        <f>IF(OR(D190="",D190="-"),"",VLOOKUP(D190,'Fatores de Emissão'!$E$181:$K$184,6,FALSE))</f>
        <v/>
      </c>
      <c r="L190" s="478" t="str">
        <f t="shared" si="14"/>
        <v/>
      </c>
      <c r="M190" s="478" t="str">
        <f t="shared" si="14"/>
        <v/>
      </c>
      <c r="N190" s="478" t="str">
        <f t="shared" si="14"/>
        <v/>
      </c>
      <c r="O190" s="479" t="str">
        <f t="shared" si="15"/>
        <v/>
      </c>
      <c r="P190" s="480"/>
    </row>
    <row r="191" spans="1:16" s="237" customFormat="1" ht="15" hidden="1" customHeight="1" outlineLevel="2" x14ac:dyDescent="0.25">
      <c r="A191" s="363"/>
      <c r="B191" s="1160"/>
      <c r="C191" s="1160"/>
      <c r="D191" s="1268"/>
      <c r="E191" s="1268"/>
      <c r="F191" s="438"/>
      <c r="G191" s="438"/>
      <c r="H191" s="1020" t="str">
        <f>IF(OR(C191="",C191="-"),"",VLOOKUP(C191,'Fatores de Emissão'!$E$181:$K$184,3,FALSE))</f>
        <v/>
      </c>
      <c r="I191" s="1110" t="str">
        <f>IF(OR(D191="",D191="-"),"",VLOOKUP(D191,'Fatores de Emissão'!$E$181:$K$184,2,FALSE))</f>
        <v/>
      </c>
      <c r="J191" s="1110" t="str">
        <f>IF(OR(D191="",D191="-"),"",VLOOKUP(D191,'Fatores de Emissão'!$E$181:$K$184,4,FALSE))</f>
        <v/>
      </c>
      <c r="K191" s="1110" t="str">
        <f>IF(OR(D191="",D191="-"),"",VLOOKUP(D191,'Fatores de Emissão'!$E$181:$K$184,6,FALSE))</f>
        <v/>
      </c>
      <c r="L191" s="478" t="str">
        <f t="shared" si="14"/>
        <v/>
      </c>
      <c r="M191" s="478" t="str">
        <f t="shared" si="14"/>
        <v/>
      </c>
      <c r="N191" s="478" t="str">
        <f t="shared" si="14"/>
        <v/>
      </c>
      <c r="O191" s="479" t="str">
        <f t="shared" si="15"/>
        <v/>
      </c>
      <c r="P191" s="480"/>
    </row>
    <row r="192" spans="1:16" s="237" customFormat="1" ht="15" hidden="1" customHeight="1" outlineLevel="2" x14ac:dyDescent="0.25">
      <c r="A192" s="363"/>
      <c r="B192" s="1160"/>
      <c r="C192" s="1160"/>
      <c r="D192" s="1268"/>
      <c r="E192" s="1268"/>
      <c r="F192" s="438"/>
      <c r="G192" s="438"/>
      <c r="H192" s="1020" t="str">
        <f>IF(OR(C192="",C192="-"),"",VLOOKUP(C192,'Fatores de Emissão'!$E$181:$K$184,3,FALSE))</f>
        <v/>
      </c>
      <c r="I192" s="1110" t="str">
        <f>IF(OR(D192="",D192="-"),"",VLOOKUP(D192,'Fatores de Emissão'!$E$181:$K$184,2,FALSE))</f>
        <v/>
      </c>
      <c r="J192" s="1110" t="str">
        <f>IF(OR(D192="",D192="-"),"",VLOOKUP(D192,'Fatores de Emissão'!$E$181:$K$184,4,FALSE))</f>
        <v/>
      </c>
      <c r="K192" s="1110" t="str">
        <f>IF(OR(D192="",D192="-"),"",VLOOKUP(D192,'Fatores de Emissão'!$E$181:$K$184,6,FALSE))</f>
        <v/>
      </c>
      <c r="L192" s="478" t="str">
        <f t="shared" si="14"/>
        <v/>
      </c>
      <c r="M192" s="478" t="str">
        <f t="shared" si="14"/>
        <v/>
      </c>
      <c r="N192" s="478" t="str">
        <f t="shared" si="14"/>
        <v/>
      </c>
      <c r="O192" s="479" t="str">
        <f t="shared" si="15"/>
        <v/>
      </c>
      <c r="P192" s="480"/>
    </row>
    <row r="193" spans="1:16" s="237" customFormat="1" ht="15" hidden="1" customHeight="1" outlineLevel="2" x14ac:dyDescent="0.25">
      <c r="A193" s="363"/>
      <c r="B193" s="1160"/>
      <c r="C193" s="1160"/>
      <c r="D193" s="1268"/>
      <c r="E193" s="1268"/>
      <c r="F193" s="438"/>
      <c r="G193" s="438"/>
      <c r="H193" s="1020" t="str">
        <f>IF(OR(C193="",C193="-"),"",VLOOKUP(C193,'Fatores de Emissão'!$E$181:$K$184,3,FALSE))</f>
        <v/>
      </c>
      <c r="I193" s="1110" t="str">
        <f>IF(OR(D193="",D193="-"),"",VLOOKUP(D193,'Fatores de Emissão'!$E$181:$K$184,2,FALSE))</f>
        <v/>
      </c>
      <c r="J193" s="1110" t="str">
        <f>IF(OR(D193="",D193="-"),"",VLOOKUP(D193,'Fatores de Emissão'!$E$181:$K$184,4,FALSE))</f>
        <v/>
      </c>
      <c r="K193" s="1110" t="str">
        <f>IF(OR(D193="",D193="-"),"",VLOOKUP(D193,'Fatores de Emissão'!$E$181:$K$184,6,FALSE))</f>
        <v/>
      </c>
      <c r="L193" s="478" t="str">
        <f t="shared" si="14"/>
        <v/>
      </c>
      <c r="M193" s="478" t="str">
        <f t="shared" si="14"/>
        <v/>
      </c>
      <c r="N193" s="478" t="str">
        <f t="shared" si="14"/>
        <v/>
      </c>
      <c r="O193" s="479" t="str">
        <f t="shared" si="15"/>
        <v/>
      </c>
      <c r="P193" s="480"/>
    </row>
    <row r="194" spans="1:16" s="237" customFormat="1" ht="15" hidden="1" customHeight="1" outlineLevel="2" x14ac:dyDescent="0.25">
      <c r="A194" s="363"/>
      <c r="B194" s="1160"/>
      <c r="C194" s="1160"/>
      <c r="D194" s="1268"/>
      <c r="E194" s="1268"/>
      <c r="F194" s="438"/>
      <c r="G194" s="438"/>
      <c r="H194" s="1020" t="str">
        <f>IF(OR(C194="",C194="-"),"",VLOOKUP(C194,'Fatores de Emissão'!$E$181:$K$184,3,FALSE))</f>
        <v/>
      </c>
      <c r="I194" s="1110" t="str">
        <f>IF(OR(D194="",D194="-"),"",VLOOKUP(D194,'Fatores de Emissão'!$E$181:$K$184,2,FALSE))</f>
        <v/>
      </c>
      <c r="J194" s="1110" t="str">
        <f>IF(OR(D194="",D194="-"),"",VLOOKUP(D194,'Fatores de Emissão'!$E$181:$K$184,4,FALSE))</f>
        <v/>
      </c>
      <c r="K194" s="1110" t="str">
        <f>IF(OR(D194="",D194="-"),"",VLOOKUP(D194,'Fatores de Emissão'!$E$181:$K$184,6,FALSE))</f>
        <v/>
      </c>
      <c r="L194" s="478" t="str">
        <f t="shared" si="14"/>
        <v/>
      </c>
      <c r="M194" s="478" t="str">
        <f t="shared" si="14"/>
        <v/>
      </c>
      <c r="N194" s="478" t="str">
        <f t="shared" si="14"/>
        <v/>
      </c>
      <c r="O194" s="479" t="str">
        <f t="shared" si="15"/>
        <v/>
      </c>
      <c r="P194" s="480"/>
    </row>
    <row r="195" spans="1:16" s="237" customFormat="1" ht="15" hidden="1" customHeight="1" outlineLevel="2" x14ac:dyDescent="0.25">
      <c r="A195" s="363"/>
      <c r="B195" s="1160"/>
      <c r="C195" s="1160"/>
      <c r="D195" s="1268"/>
      <c r="E195" s="1268"/>
      <c r="F195" s="438"/>
      <c r="G195" s="438"/>
      <c r="H195" s="1020" t="str">
        <f>IF(OR(C195="",C195="-"),"",VLOOKUP(C195,'Fatores de Emissão'!$E$181:$K$184,3,FALSE))</f>
        <v/>
      </c>
      <c r="I195" s="1110" t="str">
        <f>IF(OR(D195="",D195="-"),"",VLOOKUP(D195,'Fatores de Emissão'!$E$181:$K$184,2,FALSE))</f>
        <v/>
      </c>
      <c r="J195" s="1110" t="str">
        <f>IF(OR(D195="",D195="-"),"",VLOOKUP(D195,'Fatores de Emissão'!$E$181:$K$184,4,FALSE))</f>
        <v/>
      </c>
      <c r="K195" s="1110" t="str">
        <f>IF(OR(D195="",D195="-"),"",VLOOKUP(D195,'Fatores de Emissão'!$E$181:$K$184,6,FALSE))</f>
        <v/>
      </c>
      <c r="L195" s="478" t="str">
        <f t="shared" si="14"/>
        <v/>
      </c>
      <c r="M195" s="478" t="str">
        <f t="shared" si="14"/>
        <v/>
      </c>
      <c r="N195" s="478" t="str">
        <f t="shared" si="14"/>
        <v/>
      </c>
      <c r="O195" s="479" t="str">
        <f t="shared" si="15"/>
        <v/>
      </c>
      <c r="P195" s="480"/>
    </row>
    <row r="196" spans="1:16" s="237" customFormat="1" ht="15" hidden="1" customHeight="1" outlineLevel="2" x14ac:dyDescent="0.25">
      <c r="A196" s="363"/>
      <c r="B196" s="1160"/>
      <c r="C196" s="1160"/>
      <c r="D196" s="1268"/>
      <c r="E196" s="1268"/>
      <c r="F196" s="438"/>
      <c r="G196" s="438"/>
      <c r="H196" s="1020" t="str">
        <f>IF(OR(C196="",C196="-"),"",VLOOKUP(C196,'Fatores de Emissão'!$E$181:$K$184,3,FALSE))</f>
        <v/>
      </c>
      <c r="I196" s="1110" t="str">
        <f>IF(OR(D196="",D196="-"),"",VLOOKUP(D196,'Fatores de Emissão'!$E$181:$K$184,2,FALSE))</f>
        <v/>
      </c>
      <c r="J196" s="1110" t="str">
        <f>IF(OR(D196="",D196="-"),"",VLOOKUP(D196,'Fatores de Emissão'!$E$181:$K$184,4,FALSE))</f>
        <v/>
      </c>
      <c r="K196" s="1110" t="str">
        <f>IF(OR(D196="",D196="-"),"",VLOOKUP(D196,'Fatores de Emissão'!$E$181:$K$184,6,FALSE))</f>
        <v/>
      </c>
      <c r="L196" s="478" t="str">
        <f t="shared" si="14"/>
        <v/>
      </c>
      <c r="M196" s="478" t="str">
        <f t="shared" si="14"/>
        <v/>
      </c>
      <c r="N196" s="478" t="str">
        <f t="shared" si="14"/>
        <v/>
      </c>
      <c r="O196" s="479" t="str">
        <f t="shared" si="15"/>
        <v/>
      </c>
      <c r="P196" s="480"/>
    </row>
    <row r="197" spans="1:16" s="237" customFormat="1" ht="15" hidden="1" customHeight="1" outlineLevel="2" x14ac:dyDescent="0.25">
      <c r="A197" s="363"/>
      <c r="B197" s="1160"/>
      <c r="C197" s="1160"/>
      <c r="D197" s="1268"/>
      <c r="E197" s="1268"/>
      <c r="F197" s="438"/>
      <c r="G197" s="438"/>
      <c r="H197" s="1020" t="str">
        <f>IF(OR(C197="",C197="-"),"",VLOOKUP(C197,'Fatores de Emissão'!$E$181:$K$184,3,FALSE))</f>
        <v/>
      </c>
      <c r="I197" s="1110" t="str">
        <f>IF(OR(D197="",D197="-"),"",VLOOKUP(D197,'Fatores de Emissão'!$E$181:$K$184,2,FALSE))</f>
        <v/>
      </c>
      <c r="J197" s="1110" t="str">
        <f>IF(OR(D197="",D197="-"),"",VLOOKUP(D197,'Fatores de Emissão'!$E$181:$K$184,4,FALSE))</f>
        <v/>
      </c>
      <c r="K197" s="1110" t="str">
        <f>IF(OR(D197="",D197="-"),"",VLOOKUP(D197,'Fatores de Emissão'!$E$181:$K$184,6,FALSE))</f>
        <v/>
      </c>
      <c r="L197" s="478" t="str">
        <f t="shared" si="14"/>
        <v/>
      </c>
      <c r="M197" s="478" t="str">
        <f t="shared" si="14"/>
        <v/>
      </c>
      <c r="N197" s="478" t="str">
        <f t="shared" si="14"/>
        <v/>
      </c>
      <c r="O197" s="479" t="str">
        <f t="shared" si="15"/>
        <v/>
      </c>
      <c r="P197" s="480"/>
    </row>
    <row r="198" spans="1:16" s="237" customFormat="1" ht="15" hidden="1" customHeight="1" outlineLevel="2" x14ac:dyDescent="0.25">
      <c r="A198" s="363"/>
      <c r="B198" s="1160"/>
      <c r="C198" s="1160"/>
      <c r="D198" s="1268"/>
      <c r="E198" s="1268"/>
      <c r="F198" s="438"/>
      <c r="G198" s="438"/>
      <c r="H198" s="1020" t="str">
        <f>IF(OR(C198="",C198="-"),"",VLOOKUP(C198,'Fatores de Emissão'!$E$181:$K$184,3,FALSE))</f>
        <v/>
      </c>
      <c r="I198" s="1110" t="str">
        <f>IF(OR(D198="",D198="-"),"",VLOOKUP(D198,'Fatores de Emissão'!$E$181:$K$184,2,FALSE))</f>
        <v/>
      </c>
      <c r="J198" s="1110" t="str">
        <f>IF(OR(D198="",D198="-"),"",VLOOKUP(D198,'Fatores de Emissão'!$E$181:$K$184,4,FALSE))</f>
        <v/>
      </c>
      <c r="K198" s="1110" t="str">
        <f>IF(OR(D198="",D198="-"),"",VLOOKUP(D198,'Fatores de Emissão'!$E$181:$K$184,6,FALSE))</f>
        <v/>
      </c>
      <c r="L198" s="478" t="str">
        <f t="shared" si="14"/>
        <v/>
      </c>
      <c r="M198" s="478" t="str">
        <f t="shared" si="14"/>
        <v/>
      </c>
      <c r="N198" s="478" t="str">
        <f t="shared" si="14"/>
        <v/>
      </c>
      <c r="O198" s="479" t="str">
        <f t="shared" si="15"/>
        <v/>
      </c>
      <c r="P198" s="480"/>
    </row>
    <row r="199" spans="1:16" s="237" customFormat="1" ht="15" hidden="1" customHeight="1" outlineLevel="2" x14ac:dyDescent="0.25">
      <c r="A199" s="363"/>
      <c r="B199" s="1160"/>
      <c r="C199" s="1160"/>
      <c r="D199" s="1268"/>
      <c r="E199" s="1268"/>
      <c r="F199" s="438"/>
      <c r="G199" s="438"/>
      <c r="H199" s="1020" t="str">
        <f>IF(OR(C199="",C199="-"),"",VLOOKUP(C199,'Fatores de Emissão'!$E$181:$K$184,3,FALSE))</f>
        <v/>
      </c>
      <c r="I199" s="1110" t="str">
        <f>IF(OR(D199="",D199="-"),"",VLOOKUP(D199,'Fatores de Emissão'!$E$181:$K$184,2,FALSE))</f>
        <v/>
      </c>
      <c r="J199" s="1110" t="str">
        <f>IF(OR(D199="",D199="-"),"",VLOOKUP(D199,'Fatores de Emissão'!$E$181:$K$184,4,FALSE))</f>
        <v/>
      </c>
      <c r="K199" s="1110" t="str">
        <f>IF(OR(D199="",D199="-"),"",VLOOKUP(D199,'Fatores de Emissão'!$E$181:$K$184,6,FALSE))</f>
        <v/>
      </c>
      <c r="L199" s="478" t="str">
        <f t="shared" si="14"/>
        <v/>
      </c>
      <c r="M199" s="478" t="str">
        <f t="shared" si="14"/>
        <v/>
      </c>
      <c r="N199" s="478" t="str">
        <f t="shared" si="14"/>
        <v/>
      </c>
      <c r="O199" s="479" t="str">
        <f t="shared" si="15"/>
        <v/>
      </c>
      <c r="P199" s="480"/>
    </row>
    <row r="200" spans="1:16" s="237" customFormat="1" ht="15" hidden="1" customHeight="1" outlineLevel="2" x14ac:dyDescent="0.25">
      <c r="A200" s="363"/>
      <c r="B200" s="1160"/>
      <c r="C200" s="1160"/>
      <c r="D200" s="1268"/>
      <c r="E200" s="1268"/>
      <c r="F200" s="438"/>
      <c r="G200" s="438"/>
      <c r="H200" s="1020" t="str">
        <f>IF(OR(C200="",C200="-"),"",VLOOKUP(C200,'Fatores de Emissão'!$E$181:$K$184,3,FALSE))</f>
        <v/>
      </c>
      <c r="I200" s="1110" t="str">
        <f>IF(OR(D200="",D200="-"),"",VLOOKUP(D200,'Fatores de Emissão'!$E$181:$K$184,2,FALSE))</f>
        <v/>
      </c>
      <c r="J200" s="1110" t="str">
        <f>IF(OR(D200="",D200="-"),"",VLOOKUP(D200,'Fatores de Emissão'!$E$181:$K$184,4,FALSE))</f>
        <v/>
      </c>
      <c r="K200" s="1110" t="str">
        <f>IF(OR(D200="",D200="-"),"",VLOOKUP(D200,'Fatores de Emissão'!$E$181:$K$184,6,FALSE))</f>
        <v/>
      </c>
      <c r="L200" s="478" t="str">
        <f t="shared" si="14"/>
        <v/>
      </c>
      <c r="M200" s="478" t="str">
        <f t="shared" si="14"/>
        <v/>
      </c>
      <c r="N200" s="478" t="str">
        <f t="shared" si="14"/>
        <v/>
      </c>
      <c r="O200" s="479" t="str">
        <f t="shared" si="15"/>
        <v/>
      </c>
      <c r="P200" s="480"/>
    </row>
    <row r="201" spans="1:16" s="237" customFormat="1" ht="15" hidden="1" customHeight="1" outlineLevel="2" x14ac:dyDescent="0.25">
      <c r="A201" s="363"/>
      <c r="B201" s="1160"/>
      <c r="C201" s="1160"/>
      <c r="D201" s="1268"/>
      <c r="E201" s="1268"/>
      <c r="F201" s="438"/>
      <c r="G201" s="438"/>
      <c r="H201" s="1020" t="str">
        <f>IF(OR(C201="",C201="-"),"",VLOOKUP(C201,'Fatores de Emissão'!$E$181:$K$184,3,FALSE))</f>
        <v/>
      </c>
      <c r="I201" s="1110" t="str">
        <f>IF(OR(D201="",D201="-"),"",VLOOKUP(D201,'Fatores de Emissão'!$E$181:$K$184,2,FALSE))</f>
        <v/>
      </c>
      <c r="J201" s="1110" t="str">
        <f>IF(OR(D201="",D201="-"),"",VLOOKUP(D201,'Fatores de Emissão'!$E$181:$K$184,4,FALSE))</f>
        <v/>
      </c>
      <c r="K201" s="1110" t="str">
        <f>IF(OR(D201="",D201="-"),"",VLOOKUP(D201,'Fatores de Emissão'!$E$181:$K$184,6,FALSE))</f>
        <v/>
      </c>
      <c r="L201" s="478" t="str">
        <f t="shared" si="14"/>
        <v/>
      </c>
      <c r="M201" s="478" t="str">
        <f t="shared" si="14"/>
        <v/>
      </c>
      <c r="N201" s="478" t="str">
        <f t="shared" si="14"/>
        <v/>
      </c>
      <c r="O201" s="479" t="str">
        <f t="shared" si="15"/>
        <v/>
      </c>
      <c r="P201" s="480"/>
    </row>
    <row r="202" spans="1:16" s="237" customFormat="1" ht="15" hidden="1" customHeight="1" outlineLevel="2" x14ac:dyDescent="0.25">
      <c r="A202" s="363"/>
      <c r="B202" s="1160"/>
      <c r="C202" s="1160"/>
      <c r="D202" s="1268"/>
      <c r="E202" s="1268"/>
      <c r="F202" s="438"/>
      <c r="G202" s="438"/>
      <c r="H202" s="1020" t="str">
        <f>IF(OR(C202="",C202="-"),"",VLOOKUP(C202,'Fatores de Emissão'!$E$181:$K$184,3,FALSE))</f>
        <v/>
      </c>
      <c r="I202" s="1110" t="str">
        <f>IF(OR(D202="",D202="-"),"",VLOOKUP(D202,'Fatores de Emissão'!$E$181:$K$184,2,FALSE))</f>
        <v/>
      </c>
      <c r="J202" s="1110" t="str">
        <f>IF(OR(D202="",D202="-"),"",VLOOKUP(D202,'Fatores de Emissão'!$E$181:$K$184,4,FALSE))</f>
        <v/>
      </c>
      <c r="K202" s="1110" t="str">
        <f>IF(OR(D202="",D202="-"),"",VLOOKUP(D202,'Fatores de Emissão'!$E$181:$K$184,6,FALSE))</f>
        <v/>
      </c>
      <c r="L202" s="478" t="str">
        <f t="shared" si="14"/>
        <v/>
      </c>
      <c r="M202" s="478" t="str">
        <f t="shared" si="14"/>
        <v/>
      </c>
      <c r="N202" s="478" t="str">
        <f t="shared" si="14"/>
        <v/>
      </c>
      <c r="O202" s="479" t="str">
        <f t="shared" si="15"/>
        <v/>
      </c>
      <c r="P202" s="480"/>
    </row>
    <row r="203" spans="1:16" s="237" customFormat="1" ht="15" hidden="1" customHeight="1" outlineLevel="2" x14ac:dyDescent="0.25">
      <c r="A203" s="363"/>
      <c r="B203" s="1160"/>
      <c r="C203" s="1160"/>
      <c r="D203" s="1268"/>
      <c r="E203" s="1268"/>
      <c r="F203" s="438"/>
      <c r="G203" s="438"/>
      <c r="H203" s="1020" t="str">
        <f>IF(OR(C203="",C203="-"),"",VLOOKUP(C203,'Fatores de Emissão'!$E$181:$K$184,3,FALSE))</f>
        <v/>
      </c>
      <c r="I203" s="1110" t="str">
        <f>IF(OR(D203="",D203="-"),"",VLOOKUP(D203,'Fatores de Emissão'!$E$181:$K$184,2,FALSE))</f>
        <v/>
      </c>
      <c r="J203" s="1110" t="str">
        <f>IF(OR(D203="",D203="-"),"",VLOOKUP(D203,'Fatores de Emissão'!$E$181:$K$184,4,FALSE))</f>
        <v/>
      </c>
      <c r="K203" s="1110" t="str">
        <f>IF(OR(D203="",D203="-"),"",VLOOKUP(D203,'Fatores de Emissão'!$E$181:$K$184,6,FALSE))</f>
        <v/>
      </c>
      <c r="L203" s="478" t="str">
        <f t="shared" si="14"/>
        <v/>
      </c>
      <c r="M203" s="478" t="str">
        <f t="shared" si="14"/>
        <v/>
      </c>
      <c r="N203" s="478" t="str">
        <f t="shared" si="14"/>
        <v/>
      </c>
      <c r="O203" s="479" t="str">
        <f t="shared" si="15"/>
        <v/>
      </c>
      <c r="P203" s="480"/>
    </row>
    <row r="204" spans="1:16" s="237" customFormat="1" ht="15" hidden="1" customHeight="1" outlineLevel="2" x14ac:dyDescent="0.25">
      <c r="A204" s="363"/>
      <c r="B204" s="1160"/>
      <c r="C204" s="1160"/>
      <c r="D204" s="1268"/>
      <c r="E204" s="1268"/>
      <c r="F204" s="438"/>
      <c r="G204" s="438"/>
      <c r="H204" s="1020" t="str">
        <f>IF(OR(C204="",C204="-"),"",VLOOKUP(C204,'Fatores de Emissão'!$E$181:$K$184,3,FALSE))</f>
        <v/>
      </c>
      <c r="I204" s="1110" t="str">
        <f>IF(OR(D204="",D204="-"),"",VLOOKUP(D204,'Fatores de Emissão'!$E$181:$K$184,2,FALSE))</f>
        <v/>
      </c>
      <c r="J204" s="1110" t="str">
        <f>IF(OR(D204="",D204="-"),"",VLOOKUP(D204,'Fatores de Emissão'!$E$181:$K$184,4,FALSE))</f>
        <v/>
      </c>
      <c r="K204" s="1110" t="str">
        <f>IF(OR(D204="",D204="-"),"",VLOOKUP(D204,'Fatores de Emissão'!$E$181:$K$184,6,FALSE))</f>
        <v/>
      </c>
      <c r="L204" s="478" t="str">
        <f t="shared" si="14"/>
        <v/>
      </c>
      <c r="M204" s="478" t="str">
        <f t="shared" si="14"/>
        <v/>
      </c>
      <c r="N204" s="478" t="str">
        <f t="shared" si="14"/>
        <v/>
      </c>
      <c r="O204" s="479" t="str">
        <f t="shared" si="15"/>
        <v/>
      </c>
      <c r="P204" s="480"/>
    </row>
    <row r="205" spans="1:16" s="237" customFormat="1" ht="15" hidden="1" customHeight="1" outlineLevel="2" x14ac:dyDescent="0.25">
      <c r="A205" s="363"/>
      <c r="B205" s="1160"/>
      <c r="C205" s="1160"/>
      <c r="D205" s="1268"/>
      <c r="E205" s="1268"/>
      <c r="F205" s="438"/>
      <c r="G205" s="438"/>
      <c r="H205" s="1020" t="str">
        <f>IF(OR(C205="",C205="-"),"",VLOOKUP(C205,'Fatores de Emissão'!$E$181:$K$184,3,FALSE))</f>
        <v/>
      </c>
      <c r="I205" s="1110" t="str">
        <f>IF(OR(D205="",D205="-"),"",VLOOKUP(D205,'Fatores de Emissão'!$E$181:$K$184,2,FALSE))</f>
        <v/>
      </c>
      <c r="J205" s="1110" t="str">
        <f>IF(OR(D205="",D205="-"),"",VLOOKUP(D205,'Fatores de Emissão'!$E$181:$K$184,4,FALSE))</f>
        <v/>
      </c>
      <c r="K205" s="1110" t="str">
        <f>IF(OR(D205="",D205="-"),"",VLOOKUP(D205,'Fatores de Emissão'!$E$181:$K$184,6,FALSE))</f>
        <v/>
      </c>
      <c r="L205" s="478" t="str">
        <f t="shared" si="14"/>
        <v/>
      </c>
      <c r="M205" s="478" t="str">
        <f t="shared" si="14"/>
        <v/>
      </c>
      <c r="N205" s="478" t="str">
        <f t="shared" si="14"/>
        <v/>
      </c>
      <c r="O205" s="479" t="str">
        <f t="shared" si="15"/>
        <v/>
      </c>
      <c r="P205" s="480"/>
    </row>
    <row r="206" spans="1:16" s="237" customFormat="1" ht="15" hidden="1" customHeight="1" outlineLevel="2" x14ac:dyDescent="0.25">
      <c r="A206" s="363"/>
      <c r="B206" s="1160"/>
      <c r="C206" s="1160"/>
      <c r="D206" s="1268"/>
      <c r="E206" s="1268"/>
      <c r="F206" s="438"/>
      <c r="G206" s="438"/>
      <c r="H206" s="1020" t="str">
        <f>IF(OR(C206="",C206="-"),"",VLOOKUP(C206,'Fatores de Emissão'!$E$181:$K$184,3,FALSE))</f>
        <v/>
      </c>
      <c r="I206" s="1110" t="str">
        <f>IF(OR(D206="",D206="-"),"",VLOOKUP(D206,'Fatores de Emissão'!$E$181:$K$184,2,FALSE))</f>
        <v/>
      </c>
      <c r="J206" s="1110" t="str">
        <f>IF(OR(D206="",D206="-"),"",VLOOKUP(D206,'Fatores de Emissão'!$E$181:$K$184,4,FALSE))</f>
        <v/>
      </c>
      <c r="K206" s="1110" t="str">
        <f>IF(OR(D206="",D206="-"),"",VLOOKUP(D206,'Fatores de Emissão'!$E$181:$K$184,6,FALSE))</f>
        <v/>
      </c>
      <c r="L206" s="478" t="str">
        <f t="shared" si="14"/>
        <v/>
      </c>
      <c r="M206" s="478" t="str">
        <f t="shared" si="14"/>
        <v/>
      </c>
      <c r="N206" s="478" t="str">
        <f t="shared" si="14"/>
        <v/>
      </c>
      <c r="O206" s="479" t="str">
        <f t="shared" si="15"/>
        <v/>
      </c>
      <c r="P206" s="480"/>
    </row>
    <row r="207" spans="1:16" s="237" customFormat="1" ht="15" hidden="1" customHeight="1" outlineLevel="2" x14ac:dyDescent="0.25">
      <c r="A207" s="363"/>
      <c r="B207" s="1160"/>
      <c r="C207" s="1160"/>
      <c r="D207" s="1268"/>
      <c r="E207" s="1268"/>
      <c r="F207" s="438"/>
      <c r="G207" s="438"/>
      <c r="H207" s="1020" t="str">
        <f>IF(OR(C207="",C207="-"),"",VLOOKUP(C207,'Fatores de Emissão'!$E$181:$K$184,3,FALSE))</f>
        <v/>
      </c>
      <c r="I207" s="1110" t="str">
        <f>IF(OR(D207="",D207="-"),"",VLOOKUP(D207,'Fatores de Emissão'!$E$181:$K$184,2,FALSE))</f>
        <v/>
      </c>
      <c r="J207" s="1110" t="str">
        <f>IF(OR(D207="",D207="-"),"",VLOOKUP(D207,'Fatores de Emissão'!$E$181:$K$184,4,FALSE))</f>
        <v/>
      </c>
      <c r="K207" s="1110" t="str">
        <f>IF(OR(D207="",D207="-"),"",VLOOKUP(D207,'Fatores de Emissão'!$E$181:$K$184,6,FALSE))</f>
        <v/>
      </c>
      <c r="L207" s="478" t="str">
        <f t="shared" si="14"/>
        <v/>
      </c>
      <c r="M207" s="478" t="str">
        <f t="shared" si="14"/>
        <v/>
      </c>
      <c r="N207" s="478" t="str">
        <f t="shared" si="14"/>
        <v/>
      </c>
      <c r="O207" s="479" t="str">
        <f t="shared" si="15"/>
        <v/>
      </c>
      <c r="P207" s="480"/>
    </row>
    <row r="208" spans="1:16" s="237" customFormat="1" ht="15" hidden="1" customHeight="1" outlineLevel="2" x14ac:dyDescent="0.25">
      <c r="A208" s="363"/>
      <c r="B208" s="1160"/>
      <c r="C208" s="1160"/>
      <c r="D208" s="1268"/>
      <c r="E208" s="1268"/>
      <c r="F208" s="438"/>
      <c r="G208" s="438"/>
      <c r="H208" s="1020" t="str">
        <f>IF(OR(C208="",C208="-"),"",VLOOKUP(C208,'Fatores de Emissão'!$E$181:$K$184,3,FALSE))</f>
        <v/>
      </c>
      <c r="I208" s="1110" t="str">
        <f>IF(OR(D208="",D208="-"),"",VLOOKUP(D208,'Fatores de Emissão'!$E$181:$K$184,2,FALSE))</f>
        <v/>
      </c>
      <c r="J208" s="1110" t="str">
        <f>IF(OR(D208="",D208="-"),"",VLOOKUP(D208,'Fatores de Emissão'!$E$181:$K$184,4,FALSE))</f>
        <v/>
      </c>
      <c r="K208" s="1110" t="str">
        <f>IF(OR(D208="",D208="-"),"",VLOOKUP(D208,'Fatores de Emissão'!$E$181:$K$184,6,FALSE))</f>
        <v/>
      </c>
      <c r="L208" s="478" t="str">
        <f t="shared" si="14"/>
        <v/>
      </c>
      <c r="M208" s="478" t="str">
        <f t="shared" si="14"/>
        <v/>
      </c>
      <c r="N208" s="478" t="str">
        <f t="shared" si="14"/>
        <v/>
      </c>
      <c r="O208" s="479" t="str">
        <f t="shared" si="15"/>
        <v/>
      </c>
      <c r="P208" s="480"/>
    </row>
    <row r="209" spans="1:58" s="237" customFormat="1" ht="15" hidden="1" customHeight="1" outlineLevel="2" x14ac:dyDescent="0.25">
      <c r="A209" s="363"/>
      <c r="B209" s="1160"/>
      <c r="C209" s="1160"/>
      <c r="D209" s="1268"/>
      <c r="E209" s="1268"/>
      <c r="F209" s="438"/>
      <c r="G209" s="438"/>
      <c r="H209" s="1020" t="str">
        <f>IF(OR(C209="",C209="-"),"",VLOOKUP(C209,'Fatores de Emissão'!$E$181:$K$184,3,FALSE))</f>
        <v/>
      </c>
      <c r="I209" s="1110" t="str">
        <f>IF(OR(D209="",D209="-"),"",VLOOKUP(D209,'Fatores de Emissão'!$E$181:$K$184,2,FALSE))</f>
        <v/>
      </c>
      <c r="J209" s="1110" t="str">
        <f>IF(OR(D209="",D209="-"),"",VLOOKUP(D209,'Fatores de Emissão'!$E$181:$K$184,4,FALSE))</f>
        <v/>
      </c>
      <c r="K209" s="1110" t="str">
        <f>IF(OR(D209="",D209="-"),"",VLOOKUP(D209,'Fatores de Emissão'!$E$181:$K$184,6,FALSE))</f>
        <v/>
      </c>
      <c r="L209" s="478" t="str">
        <f t="shared" si="14"/>
        <v/>
      </c>
      <c r="M209" s="478" t="str">
        <f t="shared" si="14"/>
        <v/>
      </c>
      <c r="N209" s="478" t="str">
        <f t="shared" si="14"/>
        <v/>
      </c>
      <c r="O209" s="479" t="str">
        <f t="shared" si="15"/>
        <v/>
      </c>
      <c r="P209" s="480"/>
    </row>
    <row r="210" spans="1:58" s="237" customFormat="1" ht="15" hidden="1" customHeight="1" outlineLevel="2" x14ac:dyDescent="0.25">
      <c r="A210" s="363"/>
      <c r="B210" s="1160"/>
      <c r="C210" s="1160"/>
      <c r="D210" s="1268"/>
      <c r="E210" s="1268"/>
      <c r="F210" s="438"/>
      <c r="G210" s="438"/>
      <c r="H210" s="1020" t="str">
        <f>IF(OR(C210="",C210="-"),"",VLOOKUP(C210,'Fatores de Emissão'!$E$181:$K$184,3,FALSE))</f>
        <v/>
      </c>
      <c r="I210" s="1110" t="str">
        <f>IF(OR(D210="",D210="-"),"",VLOOKUP(D210,'Fatores de Emissão'!$E$181:$K$184,2,FALSE))</f>
        <v/>
      </c>
      <c r="J210" s="1110" t="str">
        <f>IF(OR(D210="",D210="-"),"",VLOOKUP(D210,'Fatores de Emissão'!$E$181:$K$184,4,FALSE))</f>
        <v/>
      </c>
      <c r="K210" s="1110" t="str">
        <f>IF(OR(D210="",D210="-"),"",VLOOKUP(D210,'Fatores de Emissão'!$E$181:$K$184,6,FALSE))</f>
        <v/>
      </c>
      <c r="L210" s="478" t="str">
        <f t="shared" si="14"/>
        <v/>
      </c>
      <c r="M210" s="478" t="str">
        <f t="shared" si="14"/>
        <v/>
      </c>
      <c r="N210" s="478" t="str">
        <f t="shared" si="14"/>
        <v/>
      </c>
      <c r="O210" s="479" t="str">
        <f t="shared" si="15"/>
        <v/>
      </c>
      <c r="P210" s="480"/>
    </row>
    <row r="211" spans="1:58" s="237" customFormat="1" ht="15" hidden="1" customHeight="1" outlineLevel="2" x14ac:dyDescent="0.25">
      <c r="A211" s="363"/>
      <c r="B211" s="1160"/>
      <c r="C211" s="1160"/>
      <c r="D211" s="1268"/>
      <c r="E211" s="1268"/>
      <c r="F211" s="438"/>
      <c r="G211" s="438"/>
      <c r="H211" s="1020" t="str">
        <f>IF(OR(C211="",C211="-"),"",VLOOKUP(C211,'Fatores de Emissão'!$E$181:$K$184,3,FALSE))</f>
        <v/>
      </c>
      <c r="I211" s="1110" t="str">
        <f>IF(OR(D211="",D211="-"),"",VLOOKUP(D211,'Fatores de Emissão'!$E$181:$K$184,2,FALSE))</f>
        <v/>
      </c>
      <c r="J211" s="1110" t="str">
        <f>IF(OR(D211="",D211="-"),"",VLOOKUP(D211,'Fatores de Emissão'!$E$181:$K$184,4,FALSE))</f>
        <v/>
      </c>
      <c r="K211" s="1110" t="str">
        <f>IF(OR(D211="",D211="-"),"",VLOOKUP(D211,'Fatores de Emissão'!$E$181:$K$184,6,FALSE))</f>
        <v/>
      </c>
      <c r="L211" s="478" t="str">
        <f t="shared" si="14"/>
        <v/>
      </c>
      <c r="M211" s="478" t="str">
        <f t="shared" si="14"/>
        <v/>
      </c>
      <c r="N211" s="478" t="str">
        <f t="shared" si="14"/>
        <v/>
      </c>
      <c r="O211" s="479" t="str">
        <f t="shared" si="15"/>
        <v/>
      </c>
      <c r="P211" s="480"/>
    </row>
    <row r="212" spans="1:58" s="237" customFormat="1" ht="15" hidden="1" customHeight="1" outlineLevel="2" x14ac:dyDescent="0.25">
      <c r="A212" s="363"/>
      <c r="B212" s="1160"/>
      <c r="C212" s="1160"/>
      <c r="D212" s="1268"/>
      <c r="E212" s="1268"/>
      <c r="F212" s="438"/>
      <c r="G212" s="438"/>
      <c r="H212" s="1020" t="str">
        <f>IF(OR(C212="",C212="-"),"",VLOOKUP(C212,'Fatores de Emissão'!$E$181:$K$184,3,FALSE))</f>
        <v/>
      </c>
      <c r="I212" s="1110" t="str">
        <f>IF(OR(D212="",D212="-"),"",VLOOKUP(D212,'Fatores de Emissão'!$E$181:$K$184,2,FALSE))</f>
        <v/>
      </c>
      <c r="J212" s="1110" t="str">
        <f>IF(OR(D212="",D212="-"),"",VLOOKUP(D212,'Fatores de Emissão'!$E$181:$K$184,4,FALSE))</f>
        <v/>
      </c>
      <c r="K212" s="1110" t="str">
        <f>IF(OR(D212="",D212="-"),"",VLOOKUP(D212,'Fatores de Emissão'!$E$181:$K$184,6,FALSE))</f>
        <v/>
      </c>
      <c r="L212" s="478" t="str">
        <f t="shared" si="14"/>
        <v/>
      </c>
      <c r="M212" s="478" t="str">
        <f t="shared" si="14"/>
        <v/>
      </c>
      <c r="N212" s="478" t="str">
        <f t="shared" si="14"/>
        <v/>
      </c>
      <c r="O212" s="479" t="str">
        <f t="shared" si="15"/>
        <v/>
      </c>
      <c r="P212" s="480"/>
    </row>
    <row r="213" spans="1:58" s="237" customFormat="1" ht="15" hidden="1" customHeight="1" outlineLevel="2" x14ac:dyDescent="0.25">
      <c r="A213" s="363"/>
      <c r="B213" s="1160"/>
      <c r="C213" s="1160"/>
      <c r="D213" s="1268"/>
      <c r="E213" s="1268"/>
      <c r="F213" s="438"/>
      <c r="G213" s="438"/>
      <c r="H213" s="1020" t="str">
        <f>IF(OR(C213="",C213="-"),"",VLOOKUP(C213,'Fatores de Emissão'!$E$181:$K$184,3,FALSE))</f>
        <v/>
      </c>
      <c r="I213" s="1110" t="str">
        <f>IF(OR(D213="",D213="-"),"",VLOOKUP(D213,'Fatores de Emissão'!$E$181:$K$184,2,FALSE))</f>
        <v/>
      </c>
      <c r="J213" s="1110" t="str">
        <f>IF(OR(D213="",D213="-"),"",VLOOKUP(D213,'Fatores de Emissão'!$E$181:$K$184,4,FALSE))</f>
        <v/>
      </c>
      <c r="K213" s="1110" t="str">
        <f>IF(OR(D213="",D213="-"),"",VLOOKUP(D213,'Fatores de Emissão'!$E$181:$K$184,6,FALSE))</f>
        <v/>
      </c>
      <c r="L213" s="478" t="str">
        <f t="shared" si="14"/>
        <v/>
      </c>
      <c r="M213" s="478" t="str">
        <f t="shared" si="14"/>
        <v/>
      </c>
      <c r="N213" s="478" t="str">
        <f t="shared" si="14"/>
        <v/>
      </c>
      <c r="O213" s="479" t="str">
        <f t="shared" si="15"/>
        <v/>
      </c>
      <c r="P213" s="480"/>
    </row>
    <row r="214" spans="1:58" s="237" customFormat="1" ht="15" hidden="1" customHeight="1" outlineLevel="2" x14ac:dyDescent="0.25">
      <c r="A214" s="363"/>
      <c r="B214" s="1160"/>
      <c r="C214" s="1160"/>
      <c r="D214" s="1268"/>
      <c r="E214" s="1268"/>
      <c r="F214" s="438"/>
      <c r="G214" s="438"/>
      <c r="H214" s="1020" t="str">
        <f>IF(OR(C214="",C214="-"),"",VLOOKUP(C214,'Fatores de Emissão'!$E$181:$K$184,3,FALSE))</f>
        <v/>
      </c>
      <c r="I214" s="1110" t="str">
        <f>IF(OR(D214="",D214="-"),"",VLOOKUP(D214,'Fatores de Emissão'!$E$181:$K$184,2,FALSE))</f>
        <v/>
      </c>
      <c r="J214" s="1110" t="str">
        <f>IF(OR(D214="",D214="-"),"",VLOOKUP(D214,'Fatores de Emissão'!$E$181:$K$184,4,FALSE))</f>
        <v/>
      </c>
      <c r="K214" s="1110" t="str">
        <f>IF(OR(D214="",D214="-"),"",VLOOKUP(D214,'Fatores de Emissão'!$E$181:$K$184,6,FALSE))</f>
        <v/>
      </c>
      <c r="L214" s="478" t="str">
        <f t="shared" si="14"/>
        <v/>
      </c>
      <c r="M214" s="478" t="str">
        <f t="shared" si="14"/>
        <v/>
      </c>
      <c r="N214" s="478" t="str">
        <f t="shared" si="14"/>
        <v/>
      </c>
      <c r="O214" s="479" t="str">
        <f t="shared" si="15"/>
        <v/>
      </c>
      <c r="P214" s="480"/>
    </row>
    <row r="215" spans="1:58" s="237" customFormat="1" ht="15" hidden="1" customHeight="1" outlineLevel="2" x14ac:dyDescent="0.25">
      <c r="A215" s="363"/>
      <c r="B215" s="1160"/>
      <c r="C215" s="1160"/>
      <c r="D215" s="1268"/>
      <c r="E215" s="1268"/>
      <c r="F215" s="438"/>
      <c r="G215" s="438"/>
      <c r="H215" s="1020" t="str">
        <f>IF(OR(C215="",C215="-"),"",VLOOKUP(C215,'Fatores de Emissão'!$E$181:$K$184,3,FALSE))</f>
        <v/>
      </c>
      <c r="I215" s="1110" t="str">
        <f>IF(OR(D215="",D215="-"),"",VLOOKUP(D215,'Fatores de Emissão'!$E$181:$K$184,2,FALSE))</f>
        <v/>
      </c>
      <c r="J215" s="1110" t="str">
        <f>IF(OR(D215="",D215="-"),"",VLOOKUP(D215,'Fatores de Emissão'!$E$181:$K$184,4,FALSE))</f>
        <v/>
      </c>
      <c r="K215" s="1110" t="str">
        <f>IF(OR(D215="",D215="-"),"",VLOOKUP(D215,'Fatores de Emissão'!$E$181:$K$184,6,FALSE))</f>
        <v/>
      </c>
      <c r="L215" s="478" t="str">
        <f t="shared" si="14"/>
        <v/>
      </c>
      <c r="M215" s="478" t="str">
        <f t="shared" si="14"/>
        <v/>
      </c>
      <c r="N215" s="478" t="str">
        <f t="shared" si="14"/>
        <v/>
      </c>
      <c r="O215" s="479" t="str">
        <f t="shared" si="15"/>
        <v/>
      </c>
      <c r="P215" s="480"/>
    </row>
    <row r="216" spans="1:58" s="237" customFormat="1" ht="15" customHeight="1" outlineLevel="1" x14ac:dyDescent="0.25">
      <c r="A216" s="363"/>
      <c r="B216" s="363"/>
      <c r="C216" s="363"/>
      <c r="D216" s="363"/>
      <c r="E216" s="363"/>
      <c r="F216" s="363"/>
      <c r="G216" s="363"/>
      <c r="H216" s="363"/>
      <c r="I216" s="1278" t="s">
        <v>78</v>
      </c>
      <c r="J216" s="1279"/>
      <c r="K216" s="1280"/>
      <c r="L216" s="443">
        <f>SUM(L166:L215)</f>
        <v>0</v>
      </c>
      <c r="M216" s="443">
        <f>SUM(M166:M215)</f>
        <v>0</v>
      </c>
      <c r="N216" s="443">
        <f>SUM(N166:N215)</f>
        <v>0</v>
      </c>
      <c r="O216" s="443">
        <f>SUM(O166:O215)</f>
        <v>0</v>
      </c>
      <c r="P216" s="443">
        <f>SUM(P166:P215)</f>
        <v>0</v>
      </c>
    </row>
    <row r="217" spans="1:58" s="237" customFormat="1" ht="15" customHeight="1" x14ac:dyDescent="0.25">
      <c r="A217" s="363"/>
      <c r="B217" s="373"/>
      <c r="C217" s="373"/>
      <c r="D217" s="442"/>
      <c r="E217" s="442"/>
      <c r="F217" s="373"/>
      <c r="G217" s="373"/>
      <c r="H217" s="373"/>
      <c r="I217" s="373"/>
      <c r="J217" s="373"/>
      <c r="K217" s="373"/>
      <c r="L217" s="373"/>
      <c r="M217" s="373"/>
      <c r="N217" s="373"/>
      <c r="O217" s="373"/>
      <c r="P217" s="373"/>
      <c r="Q217" s="373"/>
      <c r="R217" s="373"/>
      <c r="S217" s="373"/>
      <c r="T217" s="373"/>
      <c r="U217" s="373"/>
      <c r="V217" s="363"/>
      <c r="W217" s="373"/>
      <c r="X217" s="373"/>
      <c r="Z217" s="373"/>
      <c r="AA217" s="373"/>
      <c r="AB217" s="373"/>
    </row>
    <row r="218" spans="1:58" s="463" customFormat="1" ht="18" customHeight="1" x14ac:dyDescent="0.3">
      <c r="A218" s="458"/>
      <c r="B218" s="733" t="s">
        <v>1532</v>
      </c>
      <c r="C218" s="459"/>
      <c r="D218" s="460"/>
      <c r="E218" s="460"/>
      <c r="F218" s="460"/>
      <c r="G218" s="461"/>
      <c r="H218" s="461"/>
      <c r="I218" s="461"/>
      <c r="J218" s="461"/>
      <c r="K218" s="461"/>
      <c r="L218" s="461"/>
      <c r="M218" s="461"/>
      <c r="N218" s="461"/>
      <c r="O218" s="461"/>
      <c r="P218" s="461"/>
      <c r="Q218" s="461"/>
      <c r="R218" s="461"/>
      <c r="S218" s="461"/>
      <c r="T218" s="461"/>
      <c r="U218" s="461"/>
      <c r="V218" s="461"/>
      <c r="W218" s="461"/>
      <c r="X218" s="461"/>
      <c r="Y218" s="461"/>
      <c r="Z218" s="461"/>
      <c r="AA218" s="461"/>
      <c r="AB218" s="461"/>
      <c r="AC218" s="461"/>
      <c r="AD218" s="461"/>
      <c r="AE218" s="461"/>
      <c r="AF218" s="461"/>
      <c r="AG218" s="461"/>
      <c r="AH218" s="461"/>
      <c r="AI218" s="461"/>
      <c r="AJ218" s="461"/>
      <c r="AK218" s="461"/>
      <c r="AL218" s="461"/>
      <c r="AM218" s="461"/>
      <c r="AN218" s="461"/>
      <c r="AO218" s="461"/>
      <c r="AP218" s="461"/>
      <c r="AQ218" s="461"/>
      <c r="AR218" s="461"/>
      <c r="AS218" s="461"/>
      <c r="AT218" s="461"/>
      <c r="AU218" s="461"/>
      <c r="AV218" s="461"/>
      <c r="AW218" s="461"/>
      <c r="AX218" s="461"/>
      <c r="AY218" s="461"/>
      <c r="AZ218" s="461"/>
      <c r="BA218" s="461"/>
      <c r="BB218" s="461"/>
      <c r="BC218" s="461"/>
      <c r="BD218" s="461"/>
      <c r="BE218" s="461"/>
      <c r="BF218" s="462"/>
    </row>
    <row r="219" spans="1:58" ht="15" customHeight="1" outlineLevel="1" x14ac:dyDescent="0.2">
      <c r="A219" s="339"/>
      <c r="B219" s="920"/>
      <c r="C219" s="416"/>
      <c r="D219" s="416"/>
      <c r="E219" s="416"/>
      <c r="F219" s="339"/>
      <c r="G219" s="339"/>
      <c r="H219" s="339"/>
      <c r="I219" s="339"/>
      <c r="J219" s="339"/>
      <c r="K219" s="339"/>
      <c r="L219" s="339"/>
      <c r="M219" s="339"/>
      <c r="N219" s="339"/>
      <c r="O219" s="339"/>
      <c r="P219" s="339"/>
      <c r="Q219" s="339"/>
      <c r="R219" s="339"/>
      <c r="AI219" s="339"/>
      <c r="AJ219" s="339"/>
      <c r="AK219" s="339"/>
      <c r="AL219" s="339"/>
      <c r="AM219" s="339"/>
      <c r="AO219" s="339"/>
      <c r="AP219" s="339"/>
      <c r="AQ219" s="339"/>
    </row>
    <row r="220" spans="1:58" ht="15" customHeight="1" outlineLevel="1" x14ac:dyDescent="0.25">
      <c r="A220" s="339"/>
      <c r="B220" s="523" t="s">
        <v>124</v>
      </c>
      <c r="C220" s="416"/>
      <c r="D220" s="416"/>
      <c r="E220" s="416"/>
      <c r="F220" s="339"/>
      <c r="G220" s="339"/>
      <c r="H220" s="339"/>
      <c r="I220" s="339"/>
      <c r="J220" s="339"/>
      <c r="K220" s="339"/>
      <c r="L220" s="339"/>
      <c r="M220" s="339"/>
      <c r="N220" s="339"/>
      <c r="O220" s="339"/>
      <c r="P220" s="339"/>
      <c r="Q220" s="339"/>
      <c r="R220" s="339"/>
      <c r="AI220" s="339"/>
      <c r="AJ220" s="339"/>
      <c r="AK220" s="339"/>
      <c r="AL220" s="339"/>
      <c r="AM220" s="339"/>
      <c r="AO220" s="339"/>
      <c r="AP220" s="339"/>
      <c r="AQ220" s="339"/>
    </row>
    <row r="221" spans="1:58" s="237" customFormat="1" ht="15" customHeight="1" outlineLevel="1" x14ac:dyDescent="0.25">
      <c r="A221" s="363"/>
      <c r="B221" s="449" t="s">
        <v>2058</v>
      </c>
      <c r="C221" s="442"/>
      <c r="D221" s="442"/>
      <c r="E221" s="442"/>
      <c r="F221" s="363"/>
      <c r="G221" s="363"/>
      <c r="H221" s="363"/>
      <c r="I221" s="363"/>
      <c r="J221" s="363"/>
      <c r="K221" s="363"/>
      <c r="L221" s="363"/>
      <c r="M221" s="363"/>
      <c r="N221" s="363"/>
      <c r="O221" s="363"/>
      <c r="P221" s="363"/>
      <c r="Q221" s="363"/>
      <c r="R221" s="363"/>
      <c r="AI221" s="363"/>
      <c r="AJ221" s="363"/>
      <c r="AK221" s="363"/>
      <c r="AL221" s="363"/>
      <c r="AM221" s="363"/>
      <c r="AO221" s="363"/>
      <c r="AP221" s="363"/>
      <c r="AQ221" s="363"/>
    </row>
    <row r="222" spans="1:58" s="237" customFormat="1" ht="15" customHeight="1" outlineLevel="1" x14ac:dyDescent="0.25">
      <c r="A222" s="363"/>
      <c r="B222" s="470" t="s">
        <v>2059</v>
      </c>
      <c r="C222" s="442"/>
      <c r="D222" s="442"/>
      <c r="E222" s="442"/>
      <c r="F222" s="363"/>
      <c r="G222" s="363"/>
      <c r="H222" s="363"/>
      <c r="I222" s="363"/>
      <c r="J222" s="363"/>
      <c r="K222" s="363"/>
      <c r="L222" s="363"/>
      <c r="M222" s="363"/>
      <c r="N222" s="363"/>
      <c r="O222" s="363"/>
      <c r="P222" s="363"/>
      <c r="Q222" s="363"/>
      <c r="R222" s="363"/>
      <c r="AI222" s="363"/>
      <c r="AJ222" s="363"/>
      <c r="AK222" s="363"/>
      <c r="AL222" s="363"/>
      <c r="AM222" s="363"/>
      <c r="AO222" s="363"/>
      <c r="AP222" s="363"/>
      <c r="AQ222" s="363"/>
    </row>
    <row r="223" spans="1:58" s="237" customFormat="1" ht="15" customHeight="1" outlineLevel="1" x14ac:dyDescent="0.25">
      <c r="A223" s="363"/>
      <c r="B223" s="481"/>
      <c r="C223" s="442"/>
      <c r="D223" s="442"/>
      <c r="E223" s="442"/>
      <c r="F223" s="363"/>
      <c r="G223" s="363"/>
      <c r="H223" s="363"/>
      <c r="I223" s="363"/>
      <c r="J223" s="363"/>
      <c r="K223" s="363"/>
      <c r="L223" s="363"/>
      <c r="M223" s="363"/>
      <c r="N223" s="363"/>
      <c r="O223" s="363"/>
      <c r="P223" s="363"/>
      <c r="Q223" s="363"/>
      <c r="R223" s="363"/>
      <c r="AI223" s="363"/>
      <c r="AJ223" s="363"/>
      <c r="AK223" s="363"/>
      <c r="AL223" s="363"/>
      <c r="AM223" s="363"/>
      <c r="AO223" s="363"/>
      <c r="AP223" s="363"/>
      <c r="AQ223" s="363"/>
    </row>
    <row r="224" spans="1:58" s="237" customFormat="1" ht="15" customHeight="1" outlineLevel="1" x14ac:dyDescent="0.25">
      <c r="A224" s="363"/>
      <c r="B224" s="362" t="s">
        <v>2071</v>
      </c>
      <c r="C224" s="442"/>
      <c r="D224" s="442"/>
      <c r="E224" s="442"/>
      <c r="F224" s="363"/>
      <c r="G224" s="363"/>
      <c r="H224" s="363"/>
      <c r="I224" s="363"/>
      <c r="J224" s="363"/>
      <c r="K224" s="363"/>
      <c r="L224" s="363"/>
      <c r="M224" s="363"/>
      <c r="N224" s="363"/>
      <c r="O224" s="363"/>
      <c r="P224" s="363"/>
      <c r="Q224" s="363"/>
      <c r="R224" s="363"/>
      <c r="AI224" s="363"/>
      <c r="AJ224" s="363"/>
      <c r="AK224" s="363"/>
      <c r="AL224" s="363"/>
      <c r="AM224" s="363"/>
      <c r="AO224" s="363"/>
      <c r="AP224" s="363"/>
      <c r="AQ224" s="363"/>
    </row>
    <row r="225" spans="1:16" s="237" customFormat="1" ht="15" customHeight="1" outlineLevel="1" x14ac:dyDescent="0.25">
      <c r="A225" s="363"/>
      <c r="B225" s="1267" t="s">
        <v>1531</v>
      </c>
      <c r="C225" s="1267" t="s">
        <v>66</v>
      </c>
      <c r="D225" s="1267" t="s">
        <v>255</v>
      </c>
      <c r="E225" s="1267"/>
      <c r="F225" s="1249" t="s">
        <v>13</v>
      </c>
      <c r="G225" s="1249" t="s">
        <v>1861</v>
      </c>
      <c r="H225" s="1249" t="s">
        <v>1862</v>
      </c>
      <c r="I225" s="1267" t="s">
        <v>588</v>
      </c>
      <c r="J225" s="1267"/>
      <c r="K225" s="1267"/>
      <c r="L225" s="1249" t="s">
        <v>1408</v>
      </c>
      <c r="M225" s="1249" t="s">
        <v>1409</v>
      </c>
      <c r="N225" s="1249" t="s">
        <v>1410</v>
      </c>
      <c r="O225" s="1249" t="s">
        <v>1411</v>
      </c>
      <c r="P225" s="1267" t="s">
        <v>1530</v>
      </c>
    </row>
    <row r="226" spans="1:16" s="237" customFormat="1" ht="15" customHeight="1" outlineLevel="1" x14ac:dyDescent="0.25">
      <c r="A226" s="363"/>
      <c r="B226" s="1267"/>
      <c r="C226" s="1267"/>
      <c r="D226" s="1267"/>
      <c r="E226" s="1267"/>
      <c r="F226" s="1266"/>
      <c r="G226" s="1266"/>
      <c r="H226" s="1266"/>
      <c r="I226" s="1267"/>
      <c r="J226" s="1267"/>
      <c r="K226" s="1267"/>
      <c r="L226" s="1266"/>
      <c r="M226" s="1266"/>
      <c r="N226" s="1266"/>
      <c r="O226" s="1266"/>
      <c r="P226" s="1267"/>
    </row>
    <row r="227" spans="1:16" s="237" customFormat="1" ht="23.25" customHeight="1" outlineLevel="1" x14ac:dyDescent="0.25">
      <c r="A227" s="363"/>
      <c r="B227" s="1267"/>
      <c r="C227" s="1267"/>
      <c r="D227" s="1267"/>
      <c r="E227" s="1267"/>
      <c r="F227" s="1250"/>
      <c r="G227" s="1250"/>
      <c r="H227" s="1250"/>
      <c r="I227" s="1159" t="s">
        <v>1394</v>
      </c>
      <c r="J227" s="1159" t="s">
        <v>1863</v>
      </c>
      <c r="K227" s="1159" t="s">
        <v>1864</v>
      </c>
      <c r="L227" s="1250"/>
      <c r="M227" s="1250"/>
      <c r="N227" s="1250"/>
      <c r="O227" s="1250"/>
      <c r="P227" s="1267"/>
    </row>
    <row r="228" spans="1:16" s="237" customFormat="1" ht="15" customHeight="1" outlineLevel="1" x14ac:dyDescent="0.25">
      <c r="A228" s="427" t="s">
        <v>606</v>
      </c>
      <c r="B228" s="444" t="s">
        <v>610</v>
      </c>
      <c r="C228" s="1107" t="s">
        <v>92</v>
      </c>
      <c r="D228" s="1276" t="s">
        <v>1878</v>
      </c>
      <c r="E228" s="1277"/>
      <c r="F228" s="482">
        <v>1000</v>
      </c>
      <c r="G228" s="482">
        <v>1000</v>
      </c>
      <c r="H228" s="483" t="s">
        <v>1566</v>
      </c>
      <c r="I228" s="484">
        <v>4.9499999999999995E-2</v>
      </c>
      <c r="J228" s="485">
        <v>2.8082724198641043E-6</v>
      </c>
      <c r="K228" s="485">
        <v>9.5892228970969408E-7</v>
      </c>
      <c r="L228" s="486">
        <v>49.499999999999993</v>
      </c>
      <c r="M228" s="486">
        <v>2.8082724198641045E-3</v>
      </c>
      <c r="N228" s="486">
        <v>9.5892228970969402E-4</v>
      </c>
      <c r="O228" s="485">
        <v>49.855965652830079</v>
      </c>
      <c r="P228" s="486">
        <v>0</v>
      </c>
    </row>
    <row r="229" spans="1:16" s="237" customFormat="1" ht="15" customHeight="1" outlineLevel="1" x14ac:dyDescent="0.25">
      <c r="A229" s="363"/>
      <c r="B229" s="1160"/>
      <c r="C229" s="1160"/>
      <c r="D229" s="1268"/>
      <c r="E229" s="1268"/>
      <c r="F229" s="438"/>
      <c r="G229" s="438"/>
      <c r="H229" s="1020" t="str">
        <f>IF(OR(D229="",D229="-"),"",VLOOKUP(D229,'Fatores de Emissão'!$E$192:$K$201,3,FALSE))</f>
        <v/>
      </c>
      <c r="I229" s="1111" t="str">
        <f>IF(OR(D229="",D229="-"),"",VLOOKUP(D229,'Fatores de Emissão'!$E$192:$K$201,2,FALSE))</f>
        <v/>
      </c>
      <c r="J229" s="1111" t="str">
        <f>IF(OR(D229="",D229="-"),"",VLOOKUP(D229,'Fatores de Emissão'!$E$192:$K$201,4,FALSE))</f>
        <v/>
      </c>
      <c r="K229" s="1111" t="str">
        <f>IF(OR(D229="",D229="-"),"",VLOOKUP(D229,'Fatores de Emissão'!$E$192:$K$201,6,FALSE))</f>
        <v/>
      </c>
      <c r="L229" s="478" t="str">
        <f t="shared" ref="L229:N260" si="16">IF($D229="","",$F229*$G229*I229/1000)</f>
        <v/>
      </c>
      <c r="M229" s="478" t="str">
        <f t="shared" si="16"/>
        <v/>
      </c>
      <c r="N229" s="478" t="str">
        <f t="shared" si="16"/>
        <v/>
      </c>
      <c r="O229" s="451" t="str">
        <f>IF(ISERR(L229*gwp_CO2+M229*gwp_CH4+N229*gwp_N2O),"",L229*gwp_CO2+M229*gwp_CH4+N229*gwp_N2O)</f>
        <v/>
      </c>
      <c r="P229" s="452"/>
    </row>
    <row r="230" spans="1:16" s="237" customFormat="1" ht="15" customHeight="1" outlineLevel="1" x14ac:dyDescent="0.25">
      <c r="A230" s="363"/>
      <c r="B230" s="1160"/>
      <c r="C230" s="1160"/>
      <c r="D230" s="1268"/>
      <c r="E230" s="1268"/>
      <c r="F230" s="438"/>
      <c r="G230" s="438"/>
      <c r="H230" s="1020" t="str">
        <f>IF(OR(D230="",D230="-"),"",VLOOKUP(D230,'Fatores de Emissão'!$E$192:$K$201,3,FALSE))</f>
        <v/>
      </c>
      <c r="I230" s="1111" t="str">
        <f>IF(OR(D230="",D230="-"),"",VLOOKUP(D230,'Fatores de Emissão'!$E$192:$K$201,2,FALSE))</f>
        <v/>
      </c>
      <c r="J230" s="1111" t="str">
        <f>IF(OR(D230="",D230="-"),"",VLOOKUP(D230,'Fatores de Emissão'!$E$192:$K$201,4,FALSE))</f>
        <v/>
      </c>
      <c r="K230" s="1111" t="str">
        <f>IF(OR(D230="",D230="-"),"",VLOOKUP(D230,'Fatores de Emissão'!$E$192:$K$201,6,FALSE))</f>
        <v/>
      </c>
      <c r="L230" s="478" t="str">
        <f t="shared" si="16"/>
        <v/>
      </c>
      <c r="M230" s="478" t="str">
        <f t="shared" si="16"/>
        <v/>
      </c>
      <c r="N230" s="478" t="str">
        <f t="shared" si="16"/>
        <v/>
      </c>
      <c r="O230" s="451" t="str">
        <f t="shared" ref="O230:O278" si="17">IF(ISERR(L230*gwp_CO2+M230*gwp_CH4+N230*gwp_N2O),"",L230*gwp_CO2+M230*gwp_CH4+N230*gwp_N2O)</f>
        <v/>
      </c>
      <c r="P230" s="452"/>
    </row>
    <row r="231" spans="1:16" s="237" customFormat="1" ht="15" customHeight="1" outlineLevel="1" x14ac:dyDescent="0.25">
      <c r="A231" s="363"/>
      <c r="B231" s="1160"/>
      <c r="C231" s="1160"/>
      <c r="D231" s="1268"/>
      <c r="E231" s="1268"/>
      <c r="F231" s="438"/>
      <c r="G231" s="438"/>
      <c r="H231" s="1020" t="str">
        <f>IF(OR(D231="",D231="-"),"",VLOOKUP(D231,'Fatores de Emissão'!$E$192:$K$201,3,FALSE))</f>
        <v/>
      </c>
      <c r="I231" s="1111" t="str">
        <f>IF(OR(D231="",D231="-"),"",VLOOKUP(D231,'Fatores de Emissão'!$E$192:$K$201,2,FALSE))</f>
        <v/>
      </c>
      <c r="J231" s="1111" t="str">
        <f>IF(OR(D231="",D231="-"),"",VLOOKUP(D231,'Fatores de Emissão'!$E$192:$K$201,4,FALSE))</f>
        <v/>
      </c>
      <c r="K231" s="1111" t="str">
        <f>IF(OR(D231="",D231="-"),"",VLOOKUP(D231,'Fatores de Emissão'!$E$192:$K$201,6,FALSE))</f>
        <v/>
      </c>
      <c r="L231" s="478" t="str">
        <f t="shared" si="16"/>
        <v/>
      </c>
      <c r="M231" s="478" t="str">
        <f t="shared" si="16"/>
        <v/>
      </c>
      <c r="N231" s="478" t="str">
        <f t="shared" si="16"/>
        <v/>
      </c>
      <c r="O231" s="451" t="str">
        <f t="shared" si="17"/>
        <v/>
      </c>
      <c r="P231" s="452"/>
    </row>
    <row r="232" spans="1:16" s="237" customFormat="1" ht="15" customHeight="1" outlineLevel="1" x14ac:dyDescent="0.25">
      <c r="A232" s="363"/>
      <c r="B232" s="1160"/>
      <c r="C232" s="1160"/>
      <c r="D232" s="1268"/>
      <c r="E232" s="1268"/>
      <c r="F232" s="438"/>
      <c r="G232" s="438"/>
      <c r="H232" s="1020" t="str">
        <f>IF(OR(D232="",D232="-"),"",VLOOKUP(D232,'Fatores de Emissão'!$E$192:$K$201,3,FALSE))</f>
        <v/>
      </c>
      <c r="I232" s="1111" t="str">
        <f>IF(OR(D232="",D232="-"),"",VLOOKUP(D232,'Fatores de Emissão'!$E$192:$K$201,2,FALSE))</f>
        <v/>
      </c>
      <c r="J232" s="1111" t="str">
        <f>IF(OR(D232="",D232="-"),"",VLOOKUP(D232,'Fatores de Emissão'!$E$192:$K$201,4,FALSE))</f>
        <v/>
      </c>
      <c r="K232" s="1111" t="str">
        <f>IF(OR(D232="",D232="-"),"",VLOOKUP(D232,'Fatores de Emissão'!$E$192:$K$201,6,FALSE))</f>
        <v/>
      </c>
      <c r="L232" s="478" t="str">
        <f t="shared" si="16"/>
        <v/>
      </c>
      <c r="M232" s="478" t="str">
        <f t="shared" si="16"/>
        <v/>
      </c>
      <c r="N232" s="478" t="str">
        <f t="shared" si="16"/>
        <v/>
      </c>
      <c r="O232" s="451" t="str">
        <f t="shared" si="17"/>
        <v/>
      </c>
      <c r="P232" s="452"/>
    </row>
    <row r="233" spans="1:16" s="237" customFormat="1" ht="15" customHeight="1" outlineLevel="1" x14ac:dyDescent="0.25">
      <c r="A233" s="363"/>
      <c r="B233" s="1160"/>
      <c r="C233" s="1160"/>
      <c r="D233" s="1268"/>
      <c r="E233" s="1268"/>
      <c r="F233" s="438"/>
      <c r="G233" s="438"/>
      <c r="H233" s="1020" t="str">
        <f>IF(OR(D233="",D233="-"),"",VLOOKUP(D233,'Fatores de Emissão'!$E$192:$K$201,3,FALSE))</f>
        <v/>
      </c>
      <c r="I233" s="1111" t="str">
        <f>IF(OR(D233="",D233="-"),"",VLOOKUP(D233,'Fatores de Emissão'!$E$192:$K$201,2,FALSE))</f>
        <v/>
      </c>
      <c r="J233" s="1111" t="str">
        <f>IF(OR(D233="",D233="-"),"",VLOOKUP(D233,'Fatores de Emissão'!$E$192:$K$201,4,FALSE))</f>
        <v/>
      </c>
      <c r="K233" s="1111" t="str">
        <f>IF(OR(D233="",D233="-"),"",VLOOKUP(D233,'Fatores de Emissão'!$E$192:$K$201,6,FALSE))</f>
        <v/>
      </c>
      <c r="L233" s="478" t="str">
        <f t="shared" si="16"/>
        <v/>
      </c>
      <c r="M233" s="478" t="str">
        <f t="shared" si="16"/>
        <v/>
      </c>
      <c r="N233" s="478" t="str">
        <f t="shared" si="16"/>
        <v/>
      </c>
      <c r="O233" s="451" t="str">
        <f t="shared" si="17"/>
        <v/>
      </c>
      <c r="P233" s="452"/>
    </row>
    <row r="234" spans="1:16" s="237" customFormat="1" ht="15" customHeight="1" outlineLevel="1" x14ac:dyDescent="0.25">
      <c r="A234" s="363"/>
      <c r="B234" s="1160"/>
      <c r="C234" s="1160"/>
      <c r="D234" s="1268"/>
      <c r="E234" s="1268"/>
      <c r="F234" s="438"/>
      <c r="G234" s="438"/>
      <c r="H234" s="1020" t="str">
        <f>IF(OR(D234="",D234="-"),"",VLOOKUP(D234,'Fatores de Emissão'!$E$192:$K$201,3,FALSE))</f>
        <v/>
      </c>
      <c r="I234" s="1111" t="str">
        <f>IF(OR(D234="",D234="-"),"",VLOOKUP(D234,'Fatores de Emissão'!$E$192:$K$201,2,FALSE))</f>
        <v/>
      </c>
      <c r="J234" s="1111" t="str">
        <f>IF(OR(D234="",D234="-"),"",VLOOKUP(D234,'Fatores de Emissão'!$E$192:$K$201,4,FALSE))</f>
        <v/>
      </c>
      <c r="K234" s="1111" t="str">
        <f>IF(OR(D234="",D234="-"),"",VLOOKUP(D234,'Fatores de Emissão'!$E$192:$K$201,6,FALSE))</f>
        <v/>
      </c>
      <c r="L234" s="478" t="str">
        <f t="shared" si="16"/>
        <v/>
      </c>
      <c r="M234" s="478" t="str">
        <f t="shared" si="16"/>
        <v/>
      </c>
      <c r="N234" s="478" t="str">
        <f t="shared" si="16"/>
        <v/>
      </c>
      <c r="O234" s="451" t="str">
        <f t="shared" si="17"/>
        <v/>
      </c>
      <c r="P234" s="452"/>
    </row>
    <row r="235" spans="1:16" s="237" customFormat="1" ht="15" customHeight="1" outlineLevel="1" x14ac:dyDescent="0.25">
      <c r="A235" s="363"/>
      <c r="B235" s="1160"/>
      <c r="C235" s="1160"/>
      <c r="D235" s="1268"/>
      <c r="E235" s="1268"/>
      <c r="F235" s="438"/>
      <c r="G235" s="438"/>
      <c r="H235" s="1020" t="str">
        <f>IF(OR(D235="",D235="-"),"",VLOOKUP(D235,'Fatores de Emissão'!$E$192:$K$201,3,FALSE))</f>
        <v/>
      </c>
      <c r="I235" s="1111" t="str">
        <f>IF(OR(D235="",D235="-"),"",VLOOKUP(D235,'Fatores de Emissão'!$E$192:$K$201,2,FALSE))</f>
        <v/>
      </c>
      <c r="J235" s="1111" t="str">
        <f>IF(OR(D235="",D235="-"),"",VLOOKUP(D235,'Fatores de Emissão'!$E$192:$K$201,4,FALSE))</f>
        <v/>
      </c>
      <c r="K235" s="1111" t="str">
        <f>IF(OR(D235="",D235="-"),"",VLOOKUP(D235,'Fatores de Emissão'!$E$192:$K$201,6,FALSE))</f>
        <v/>
      </c>
      <c r="L235" s="478" t="str">
        <f t="shared" si="16"/>
        <v/>
      </c>
      <c r="M235" s="478" t="str">
        <f t="shared" si="16"/>
        <v/>
      </c>
      <c r="N235" s="478" t="str">
        <f t="shared" si="16"/>
        <v/>
      </c>
      <c r="O235" s="451" t="str">
        <f t="shared" si="17"/>
        <v/>
      </c>
      <c r="P235" s="452"/>
    </row>
    <row r="236" spans="1:16" s="237" customFormat="1" ht="15" customHeight="1" outlineLevel="1" x14ac:dyDescent="0.25">
      <c r="A236" s="363"/>
      <c r="B236" s="1160"/>
      <c r="C236" s="1160"/>
      <c r="D236" s="1268"/>
      <c r="E236" s="1268"/>
      <c r="F236" s="438"/>
      <c r="G236" s="438"/>
      <c r="H236" s="1020" t="str">
        <f>IF(OR(D236="",D236="-"),"",VLOOKUP(D236,'Fatores de Emissão'!$E$192:$K$201,3,FALSE))</f>
        <v/>
      </c>
      <c r="I236" s="1111" t="str">
        <f>IF(OR(D236="",D236="-"),"",VLOOKUP(D236,'Fatores de Emissão'!$E$192:$K$201,2,FALSE))</f>
        <v/>
      </c>
      <c r="J236" s="1111" t="str">
        <f>IF(OR(D236="",D236="-"),"",VLOOKUP(D236,'Fatores de Emissão'!$E$192:$K$201,4,FALSE))</f>
        <v/>
      </c>
      <c r="K236" s="1111" t="str">
        <f>IF(OR(D236="",D236="-"),"",VLOOKUP(D236,'Fatores de Emissão'!$E$192:$K$201,6,FALSE))</f>
        <v/>
      </c>
      <c r="L236" s="478" t="str">
        <f t="shared" si="16"/>
        <v/>
      </c>
      <c r="M236" s="478" t="str">
        <f t="shared" si="16"/>
        <v/>
      </c>
      <c r="N236" s="478" t="str">
        <f t="shared" si="16"/>
        <v/>
      </c>
      <c r="O236" s="451" t="str">
        <f t="shared" si="17"/>
        <v/>
      </c>
      <c r="P236" s="452"/>
    </row>
    <row r="237" spans="1:16" s="237" customFormat="1" ht="15" customHeight="1" outlineLevel="1" x14ac:dyDescent="0.25">
      <c r="A237" s="363"/>
      <c r="B237" s="1160"/>
      <c r="C237" s="1160"/>
      <c r="D237" s="1268"/>
      <c r="E237" s="1268"/>
      <c r="F237" s="438"/>
      <c r="G237" s="438"/>
      <c r="H237" s="1020" t="str">
        <f>IF(OR(D237="",D237="-"),"",VLOOKUP(D237,'Fatores de Emissão'!$E$192:$K$201,3,FALSE))</f>
        <v/>
      </c>
      <c r="I237" s="1111" t="str">
        <f>IF(OR(D237="",D237="-"),"",VLOOKUP(D237,'Fatores de Emissão'!$E$192:$K$201,2,FALSE))</f>
        <v/>
      </c>
      <c r="J237" s="1111" t="str">
        <f>IF(OR(D237="",D237="-"),"",VLOOKUP(D237,'Fatores de Emissão'!$E$192:$K$201,4,FALSE))</f>
        <v/>
      </c>
      <c r="K237" s="1111" t="str">
        <f>IF(OR(D237="",D237="-"),"",VLOOKUP(D237,'Fatores de Emissão'!$E$192:$K$201,6,FALSE))</f>
        <v/>
      </c>
      <c r="L237" s="478" t="str">
        <f t="shared" si="16"/>
        <v/>
      </c>
      <c r="M237" s="478" t="str">
        <f t="shared" si="16"/>
        <v/>
      </c>
      <c r="N237" s="478" t="str">
        <f t="shared" si="16"/>
        <v/>
      </c>
      <c r="O237" s="451" t="str">
        <f t="shared" si="17"/>
        <v/>
      </c>
      <c r="P237" s="452"/>
    </row>
    <row r="238" spans="1:16" s="237" customFormat="1" ht="15" customHeight="1" outlineLevel="1" collapsed="1" x14ac:dyDescent="0.25">
      <c r="A238" s="363"/>
      <c r="B238" s="1160"/>
      <c r="C238" s="1160"/>
      <c r="D238" s="1268"/>
      <c r="E238" s="1268"/>
      <c r="F238" s="438"/>
      <c r="G238" s="438"/>
      <c r="H238" s="1020" t="str">
        <f>IF(OR(D238="",D238="-"),"",VLOOKUP(D238,'Fatores de Emissão'!$E$192:$K$201,3,FALSE))</f>
        <v/>
      </c>
      <c r="I238" s="1111" t="str">
        <f>IF(OR(D238="",D238="-"),"",VLOOKUP(D238,'Fatores de Emissão'!$E$192:$K$201,2,FALSE))</f>
        <v/>
      </c>
      <c r="J238" s="1111" t="str">
        <f>IF(OR(D238="",D238="-"),"",VLOOKUP(D238,'Fatores de Emissão'!$E$192:$K$201,4,FALSE))</f>
        <v/>
      </c>
      <c r="K238" s="1111" t="str">
        <f>IF(OR(D238="",D238="-"),"",VLOOKUP(D238,'Fatores de Emissão'!$E$192:$K$201,6,FALSE))</f>
        <v/>
      </c>
      <c r="L238" s="478" t="str">
        <f t="shared" si="16"/>
        <v/>
      </c>
      <c r="M238" s="478" t="str">
        <f t="shared" si="16"/>
        <v/>
      </c>
      <c r="N238" s="478" t="str">
        <f t="shared" si="16"/>
        <v/>
      </c>
      <c r="O238" s="451" t="str">
        <f t="shared" si="17"/>
        <v/>
      </c>
      <c r="P238" s="452"/>
    </row>
    <row r="239" spans="1:16" s="237" customFormat="1" ht="15" hidden="1" customHeight="1" outlineLevel="2" x14ac:dyDescent="0.25">
      <c r="A239" s="363"/>
      <c r="B239" s="1160"/>
      <c r="C239" s="1160"/>
      <c r="D239" s="1268"/>
      <c r="E239" s="1268"/>
      <c r="F239" s="438"/>
      <c r="G239" s="438"/>
      <c r="H239" s="1020" t="str">
        <f>IF(OR(D239="",D239="-"),"",VLOOKUP(D239,'Fatores de Emissão'!$E$192:$K$201,3,FALSE))</f>
        <v/>
      </c>
      <c r="I239" s="1111" t="str">
        <f>IF(OR(D239="",D239="-"),"",VLOOKUP(D239,'Fatores de Emissão'!$E$192:$K$201,2,FALSE))</f>
        <v/>
      </c>
      <c r="J239" s="1111" t="str">
        <f>IF(OR(D239="",D239="-"),"",VLOOKUP(D239,'Fatores de Emissão'!$E$192:$K$201,4,FALSE))</f>
        <v/>
      </c>
      <c r="K239" s="1111" t="str">
        <f>IF(OR(D239="",D239="-"),"",VLOOKUP(D239,'Fatores de Emissão'!$E$192:$K$201,6,FALSE))</f>
        <v/>
      </c>
      <c r="L239" s="478" t="str">
        <f t="shared" si="16"/>
        <v/>
      </c>
      <c r="M239" s="478" t="str">
        <f t="shared" si="16"/>
        <v/>
      </c>
      <c r="N239" s="478" t="str">
        <f t="shared" si="16"/>
        <v/>
      </c>
      <c r="O239" s="451" t="str">
        <f t="shared" si="17"/>
        <v/>
      </c>
      <c r="P239" s="452"/>
    </row>
    <row r="240" spans="1:16" s="237" customFormat="1" ht="15" hidden="1" customHeight="1" outlineLevel="2" x14ac:dyDescent="0.25">
      <c r="A240" s="363"/>
      <c r="B240" s="1160"/>
      <c r="C240" s="1160"/>
      <c r="D240" s="1268"/>
      <c r="E240" s="1268"/>
      <c r="F240" s="438"/>
      <c r="G240" s="438"/>
      <c r="H240" s="1020" t="str">
        <f>IF(OR(D240="",D240="-"),"",VLOOKUP(D240,'Fatores de Emissão'!$E$192:$K$201,3,FALSE))</f>
        <v/>
      </c>
      <c r="I240" s="1111" t="str">
        <f>IF(OR(D240="",D240="-"),"",VLOOKUP(D240,'Fatores de Emissão'!$E$192:$K$201,2,FALSE))</f>
        <v/>
      </c>
      <c r="J240" s="1111" t="str">
        <f>IF(OR(D240="",D240="-"),"",VLOOKUP(D240,'Fatores de Emissão'!$E$192:$K$201,4,FALSE))</f>
        <v/>
      </c>
      <c r="K240" s="1111" t="str">
        <f>IF(OR(D240="",D240="-"),"",VLOOKUP(D240,'Fatores de Emissão'!$E$192:$K$201,6,FALSE))</f>
        <v/>
      </c>
      <c r="L240" s="478" t="str">
        <f t="shared" si="16"/>
        <v/>
      </c>
      <c r="M240" s="478" t="str">
        <f t="shared" si="16"/>
        <v/>
      </c>
      <c r="N240" s="478" t="str">
        <f t="shared" si="16"/>
        <v/>
      </c>
      <c r="O240" s="451" t="str">
        <f t="shared" si="17"/>
        <v/>
      </c>
      <c r="P240" s="452"/>
    </row>
    <row r="241" spans="1:16" s="237" customFormat="1" ht="15" hidden="1" customHeight="1" outlineLevel="2" x14ac:dyDescent="0.25">
      <c r="A241" s="363"/>
      <c r="B241" s="1160"/>
      <c r="C241" s="1160"/>
      <c r="D241" s="1268"/>
      <c r="E241" s="1268"/>
      <c r="F241" s="438"/>
      <c r="G241" s="438"/>
      <c r="H241" s="1020" t="str">
        <f>IF(OR(D241="",D241="-"),"",VLOOKUP(D241,'Fatores de Emissão'!$E$192:$K$201,3,FALSE))</f>
        <v/>
      </c>
      <c r="I241" s="1111" t="str">
        <f>IF(OR(D241="",D241="-"),"",VLOOKUP(D241,'Fatores de Emissão'!$E$192:$K$201,2,FALSE))</f>
        <v/>
      </c>
      <c r="J241" s="1111" t="str">
        <f>IF(OR(D241="",D241="-"),"",VLOOKUP(D241,'Fatores de Emissão'!$E$192:$K$201,4,FALSE))</f>
        <v/>
      </c>
      <c r="K241" s="1111" t="str">
        <f>IF(OR(D241="",D241="-"),"",VLOOKUP(D241,'Fatores de Emissão'!$E$192:$K$201,6,FALSE))</f>
        <v/>
      </c>
      <c r="L241" s="478" t="str">
        <f t="shared" si="16"/>
        <v/>
      </c>
      <c r="M241" s="478" t="str">
        <f t="shared" si="16"/>
        <v/>
      </c>
      <c r="N241" s="478" t="str">
        <f t="shared" si="16"/>
        <v/>
      </c>
      <c r="O241" s="451" t="str">
        <f t="shared" si="17"/>
        <v/>
      </c>
      <c r="P241" s="452"/>
    </row>
    <row r="242" spans="1:16" s="237" customFormat="1" ht="15" hidden="1" customHeight="1" outlineLevel="2" x14ac:dyDescent="0.25">
      <c r="A242" s="363"/>
      <c r="B242" s="1160"/>
      <c r="C242" s="1160"/>
      <c r="D242" s="1268"/>
      <c r="E242" s="1268"/>
      <c r="F242" s="438"/>
      <c r="G242" s="438"/>
      <c r="H242" s="1020" t="str">
        <f>IF(OR(D242="",D242="-"),"",VLOOKUP(D242,'Fatores de Emissão'!$E$192:$K$201,3,FALSE))</f>
        <v/>
      </c>
      <c r="I242" s="1111" t="str">
        <f>IF(OR(D242="",D242="-"),"",VLOOKUP(D242,'Fatores de Emissão'!$E$192:$K$201,2,FALSE))</f>
        <v/>
      </c>
      <c r="J242" s="1111" t="str">
        <f>IF(OR(D242="",D242="-"),"",VLOOKUP(D242,'Fatores de Emissão'!$E$192:$K$201,4,FALSE))</f>
        <v/>
      </c>
      <c r="K242" s="1111" t="str">
        <f>IF(OR(D242="",D242="-"),"",VLOOKUP(D242,'Fatores de Emissão'!$E$192:$K$201,6,FALSE))</f>
        <v/>
      </c>
      <c r="L242" s="478" t="str">
        <f t="shared" si="16"/>
        <v/>
      </c>
      <c r="M242" s="478" t="str">
        <f t="shared" si="16"/>
        <v/>
      </c>
      <c r="N242" s="478" t="str">
        <f t="shared" si="16"/>
        <v/>
      </c>
      <c r="O242" s="451" t="str">
        <f t="shared" si="17"/>
        <v/>
      </c>
      <c r="P242" s="452"/>
    </row>
    <row r="243" spans="1:16" s="237" customFormat="1" ht="15" hidden="1" customHeight="1" outlineLevel="2" x14ac:dyDescent="0.25">
      <c r="A243" s="363"/>
      <c r="B243" s="1160"/>
      <c r="C243" s="1160"/>
      <c r="D243" s="1268"/>
      <c r="E243" s="1268"/>
      <c r="F243" s="438"/>
      <c r="G243" s="438"/>
      <c r="H243" s="1020" t="str">
        <f>IF(OR(D243="",D243="-"),"",VLOOKUP(D243,'Fatores de Emissão'!$E$192:$K$201,3,FALSE))</f>
        <v/>
      </c>
      <c r="I243" s="1111" t="str">
        <f>IF(OR(D243="",D243="-"),"",VLOOKUP(D243,'Fatores de Emissão'!$E$192:$K$201,2,FALSE))</f>
        <v/>
      </c>
      <c r="J243" s="1111" t="str">
        <f>IF(OR(D243="",D243="-"),"",VLOOKUP(D243,'Fatores de Emissão'!$E$192:$K$201,4,FALSE))</f>
        <v/>
      </c>
      <c r="K243" s="1111" t="str">
        <f>IF(OR(D243="",D243="-"),"",VLOOKUP(D243,'Fatores de Emissão'!$E$192:$K$201,6,FALSE))</f>
        <v/>
      </c>
      <c r="L243" s="478" t="str">
        <f t="shared" si="16"/>
        <v/>
      </c>
      <c r="M243" s="478" t="str">
        <f t="shared" si="16"/>
        <v/>
      </c>
      <c r="N243" s="478" t="str">
        <f t="shared" si="16"/>
        <v/>
      </c>
      <c r="O243" s="451" t="str">
        <f t="shared" si="17"/>
        <v/>
      </c>
      <c r="P243" s="452"/>
    </row>
    <row r="244" spans="1:16" s="237" customFormat="1" ht="15" hidden="1" customHeight="1" outlineLevel="2" x14ac:dyDescent="0.25">
      <c r="A244" s="363"/>
      <c r="B244" s="1160"/>
      <c r="C244" s="1160"/>
      <c r="D244" s="1268"/>
      <c r="E244" s="1268"/>
      <c r="F244" s="438"/>
      <c r="G244" s="438"/>
      <c r="H244" s="1020" t="str">
        <f>IF(OR(D244="",D244="-"),"",VLOOKUP(D244,'Fatores de Emissão'!$E$192:$K$201,3,FALSE))</f>
        <v/>
      </c>
      <c r="I244" s="1111" t="str">
        <f>IF(OR(D244="",D244="-"),"",VLOOKUP(D244,'Fatores de Emissão'!$E$192:$K$201,2,FALSE))</f>
        <v/>
      </c>
      <c r="J244" s="1111" t="str">
        <f>IF(OR(D244="",D244="-"),"",VLOOKUP(D244,'Fatores de Emissão'!$E$192:$K$201,4,FALSE))</f>
        <v/>
      </c>
      <c r="K244" s="1111" t="str">
        <f>IF(OR(D244="",D244="-"),"",VLOOKUP(D244,'Fatores de Emissão'!$E$192:$K$201,6,FALSE))</f>
        <v/>
      </c>
      <c r="L244" s="478" t="str">
        <f t="shared" si="16"/>
        <v/>
      </c>
      <c r="M244" s="478" t="str">
        <f t="shared" si="16"/>
        <v/>
      </c>
      <c r="N244" s="478" t="str">
        <f t="shared" si="16"/>
        <v/>
      </c>
      <c r="O244" s="451" t="str">
        <f t="shared" si="17"/>
        <v/>
      </c>
      <c r="P244" s="452"/>
    </row>
    <row r="245" spans="1:16" s="237" customFormat="1" ht="15" hidden="1" customHeight="1" outlineLevel="2" x14ac:dyDescent="0.25">
      <c r="A245" s="363"/>
      <c r="B245" s="1160"/>
      <c r="C245" s="1160"/>
      <c r="D245" s="1268"/>
      <c r="E245" s="1268"/>
      <c r="F245" s="438"/>
      <c r="G245" s="438"/>
      <c r="H245" s="1020" t="str">
        <f>IF(OR(D245="",D245="-"),"",VLOOKUP(D245,'Fatores de Emissão'!$E$192:$K$201,3,FALSE))</f>
        <v/>
      </c>
      <c r="I245" s="1111" t="str">
        <f>IF(OR(D245="",D245="-"),"",VLOOKUP(D245,'Fatores de Emissão'!$E$192:$K$201,2,FALSE))</f>
        <v/>
      </c>
      <c r="J245" s="1111" t="str">
        <f>IF(OR(D245="",D245="-"),"",VLOOKUP(D245,'Fatores de Emissão'!$E$192:$K$201,4,FALSE))</f>
        <v/>
      </c>
      <c r="K245" s="1111" t="str">
        <f>IF(OR(D245="",D245="-"),"",VLOOKUP(D245,'Fatores de Emissão'!$E$192:$K$201,6,FALSE))</f>
        <v/>
      </c>
      <c r="L245" s="478" t="str">
        <f t="shared" si="16"/>
        <v/>
      </c>
      <c r="M245" s="478" t="str">
        <f t="shared" si="16"/>
        <v/>
      </c>
      <c r="N245" s="478" t="str">
        <f t="shared" si="16"/>
        <v/>
      </c>
      <c r="O245" s="451" t="str">
        <f t="shared" si="17"/>
        <v/>
      </c>
      <c r="P245" s="452"/>
    </row>
    <row r="246" spans="1:16" s="237" customFormat="1" ht="15" hidden="1" customHeight="1" outlineLevel="2" x14ac:dyDescent="0.25">
      <c r="A246" s="363"/>
      <c r="B246" s="1160"/>
      <c r="C246" s="1160"/>
      <c r="D246" s="1268"/>
      <c r="E246" s="1268"/>
      <c r="F246" s="438"/>
      <c r="G246" s="438"/>
      <c r="H246" s="1020" t="str">
        <f>IF(OR(D246="",D246="-"),"",VLOOKUP(D246,'Fatores de Emissão'!$E$192:$K$201,3,FALSE))</f>
        <v/>
      </c>
      <c r="I246" s="1111" t="str">
        <f>IF(OR(D246="",D246="-"),"",VLOOKUP(D246,'Fatores de Emissão'!$E$192:$K$201,2,FALSE))</f>
        <v/>
      </c>
      <c r="J246" s="1111" t="str">
        <f>IF(OR(D246="",D246="-"),"",VLOOKUP(D246,'Fatores de Emissão'!$E$192:$K$201,4,FALSE))</f>
        <v/>
      </c>
      <c r="K246" s="1111" t="str">
        <f>IF(OR(D246="",D246="-"),"",VLOOKUP(D246,'Fatores de Emissão'!$E$192:$K$201,6,FALSE))</f>
        <v/>
      </c>
      <c r="L246" s="478" t="str">
        <f t="shared" si="16"/>
        <v/>
      </c>
      <c r="M246" s="478" t="str">
        <f t="shared" si="16"/>
        <v/>
      </c>
      <c r="N246" s="478" t="str">
        <f t="shared" si="16"/>
        <v/>
      </c>
      <c r="O246" s="451" t="str">
        <f t="shared" si="17"/>
        <v/>
      </c>
      <c r="P246" s="452"/>
    </row>
    <row r="247" spans="1:16" s="237" customFormat="1" ht="15" hidden="1" customHeight="1" outlineLevel="2" x14ac:dyDescent="0.25">
      <c r="A247" s="363"/>
      <c r="B247" s="1160"/>
      <c r="C247" s="1160"/>
      <c r="D247" s="1268"/>
      <c r="E247" s="1268"/>
      <c r="F247" s="438"/>
      <c r="G247" s="438"/>
      <c r="H247" s="1020" t="str">
        <f>IF(OR(D247="",D247="-"),"",VLOOKUP(D247,'Fatores de Emissão'!$E$192:$K$201,3,FALSE))</f>
        <v/>
      </c>
      <c r="I247" s="1111" t="str">
        <f>IF(OR(D247="",D247="-"),"",VLOOKUP(D247,'Fatores de Emissão'!$E$192:$K$201,2,FALSE))</f>
        <v/>
      </c>
      <c r="J247" s="1111" t="str">
        <f>IF(OR(D247="",D247="-"),"",VLOOKUP(D247,'Fatores de Emissão'!$E$192:$K$201,4,FALSE))</f>
        <v/>
      </c>
      <c r="K247" s="1111" t="str">
        <f>IF(OR(D247="",D247="-"),"",VLOOKUP(D247,'Fatores de Emissão'!$E$192:$K$201,6,FALSE))</f>
        <v/>
      </c>
      <c r="L247" s="478" t="str">
        <f t="shared" si="16"/>
        <v/>
      </c>
      <c r="M247" s="478" t="str">
        <f t="shared" si="16"/>
        <v/>
      </c>
      <c r="N247" s="478" t="str">
        <f t="shared" si="16"/>
        <v/>
      </c>
      <c r="O247" s="451" t="str">
        <f t="shared" si="17"/>
        <v/>
      </c>
      <c r="P247" s="452"/>
    </row>
    <row r="248" spans="1:16" s="237" customFormat="1" ht="15" hidden="1" customHeight="1" outlineLevel="2" x14ac:dyDescent="0.25">
      <c r="A248" s="363"/>
      <c r="B248" s="1160"/>
      <c r="C248" s="1160"/>
      <c r="D248" s="1268"/>
      <c r="E248" s="1268"/>
      <c r="F248" s="438"/>
      <c r="G248" s="438"/>
      <c r="H248" s="1020" t="str">
        <f>IF(OR(D248="",D248="-"),"",VLOOKUP(D248,'Fatores de Emissão'!$E$192:$K$201,3,FALSE))</f>
        <v/>
      </c>
      <c r="I248" s="1111" t="str">
        <f>IF(OR(D248="",D248="-"),"",VLOOKUP(D248,'Fatores de Emissão'!$E$192:$K$201,2,FALSE))</f>
        <v/>
      </c>
      <c r="J248" s="1111" t="str">
        <f>IF(OR(D248="",D248="-"),"",VLOOKUP(D248,'Fatores de Emissão'!$E$192:$K$201,4,FALSE))</f>
        <v/>
      </c>
      <c r="K248" s="1111" t="str">
        <f>IF(OR(D248="",D248="-"),"",VLOOKUP(D248,'Fatores de Emissão'!$E$192:$K$201,6,FALSE))</f>
        <v/>
      </c>
      <c r="L248" s="478" t="str">
        <f t="shared" si="16"/>
        <v/>
      </c>
      <c r="M248" s="478" t="str">
        <f t="shared" si="16"/>
        <v/>
      </c>
      <c r="N248" s="478" t="str">
        <f t="shared" si="16"/>
        <v/>
      </c>
      <c r="O248" s="451" t="str">
        <f t="shared" si="17"/>
        <v/>
      </c>
      <c r="P248" s="452"/>
    </row>
    <row r="249" spans="1:16" s="237" customFormat="1" ht="15" hidden="1" customHeight="1" outlineLevel="2" x14ac:dyDescent="0.25">
      <c r="A249" s="363"/>
      <c r="B249" s="1160"/>
      <c r="C249" s="1160"/>
      <c r="D249" s="1268"/>
      <c r="E249" s="1268"/>
      <c r="F249" s="438"/>
      <c r="G249" s="438"/>
      <c r="H249" s="1020" t="str">
        <f>IF(OR(D249="",D249="-"),"",VLOOKUP(D249,'Fatores de Emissão'!$E$192:$K$201,3,FALSE))</f>
        <v/>
      </c>
      <c r="I249" s="1111" t="str">
        <f>IF(OR(D249="",D249="-"),"",VLOOKUP(D249,'Fatores de Emissão'!$E$192:$K$201,2,FALSE))</f>
        <v/>
      </c>
      <c r="J249" s="1111" t="str">
        <f>IF(OR(D249="",D249="-"),"",VLOOKUP(D249,'Fatores de Emissão'!$E$192:$K$201,4,FALSE))</f>
        <v/>
      </c>
      <c r="K249" s="1111" t="str">
        <f>IF(OR(D249="",D249="-"),"",VLOOKUP(D249,'Fatores de Emissão'!$E$192:$K$201,6,FALSE))</f>
        <v/>
      </c>
      <c r="L249" s="478" t="str">
        <f t="shared" si="16"/>
        <v/>
      </c>
      <c r="M249" s="478" t="str">
        <f t="shared" si="16"/>
        <v/>
      </c>
      <c r="N249" s="478" t="str">
        <f t="shared" si="16"/>
        <v/>
      </c>
      <c r="O249" s="451" t="str">
        <f t="shared" si="17"/>
        <v/>
      </c>
      <c r="P249" s="452"/>
    </row>
    <row r="250" spans="1:16" s="237" customFormat="1" ht="15" hidden="1" customHeight="1" outlineLevel="2" x14ac:dyDescent="0.25">
      <c r="A250" s="363"/>
      <c r="B250" s="1160"/>
      <c r="C250" s="1160"/>
      <c r="D250" s="1268"/>
      <c r="E250" s="1268"/>
      <c r="F250" s="438"/>
      <c r="G250" s="438"/>
      <c r="H250" s="1020" t="str">
        <f>IF(OR(D250="",D250="-"),"",VLOOKUP(D250,'Fatores de Emissão'!$E$192:$K$201,3,FALSE))</f>
        <v/>
      </c>
      <c r="I250" s="1111" t="str">
        <f>IF(OR(D250="",D250="-"),"",VLOOKUP(D250,'Fatores de Emissão'!$E$192:$K$201,2,FALSE))</f>
        <v/>
      </c>
      <c r="J250" s="1111" t="str">
        <f>IF(OR(D250="",D250="-"),"",VLOOKUP(D250,'Fatores de Emissão'!$E$192:$K$201,4,FALSE))</f>
        <v/>
      </c>
      <c r="K250" s="1111" t="str">
        <f>IF(OR(D250="",D250="-"),"",VLOOKUP(D250,'Fatores de Emissão'!$E$192:$K$201,6,FALSE))</f>
        <v/>
      </c>
      <c r="L250" s="478" t="str">
        <f t="shared" si="16"/>
        <v/>
      </c>
      <c r="M250" s="478" t="str">
        <f t="shared" si="16"/>
        <v/>
      </c>
      <c r="N250" s="478" t="str">
        <f t="shared" si="16"/>
        <v/>
      </c>
      <c r="O250" s="451" t="str">
        <f t="shared" si="17"/>
        <v/>
      </c>
      <c r="P250" s="452"/>
    </row>
    <row r="251" spans="1:16" s="237" customFormat="1" ht="15" hidden="1" customHeight="1" outlineLevel="2" x14ac:dyDescent="0.25">
      <c r="A251" s="363"/>
      <c r="B251" s="1160"/>
      <c r="C251" s="1160"/>
      <c r="D251" s="1268"/>
      <c r="E251" s="1268"/>
      <c r="F251" s="438"/>
      <c r="G251" s="438"/>
      <c r="H251" s="1020" t="str">
        <f>IF(OR(D251="",D251="-"),"",VLOOKUP(D251,'Fatores de Emissão'!$E$192:$K$201,3,FALSE))</f>
        <v/>
      </c>
      <c r="I251" s="1111" t="str">
        <f>IF(OR(D251="",D251="-"),"",VLOOKUP(D251,'Fatores de Emissão'!$E$192:$K$201,2,FALSE))</f>
        <v/>
      </c>
      <c r="J251" s="1111" t="str">
        <f>IF(OR(D251="",D251="-"),"",VLOOKUP(D251,'Fatores de Emissão'!$E$192:$K$201,4,FALSE))</f>
        <v/>
      </c>
      <c r="K251" s="1111" t="str">
        <f>IF(OR(D251="",D251="-"),"",VLOOKUP(D251,'Fatores de Emissão'!$E$192:$K$201,6,FALSE))</f>
        <v/>
      </c>
      <c r="L251" s="478" t="str">
        <f t="shared" si="16"/>
        <v/>
      </c>
      <c r="M251" s="478" t="str">
        <f t="shared" si="16"/>
        <v/>
      </c>
      <c r="N251" s="478" t="str">
        <f t="shared" si="16"/>
        <v/>
      </c>
      <c r="O251" s="451" t="str">
        <f t="shared" si="17"/>
        <v/>
      </c>
      <c r="P251" s="452"/>
    </row>
    <row r="252" spans="1:16" s="237" customFormat="1" ht="15" hidden="1" customHeight="1" outlineLevel="2" x14ac:dyDescent="0.25">
      <c r="A252" s="363"/>
      <c r="B252" s="1160"/>
      <c r="C252" s="1160"/>
      <c r="D252" s="1268"/>
      <c r="E252" s="1268"/>
      <c r="F252" s="438"/>
      <c r="G252" s="438"/>
      <c r="H252" s="1020" t="str">
        <f>IF(OR(D252="",D252="-"),"",VLOOKUP(D252,'Fatores de Emissão'!$E$192:$K$201,3,FALSE))</f>
        <v/>
      </c>
      <c r="I252" s="1111" t="str">
        <f>IF(OR(D252="",D252="-"),"",VLOOKUP(D252,'Fatores de Emissão'!$E$192:$K$201,2,FALSE))</f>
        <v/>
      </c>
      <c r="J252" s="1111" t="str">
        <f>IF(OR(D252="",D252="-"),"",VLOOKUP(D252,'Fatores de Emissão'!$E$192:$K$201,4,FALSE))</f>
        <v/>
      </c>
      <c r="K252" s="1111" t="str">
        <f>IF(OR(D252="",D252="-"),"",VLOOKUP(D252,'Fatores de Emissão'!$E$192:$K$201,6,FALSE))</f>
        <v/>
      </c>
      <c r="L252" s="478" t="str">
        <f t="shared" si="16"/>
        <v/>
      </c>
      <c r="M252" s="478" t="str">
        <f t="shared" si="16"/>
        <v/>
      </c>
      <c r="N252" s="478" t="str">
        <f t="shared" si="16"/>
        <v/>
      </c>
      <c r="O252" s="451" t="str">
        <f t="shared" si="17"/>
        <v/>
      </c>
      <c r="P252" s="452"/>
    </row>
    <row r="253" spans="1:16" s="237" customFormat="1" ht="15" hidden="1" customHeight="1" outlineLevel="2" x14ac:dyDescent="0.25">
      <c r="A253" s="363"/>
      <c r="B253" s="1160"/>
      <c r="C253" s="1160"/>
      <c r="D253" s="1268"/>
      <c r="E253" s="1268"/>
      <c r="F253" s="438"/>
      <c r="G253" s="438"/>
      <c r="H253" s="1020" t="str">
        <f>IF(OR(D253="",D253="-"),"",VLOOKUP(D253,'Fatores de Emissão'!$E$192:$K$201,3,FALSE))</f>
        <v/>
      </c>
      <c r="I253" s="1111" t="str">
        <f>IF(OR(D253="",D253="-"),"",VLOOKUP(D253,'Fatores de Emissão'!$E$192:$K$201,2,FALSE))</f>
        <v/>
      </c>
      <c r="J253" s="1111" t="str">
        <f>IF(OR(D253="",D253="-"),"",VLOOKUP(D253,'Fatores de Emissão'!$E$192:$K$201,4,FALSE))</f>
        <v/>
      </c>
      <c r="K253" s="1111" t="str">
        <f>IF(OR(D253="",D253="-"),"",VLOOKUP(D253,'Fatores de Emissão'!$E$192:$K$201,6,FALSE))</f>
        <v/>
      </c>
      <c r="L253" s="478" t="str">
        <f t="shared" si="16"/>
        <v/>
      </c>
      <c r="M253" s="478" t="str">
        <f t="shared" si="16"/>
        <v/>
      </c>
      <c r="N253" s="478" t="str">
        <f t="shared" si="16"/>
        <v/>
      </c>
      <c r="O253" s="451" t="str">
        <f t="shared" si="17"/>
        <v/>
      </c>
      <c r="P253" s="452"/>
    </row>
    <row r="254" spans="1:16" s="237" customFormat="1" ht="15" hidden="1" customHeight="1" outlineLevel="2" x14ac:dyDescent="0.25">
      <c r="A254" s="363"/>
      <c r="B254" s="1160"/>
      <c r="C254" s="1160"/>
      <c r="D254" s="1268"/>
      <c r="E254" s="1268"/>
      <c r="F254" s="438"/>
      <c r="G254" s="438"/>
      <c r="H254" s="1020" t="str">
        <f>IF(OR(D254="",D254="-"),"",VLOOKUP(D254,'Fatores de Emissão'!$E$192:$K$201,3,FALSE))</f>
        <v/>
      </c>
      <c r="I254" s="1111" t="str">
        <f>IF(OR(D254="",D254="-"),"",VLOOKUP(D254,'Fatores de Emissão'!$E$192:$K$201,2,FALSE))</f>
        <v/>
      </c>
      <c r="J254" s="1111" t="str">
        <f>IF(OR(D254="",D254="-"),"",VLOOKUP(D254,'Fatores de Emissão'!$E$192:$K$201,4,FALSE))</f>
        <v/>
      </c>
      <c r="K254" s="1111" t="str">
        <f>IF(OR(D254="",D254="-"),"",VLOOKUP(D254,'Fatores de Emissão'!$E$192:$K$201,6,FALSE))</f>
        <v/>
      </c>
      <c r="L254" s="478" t="str">
        <f t="shared" si="16"/>
        <v/>
      </c>
      <c r="M254" s="478" t="str">
        <f t="shared" si="16"/>
        <v/>
      </c>
      <c r="N254" s="478" t="str">
        <f t="shared" si="16"/>
        <v/>
      </c>
      <c r="O254" s="451" t="str">
        <f t="shared" si="17"/>
        <v/>
      </c>
      <c r="P254" s="452"/>
    </row>
    <row r="255" spans="1:16" s="237" customFormat="1" ht="15" hidden="1" customHeight="1" outlineLevel="2" x14ac:dyDescent="0.25">
      <c r="A255" s="363"/>
      <c r="B255" s="1160"/>
      <c r="C255" s="1160"/>
      <c r="D255" s="1268"/>
      <c r="E255" s="1268"/>
      <c r="F255" s="438"/>
      <c r="G255" s="438"/>
      <c r="H255" s="1020" t="str">
        <f>IF(OR(D255="",D255="-"),"",VLOOKUP(D255,'Fatores de Emissão'!$E$192:$K$201,3,FALSE))</f>
        <v/>
      </c>
      <c r="I255" s="1111" t="str">
        <f>IF(OR(D255="",D255="-"),"",VLOOKUP(D255,'Fatores de Emissão'!$E$192:$K$201,2,FALSE))</f>
        <v/>
      </c>
      <c r="J255" s="1111" t="str">
        <f>IF(OR(D255="",D255="-"),"",VLOOKUP(D255,'Fatores de Emissão'!$E$192:$K$201,4,FALSE))</f>
        <v/>
      </c>
      <c r="K255" s="1111" t="str">
        <f>IF(OR(D255="",D255="-"),"",VLOOKUP(D255,'Fatores de Emissão'!$E$192:$K$201,6,FALSE))</f>
        <v/>
      </c>
      <c r="L255" s="478" t="str">
        <f t="shared" si="16"/>
        <v/>
      </c>
      <c r="M255" s="478" t="str">
        <f t="shared" si="16"/>
        <v/>
      </c>
      <c r="N255" s="478" t="str">
        <f t="shared" si="16"/>
        <v/>
      </c>
      <c r="O255" s="451" t="str">
        <f t="shared" si="17"/>
        <v/>
      </c>
      <c r="P255" s="452"/>
    </row>
    <row r="256" spans="1:16" s="237" customFormat="1" ht="15" hidden="1" customHeight="1" outlineLevel="2" x14ac:dyDescent="0.25">
      <c r="A256" s="363"/>
      <c r="B256" s="1160"/>
      <c r="C256" s="1160"/>
      <c r="D256" s="1268"/>
      <c r="E256" s="1268"/>
      <c r="F256" s="438"/>
      <c r="G256" s="438"/>
      <c r="H256" s="1020" t="str">
        <f>IF(OR(D256="",D256="-"),"",VLOOKUP(D256,'Fatores de Emissão'!$E$192:$K$201,3,FALSE))</f>
        <v/>
      </c>
      <c r="I256" s="1111" t="str">
        <f>IF(OR(D256="",D256="-"),"",VLOOKUP(D256,'Fatores de Emissão'!$E$192:$K$201,2,FALSE))</f>
        <v/>
      </c>
      <c r="J256" s="1111" t="str">
        <f>IF(OR(D256="",D256="-"),"",VLOOKUP(D256,'Fatores de Emissão'!$E$192:$K$201,4,FALSE))</f>
        <v/>
      </c>
      <c r="K256" s="1111" t="str">
        <f>IF(OR(D256="",D256="-"),"",VLOOKUP(D256,'Fatores de Emissão'!$E$192:$K$201,6,FALSE))</f>
        <v/>
      </c>
      <c r="L256" s="478" t="str">
        <f t="shared" si="16"/>
        <v/>
      </c>
      <c r="M256" s="478" t="str">
        <f t="shared" si="16"/>
        <v/>
      </c>
      <c r="N256" s="478" t="str">
        <f t="shared" si="16"/>
        <v/>
      </c>
      <c r="O256" s="451" t="str">
        <f t="shared" si="17"/>
        <v/>
      </c>
      <c r="P256" s="452"/>
    </row>
    <row r="257" spans="1:16" s="237" customFormat="1" ht="15" hidden="1" customHeight="1" outlineLevel="2" x14ac:dyDescent="0.25">
      <c r="A257" s="363"/>
      <c r="B257" s="1160"/>
      <c r="C257" s="1160"/>
      <c r="D257" s="1268"/>
      <c r="E257" s="1268"/>
      <c r="F257" s="438"/>
      <c r="G257" s="438"/>
      <c r="H257" s="1020" t="str">
        <f>IF(OR(D257="",D257="-"),"",VLOOKUP(D257,'Fatores de Emissão'!$E$192:$K$201,3,FALSE))</f>
        <v/>
      </c>
      <c r="I257" s="1111" t="str">
        <f>IF(OR(D257="",D257="-"),"",VLOOKUP(D257,'Fatores de Emissão'!$E$192:$K$201,2,FALSE))</f>
        <v/>
      </c>
      <c r="J257" s="1111" t="str">
        <f>IF(OR(D257="",D257="-"),"",VLOOKUP(D257,'Fatores de Emissão'!$E$192:$K$201,4,FALSE))</f>
        <v/>
      </c>
      <c r="K257" s="1111" t="str">
        <f>IF(OR(D257="",D257="-"),"",VLOOKUP(D257,'Fatores de Emissão'!$E$192:$K$201,6,FALSE))</f>
        <v/>
      </c>
      <c r="L257" s="478" t="str">
        <f t="shared" si="16"/>
        <v/>
      </c>
      <c r="M257" s="478" t="str">
        <f t="shared" si="16"/>
        <v/>
      </c>
      <c r="N257" s="478" t="str">
        <f t="shared" si="16"/>
        <v/>
      </c>
      <c r="O257" s="451" t="str">
        <f t="shared" si="17"/>
        <v/>
      </c>
      <c r="P257" s="452"/>
    </row>
    <row r="258" spans="1:16" s="237" customFormat="1" ht="15" hidden="1" customHeight="1" outlineLevel="2" x14ac:dyDescent="0.25">
      <c r="A258" s="363"/>
      <c r="B258" s="1160"/>
      <c r="C258" s="1160"/>
      <c r="D258" s="1268"/>
      <c r="E258" s="1268"/>
      <c r="F258" s="438"/>
      <c r="G258" s="438"/>
      <c r="H258" s="1020" t="str">
        <f>IF(OR(D258="",D258="-"),"",VLOOKUP(D258,'Fatores de Emissão'!$E$192:$K$201,3,FALSE))</f>
        <v/>
      </c>
      <c r="I258" s="1111" t="str">
        <f>IF(OR(D258="",D258="-"),"",VLOOKUP(D258,'Fatores de Emissão'!$E$192:$K$201,2,FALSE))</f>
        <v/>
      </c>
      <c r="J258" s="1111" t="str">
        <f>IF(OR(D258="",D258="-"),"",VLOOKUP(D258,'Fatores de Emissão'!$E$192:$K$201,4,FALSE))</f>
        <v/>
      </c>
      <c r="K258" s="1111" t="str">
        <f>IF(OR(D258="",D258="-"),"",VLOOKUP(D258,'Fatores de Emissão'!$E$192:$K$201,6,FALSE))</f>
        <v/>
      </c>
      <c r="L258" s="478" t="str">
        <f t="shared" si="16"/>
        <v/>
      </c>
      <c r="M258" s="478" t="str">
        <f t="shared" si="16"/>
        <v/>
      </c>
      <c r="N258" s="478" t="str">
        <f t="shared" si="16"/>
        <v/>
      </c>
      <c r="O258" s="451" t="str">
        <f t="shared" si="17"/>
        <v/>
      </c>
      <c r="P258" s="452"/>
    </row>
    <row r="259" spans="1:16" s="237" customFormat="1" ht="15" hidden="1" customHeight="1" outlineLevel="2" x14ac:dyDescent="0.25">
      <c r="A259" s="363"/>
      <c r="B259" s="1160"/>
      <c r="C259" s="1160"/>
      <c r="D259" s="1268"/>
      <c r="E259" s="1268"/>
      <c r="F259" s="438"/>
      <c r="G259" s="438"/>
      <c r="H259" s="1020" t="str">
        <f>IF(OR(D259="",D259="-"),"",VLOOKUP(D259,'Fatores de Emissão'!$E$192:$K$201,3,FALSE))</f>
        <v/>
      </c>
      <c r="I259" s="1111" t="str">
        <f>IF(OR(D259="",D259="-"),"",VLOOKUP(D259,'Fatores de Emissão'!$E$192:$K$201,2,FALSE))</f>
        <v/>
      </c>
      <c r="J259" s="1111" t="str">
        <f>IF(OR(D259="",D259="-"),"",VLOOKUP(D259,'Fatores de Emissão'!$E$192:$K$201,4,FALSE))</f>
        <v/>
      </c>
      <c r="K259" s="1111" t="str">
        <f>IF(OR(D259="",D259="-"),"",VLOOKUP(D259,'Fatores de Emissão'!$E$192:$K$201,6,FALSE))</f>
        <v/>
      </c>
      <c r="L259" s="478" t="str">
        <f t="shared" si="16"/>
        <v/>
      </c>
      <c r="M259" s="478" t="str">
        <f t="shared" si="16"/>
        <v/>
      </c>
      <c r="N259" s="478" t="str">
        <f t="shared" si="16"/>
        <v/>
      </c>
      <c r="O259" s="451" t="str">
        <f t="shared" si="17"/>
        <v/>
      </c>
      <c r="P259" s="452"/>
    </row>
    <row r="260" spans="1:16" s="237" customFormat="1" ht="15" hidden="1" customHeight="1" outlineLevel="2" x14ac:dyDescent="0.25">
      <c r="A260" s="363"/>
      <c r="B260" s="1160"/>
      <c r="C260" s="1160"/>
      <c r="D260" s="1268"/>
      <c r="E260" s="1268"/>
      <c r="F260" s="438"/>
      <c r="G260" s="438"/>
      <c r="H260" s="1020" t="str">
        <f>IF(OR(D260="",D260="-"),"",VLOOKUP(D260,'Fatores de Emissão'!$E$192:$K$201,3,FALSE))</f>
        <v/>
      </c>
      <c r="I260" s="1111" t="str">
        <f>IF(OR(D260="",D260="-"),"",VLOOKUP(D260,'Fatores de Emissão'!$E$192:$K$201,2,FALSE))</f>
        <v/>
      </c>
      <c r="J260" s="1111" t="str">
        <f>IF(OR(D260="",D260="-"),"",VLOOKUP(D260,'Fatores de Emissão'!$E$192:$K$201,4,FALSE))</f>
        <v/>
      </c>
      <c r="K260" s="1111" t="str">
        <f>IF(OR(D260="",D260="-"),"",VLOOKUP(D260,'Fatores de Emissão'!$E$192:$K$201,6,FALSE))</f>
        <v/>
      </c>
      <c r="L260" s="478" t="str">
        <f t="shared" si="16"/>
        <v/>
      </c>
      <c r="M260" s="478" t="str">
        <f t="shared" si="16"/>
        <v/>
      </c>
      <c r="N260" s="478" t="str">
        <f t="shared" si="16"/>
        <v/>
      </c>
      <c r="O260" s="451" t="str">
        <f t="shared" si="17"/>
        <v/>
      </c>
      <c r="P260" s="452"/>
    </row>
    <row r="261" spans="1:16" s="237" customFormat="1" ht="15" hidden="1" customHeight="1" outlineLevel="2" x14ac:dyDescent="0.25">
      <c r="A261" s="363"/>
      <c r="B261" s="1160"/>
      <c r="C261" s="1160"/>
      <c r="D261" s="1268"/>
      <c r="E261" s="1268"/>
      <c r="F261" s="438"/>
      <c r="G261" s="438"/>
      <c r="H261" s="1020" t="str">
        <f>IF(OR(D261="",D261="-"),"",VLOOKUP(D261,'Fatores de Emissão'!$E$192:$K$201,3,FALSE))</f>
        <v/>
      </c>
      <c r="I261" s="1111" t="str">
        <f>IF(OR(D261="",D261="-"),"",VLOOKUP(D261,'Fatores de Emissão'!$E$192:$K$201,2,FALSE))</f>
        <v/>
      </c>
      <c r="J261" s="1111" t="str">
        <f>IF(OR(D261="",D261="-"),"",VLOOKUP(D261,'Fatores de Emissão'!$E$192:$K$201,4,FALSE))</f>
        <v/>
      </c>
      <c r="K261" s="1111" t="str">
        <f>IF(OR(D261="",D261="-"),"",VLOOKUP(D261,'Fatores de Emissão'!$E$192:$K$201,6,FALSE))</f>
        <v/>
      </c>
      <c r="L261" s="478" t="str">
        <f t="shared" ref="L261:N278" si="18">IF($D261="","",$F261*$G261*I261/1000)</f>
        <v/>
      </c>
      <c r="M261" s="478" t="str">
        <f t="shared" si="18"/>
        <v/>
      </c>
      <c r="N261" s="478" t="str">
        <f t="shared" si="18"/>
        <v/>
      </c>
      <c r="O261" s="451" t="str">
        <f t="shared" si="17"/>
        <v/>
      </c>
      <c r="P261" s="452"/>
    </row>
    <row r="262" spans="1:16" s="237" customFormat="1" ht="15" hidden="1" customHeight="1" outlineLevel="2" x14ac:dyDescent="0.25">
      <c r="A262" s="363"/>
      <c r="B262" s="1160"/>
      <c r="C262" s="1160"/>
      <c r="D262" s="1268"/>
      <c r="E262" s="1268"/>
      <c r="F262" s="438"/>
      <c r="G262" s="438"/>
      <c r="H262" s="1020" t="str">
        <f>IF(OR(D262="",D262="-"),"",VLOOKUP(D262,'Fatores de Emissão'!$E$192:$K$201,3,FALSE))</f>
        <v/>
      </c>
      <c r="I262" s="1111" t="str">
        <f>IF(OR(D262="",D262="-"),"",VLOOKUP(D262,'Fatores de Emissão'!$E$192:$K$201,2,FALSE))</f>
        <v/>
      </c>
      <c r="J262" s="1111" t="str">
        <f>IF(OR(D262="",D262="-"),"",VLOOKUP(D262,'Fatores de Emissão'!$E$192:$K$201,4,FALSE))</f>
        <v/>
      </c>
      <c r="K262" s="1111" t="str">
        <f>IF(OR(D262="",D262="-"),"",VLOOKUP(D262,'Fatores de Emissão'!$E$192:$K$201,6,FALSE))</f>
        <v/>
      </c>
      <c r="L262" s="478" t="str">
        <f t="shared" si="18"/>
        <v/>
      </c>
      <c r="M262" s="478" t="str">
        <f t="shared" si="18"/>
        <v/>
      </c>
      <c r="N262" s="478" t="str">
        <f t="shared" si="18"/>
        <v/>
      </c>
      <c r="O262" s="451" t="str">
        <f t="shared" si="17"/>
        <v/>
      </c>
      <c r="P262" s="452"/>
    </row>
    <row r="263" spans="1:16" s="237" customFormat="1" ht="15" hidden="1" customHeight="1" outlineLevel="2" x14ac:dyDescent="0.25">
      <c r="A263" s="363"/>
      <c r="B263" s="1160"/>
      <c r="C263" s="1160"/>
      <c r="D263" s="1268"/>
      <c r="E263" s="1268"/>
      <c r="F263" s="438"/>
      <c r="G263" s="438"/>
      <c r="H263" s="1020" t="str">
        <f>IF(OR(D263="",D263="-"),"",VLOOKUP(D263,'Fatores de Emissão'!$E$192:$K$201,3,FALSE))</f>
        <v/>
      </c>
      <c r="I263" s="1111" t="str">
        <f>IF(OR(D263="",D263="-"),"",VLOOKUP(D263,'Fatores de Emissão'!$E$192:$K$201,2,FALSE))</f>
        <v/>
      </c>
      <c r="J263" s="1111" t="str">
        <f>IF(OR(D263="",D263="-"),"",VLOOKUP(D263,'Fatores de Emissão'!$E$192:$K$201,4,FALSE))</f>
        <v/>
      </c>
      <c r="K263" s="1111" t="str">
        <f>IF(OR(D263="",D263="-"),"",VLOOKUP(D263,'Fatores de Emissão'!$E$192:$K$201,6,FALSE))</f>
        <v/>
      </c>
      <c r="L263" s="478" t="str">
        <f t="shared" si="18"/>
        <v/>
      </c>
      <c r="M263" s="478" t="str">
        <f t="shared" si="18"/>
        <v/>
      </c>
      <c r="N263" s="478" t="str">
        <f t="shared" si="18"/>
        <v/>
      </c>
      <c r="O263" s="451" t="str">
        <f t="shared" si="17"/>
        <v/>
      </c>
      <c r="P263" s="452"/>
    </row>
    <row r="264" spans="1:16" s="237" customFormat="1" ht="15" hidden="1" customHeight="1" outlineLevel="2" x14ac:dyDescent="0.25">
      <c r="A264" s="363"/>
      <c r="B264" s="1160"/>
      <c r="C264" s="1160"/>
      <c r="D264" s="1268"/>
      <c r="E264" s="1268"/>
      <c r="F264" s="438"/>
      <c r="G264" s="438"/>
      <c r="H264" s="1020" t="str">
        <f>IF(OR(D264="",D264="-"),"",VLOOKUP(D264,'Fatores de Emissão'!$E$192:$K$201,3,FALSE))</f>
        <v/>
      </c>
      <c r="I264" s="1111" t="str">
        <f>IF(OR(D264="",D264="-"),"",VLOOKUP(D264,'Fatores de Emissão'!$E$192:$K$201,2,FALSE))</f>
        <v/>
      </c>
      <c r="J264" s="1111" t="str">
        <f>IF(OR(D264="",D264="-"),"",VLOOKUP(D264,'Fatores de Emissão'!$E$192:$K$201,4,FALSE))</f>
        <v/>
      </c>
      <c r="K264" s="1111" t="str">
        <f>IF(OR(D264="",D264="-"),"",VLOOKUP(D264,'Fatores de Emissão'!$E$192:$K$201,6,FALSE))</f>
        <v/>
      </c>
      <c r="L264" s="478" t="str">
        <f t="shared" si="18"/>
        <v/>
      </c>
      <c r="M264" s="478" t="str">
        <f t="shared" si="18"/>
        <v/>
      </c>
      <c r="N264" s="478" t="str">
        <f t="shared" si="18"/>
        <v/>
      </c>
      <c r="O264" s="451" t="str">
        <f t="shared" si="17"/>
        <v/>
      </c>
      <c r="P264" s="452"/>
    </row>
    <row r="265" spans="1:16" s="237" customFormat="1" ht="15" hidden="1" customHeight="1" outlineLevel="2" x14ac:dyDescent="0.25">
      <c r="A265" s="363"/>
      <c r="B265" s="1160"/>
      <c r="C265" s="1160"/>
      <c r="D265" s="1268"/>
      <c r="E265" s="1268"/>
      <c r="F265" s="438"/>
      <c r="G265" s="438"/>
      <c r="H265" s="1020" t="str">
        <f>IF(OR(D265="",D265="-"),"",VLOOKUP(D265,'Fatores de Emissão'!$E$192:$K$201,3,FALSE))</f>
        <v/>
      </c>
      <c r="I265" s="1111" t="str">
        <f>IF(OR(D265="",D265="-"),"",VLOOKUP(D265,'Fatores de Emissão'!$E$192:$K$201,2,FALSE))</f>
        <v/>
      </c>
      <c r="J265" s="1111" t="str">
        <f>IF(OR(D265="",D265="-"),"",VLOOKUP(D265,'Fatores de Emissão'!$E$192:$K$201,4,FALSE))</f>
        <v/>
      </c>
      <c r="K265" s="1111" t="str">
        <f>IF(OR(D265="",D265="-"),"",VLOOKUP(D265,'Fatores de Emissão'!$E$192:$K$201,6,FALSE))</f>
        <v/>
      </c>
      <c r="L265" s="478" t="str">
        <f t="shared" si="18"/>
        <v/>
      </c>
      <c r="M265" s="478" t="str">
        <f t="shared" si="18"/>
        <v/>
      </c>
      <c r="N265" s="478" t="str">
        <f t="shared" si="18"/>
        <v/>
      </c>
      <c r="O265" s="451" t="str">
        <f t="shared" si="17"/>
        <v/>
      </c>
      <c r="P265" s="452"/>
    </row>
    <row r="266" spans="1:16" s="237" customFormat="1" ht="15" hidden="1" customHeight="1" outlineLevel="2" x14ac:dyDescent="0.25">
      <c r="A266" s="363"/>
      <c r="B266" s="1160"/>
      <c r="C266" s="1160"/>
      <c r="D266" s="1268"/>
      <c r="E266" s="1268"/>
      <c r="F266" s="438"/>
      <c r="G266" s="438"/>
      <c r="H266" s="1020" t="str">
        <f>IF(OR(D266="",D266="-"),"",VLOOKUP(D266,'Fatores de Emissão'!$E$192:$K$201,3,FALSE))</f>
        <v/>
      </c>
      <c r="I266" s="1111" t="str">
        <f>IF(OR(D266="",D266="-"),"",VLOOKUP(D266,'Fatores de Emissão'!$E$192:$K$201,2,FALSE))</f>
        <v/>
      </c>
      <c r="J266" s="1111" t="str">
        <f>IF(OR(D266="",D266="-"),"",VLOOKUP(D266,'Fatores de Emissão'!$E$192:$K$201,4,FALSE))</f>
        <v/>
      </c>
      <c r="K266" s="1111" t="str">
        <f>IF(OR(D266="",D266="-"),"",VLOOKUP(D266,'Fatores de Emissão'!$E$192:$K$201,6,FALSE))</f>
        <v/>
      </c>
      <c r="L266" s="478" t="str">
        <f t="shared" si="18"/>
        <v/>
      </c>
      <c r="M266" s="478" t="str">
        <f t="shared" si="18"/>
        <v/>
      </c>
      <c r="N266" s="478" t="str">
        <f t="shared" si="18"/>
        <v/>
      </c>
      <c r="O266" s="451" t="str">
        <f t="shared" si="17"/>
        <v/>
      </c>
      <c r="P266" s="452"/>
    </row>
    <row r="267" spans="1:16" s="237" customFormat="1" ht="15" hidden="1" customHeight="1" outlineLevel="2" x14ac:dyDescent="0.25">
      <c r="A267" s="363"/>
      <c r="B267" s="1160"/>
      <c r="C267" s="1160"/>
      <c r="D267" s="1268"/>
      <c r="E267" s="1268"/>
      <c r="F267" s="438"/>
      <c r="G267" s="438"/>
      <c r="H267" s="1020" t="str">
        <f>IF(OR(D267="",D267="-"),"",VLOOKUP(D267,'Fatores de Emissão'!$E$192:$K$201,3,FALSE))</f>
        <v/>
      </c>
      <c r="I267" s="1111" t="str">
        <f>IF(OR(D267="",D267="-"),"",VLOOKUP(D267,'Fatores de Emissão'!$E$192:$K$201,2,FALSE))</f>
        <v/>
      </c>
      <c r="J267" s="1111" t="str">
        <f>IF(OR(D267="",D267="-"),"",VLOOKUP(D267,'Fatores de Emissão'!$E$192:$K$201,4,FALSE))</f>
        <v/>
      </c>
      <c r="K267" s="1111" t="str">
        <f>IF(OR(D267="",D267="-"),"",VLOOKUP(D267,'Fatores de Emissão'!$E$192:$K$201,6,FALSE))</f>
        <v/>
      </c>
      <c r="L267" s="478" t="str">
        <f t="shared" si="18"/>
        <v/>
      </c>
      <c r="M267" s="478" t="str">
        <f t="shared" si="18"/>
        <v/>
      </c>
      <c r="N267" s="478" t="str">
        <f t="shared" si="18"/>
        <v/>
      </c>
      <c r="O267" s="451" t="str">
        <f t="shared" si="17"/>
        <v/>
      </c>
      <c r="P267" s="452"/>
    </row>
    <row r="268" spans="1:16" s="237" customFormat="1" ht="15" hidden="1" customHeight="1" outlineLevel="2" x14ac:dyDescent="0.25">
      <c r="A268" s="363"/>
      <c r="B268" s="1160"/>
      <c r="C268" s="1160"/>
      <c r="D268" s="1268"/>
      <c r="E268" s="1268"/>
      <c r="F268" s="438"/>
      <c r="G268" s="438"/>
      <c r="H268" s="1020" t="str">
        <f>IF(OR(D268="",D268="-"),"",VLOOKUP(D268,'Fatores de Emissão'!$E$192:$K$201,3,FALSE))</f>
        <v/>
      </c>
      <c r="I268" s="1111" t="str">
        <f>IF(OR(D268="",D268="-"),"",VLOOKUP(D268,'Fatores de Emissão'!$E$192:$K$201,2,FALSE))</f>
        <v/>
      </c>
      <c r="J268" s="1111" t="str">
        <f>IF(OR(D268="",D268="-"),"",VLOOKUP(D268,'Fatores de Emissão'!$E$192:$K$201,4,FALSE))</f>
        <v/>
      </c>
      <c r="K268" s="1111" t="str">
        <f>IF(OR(D268="",D268="-"),"",VLOOKUP(D268,'Fatores de Emissão'!$E$192:$K$201,6,FALSE))</f>
        <v/>
      </c>
      <c r="L268" s="478" t="str">
        <f t="shared" si="18"/>
        <v/>
      </c>
      <c r="M268" s="478" t="str">
        <f t="shared" si="18"/>
        <v/>
      </c>
      <c r="N268" s="478" t="str">
        <f t="shared" si="18"/>
        <v/>
      </c>
      <c r="O268" s="451" t="str">
        <f t="shared" si="17"/>
        <v/>
      </c>
      <c r="P268" s="452"/>
    </row>
    <row r="269" spans="1:16" s="237" customFormat="1" ht="15" hidden="1" customHeight="1" outlineLevel="2" x14ac:dyDescent="0.25">
      <c r="A269" s="363"/>
      <c r="B269" s="1160"/>
      <c r="C269" s="1160"/>
      <c r="D269" s="1268"/>
      <c r="E269" s="1268"/>
      <c r="F269" s="438"/>
      <c r="G269" s="438"/>
      <c r="H269" s="1020" t="str">
        <f>IF(OR(D269="",D269="-"),"",VLOOKUP(D269,'Fatores de Emissão'!$E$192:$K$201,3,FALSE))</f>
        <v/>
      </c>
      <c r="I269" s="1111" t="str">
        <f>IF(OR(D269="",D269="-"),"",VLOOKUP(D269,'Fatores de Emissão'!$E$192:$K$201,2,FALSE))</f>
        <v/>
      </c>
      <c r="J269" s="1111" t="str">
        <f>IF(OR(D269="",D269="-"),"",VLOOKUP(D269,'Fatores de Emissão'!$E$192:$K$201,4,FALSE))</f>
        <v/>
      </c>
      <c r="K269" s="1111" t="str">
        <f>IF(OR(D269="",D269="-"),"",VLOOKUP(D269,'Fatores de Emissão'!$E$192:$K$201,6,FALSE))</f>
        <v/>
      </c>
      <c r="L269" s="478" t="str">
        <f t="shared" si="18"/>
        <v/>
      </c>
      <c r="M269" s="478" t="str">
        <f t="shared" si="18"/>
        <v/>
      </c>
      <c r="N269" s="478" t="str">
        <f t="shared" si="18"/>
        <v/>
      </c>
      <c r="O269" s="451" t="str">
        <f t="shared" si="17"/>
        <v/>
      </c>
      <c r="P269" s="452"/>
    </row>
    <row r="270" spans="1:16" s="237" customFormat="1" ht="15" hidden="1" customHeight="1" outlineLevel="2" x14ac:dyDescent="0.25">
      <c r="A270" s="363"/>
      <c r="B270" s="1160"/>
      <c r="C270" s="1160"/>
      <c r="D270" s="1268"/>
      <c r="E270" s="1268"/>
      <c r="F270" s="438"/>
      <c r="G270" s="438"/>
      <c r="H270" s="1020" t="str">
        <f>IF(OR(D270="",D270="-"),"",VLOOKUP(D270,'Fatores de Emissão'!$E$192:$K$201,3,FALSE))</f>
        <v/>
      </c>
      <c r="I270" s="1111" t="str">
        <f>IF(OR(D270="",D270="-"),"",VLOOKUP(D270,'Fatores de Emissão'!$E$192:$K$201,2,FALSE))</f>
        <v/>
      </c>
      <c r="J270" s="1111" t="str">
        <f>IF(OR(D270="",D270="-"),"",VLOOKUP(D270,'Fatores de Emissão'!$E$192:$K$201,4,FALSE))</f>
        <v/>
      </c>
      <c r="K270" s="1111" t="str">
        <f>IF(OR(D270="",D270="-"),"",VLOOKUP(D270,'Fatores de Emissão'!$E$192:$K$201,6,FALSE))</f>
        <v/>
      </c>
      <c r="L270" s="478" t="str">
        <f t="shared" si="18"/>
        <v/>
      </c>
      <c r="M270" s="478" t="str">
        <f t="shared" si="18"/>
        <v/>
      </c>
      <c r="N270" s="478" t="str">
        <f t="shared" si="18"/>
        <v/>
      </c>
      <c r="O270" s="451" t="str">
        <f t="shared" si="17"/>
        <v/>
      </c>
      <c r="P270" s="452"/>
    </row>
    <row r="271" spans="1:16" s="237" customFormat="1" ht="15" hidden="1" customHeight="1" outlineLevel="2" x14ac:dyDescent="0.25">
      <c r="A271" s="363"/>
      <c r="B271" s="1160"/>
      <c r="C271" s="1160"/>
      <c r="D271" s="1268"/>
      <c r="E271" s="1268"/>
      <c r="F271" s="438"/>
      <c r="G271" s="438"/>
      <c r="H271" s="1020" t="str">
        <f>IF(OR(D271="",D271="-"),"",VLOOKUP(D271,'Fatores de Emissão'!$E$192:$K$201,3,FALSE))</f>
        <v/>
      </c>
      <c r="I271" s="1111" t="str">
        <f>IF(OR(D271="",D271="-"),"",VLOOKUP(D271,'Fatores de Emissão'!$E$192:$K$201,2,FALSE))</f>
        <v/>
      </c>
      <c r="J271" s="1111" t="str">
        <f>IF(OR(D271="",D271="-"),"",VLOOKUP(D271,'Fatores de Emissão'!$E$192:$K$201,4,FALSE))</f>
        <v/>
      </c>
      <c r="K271" s="1111" t="str">
        <f>IF(OR(D271="",D271="-"),"",VLOOKUP(D271,'Fatores de Emissão'!$E$192:$K$201,6,FALSE))</f>
        <v/>
      </c>
      <c r="L271" s="478" t="str">
        <f t="shared" si="18"/>
        <v/>
      </c>
      <c r="M271" s="478" t="str">
        <f t="shared" si="18"/>
        <v/>
      </c>
      <c r="N271" s="478" t="str">
        <f t="shared" si="18"/>
        <v/>
      </c>
      <c r="O271" s="451" t="str">
        <f t="shared" si="17"/>
        <v/>
      </c>
      <c r="P271" s="452"/>
    </row>
    <row r="272" spans="1:16" s="237" customFormat="1" ht="15" hidden="1" customHeight="1" outlineLevel="2" x14ac:dyDescent="0.25">
      <c r="A272" s="363"/>
      <c r="B272" s="1160"/>
      <c r="C272" s="1160"/>
      <c r="D272" s="1268"/>
      <c r="E272" s="1268"/>
      <c r="F272" s="438"/>
      <c r="G272" s="438"/>
      <c r="H272" s="1020" t="str">
        <f>IF(OR(D272="",D272="-"),"",VLOOKUP(D272,'Fatores de Emissão'!$E$192:$K$201,3,FALSE))</f>
        <v/>
      </c>
      <c r="I272" s="1111" t="str">
        <f>IF(OR(D272="",D272="-"),"",VLOOKUP(D272,'Fatores de Emissão'!$E$192:$K$201,2,FALSE))</f>
        <v/>
      </c>
      <c r="J272" s="1111" t="str">
        <f>IF(OR(D272="",D272="-"),"",VLOOKUP(D272,'Fatores de Emissão'!$E$192:$K$201,4,FALSE))</f>
        <v/>
      </c>
      <c r="K272" s="1111" t="str">
        <f>IF(OR(D272="",D272="-"),"",VLOOKUP(D272,'Fatores de Emissão'!$E$192:$K$201,6,FALSE))</f>
        <v/>
      </c>
      <c r="L272" s="478" t="str">
        <f t="shared" si="18"/>
        <v/>
      </c>
      <c r="M272" s="478" t="str">
        <f t="shared" si="18"/>
        <v/>
      </c>
      <c r="N272" s="478" t="str">
        <f t="shared" si="18"/>
        <v/>
      </c>
      <c r="O272" s="451" t="str">
        <f t="shared" si="17"/>
        <v/>
      </c>
      <c r="P272" s="452"/>
    </row>
    <row r="273" spans="1:58" s="237" customFormat="1" ht="15" hidden="1" customHeight="1" outlineLevel="2" x14ac:dyDescent="0.25">
      <c r="A273" s="363"/>
      <c r="B273" s="1160"/>
      <c r="C273" s="1160"/>
      <c r="D273" s="1268"/>
      <c r="E273" s="1268"/>
      <c r="F273" s="438"/>
      <c r="G273" s="438"/>
      <c r="H273" s="1020" t="str">
        <f>IF(OR(D273="",D273="-"),"",VLOOKUP(D273,'Fatores de Emissão'!$E$192:$K$201,3,FALSE))</f>
        <v/>
      </c>
      <c r="I273" s="1111" t="str">
        <f>IF(OR(D273="",D273="-"),"",VLOOKUP(D273,'Fatores de Emissão'!$E$192:$K$201,2,FALSE))</f>
        <v/>
      </c>
      <c r="J273" s="1111" t="str">
        <f>IF(OR(D273="",D273="-"),"",VLOOKUP(D273,'Fatores de Emissão'!$E$192:$K$201,4,FALSE))</f>
        <v/>
      </c>
      <c r="K273" s="1111" t="str">
        <f>IF(OR(D273="",D273="-"),"",VLOOKUP(D273,'Fatores de Emissão'!$E$192:$K$201,6,FALSE))</f>
        <v/>
      </c>
      <c r="L273" s="478" t="str">
        <f t="shared" si="18"/>
        <v/>
      </c>
      <c r="M273" s="478" t="str">
        <f t="shared" si="18"/>
        <v/>
      </c>
      <c r="N273" s="478" t="str">
        <f t="shared" si="18"/>
        <v/>
      </c>
      <c r="O273" s="451" t="str">
        <f t="shared" si="17"/>
        <v/>
      </c>
      <c r="P273" s="452"/>
    </row>
    <row r="274" spans="1:58" s="237" customFormat="1" ht="15" hidden="1" customHeight="1" outlineLevel="2" x14ac:dyDescent="0.25">
      <c r="A274" s="363"/>
      <c r="B274" s="1160"/>
      <c r="C274" s="1160"/>
      <c r="D274" s="1268"/>
      <c r="E274" s="1268"/>
      <c r="F274" s="438"/>
      <c r="G274" s="438"/>
      <c r="H274" s="1020" t="str">
        <f>IF(OR(D274="",D274="-"),"",VLOOKUP(D274,'Fatores de Emissão'!$E$192:$K$201,3,FALSE))</f>
        <v/>
      </c>
      <c r="I274" s="1111" t="str">
        <f>IF(OR(D274="",D274="-"),"",VLOOKUP(D274,'Fatores de Emissão'!$E$192:$K$201,2,FALSE))</f>
        <v/>
      </c>
      <c r="J274" s="1111" t="str">
        <f>IF(OR(D274="",D274="-"),"",VLOOKUP(D274,'Fatores de Emissão'!$E$192:$K$201,4,FALSE))</f>
        <v/>
      </c>
      <c r="K274" s="1111" t="str">
        <f>IF(OR(D274="",D274="-"),"",VLOOKUP(D274,'Fatores de Emissão'!$E$192:$K$201,6,FALSE))</f>
        <v/>
      </c>
      <c r="L274" s="478" t="str">
        <f t="shared" si="18"/>
        <v/>
      </c>
      <c r="M274" s="478" t="str">
        <f t="shared" si="18"/>
        <v/>
      </c>
      <c r="N274" s="478" t="str">
        <f t="shared" si="18"/>
        <v/>
      </c>
      <c r="O274" s="451" t="str">
        <f t="shared" si="17"/>
        <v/>
      </c>
      <c r="P274" s="452"/>
    </row>
    <row r="275" spans="1:58" s="237" customFormat="1" ht="15" hidden="1" customHeight="1" outlineLevel="2" x14ac:dyDescent="0.25">
      <c r="A275" s="363"/>
      <c r="B275" s="1160"/>
      <c r="C275" s="1160"/>
      <c r="D275" s="1268"/>
      <c r="E275" s="1268"/>
      <c r="F275" s="438"/>
      <c r="G275" s="438"/>
      <c r="H275" s="1020" t="str">
        <f>IF(OR(D275="",D275="-"),"",VLOOKUP(D275,'Fatores de Emissão'!$E$192:$K$201,3,FALSE))</f>
        <v/>
      </c>
      <c r="I275" s="1111" t="str">
        <f>IF(OR(D275="",D275="-"),"",VLOOKUP(D275,'Fatores de Emissão'!$E$192:$K$201,2,FALSE))</f>
        <v/>
      </c>
      <c r="J275" s="1111" t="str">
        <f>IF(OR(D275="",D275="-"),"",VLOOKUP(D275,'Fatores de Emissão'!$E$192:$K$201,4,FALSE))</f>
        <v/>
      </c>
      <c r="K275" s="1111" t="str">
        <f>IF(OR(D275="",D275="-"),"",VLOOKUP(D275,'Fatores de Emissão'!$E$192:$K$201,6,FALSE))</f>
        <v/>
      </c>
      <c r="L275" s="478" t="str">
        <f t="shared" si="18"/>
        <v/>
      </c>
      <c r="M275" s="478" t="str">
        <f t="shared" si="18"/>
        <v/>
      </c>
      <c r="N275" s="478" t="str">
        <f t="shared" si="18"/>
        <v/>
      </c>
      <c r="O275" s="451" t="str">
        <f t="shared" si="17"/>
        <v/>
      </c>
      <c r="P275" s="452"/>
    </row>
    <row r="276" spans="1:58" s="237" customFormat="1" ht="15" hidden="1" customHeight="1" outlineLevel="2" x14ac:dyDescent="0.25">
      <c r="A276" s="363"/>
      <c r="B276" s="1160"/>
      <c r="C276" s="1160"/>
      <c r="D276" s="1268"/>
      <c r="E276" s="1268"/>
      <c r="F276" s="438"/>
      <c r="G276" s="438"/>
      <c r="H276" s="1020" t="str">
        <f>IF(OR(D276="",D276="-"),"",VLOOKUP(D276,'Fatores de Emissão'!$E$192:$K$201,3,FALSE))</f>
        <v/>
      </c>
      <c r="I276" s="1111" t="str">
        <f>IF(OR(D276="",D276="-"),"",VLOOKUP(D276,'Fatores de Emissão'!$E$192:$K$201,2,FALSE))</f>
        <v/>
      </c>
      <c r="J276" s="1111" t="str">
        <f>IF(OR(D276="",D276="-"),"",VLOOKUP(D276,'Fatores de Emissão'!$E$192:$K$201,4,FALSE))</f>
        <v/>
      </c>
      <c r="K276" s="1111" t="str">
        <f>IF(OR(D276="",D276="-"),"",VLOOKUP(D276,'Fatores de Emissão'!$E$192:$K$201,6,FALSE))</f>
        <v/>
      </c>
      <c r="L276" s="478" t="str">
        <f t="shared" si="18"/>
        <v/>
      </c>
      <c r="M276" s="478" t="str">
        <f t="shared" si="18"/>
        <v/>
      </c>
      <c r="N276" s="478" t="str">
        <f t="shared" si="18"/>
        <v/>
      </c>
      <c r="O276" s="451" t="str">
        <f t="shared" si="17"/>
        <v/>
      </c>
      <c r="P276" s="452"/>
    </row>
    <row r="277" spans="1:58" s="237" customFormat="1" ht="15" hidden="1" customHeight="1" outlineLevel="2" x14ac:dyDescent="0.25">
      <c r="A277" s="363"/>
      <c r="B277" s="1160"/>
      <c r="C277" s="1160"/>
      <c r="D277" s="1268"/>
      <c r="E277" s="1268"/>
      <c r="F277" s="438"/>
      <c r="G277" s="438"/>
      <c r="H277" s="1020" t="str">
        <f>IF(OR(D277="",D277="-"),"",VLOOKUP(D277,'Fatores de Emissão'!$E$192:$K$201,3,FALSE))</f>
        <v/>
      </c>
      <c r="I277" s="1111" t="str">
        <f>IF(OR(D277="",D277="-"),"",VLOOKUP(D277,'Fatores de Emissão'!$E$192:$K$201,2,FALSE))</f>
        <v/>
      </c>
      <c r="J277" s="1111" t="str">
        <f>IF(OR(D277="",D277="-"),"",VLOOKUP(D277,'Fatores de Emissão'!$E$192:$K$201,4,FALSE))</f>
        <v/>
      </c>
      <c r="K277" s="1111" t="str">
        <f>IF(OR(D277="",D277="-"),"",VLOOKUP(D277,'Fatores de Emissão'!$E$192:$K$201,6,FALSE))</f>
        <v/>
      </c>
      <c r="L277" s="478" t="str">
        <f t="shared" si="18"/>
        <v/>
      </c>
      <c r="M277" s="478" t="str">
        <f t="shared" si="18"/>
        <v/>
      </c>
      <c r="N277" s="478" t="str">
        <f t="shared" si="18"/>
        <v/>
      </c>
      <c r="O277" s="451" t="str">
        <f t="shared" si="17"/>
        <v/>
      </c>
      <c r="P277" s="452"/>
    </row>
    <row r="278" spans="1:58" s="237" customFormat="1" ht="15" hidden="1" customHeight="1" outlineLevel="2" x14ac:dyDescent="0.25">
      <c r="A278" s="363"/>
      <c r="B278" s="1160"/>
      <c r="C278" s="1160"/>
      <c r="D278" s="1268"/>
      <c r="E278" s="1268"/>
      <c r="F278" s="438"/>
      <c r="G278" s="438"/>
      <c r="H278" s="1020" t="str">
        <f>IF(OR(D278="",D278="-"),"",VLOOKUP(D278,'Fatores de Emissão'!$E$192:$K$201,3,FALSE))</f>
        <v/>
      </c>
      <c r="I278" s="1111" t="str">
        <f>IF(OR(D278="",D278="-"),"",VLOOKUP(D278,'Fatores de Emissão'!$E$192:$K$201,2,FALSE))</f>
        <v/>
      </c>
      <c r="J278" s="1111" t="str">
        <f>IF(OR(D278="",D278="-"),"",VLOOKUP(D278,'Fatores de Emissão'!$E$192:$K$201,4,FALSE))</f>
        <v/>
      </c>
      <c r="K278" s="1111" t="str">
        <f>IF(OR(D278="",D278="-"),"",VLOOKUP(D278,'Fatores de Emissão'!$E$192:$K$201,6,FALSE))</f>
        <v/>
      </c>
      <c r="L278" s="478" t="str">
        <f t="shared" si="18"/>
        <v/>
      </c>
      <c r="M278" s="478" t="str">
        <f t="shared" si="18"/>
        <v/>
      </c>
      <c r="N278" s="478" t="str">
        <f t="shared" si="18"/>
        <v/>
      </c>
      <c r="O278" s="451" t="str">
        <f t="shared" si="17"/>
        <v/>
      </c>
      <c r="P278" s="452"/>
    </row>
    <row r="279" spans="1:58" s="237" customFormat="1" ht="15" customHeight="1" outlineLevel="1" x14ac:dyDescent="0.25">
      <c r="A279" s="363"/>
      <c r="B279" s="363"/>
      <c r="C279" s="363"/>
      <c r="D279" s="363"/>
      <c r="E279" s="363"/>
      <c r="F279" s="363"/>
      <c r="G279" s="363"/>
      <c r="H279" s="363"/>
      <c r="I279" s="1278" t="s">
        <v>78</v>
      </c>
      <c r="J279" s="1279"/>
      <c r="K279" s="1280"/>
      <c r="L279" s="443">
        <f>SUM(L229:L278)</f>
        <v>0</v>
      </c>
      <c r="M279" s="443">
        <f>SUM(M229:M278)</f>
        <v>0</v>
      </c>
      <c r="N279" s="443">
        <f>SUM(N229:N278)</f>
        <v>0</v>
      </c>
      <c r="O279" s="443">
        <f>SUM(O229:O278)</f>
        <v>0</v>
      </c>
      <c r="P279" s="443">
        <f>SUM(P229:P278)</f>
        <v>0</v>
      </c>
    </row>
    <row r="280" spans="1:58" s="237" customFormat="1" ht="15" customHeight="1" x14ac:dyDescent="0.25">
      <c r="A280" s="363"/>
      <c r="B280" s="373"/>
      <c r="C280" s="373"/>
      <c r="D280" s="442"/>
      <c r="E280" s="442"/>
      <c r="F280" s="373"/>
      <c r="G280" s="373"/>
      <c r="H280" s="373"/>
      <c r="I280" s="373"/>
      <c r="J280" s="373"/>
      <c r="K280" s="373"/>
      <c r="L280" s="373"/>
      <c r="M280" s="373"/>
      <c r="N280" s="373"/>
      <c r="O280" s="373"/>
      <c r="P280" s="373"/>
      <c r="Q280" s="373"/>
      <c r="R280" s="373"/>
      <c r="S280" s="373"/>
      <c r="T280" s="373"/>
      <c r="U280" s="373"/>
      <c r="V280" s="363"/>
      <c r="W280" s="373"/>
      <c r="X280" s="373"/>
      <c r="Z280" s="373"/>
      <c r="AA280" s="373"/>
      <c r="AB280" s="373"/>
    </row>
    <row r="281" spans="1:58" s="463" customFormat="1" ht="18" customHeight="1" x14ac:dyDescent="0.3">
      <c r="A281" s="458"/>
      <c r="B281" s="733" t="s">
        <v>3</v>
      </c>
      <c r="C281" s="459"/>
      <c r="D281" s="460"/>
      <c r="E281" s="460"/>
      <c r="F281" s="460"/>
      <c r="G281" s="461"/>
      <c r="H281" s="461"/>
      <c r="I281" s="461"/>
      <c r="J281" s="461"/>
      <c r="K281" s="461"/>
      <c r="L281" s="461"/>
      <c r="M281" s="461"/>
      <c r="N281" s="461"/>
      <c r="O281" s="461"/>
      <c r="P281" s="461"/>
      <c r="Q281" s="461"/>
      <c r="R281" s="461"/>
      <c r="S281" s="461"/>
      <c r="T281" s="461"/>
      <c r="U281" s="461"/>
      <c r="V281" s="461"/>
      <c r="W281" s="461"/>
      <c r="X281" s="461"/>
      <c r="Y281" s="461"/>
      <c r="Z281" s="461"/>
      <c r="AA281" s="461"/>
      <c r="AB281" s="461"/>
      <c r="AC281" s="461"/>
      <c r="AD281" s="461"/>
      <c r="AE281" s="461"/>
      <c r="AF281" s="461"/>
      <c r="AG281" s="461"/>
      <c r="AH281" s="461"/>
      <c r="AI281" s="461"/>
      <c r="AJ281" s="461"/>
      <c r="AK281" s="461"/>
      <c r="AL281" s="461"/>
      <c r="AM281" s="461"/>
      <c r="AN281" s="461"/>
      <c r="AO281" s="461"/>
      <c r="AP281" s="461"/>
      <c r="AQ281" s="461"/>
      <c r="AR281" s="461"/>
      <c r="AS281" s="461"/>
      <c r="AT281" s="461"/>
      <c r="AU281" s="461"/>
      <c r="AV281" s="461"/>
      <c r="AW281" s="461"/>
      <c r="AX281" s="461"/>
      <c r="AY281" s="461"/>
      <c r="AZ281" s="461"/>
      <c r="BA281" s="461"/>
      <c r="BB281" s="461"/>
      <c r="BC281" s="461"/>
      <c r="BD281" s="461"/>
      <c r="BE281" s="461"/>
      <c r="BF281" s="462"/>
    </row>
    <row r="282" spans="1:58" ht="15" customHeight="1" outlineLevel="1" x14ac:dyDescent="0.2">
      <c r="A282" s="339"/>
      <c r="B282" s="920"/>
      <c r="C282" s="416"/>
      <c r="D282" s="416"/>
      <c r="E282" s="416"/>
      <c r="F282" s="339"/>
      <c r="G282" s="339"/>
      <c r="H282" s="339"/>
      <c r="I282" s="339"/>
      <c r="J282" s="339"/>
      <c r="K282" s="339"/>
      <c r="L282" s="339"/>
      <c r="M282" s="339"/>
      <c r="N282" s="339"/>
      <c r="O282" s="339"/>
      <c r="P282" s="339"/>
      <c r="Q282" s="339"/>
      <c r="R282" s="339"/>
      <c r="AI282" s="339"/>
      <c r="AJ282" s="339"/>
      <c r="AK282" s="339"/>
      <c r="AL282" s="339"/>
      <c r="AM282" s="339"/>
      <c r="AO282" s="339"/>
      <c r="AP282" s="339"/>
      <c r="AQ282" s="339"/>
    </row>
    <row r="283" spans="1:58" ht="15" customHeight="1" outlineLevel="1" x14ac:dyDescent="0.25">
      <c r="A283" s="339"/>
      <c r="B283" s="523" t="s">
        <v>124</v>
      </c>
      <c r="C283" s="416"/>
      <c r="D283" s="416"/>
      <c r="E283" s="416"/>
      <c r="F283" s="339"/>
      <c r="G283" s="339"/>
      <c r="H283" s="339"/>
      <c r="I283" s="339"/>
      <c r="J283" s="339"/>
      <c r="K283" s="339"/>
      <c r="L283" s="339"/>
      <c r="M283" s="339"/>
      <c r="N283" s="339"/>
      <c r="O283" s="339"/>
      <c r="P283" s="339"/>
      <c r="Q283" s="339"/>
      <c r="R283" s="339"/>
      <c r="AI283" s="339"/>
      <c r="AJ283" s="339"/>
      <c r="AK283" s="339"/>
      <c r="AL283" s="339"/>
      <c r="AM283" s="339"/>
      <c r="AO283" s="339"/>
      <c r="AP283" s="339"/>
      <c r="AQ283" s="339"/>
    </row>
    <row r="284" spans="1:58" s="237" customFormat="1" ht="15" customHeight="1" outlineLevel="1" x14ac:dyDescent="0.25">
      <c r="A284" s="363"/>
      <c r="B284" s="449" t="s">
        <v>2055</v>
      </c>
      <c r="C284" s="442"/>
      <c r="D284" s="442"/>
      <c r="E284" s="442"/>
      <c r="F284" s="363"/>
      <c r="G284" s="363"/>
      <c r="H284" s="363"/>
      <c r="I284" s="363"/>
      <c r="J284" s="363"/>
      <c r="K284" s="363"/>
      <c r="L284" s="363"/>
      <c r="M284" s="363"/>
      <c r="N284" s="363"/>
      <c r="O284" s="363"/>
      <c r="P284" s="363"/>
      <c r="Q284" s="363"/>
      <c r="R284" s="363"/>
      <c r="AI284" s="363"/>
      <c r="AJ284" s="363"/>
      <c r="AK284" s="363"/>
      <c r="AL284" s="363"/>
      <c r="AM284" s="363"/>
      <c r="AO284" s="363"/>
      <c r="AP284" s="363"/>
      <c r="AQ284" s="363"/>
    </row>
    <row r="285" spans="1:58" s="237" customFormat="1" ht="15" customHeight="1" outlineLevel="1" x14ac:dyDescent="0.25">
      <c r="A285" s="363"/>
      <c r="B285" s="470" t="s">
        <v>2056</v>
      </c>
      <c r="C285" s="442"/>
      <c r="D285" s="442"/>
      <c r="E285" s="442"/>
      <c r="F285" s="363"/>
      <c r="G285" s="363"/>
      <c r="H285" s="363"/>
      <c r="I285" s="363"/>
      <c r="J285" s="363"/>
      <c r="K285" s="363"/>
      <c r="L285" s="363"/>
      <c r="M285" s="363"/>
      <c r="N285" s="363"/>
      <c r="O285" s="363"/>
      <c r="P285" s="363"/>
      <c r="Q285" s="363"/>
      <c r="R285" s="363"/>
      <c r="AI285" s="363"/>
      <c r="AJ285" s="363"/>
      <c r="AK285" s="363"/>
      <c r="AL285" s="363"/>
      <c r="AM285" s="363"/>
      <c r="AO285" s="363"/>
      <c r="AP285" s="363"/>
      <c r="AQ285" s="363"/>
    </row>
    <row r="286" spans="1:58" s="237" customFormat="1" ht="15" customHeight="1" outlineLevel="1" x14ac:dyDescent="0.25">
      <c r="A286" s="363"/>
      <c r="B286" s="481"/>
      <c r="C286" s="442"/>
      <c r="D286" s="442"/>
      <c r="E286" s="442"/>
      <c r="F286" s="363"/>
      <c r="G286" s="363"/>
      <c r="H286" s="363"/>
      <c r="I286" s="363"/>
      <c r="J286" s="363"/>
      <c r="K286" s="363"/>
      <c r="L286" s="363"/>
      <c r="M286" s="363"/>
      <c r="N286" s="363"/>
      <c r="O286" s="363"/>
      <c r="P286" s="363"/>
      <c r="Q286" s="363"/>
      <c r="R286" s="363"/>
      <c r="AI286" s="363"/>
      <c r="AJ286" s="363"/>
      <c r="AK286" s="363"/>
      <c r="AL286" s="363"/>
      <c r="AM286" s="363"/>
      <c r="AO286" s="363"/>
      <c r="AP286" s="363"/>
      <c r="AQ286" s="363"/>
    </row>
    <row r="287" spans="1:58" s="237" customFormat="1" ht="15" customHeight="1" outlineLevel="1" x14ac:dyDescent="0.25">
      <c r="A287" s="363"/>
      <c r="B287" s="362" t="s">
        <v>2072</v>
      </c>
      <c r="C287" s="442"/>
      <c r="D287" s="442"/>
      <c r="E287" s="442"/>
      <c r="F287" s="363"/>
      <c r="G287" s="363"/>
      <c r="H287" s="363"/>
      <c r="I287" s="363"/>
      <c r="J287" s="363"/>
      <c r="K287" s="363"/>
      <c r="L287" s="363"/>
      <c r="M287" s="363"/>
      <c r="N287" s="363"/>
      <c r="O287" s="363"/>
      <c r="P287" s="363"/>
      <c r="Q287" s="363"/>
      <c r="R287" s="363"/>
      <c r="AI287" s="363"/>
      <c r="AJ287" s="363"/>
      <c r="AK287" s="363"/>
      <c r="AL287" s="363"/>
      <c r="AM287" s="363"/>
      <c r="AO287" s="363"/>
      <c r="AP287" s="363"/>
      <c r="AQ287" s="363"/>
    </row>
    <row r="288" spans="1:58" s="237" customFormat="1" ht="15" customHeight="1" outlineLevel="1" x14ac:dyDescent="0.25">
      <c r="A288" s="363"/>
      <c r="B288" s="1267" t="s">
        <v>1531</v>
      </c>
      <c r="C288" s="1267" t="s">
        <v>2057</v>
      </c>
      <c r="D288" s="1267" t="s">
        <v>1577</v>
      </c>
      <c r="E288" s="1267"/>
      <c r="F288" s="1249" t="s">
        <v>1743</v>
      </c>
      <c r="G288" s="1249" t="s">
        <v>1861</v>
      </c>
      <c r="H288" s="1249" t="s">
        <v>1862</v>
      </c>
      <c r="I288" s="1267" t="s">
        <v>588</v>
      </c>
      <c r="J288" s="1267"/>
      <c r="K288" s="1267"/>
      <c r="L288" s="1249" t="s">
        <v>1408</v>
      </c>
      <c r="M288" s="1249" t="s">
        <v>1409</v>
      </c>
      <c r="N288" s="1249" t="s">
        <v>1410</v>
      </c>
      <c r="O288" s="1249" t="s">
        <v>1411</v>
      </c>
      <c r="P288" s="1267" t="s">
        <v>1530</v>
      </c>
    </row>
    <row r="289" spans="1:16" s="237" customFormat="1" ht="15" customHeight="1" outlineLevel="1" x14ac:dyDescent="0.25">
      <c r="A289" s="363"/>
      <c r="B289" s="1267"/>
      <c r="C289" s="1267"/>
      <c r="D289" s="1267"/>
      <c r="E289" s="1267"/>
      <c r="F289" s="1266"/>
      <c r="G289" s="1266"/>
      <c r="H289" s="1266"/>
      <c r="I289" s="1267"/>
      <c r="J289" s="1267"/>
      <c r="K289" s="1267"/>
      <c r="L289" s="1266"/>
      <c r="M289" s="1266"/>
      <c r="N289" s="1266"/>
      <c r="O289" s="1266"/>
      <c r="P289" s="1267"/>
    </row>
    <row r="290" spans="1:16" s="237" customFormat="1" ht="41.25" customHeight="1" outlineLevel="1" x14ac:dyDescent="0.25">
      <c r="A290" s="363"/>
      <c r="B290" s="1267"/>
      <c r="C290" s="1267"/>
      <c r="D290" s="1267"/>
      <c r="E290" s="1267"/>
      <c r="F290" s="1250"/>
      <c r="G290" s="1250"/>
      <c r="H290" s="1250"/>
      <c r="I290" s="1159" t="s">
        <v>1394</v>
      </c>
      <c r="J290" s="1159" t="s">
        <v>1863</v>
      </c>
      <c r="K290" s="1159" t="s">
        <v>1864</v>
      </c>
      <c r="L290" s="1250"/>
      <c r="M290" s="1250"/>
      <c r="N290" s="1250"/>
      <c r="O290" s="1250"/>
      <c r="P290" s="1267"/>
    </row>
    <row r="291" spans="1:16" s="237" customFormat="1" ht="15" customHeight="1" outlineLevel="1" x14ac:dyDescent="0.25">
      <c r="A291" s="427" t="s">
        <v>606</v>
      </c>
      <c r="B291" s="444" t="s">
        <v>611</v>
      </c>
      <c r="C291" s="1107" t="s">
        <v>92</v>
      </c>
      <c r="D291" s="1281" t="s">
        <v>1709</v>
      </c>
      <c r="E291" s="1282"/>
      <c r="F291" s="482">
        <v>1000</v>
      </c>
      <c r="G291" s="482">
        <v>1000</v>
      </c>
      <c r="H291" s="483" t="s">
        <v>1566</v>
      </c>
      <c r="I291" s="484">
        <v>1.9607299999999999</v>
      </c>
      <c r="J291" s="488">
        <v>2.8562185343495887E-5</v>
      </c>
      <c r="K291" s="488">
        <v>3.2808841197924531E-5</v>
      </c>
      <c r="L291" s="484">
        <v>1960.7299999999998</v>
      </c>
      <c r="M291" s="484">
        <v>2.8562185343495888E-2</v>
      </c>
      <c r="N291" s="484">
        <v>3.2808841197924529E-2</v>
      </c>
      <c r="O291" s="488">
        <v>1971.2210893105687</v>
      </c>
      <c r="P291" s="484">
        <v>0</v>
      </c>
    </row>
    <row r="292" spans="1:16" s="237" customFormat="1" ht="15" customHeight="1" outlineLevel="1" x14ac:dyDescent="0.25">
      <c r="A292" s="363"/>
      <c r="B292" s="1160"/>
      <c r="C292" s="1160"/>
      <c r="D292" s="1268"/>
      <c r="E292" s="1268"/>
      <c r="F292" s="438"/>
      <c r="G292" s="438"/>
      <c r="H292" s="1020" t="str">
        <f>IF(OR(D292="",D292="-"),"",VLOOKUP(D292,'Fatores de Emissão'!$D$217:$K$219,4,FALSE))</f>
        <v/>
      </c>
      <c r="I292" s="1111" t="str">
        <f>IF(OR(D292="",D292="-"),"",VLOOKUP(D292,'Fatores de Emissão'!$D$217:$K$219,3,FALSE))</f>
        <v/>
      </c>
      <c r="J292" s="1111" t="str">
        <f>IF(OR(D292="",D292="-"),"",VLOOKUP(D292,'Fatores de Emissão'!$D$217:$K$219,5,FALSE))</f>
        <v/>
      </c>
      <c r="K292" s="1111" t="str">
        <f>IF(OR(D292="",D292="-"),"",VLOOKUP(D292,'Fatores de Emissão'!$D$217:$K$219,7,FALSE))</f>
        <v/>
      </c>
      <c r="L292" s="478" t="str">
        <f>IF($D292="","",$F292*1.08*$G292*I292/1000)</f>
        <v/>
      </c>
      <c r="M292" s="478" t="str">
        <f>IF($D292="","",$F292*1.08*$G292*J292/1000)</f>
        <v/>
      </c>
      <c r="N292" s="478" t="str">
        <f>IF($D292="","",$F292*1.08*$G292*K292/1000)</f>
        <v/>
      </c>
      <c r="O292" s="441" t="str">
        <f>IF(ISERR(L292*gwp_CO2+M292*gwp_CH4+N292*gwp_N2O),"",L292*gwp_CO2+M292*gwp_CH4+N292*gwp_N2O)</f>
        <v/>
      </c>
      <c r="P292" s="440"/>
    </row>
    <row r="293" spans="1:16" s="237" customFormat="1" ht="15" customHeight="1" outlineLevel="1" x14ac:dyDescent="0.25">
      <c r="A293" s="363"/>
      <c r="B293" s="1160"/>
      <c r="C293" s="1160"/>
      <c r="D293" s="1268"/>
      <c r="E293" s="1268"/>
      <c r="F293" s="438"/>
      <c r="G293" s="438"/>
      <c r="H293" s="1020" t="str">
        <f>IF(OR(D293="",D293="-"),"",VLOOKUP(D293,'Fatores de Emissão'!$D$217:$K$219,4,FALSE))</f>
        <v/>
      </c>
      <c r="I293" s="1111" t="str">
        <f>IF(OR(D293="",D293="-"),"",VLOOKUP(D293,'Fatores de Emissão'!$D$217:$K$219,3,FALSE))</f>
        <v/>
      </c>
      <c r="J293" s="1111" t="str">
        <f>IF(OR(D293="",D293="-"),"",VLOOKUP(D293,'Fatores de Emissão'!$D$217:$K$219,5,FALSE))</f>
        <v/>
      </c>
      <c r="K293" s="1111" t="str">
        <f>IF(OR(D293="",D293="-"),"",VLOOKUP(D293,'Fatores de Emissão'!$D$217:$K$219,7,FALSE))</f>
        <v/>
      </c>
      <c r="L293" s="478" t="str">
        <f t="shared" ref="L293:N315" si="19">IF($D293="","",$F293*1.08*$G293*I293/1000)</f>
        <v/>
      </c>
      <c r="M293" s="478" t="str">
        <f t="shared" si="19"/>
        <v/>
      </c>
      <c r="N293" s="478" t="str">
        <f t="shared" si="19"/>
        <v/>
      </c>
      <c r="O293" s="441" t="str">
        <f t="shared" ref="O293:O341" si="20">IF(ISERR(L293*gwp_CO2+M293*gwp_CH4+N293*gwp_N2O),"",L293*gwp_CO2+M293*gwp_CH4+N293*gwp_N2O)</f>
        <v/>
      </c>
      <c r="P293" s="440"/>
    </row>
    <row r="294" spans="1:16" s="237" customFormat="1" ht="15" customHeight="1" outlineLevel="1" x14ac:dyDescent="0.25">
      <c r="A294" s="363"/>
      <c r="B294" s="1160"/>
      <c r="C294" s="1160"/>
      <c r="D294" s="1268"/>
      <c r="E294" s="1268"/>
      <c r="F294" s="438"/>
      <c r="G294" s="438"/>
      <c r="H294" s="1020" t="str">
        <f>IF(OR(D294="",D294="-"),"",VLOOKUP(D294,'Fatores de Emissão'!$D$217:$K$219,4,FALSE))</f>
        <v/>
      </c>
      <c r="I294" s="1111" t="str">
        <f>IF(OR(D294="",D294="-"),"",VLOOKUP(D294,'Fatores de Emissão'!$D$217:$K$219,3,FALSE))</f>
        <v/>
      </c>
      <c r="J294" s="1111" t="str">
        <f>IF(OR(D294="",D294="-"),"",VLOOKUP(D294,'Fatores de Emissão'!$D$217:$K$219,5,FALSE))</f>
        <v/>
      </c>
      <c r="K294" s="1111" t="str">
        <f>IF(OR(D294="",D294="-"),"",VLOOKUP(D294,'Fatores de Emissão'!$D$217:$K$219,7,FALSE))</f>
        <v/>
      </c>
      <c r="L294" s="478" t="str">
        <f t="shared" si="19"/>
        <v/>
      </c>
      <c r="M294" s="478" t="str">
        <f t="shared" si="19"/>
        <v/>
      </c>
      <c r="N294" s="478" t="str">
        <f t="shared" si="19"/>
        <v/>
      </c>
      <c r="O294" s="441" t="str">
        <f t="shared" si="20"/>
        <v/>
      </c>
      <c r="P294" s="440"/>
    </row>
    <row r="295" spans="1:16" s="237" customFormat="1" ht="15" customHeight="1" outlineLevel="1" x14ac:dyDescent="0.25">
      <c r="A295" s="363"/>
      <c r="B295" s="1160"/>
      <c r="C295" s="1160"/>
      <c r="D295" s="1268"/>
      <c r="E295" s="1268"/>
      <c r="F295" s="438"/>
      <c r="G295" s="438"/>
      <c r="H295" s="1020" t="str">
        <f>IF(OR(D295="",D295="-"),"",VLOOKUP(D295,'Fatores de Emissão'!$D$217:$K$219,4,FALSE))</f>
        <v/>
      </c>
      <c r="I295" s="1111" t="str">
        <f>IF(OR(D295="",D295="-"),"",VLOOKUP(D295,'Fatores de Emissão'!$D$217:$K$219,3,FALSE))</f>
        <v/>
      </c>
      <c r="J295" s="1111" t="str">
        <f>IF(OR(D295="",D295="-"),"",VLOOKUP(D295,'Fatores de Emissão'!$D$217:$K$219,5,FALSE))</f>
        <v/>
      </c>
      <c r="K295" s="1111" t="str">
        <f>IF(OR(D295="",D295="-"),"",VLOOKUP(D295,'Fatores de Emissão'!$D$217:$K$219,7,FALSE))</f>
        <v/>
      </c>
      <c r="L295" s="478" t="str">
        <f t="shared" si="19"/>
        <v/>
      </c>
      <c r="M295" s="478" t="str">
        <f t="shared" si="19"/>
        <v/>
      </c>
      <c r="N295" s="478" t="str">
        <f t="shared" si="19"/>
        <v/>
      </c>
      <c r="O295" s="441" t="str">
        <f t="shared" si="20"/>
        <v/>
      </c>
      <c r="P295" s="440"/>
    </row>
    <row r="296" spans="1:16" s="237" customFormat="1" ht="15" customHeight="1" outlineLevel="1" x14ac:dyDescent="0.25">
      <c r="A296" s="363"/>
      <c r="B296" s="1160"/>
      <c r="C296" s="1160"/>
      <c r="D296" s="1268"/>
      <c r="E296" s="1268"/>
      <c r="F296" s="438"/>
      <c r="G296" s="438"/>
      <c r="H296" s="1020" t="str">
        <f>IF(OR(D296="",D296="-"),"",VLOOKUP(D296,'Fatores de Emissão'!$D$217:$K$219,4,FALSE))</f>
        <v/>
      </c>
      <c r="I296" s="1111" t="str">
        <f>IF(OR(D296="",D296="-"),"",VLOOKUP(D296,'Fatores de Emissão'!$D$217:$K$219,3,FALSE))</f>
        <v/>
      </c>
      <c r="J296" s="1111" t="str">
        <f>IF(OR(D296="",D296="-"),"",VLOOKUP(D296,'Fatores de Emissão'!$D$217:$K$219,5,FALSE))</f>
        <v/>
      </c>
      <c r="K296" s="1111" t="str">
        <f>IF(OR(D296="",D296="-"),"",VLOOKUP(D296,'Fatores de Emissão'!$D$217:$K$219,7,FALSE))</f>
        <v/>
      </c>
      <c r="L296" s="478" t="str">
        <f t="shared" si="19"/>
        <v/>
      </c>
      <c r="M296" s="478" t="str">
        <f t="shared" si="19"/>
        <v/>
      </c>
      <c r="N296" s="478" t="str">
        <f t="shared" si="19"/>
        <v/>
      </c>
      <c r="O296" s="441" t="str">
        <f t="shared" si="20"/>
        <v/>
      </c>
      <c r="P296" s="440"/>
    </row>
    <row r="297" spans="1:16" s="237" customFormat="1" ht="15" customHeight="1" outlineLevel="1" x14ac:dyDescent="0.25">
      <c r="A297" s="363"/>
      <c r="B297" s="1160"/>
      <c r="C297" s="1160"/>
      <c r="D297" s="1268"/>
      <c r="E297" s="1268"/>
      <c r="F297" s="438"/>
      <c r="G297" s="438"/>
      <c r="H297" s="1020" t="str">
        <f>IF(OR(D297="",D297="-"),"",VLOOKUP(D297,'Fatores de Emissão'!$D$217:$K$219,4,FALSE))</f>
        <v/>
      </c>
      <c r="I297" s="1111" t="str">
        <f>IF(OR(D297="",D297="-"),"",VLOOKUP(D297,'Fatores de Emissão'!$D$217:$K$219,3,FALSE))</f>
        <v/>
      </c>
      <c r="J297" s="1111" t="str">
        <f>IF(OR(D297="",D297="-"),"",VLOOKUP(D297,'Fatores de Emissão'!$D$217:$K$219,5,FALSE))</f>
        <v/>
      </c>
      <c r="K297" s="1111" t="str">
        <f>IF(OR(D297="",D297="-"),"",VLOOKUP(D297,'Fatores de Emissão'!$D$217:$K$219,7,FALSE))</f>
        <v/>
      </c>
      <c r="L297" s="478" t="str">
        <f t="shared" si="19"/>
        <v/>
      </c>
      <c r="M297" s="478" t="str">
        <f t="shared" si="19"/>
        <v/>
      </c>
      <c r="N297" s="478" t="str">
        <f t="shared" si="19"/>
        <v/>
      </c>
      <c r="O297" s="441" t="str">
        <f t="shared" si="20"/>
        <v/>
      </c>
      <c r="P297" s="440"/>
    </row>
    <row r="298" spans="1:16" s="237" customFormat="1" ht="15" customHeight="1" outlineLevel="1" x14ac:dyDescent="0.25">
      <c r="A298" s="363"/>
      <c r="B298" s="1160"/>
      <c r="C298" s="1160"/>
      <c r="D298" s="1268"/>
      <c r="E298" s="1268"/>
      <c r="F298" s="438"/>
      <c r="G298" s="438"/>
      <c r="H298" s="1020" t="str">
        <f>IF(OR(D298="",D298="-"),"",VLOOKUP(D298,'Fatores de Emissão'!$D$217:$K$219,4,FALSE))</f>
        <v/>
      </c>
      <c r="I298" s="1111" t="str">
        <f>IF(OR(D298="",D298="-"),"",VLOOKUP(D298,'Fatores de Emissão'!$D$217:$K$219,3,FALSE))</f>
        <v/>
      </c>
      <c r="J298" s="1111" t="str">
        <f>IF(OR(D298="",D298="-"),"",VLOOKUP(D298,'Fatores de Emissão'!$D$217:$K$219,5,FALSE))</f>
        <v/>
      </c>
      <c r="K298" s="1111" t="str">
        <f>IF(OR(D298="",D298="-"),"",VLOOKUP(D298,'Fatores de Emissão'!$D$217:$K$219,7,FALSE))</f>
        <v/>
      </c>
      <c r="L298" s="478" t="str">
        <f t="shared" si="19"/>
        <v/>
      </c>
      <c r="M298" s="478" t="str">
        <f t="shared" si="19"/>
        <v/>
      </c>
      <c r="N298" s="478" t="str">
        <f t="shared" si="19"/>
        <v/>
      </c>
      <c r="O298" s="441" t="str">
        <f t="shared" si="20"/>
        <v/>
      </c>
      <c r="P298" s="440"/>
    </row>
    <row r="299" spans="1:16" s="237" customFormat="1" ht="15" customHeight="1" outlineLevel="1" x14ac:dyDescent="0.25">
      <c r="A299" s="363"/>
      <c r="B299" s="1160"/>
      <c r="C299" s="1160"/>
      <c r="D299" s="1268"/>
      <c r="E299" s="1268"/>
      <c r="F299" s="438"/>
      <c r="G299" s="438"/>
      <c r="H299" s="1020" t="str">
        <f>IF(OR(D299="",D299="-"),"",VLOOKUP(D299,'Fatores de Emissão'!$D$217:$K$219,4,FALSE))</f>
        <v/>
      </c>
      <c r="I299" s="1111" t="str">
        <f>IF(OR(D299="",D299="-"),"",VLOOKUP(D299,'Fatores de Emissão'!$D$217:$K$219,3,FALSE))</f>
        <v/>
      </c>
      <c r="J299" s="1111" t="str">
        <f>IF(OR(D299="",D299="-"),"",VLOOKUP(D299,'Fatores de Emissão'!$D$217:$K$219,5,FALSE))</f>
        <v/>
      </c>
      <c r="K299" s="1111" t="str">
        <f>IF(OR(D299="",D299="-"),"",VLOOKUP(D299,'Fatores de Emissão'!$D$217:$K$219,7,FALSE))</f>
        <v/>
      </c>
      <c r="L299" s="478" t="str">
        <f t="shared" si="19"/>
        <v/>
      </c>
      <c r="M299" s="478" t="str">
        <f t="shared" si="19"/>
        <v/>
      </c>
      <c r="N299" s="478" t="str">
        <f t="shared" si="19"/>
        <v/>
      </c>
      <c r="O299" s="441" t="str">
        <f t="shared" si="20"/>
        <v/>
      </c>
      <c r="P299" s="440"/>
    </row>
    <row r="300" spans="1:16" s="237" customFormat="1" ht="15" customHeight="1" outlineLevel="1" x14ac:dyDescent="0.25">
      <c r="A300" s="363"/>
      <c r="B300" s="1160"/>
      <c r="C300" s="1160"/>
      <c r="D300" s="1268"/>
      <c r="E300" s="1268"/>
      <c r="F300" s="438"/>
      <c r="G300" s="438"/>
      <c r="H300" s="1020" t="str">
        <f>IF(OR(D300="",D300="-"),"",VLOOKUP(D300,'Fatores de Emissão'!$D$217:$K$219,4,FALSE))</f>
        <v/>
      </c>
      <c r="I300" s="1111" t="str">
        <f>IF(OR(D300="",D300="-"),"",VLOOKUP(D300,'Fatores de Emissão'!$D$217:$K$219,3,FALSE))</f>
        <v/>
      </c>
      <c r="J300" s="1111" t="str">
        <f>IF(OR(D300="",D300="-"),"",VLOOKUP(D300,'Fatores de Emissão'!$D$217:$K$219,5,FALSE))</f>
        <v/>
      </c>
      <c r="K300" s="1111" t="str">
        <f>IF(OR(D300="",D300="-"),"",VLOOKUP(D300,'Fatores de Emissão'!$D$217:$K$219,7,FALSE))</f>
        <v/>
      </c>
      <c r="L300" s="478" t="str">
        <f t="shared" si="19"/>
        <v/>
      </c>
      <c r="M300" s="478" t="str">
        <f t="shared" si="19"/>
        <v/>
      </c>
      <c r="N300" s="478" t="str">
        <f t="shared" si="19"/>
        <v/>
      </c>
      <c r="O300" s="441" t="str">
        <f t="shared" si="20"/>
        <v/>
      </c>
      <c r="P300" s="440"/>
    </row>
    <row r="301" spans="1:16" s="237" customFormat="1" ht="15" customHeight="1" outlineLevel="1" collapsed="1" x14ac:dyDescent="0.25">
      <c r="A301" s="363"/>
      <c r="B301" s="1160"/>
      <c r="C301" s="1160"/>
      <c r="D301" s="1268"/>
      <c r="E301" s="1268"/>
      <c r="F301" s="438"/>
      <c r="G301" s="438"/>
      <c r="H301" s="1020" t="str">
        <f>IF(OR(D301="",D301="-"),"",VLOOKUP(D301,'Fatores de Emissão'!$D$217:$K$219,4,FALSE))</f>
        <v/>
      </c>
      <c r="I301" s="1111" t="str">
        <f>IF(OR(D301="",D301="-"),"",VLOOKUP(D301,'Fatores de Emissão'!$D$217:$K$219,3,FALSE))</f>
        <v/>
      </c>
      <c r="J301" s="1111" t="str">
        <f>IF(OR(D301="",D301="-"),"",VLOOKUP(D301,'Fatores de Emissão'!$D$217:$K$219,5,FALSE))</f>
        <v/>
      </c>
      <c r="K301" s="1111" t="str">
        <f>IF(OR(D301="",D301="-"),"",VLOOKUP(D301,'Fatores de Emissão'!$D$217:$K$219,7,FALSE))</f>
        <v/>
      </c>
      <c r="L301" s="478" t="str">
        <f t="shared" si="19"/>
        <v/>
      </c>
      <c r="M301" s="478" t="str">
        <f t="shared" si="19"/>
        <v/>
      </c>
      <c r="N301" s="478" t="str">
        <f t="shared" si="19"/>
        <v/>
      </c>
      <c r="O301" s="441" t="str">
        <f t="shared" si="20"/>
        <v/>
      </c>
      <c r="P301" s="440"/>
    </row>
    <row r="302" spans="1:16" s="237" customFormat="1" ht="15" hidden="1" customHeight="1" outlineLevel="2" x14ac:dyDescent="0.25">
      <c r="A302" s="363"/>
      <c r="B302" s="1160"/>
      <c r="C302" s="1160"/>
      <c r="D302" s="1268"/>
      <c r="E302" s="1268"/>
      <c r="F302" s="438"/>
      <c r="G302" s="438"/>
      <c r="H302" s="1020" t="str">
        <f>IF(OR(D302="",D302="-"),"",VLOOKUP(D302,'Fatores de Emissão'!$D$217:$K$219,4,FALSE))</f>
        <v/>
      </c>
      <c r="I302" s="1111" t="str">
        <f>IF(OR(D302="",D302="-"),"",VLOOKUP(D302,'Fatores de Emissão'!$D$217:$K$219,3,FALSE))</f>
        <v/>
      </c>
      <c r="J302" s="1111" t="str">
        <f>IF(OR(D302="",D302="-"),"",VLOOKUP(D302,'Fatores de Emissão'!$D$217:$K$219,5,FALSE))</f>
        <v/>
      </c>
      <c r="K302" s="1111" t="str">
        <f>IF(OR(D302="",D302="-"),"",VLOOKUP(D302,'Fatores de Emissão'!$D$217:$K$219,7,FALSE))</f>
        <v/>
      </c>
      <c r="L302" s="478" t="str">
        <f t="shared" si="19"/>
        <v/>
      </c>
      <c r="M302" s="478" t="str">
        <f t="shared" si="19"/>
        <v/>
      </c>
      <c r="N302" s="478" t="str">
        <f t="shared" si="19"/>
        <v/>
      </c>
      <c r="O302" s="441" t="str">
        <f t="shared" si="20"/>
        <v/>
      </c>
      <c r="P302" s="440"/>
    </row>
    <row r="303" spans="1:16" s="237" customFormat="1" ht="15" hidden="1" customHeight="1" outlineLevel="2" x14ac:dyDescent="0.25">
      <c r="A303" s="363"/>
      <c r="B303" s="1160"/>
      <c r="C303" s="1160"/>
      <c r="D303" s="1268"/>
      <c r="E303" s="1268"/>
      <c r="F303" s="438"/>
      <c r="G303" s="438"/>
      <c r="H303" s="1020" t="str">
        <f>IF(OR(D303="",D303="-"),"",VLOOKUP(D303,'Fatores de Emissão'!$D$217:$K$219,4,FALSE))</f>
        <v/>
      </c>
      <c r="I303" s="1111" t="str">
        <f>IF(OR(D303="",D303="-"),"",VLOOKUP(D303,'Fatores de Emissão'!$D$217:$K$219,3,FALSE))</f>
        <v/>
      </c>
      <c r="J303" s="1111" t="str">
        <f>IF(OR(D303="",D303="-"),"",VLOOKUP(D303,'Fatores de Emissão'!$D$217:$K$219,5,FALSE))</f>
        <v/>
      </c>
      <c r="K303" s="1111" t="str">
        <f>IF(OR(D303="",D303="-"),"",VLOOKUP(D303,'Fatores de Emissão'!$D$217:$K$219,7,FALSE))</f>
        <v/>
      </c>
      <c r="L303" s="478" t="str">
        <f t="shared" si="19"/>
        <v/>
      </c>
      <c r="M303" s="478" t="str">
        <f t="shared" si="19"/>
        <v/>
      </c>
      <c r="N303" s="478" t="str">
        <f t="shared" si="19"/>
        <v/>
      </c>
      <c r="O303" s="441" t="str">
        <f t="shared" si="20"/>
        <v/>
      </c>
      <c r="P303" s="440"/>
    </row>
    <row r="304" spans="1:16" s="237" customFormat="1" ht="15" hidden="1" customHeight="1" outlineLevel="2" x14ac:dyDescent="0.25">
      <c r="A304" s="363"/>
      <c r="B304" s="1160"/>
      <c r="C304" s="1160"/>
      <c r="D304" s="1268"/>
      <c r="E304" s="1268"/>
      <c r="F304" s="438"/>
      <c r="G304" s="438"/>
      <c r="H304" s="1020" t="str">
        <f>IF(OR(D304="",D304="-"),"",VLOOKUP(D304,'Fatores de Emissão'!$D$217:$K$219,4,FALSE))</f>
        <v/>
      </c>
      <c r="I304" s="1111" t="str">
        <f>IF(OR(D304="",D304="-"),"",VLOOKUP(D304,'Fatores de Emissão'!$D$217:$K$219,3,FALSE))</f>
        <v/>
      </c>
      <c r="J304" s="1111" t="str">
        <f>IF(OR(D304="",D304="-"),"",VLOOKUP(D304,'Fatores de Emissão'!$D$217:$K$219,5,FALSE))</f>
        <v/>
      </c>
      <c r="K304" s="1111" t="str">
        <f>IF(OR(D304="",D304="-"),"",VLOOKUP(D304,'Fatores de Emissão'!$D$217:$K$219,7,FALSE))</f>
        <v/>
      </c>
      <c r="L304" s="478" t="str">
        <f t="shared" si="19"/>
        <v/>
      </c>
      <c r="M304" s="478" t="str">
        <f t="shared" si="19"/>
        <v/>
      </c>
      <c r="N304" s="478" t="str">
        <f t="shared" si="19"/>
        <v/>
      </c>
      <c r="O304" s="441" t="str">
        <f t="shared" si="20"/>
        <v/>
      </c>
      <c r="P304" s="440"/>
    </row>
    <row r="305" spans="1:16" s="237" customFormat="1" ht="15" hidden="1" customHeight="1" outlineLevel="2" x14ac:dyDescent="0.25">
      <c r="A305" s="363"/>
      <c r="B305" s="1160"/>
      <c r="C305" s="1160"/>
      <c r="D305" s="1268"/>
      <c r="E305" s="1268"/>
      <c r="F305" s="438"/>
      <c r="G305" s="438"/>
      <c r="H305" s="1020" t="str">
        <f>IF(OR(D305="",D305="-"),"",VLOOKUP(D305,'Fatores de Emissão'!$D$217:$K$219,4,FALSE))</f>
        <v/>
      </c>
      <c r="I305" s="1111" t="str">
        <f>IF(OR(D305="",D305="-"),"",VLOOKUP(D305,'Fatores de Emissão'!$D$217:$K$219,3,FALSE))</f>
        <v/>
      </c>
      <c r="J305" s="1111" t="str">
        <f>IF(OR(D305="",D305="-"),"",VLOOKUP(D305,'Fatores de Emissão'!$D$217:$K$219,5,FALSE))</f>
        <v/>
      </c>
      <c r="K305" s="1111" t="str">
        <f>IF(OR(D305="",D305="-"),"",VLOOKUP(D305,'Fatores de Emissão'!$D$217:$K$219,7,FALSE))</f>
        <v/>
      </c>
      <c r="L305" s="478" t="str">
        <f t="shared" si="19"/>
        <v/>
      </c>
      <c r="M305" s="478" t="str">
        <f t="shared" si="19"/>
        <v/>
      </c>
      <c r="N305" s="478" t="str">
        <f t="shared" si="19"/>
        <v/>
      </c>
      <c r="O305" s="441" t="str">
        <f t="shared" si="20"/>
        <v/>
      </c>
      <c r="P305" s="440"/>
    </row>
    <row r="306" spans="1:16" s="237" customFormat="1" ht="15" hidden="1" customHeight="1" outlineLevel="2" x14ac:dyDescent="0.25">
      <c r="A306" s="363"/>
      <c r="B306" s="1160"/>
      <c r="C306" s="1160"/>
      <c r="D306" s="1268"/>
      <c r="E306" s="1268"/>
      <c r="F306" s="438"/>
      <c r="G306" s="438"/>
      <c r="H306" s="1020" t="str">
        <f>IF(OR(D306="",D306="-"),"",VLOOKUP(D306,'Fatores de Emissão'!$D$217:$K$219,4,FALSE))</f>
        <v/>
      </c>
      <c r="I306" s="1111" t="str">
        <f>IF(OR(D306="",D306="-"),"",VLOOKUP(D306,'Fatores de Emissão'!$D$217:$K$219,3,FALSE))</f>
        <v/>
      </c>
      <c r="J306" s="1111" t="str">
        <f>IF(OR(D306="",D306="-"),"",VLOOKUP(D306,'Fatores de Emissão'!$D$217:$K$219,5,FALSE))</f>
        <v/>
      </c>
      <c r="K306" s="1111" t="str">
        <f>IF(OR(D306="",D306="-"),"",VLOOKUP(D306,'Fatores de Emissão'!$D$217:$K$219,7,FALSE))</f>
        <v/>
      </c>
      <c r="L306" s="478" t="str">
        <f t="shared" si="19"/>
        <v/>
      </c>
      <c r="M306" s="478" t="str">
        <f t="shared" si="19"/>
        <v/>
      </c>
      <c r="N306" s="478" t="str">
        <f t="shared" si="19"/>
        <v/>
      </c>
      <c r="O306" s="441" t="str">
        <f t="shared" si="20"/>
        <v/>
      </c>
      <c r="P306" s="440"/>
    </row>
    <row r="307" spans="1:16" s="237" customFormat="1" ht="15" hidden="1" customHeight="1" outlineLevel="2" x14ac:dyDescent="0.25">
      <c r="A307" s="363"/>
      <c r="B307" s="1160"/>
      <c r="C307" s="1160"/>
      <c r="D307" s="1268"/>
      <c r="E307" s="1268"/>
      <c r="F307" s="438"/>
      <c r="G307" s="438"/>
      <c r="H307" s="1020" t="str">
        <f>IF(OR(D307="",D307="-"),"",VLOOKUP(D307,'Fatores de Emissão'!$D$217:$K$219,4,FALSE))</f>
        <v/>
      </c>
      <c r="I307" s="1111" t="str">
        <f>IF(OR(D307="",D307="-"),"",VLOOKUP(D307,'Fatores de Emissão'!$D$217:$K$219,3,FALSE))</f>
        <v/>
      </c>
      <c r="J307" s="1111" t="str">
        <f>IF(OR(D307="",D307="-"),"",VLOOKUP(D307,'Fatores de Emissão'!$D$217:$K$219,5,FALSE))</f>
        <v/>
      </c>
      <c r="K307" s="1111" t="str">
        <f>IF(OR(D307="",D307="-"),"",VLOOKUP(D307,'Fatores de Emissão'!$D$217:$K$219,7,FALSE))</f>
        <v/>
      </c>
      <c r="L307" s="478" t="str">
        <f t="shared" si="19"/>
        <v/>
      </c>
      <c r="M307" s="478" t="str">
        <f t="shared" si="19"/>
        <v/>
      </c>
      <c r="N307" s="478" t="str">
        <f t="shared" si="19"/>
        <v/>
      </c>
      <c r="O307" s="441" t="str">
        <f t="shared" si="20"/>
        <v/>
      </c>
      <c r="P307" s="440"/>
    </row>
    <row r="308" spans="1:16" s="237" customFormat="1" ht="15" hidden="1" customHeight="1" outlineLevel="2" x14ac:dyDescent="0.25">
      <c r="A308" s="363"/>
      <c r="B308" s="1160"/>
      <c r="C308" s="1160"/>
      <c r="D308" s="1268"/>
      <c r="E308" s="1268"/>
      <c r="F308" s="438"/>
      <c r="G308" s="438"/>
      <c r="H308" s="1020" t="str">
        <f>IF(OR(D308="",D308="-"),"",VLOOKUP(D308,'Fatores de Emissão'!$D$217:$K$219,4,FALSE))</f>
        <v/>
      </c>
      <c r="I308" s="1111" t="str">
        <f>IF(OR(D308="",D308="-"),"",VLOOKUP(D308,'Fatores de Emissão'!$D$217:$K$219,3,FALSE))</f>
        <v/>
      </c>
      <c r="J308" s="1111" t="str">
        <f>IF(OR(D308="",D308="-"),"",VLOOKUP(D308,'Fatores de Emissão'!$D$217:$K$219,5,FALSE))</f>
        <v/>
      </c>
      <c r="K308" s="1111" t="str">
        <f>IF(OR(D308="",D308="-"),"",VLOOKUP(D308,'Fatores de Emissão'!$D$217:$K$219,7,FALSE))</f>
        <v/>
      </c>
      <c r="L308" s="478" t="str">
        <f t="shared" si="19"/>
        <v/>
      </c>
      <c r="M308" s="478" t="str">
        <f t="shared" si="19"/>
        <v/>
      </c>
      <c r="N308" s="478" t="str">
        <f t="shared" si="19"/>
        <v/>
      </c>
      <c r="O308" s="441" t="str">
        <f t="shared" si="20"/>
        <v/>
      </c>
      <c r="P308" s="440"/>
    </row>
    <row r="309" spans="1:16" s="237" customFormat="1" ht="15" hidden="1" customHeight="1" outlineLevel="2" x14ac:dyDescent="0.25">
      <c r="A309" s="363"/>
      <c r="B309" s="1160"/>
      <c r="C309" s="1160"/>
      <c r="D309" s="1268"/>
      <c r="E309" s="1268"/>
      <c r="F309" s="438"/>
      <c r="G309" s="438"/>
      <c r="H309" s="1020" t="str">
        <f>IF(OR(D309="",D309="-"),"",VLOOKUP(D309,'Fatores de Emissão'!$D$217:$K$219,4,FALSE))</f>
        <v/>
      </c>
      <c r="I309" s="1111" t="str">
        <f>IF(OR(D309="",D309="-"),"",VLOOKUP(D309,'Fatores de Emissão'!$D$217:$K$219,3,FALSE))</f>
        <v/>
      </c>
      <c r="J309" s="1111" t="str">
        <f>IF(OR(D309="",D309="-"),"",VLOOKUP(D309,'Fatores de Emissão'!$D$217:$K$219,5,FALSE))</f>
        <v/>
      </c>
      <c r="K309" s="1111" t="str">
        <f>IF(OR(D309="",D309="-"),"",VLOOKUP(D309,'Fatores de Emissão'!$D$217:$K$219,7,FALSE))</f>
        <v/>
      </c>
      <c r="L309" s="478" t="str">
        <f t="shared" si="19"/>
        <v/>
      </c>
      <c r="M309" s="478" t="str">
        <f t="shared" si="19"/>
        <v/>
      </c>
      <c r="N309" s="478" t="str">
        <f t="shared" si="19"/>
        <v/>
      </c>
      <c r="O309" s="441" t="str">
        <f t="shared" si="20"/>
        <v/>
      </c>
      <c r="P309" s="440"/>
    </row>
    <row r="310" spans="1:16" s="237" customFormat="1" ht="15" hidden="1" customHeight="1" outlineLevel="2" x14ac:dyDescent="0.25">
      <c r="A310" s="363"/>
      <c r="B310" s="1160"/>
      <c r="C310" s="1160"/>
      <c r="D310" s="1268"/>
      <c r="E310" s="1268"/>
      <c r="F310" s="438"/>
      <c r="G310" s="438"/>
      <c r="H310" s="1020" t="str">
        <f>IF(OR(D310="",D310="-"),"",VLOOKUP(D310,'Fatores de Emissão'!$D$217:$K$219,4,FALSE))</f>
        <v/>
      </c>
      <c r="I310" s="1111" t="str">
        <f>IF(OR(D310="",D310="-"),"",VLOOKUP(D310,'Fatores de Emissão'!$D$217:$K$219,3,FALSE))</f>
        <v/>
      </c>
      <c r="J310" s="1111" t="str">
        <f>IF(OR(D310="",D310="-"),"",VLOOKUP(D310,'Fatores de Emissão'!$D$217:$K$219,5,FALSE))</f>
        <v/>
      </c>
      <c r="K310" s="1111" t="str">
        <f>IF(OR(D310="",D310="-"),"",VLOOKUP(D310,'Fatores de Emissão'!$D$217:$K$219,7,FALSE))</f>
        <v/>
      </c>
      <c r="L310" s="478" t="str">
        <f t="shared" si="19"/>
        <v/>
      </c>
      <c r="M310" s="478" t="str">
        <f t="shared" si="19"/>
        <v/>
      </c>
      <c r="N310" s="478" t="str">
        <f t="shared" si="19"/>
        <v/>
      </c>
      <c r="O310" s="441" t="str">
        <f t="shared" si="20"/>
        <v/>
      </c>
      <c r="P310" s="440"/>
    </row>
    <row r="311" spans="1:16" s="237" customFormat="1" ht="15" hidden="1" customHeight="1" outlineLevel="2" x14ac:dyDescent="0.25">
      <c r="A311" s="363"/>
      <c r="B311" s="1160"/>
      <c r="C311" s="1160"/>
      <c r="D311" s="1268"/>
      <c r="E311" s="1268"/>
      <c r="F311" s="438"/>
      <c r="G311" s="438"/>
      <c r="H311" s="1020" t="str">
        <f>IF(OR(D311="",D311="-"),"",VLOOKUP(D311,'Fatores de Emissão'!$D$217:$K$219,4,FALSE))</f>
        <v/>
      </c>
      <c r="I311" s="1111" t="str">
        <f>IF(OR(D311="",D311="-"),"",VLOOKUP(D311,'Fatores de Emissão'!$D$217:$K$219,3,FALSE))</f>
        <v/>
      </c>
      <c r="J311" s="1111" t="str">
        <f>IF(OR(D311="",D311="-"),"",VLOOKUP(D311,'Fatores de Emissão'!$D$217:$K$219,5,FALSE))</f>
        <v/>
      </c>
      <c r="K311" s="1111" t="str">
        <f>IF(OR(D311="",D311="-"),"",VLOOKUP(D311,'Fatores de Emissão'!$D$217:$K$219,7,FALSE))</f>
        <v/>
      </c>
      <c r="L311" s="478" t="str">
        <f t="shared" si="19"/>
        <v/>
      </c>
      <c r="M311" s="478" t="str">
        <f t="shared" si="19"/>
        <v/>
      </c>
      <c r="N311" s="478" t="str">
        <f t="shared" si="19"/>
        <v/>
      </c>
      <c r="O311" s="441" t="str">
        <f t="shared" si="20"/>
        <v/>
      </c>
      <c r="P311" s="440"/>
    </row>
    <row r="312" spans="1:16" s="237" customFormat="1" ht="15" hidden="1" customHeight="1" outlineLevel="2" x14ac:dyDescent="0.25">
      <c r="A312" s="363"/>
      <c r="B312" s="1160"/>
      <c r="C312" s="1160"/>
      <c r="D312" s="1268"/>
      <c r="E312" s="1268"/>
      <c r="F312" s="438"/>
      <c r="G312" s="438"/>
      <c r="H312" s="1020" t="str">
        <f>IF(OR(D312="",D312="-"),"",VLOOKUP(D312,'Fatores de Emissão'!$D$217:$K$219,4,FALSE))</f>
        <v/>
      </c>
      <c r="I312" s="1111" t="str">
        <f>IF(OR(D312="",D312="-"),"",VLOOKUP(D312,'Fatores de Emissão'!$D$217:$K$219,3,FALSE))</f>
        <v/>
      </c>
      <c r="J312" s="1111" t="str">
        <f>IF(OR(D312="",D312="-"),"",VLOOKUP(D312,'Fatores de Emissão'!$D$217:$K$219,5,FALSE))</f>
        <v/>
      </c>
      <c r="K312" s="1111" t="str">
        <f>IF(OR(D312="",D312="-"),"",VLOOKUP(D312,'Fatores de Emissão'!$D$217:$K$219,7,FALSE))</f>
        <v/>
      </c>
      <c r="L312" s="478" t="str">
        <f t="shared" si="19"/>
        <v/>
      </c>
      <c r="M312" s="478" t="str">
        <f t="shared" si="19"/>
        <v/>
      </c>
      <c r="N312" s="478" t="str">
        <f t="shared" si="19"/>
        <v/>
      </c>
      <c r="O312" s="441" t="str">
        <f t="shared" si="20"/>
        <v/>
      </c>
      <c r="P312" s="440"/>
    </row>
    <row r="313" spans="1:16" s="237" customFormat="1" ht="15" hidden="1" customHeight="1" outlineLevel="2" x14ac:dyDescent="0.25">
      <c r="A313" s="363"/>
      <c r="B313" s="1160"/>
      <c r="C313" s="1160"/>
      <c r="D313" s="1268"/>
      <c r="E313" s="1268"/>
      <c r="F313" s="438"/>
      <c r="G313" s="438"/>
      <c r="H313" s="1020" t="str">
        <f>IF(OR(D313="",D313="-"),"",VLOOKUP(D313,'Fatores de Emissão'!$D$217:$K$219,4,FALSE))</f>
        <v/>
      </c>
      <c r="I313" s="1111" t="str">
        <f>IF(OR(D313="",D313="-"),"",VLOOKUP(D313,'Fatores de Emissão'!$D$217:$K$219,3,FALSE))</f>
        <v/>
      </c>
      <c r="J313" s="1111" t="str">
        <f>IF(OR(D313="",D313="-"),"",VLOOKUP(D313,'Fatores de Emissão'!$D$217:$K$219,5,FALSE))</f>
        <v/>
      </c>
      <c r="K313" s="1111" t="str">
        <f>IF(OR(D313="",D313="-"),"",VLOOKUP(D313,'Fatores de Emissão'!$D$217:$K$219,7,FALSE))</f>
        <v/>
      </c>
      <c r="L313" s="478" t="str">
        <f t="shared" si="19"/>
        <v/>
      </c>
      <c r="M313" s="478" t="str">
        <f t="shared" si="19"/>
        <v/>
      </c>
      <c r="N313" s="478" t="str">
        <f t="shared" si="19"/>
        <v/>
      </c>
      <c r="O313" s="441" t="str">
        <f t="shared" si="20"/>
        <v/>
      </c>
      <c r="P313" s="440"/>
    </row>
    <row r="314" spans="1:16" s="237" customFormat="1" ht="15" hidden="1" customHeight="1" outlineLevel="2" x14ac:dyDescent="0.25">
      <c r="A314" s="363"/>
      <c r="B314" s="1160"/>
      <c r="C314" s="1160"/>
      <c r="D314" s="1268"/>
      <c r="E314" s="1268"/>
      <c r="F314" s="438"/>
      <c r="G314" s="438"/>
      <c r="H314" s="1020" t="str">
        <f>IF(OR(D314="",D314="-"),"",VLOOKUP(D314,'Fatores de Emissão'!$D$217:$K$219,4,FALSE))</f>
        <v/>
      </c>
      <c r="I314" s="1111" t="str">
        <f>IF(OR(D314="",D314="-"),"",VLOOKUP(D314,'Fatores de Emissão'!$D$217:$K$219,3,FALSE))</f>
        <v/>
      </c>
      <c r="J314" s="1111" t="str">
        <f>IF(OR(D314="",D314="-"),"",VLOOKUP(D314,'Fatores de Emissão'!$D$217:$K$219,5,FALSE))</f>
        <v/>
      </c>
      <c r="K314" s="1111" t="str">
        <f>IF(OR(D314="",D314="-"),"",VLOOKUP(D314,'Fatores de Emissão'!$D$217:$K$219,7,FALSE))</f>
        <v/>
      </c>
      <c r="L314" s="478" t="str">
        <f t="shared" si="19"/>
        <v/>
      </c>
      <c r="M314" s="478" t="str">
        <f t="shared" si="19"/>
        <v/>
      </c>
      <c r="N314" s="478" t="str">
        <f t="shared" si="19"/>
        <v/>
      </c>
      <c r="O314" s="441" t="str">
        <f t="shared" si="20"/>
        <v/>
      </c>
      <c r="P314" s="440"/>
    </row>
    <row r="315" spans="1:16" s="237" customFormat="1" ht="15" hidden="1" customHeight="1" outlineLevel="2" x14ac:dyDescent="0.25">
      <c r="A315" s="363"/>
      <c r="B315" s="1160"/>
      <c r="C315" s="1160"/>
      <c r="D315" s="1268"/>
      <c r="E315" s="1268"/>
      <c r="F315" s="438"/>
      <c r="G315" s="438"/>
      <c r="H315" s="1020" t="str">
        <f>IF(OR(D315="",D315="-"),"",VLOOKUP(D315,'Fatores de Emissão'!$D$217:$K$219,4,FALSE))</f>
        <v/>
      </c>
      <c r="I315" s="1111" t="str">
        <f>IF(OR(D315="",D315="-"),"",VLOOKUP(D315,'Fatores de Emissão'!$D$217:$K$219,3,FALSE))</f>
        <v/>
      </c>
      <c r="J315" s="1111" t="str">
        <f>IF(OR(D315="",D315="-"),"",VLOOKUP(D315,'Fatores de Emissão'!$D$217:$K$219,5,FALSE))</f>
        <v/>
      </c>
      <c r="K315" s="1111" t="str">
        <f>IF(OR(D315="",D315="-"),"",VLOOKUP(D315,'Fatores de Emissão'!$D$217:$K$219,7,FALSE))</f>
        <v/>
      </c>
      <c r="L315" s="478" t="str">
        <f t="shared" si="19"/>
        <v/>
      </c>
      <c r="M315" s="478" t="str">
        <f t="shared" si="19"/>
        <v/>
      </c>
      <c r="N315" s="478" t="str">
        <f t="shared" si="19"/>
        <v/>
      </c>
      <c r="O315" s="441" t="str">
        <f t="shared" si="20"/>
        <v/>
      </c>
      <c r="P315" s="440"/>
    </row>
    <row r="316" spans="1:16" s="237" customFormat="1" ht="15" hidden="1" customHeight="1" outlineLevel="2" x14ac:dyDescent="0.25">
      <c r="A316" s="363"/>
      <c r="B316" s="1160"/>
      <c r="C316" s="1160"/>
      <c r="D316" s="1268"/>
      <c r="E316" s="1268"/>
      <c r="F316" s="438"/>
      <c r="G316" s="438"/>
      <c r="H316" s="1020" t="str">
        <f>IF(OR(D316="",D316="-"),"",VLOOKUP(D316,'Fatores de Emissão'!$D$217:$K$219,4,FALSE))</f>
        <v/>
      </c>
      <c r="I316" s="1111" t="str">
        <f>IF(OR(D316="",D316="-"),"",VLOOKUP(D316,'Fatores de Emissão'!$D$217:$K$219,3,FALSE))</f>
        <v/>
      </c>
      <c r="J316" s="1111" t="str">
        <f>IF(OR(D316="",D316="-"),"",VLOOKUP(D316,'Fatores de Emissão'!$D$217:$K$219,5,FALSE))</f>
        <v/>
      </c>
      <c r="K316" s="1111" t="str">
        <f>IF(OR(D316="",D316="-"),"",VLOOKUP(D316,'Fatores de Emissão'!$D$217:$K$219,7,FALSE))</f>
        <v/>
      </c>
      <c r="L316" s="478" t="str">
        <f>IF($D316="","",$F316*1.08*$G316*I316/1000)</f>
        <v/>
      </c>
      <c r="M316" s="478" t="str">
        <f>IF($D316="","",$F316*1.08*$G316*J316/1000)</f>
        <v/>
      </c>
      <c r="N316" s="478" t="str">
        <f>IF($D316="","",$F316*1.08*$G316*K316/1000)</f>
        <v/>
      </c>
      <c r="O316" s="441" t="str">
        <f t="shared" si="20"/>
        <v/>
      </c>
      <c r="P316" s="440"/>
    </row>
    <row r="317" spans="1:16" s="237" customFormat="1" ht="15" hidden="1" customHeight="1" outlineLevel="2" x14ac:dyDescent="0.25">
      <c r="A317" s="363"/>
      <c r="B317" s="1160"/>
      <c r="C317" s="1160"/>
      <c r="D317" s="1268"/>
      <c r="E317" s="1268"/>
      <c r="F317" s="438"/>
      <c r="G317" s="438"/>
      <c r="H317" s="1020" t="str">
        <f>IF(OR(D317="",D317="-"),"",VLOOKUP(D317,'Fatores de Emissão'!$D$217:$K$219,4,FALSE))</f>
        <v/>
      </c>
      <c r="I317" s="1111" t="str">
        <f>IF(OR(D317="",D317="-"),"",VLOOKUP(D317,'Fatores de Emissão'!$D$217:$K$219,3,FALSE))</f>
        <v/>
      </c>
      <c r="J317" s="1111" t="str">
        <f>IF(OR(D317="",D317="-"),"",VLOOKUP(D317,'Fatores de Emissão'!$D$217:$K$219,5,FALSE))</f>
        <v/>
      </c>
      <c r="K317" s="1111" t="str">
        <f>IF(OR(D317="",D317="-"),"",VLOOKUP(D317,'Fatores de Emissão'!$D$217:$K$219,7,FALSE))</f>
        <v/>
      </c>
      <c r="L317" s="478" t="str">
        <f t="shared" ref="L317:N336" si="21">IF($D317="","",$F317*1.08*$G317*I317/1000)</f>
        <v/>
      </c>
      <c r="M317" s="478" t="str">
        <f t="shared" si="21"/>
        <v/>
      </c>
      <c r="N317" s="478" t="str">
        <f t="shared" si="21"/>
        <v/>
      </c>
      <c r="O317" s="441" t="str">
        <f t="shared" si="20"/>
        <v/>
      </c>
      <c r="P317" s="440"/>
    </row>
    <row r="318" spans="1:16" s="237" customFormat="1" ht="15" hidden="1" customHeight="1" outlineLevel="2" x14ac:dyDescent="0.25">
      <c r="A318" s="363"/>
      <c r="B318" s="1160"/>
      <c r="C318" s="1160"/>
      <c r="D318" s="1268"/>
      <c r="E318" s="1268"/>
      <c r="F318" s="438"/>
      <c r="G318" s="438"/>
      <c r="H318" s="1020" t="str">
        <f>IF(OR(D318="",D318="-"),"",VLOOKUP(D318,'Fatores de Emissão'!$D$217:$K$219,4,FALSE))</f>
        <v/>
      </c>
      <c r="I318" s="1111" t="str">
        <f>IF(OR(D318="",D318="-"),"",VLOOKUP(D318,'Fatores de Emissão'!$D$217:$K$219,3,FALSE))</f>
        <v/>
      </c>
      <c r="J318" s="1111" t="str">
        <f>IF(OR(D318="",D318="-"),"",VLOOKUP(D318,'Fatores de Emissão'!$D$217:$K$219,5,FALSE))</f>
        <v/>
      </c>
      <c r="K318" s="1111" t="str">
        <f>IF(OR(D318="",D318="-"),"",VLOOKUP(D318,'Fatores de Emissão'!$D$217:$K$219,7,FALSE))</f>
        <v/>
      </c>
      <c r="L318" s="478" t="str">
        <f t="shared" si="21"/>
        <v/>
      </c>
      <c r="M318" s="478" t="str">
        <f t="shared" si="21"/>
        <v/>
      </c>
      <c r="N318" s="478" t="str">
        <f t="shared" si="21"/>
        <v/>
      </c>
      <c r="O318" s="441" t="str">
        <f t="shared" si="20"/>
        <v/>
      </c>
      <c r="P318" s="440"/>
    </row>
    <row r="319" spans="1:16" s="237" customFormat="1" ht="15" hidden="1" customHeight="1" outlineLevel="2" x14ac:dyDescent="0.25">
      <c r="A319" s="363"/>
      <c r="B319" s="1160"/>
      <c r="C319" s="1160"/>
      <c r="D319" s="1268"/>
      <c r="E319" s="1268"/>
      <c r="F319" s="438"/>
      <c r="G319" s="438"/>
      <c r="H319" s="1020" t="str">
        <f>IF(OR(D319="",D319="-"),"",VLOOKUP(D319,'Fatores de Emissão'!$D$217:$K$219,4,FALSE))</f>
        <v/>
      </c>
      <c r="I319" s="1111" t="str">
        <f>IF(OR(D319="",D319="-"),"",VLOOKUP(D319,'Fatores de Emissão'!$D$217:$K$219,3,FALSE))</f>
        <v/>
      </c>
      <c r="J319" s="1111" t="str">
        <f>IF(OR(D319="",D319="-"),"",VLOOKUP(D319,'Fatores de Emissão'!$D$217:$K$219,5,FALSE))</f>
        <v/>
      </c>
      <c r="K319" s="1111" t="str">
        <f>IF(OR(D319="",D319="-"),"",VLOOKUP(D319,'Fatores de Emissão'!$D$217:$K$219,7,FALSE))</f>
        <v/>
      </c>
      <c r="L319" s="478" t="str">
        <f t="shared" si="21"/>
        <v/>
      </c>
      <c r="M319" s="478" t="str">
        <f t="shared" si="21"/>
        <v/>
      </c>
      <c r="N319" s="478" t="str">
        <f t="shared" si="21"/>
        <v/>
      </c>
      <c r="O319" s="441" t="str">
        <f t="shared" si="20"/>
        <v/>
      </c>
      <c r="P319" s="440"/>
    </row>
    <row r="320" spans="1:16" s="237" customFormat="1" ht="15" hidden="1" customHeight="1" outlineLevel="2" x14ac:dyDescent="0.25">
      <c r="A320" s="363"/>
      <c r="B320" s="1160"/>
      <c r="C320" s="1160"/>
      <c r="D320" s="1268"/>
      <c r="E320" s="1268"/>
      <c r="F320" s="438"/>
      <c r="G320" s="438"/>
      <c r="H320" s="1020" t="str">
        <f>IF(OR(D320="",D320="-"),"",VLOOKUP(D320,'Fatores de Emissão'!$D$217:$K$219,4,FALSE))</f>
        <v/>
      </c>
      <c r="I320" s="1111" t="str">
        <f>IF(OR(D320="",D320="-"),"",VLOOKUP(D320,'Fatores de Emissão'!$D$217:$K$219,3,FALSE))</f>
        <v/>
      </c>
      <c r="J320" s="1111" t="str">
        <f>IF(OR(D320="",D320="-"),"",VLOOKUP(D320,'Fatores de Emissão'!$D$217:$K$219,5,FALSE))</f>
        <v/>
      </c>
      <c r="K320" s="1111" t="str">
        <f>IF(OR(D320="",D320="-"),"",VLOOKUP(D320,'Fatores de Emissão'!$D$217:$K$219,7,FALSE))</f>
        <v/>
      </c>
      <c r="L320" s="478" t="str">
        <f t="shared" si="21"/>
        <v/>
      </c>
      <c r="M320" s="478" t="str">
        <f t="shared" si="21"/>
        <v/>
      </c>
      <c r="N320" s="478" t="str">
        <f t="shared" si="21"/>
        <v/>
      </c>
      <c r="O320" s="441" t="str">
        <f t="shared" si="20"/>
        <v/>
      </c>
      <c r="P320" s="440"/>
    </row>
    <row r="321" spans="1:16" s="237" customFormat="1" ht="15" hidden="1" customHeight="1" outlineLevel="2" x14ac:dyDescent="0.25">
      <c r="A321" s="363"/>
      <c r="B321" s="1160"/>
      <c r="C321" s="1160"/>
      <c r="D321" s="1268"/>
      <c r="E321" s="1268"/>
      <c r="F321" s="438"/>
      <c r="G321" s="438"/>
      <c r="H321" s="1020" t="str">
        <f>IF(OR(D321="",D321="-"),"",VLOOKUP(D321,'Fatores de Emissão'!$D$217:$K$219,4,FALSE))</f>
        <v/>
      </c>
      <c r="I321" s="1111" t="str">
        <f>IF(OR(D321="",D321="-"),"",VLOOKUP(D321,'Fatores de Emissão'!$D$217:$K$219,3,FALSE))</f>
        <v/>
      </c>
      <c r="J321" s="1111" t="str">
        <f>IF(OR(D321="",D321="-"),"",VLOOKUP(D321,'Fatores de Emissão'!$D$217:$K$219,5,FALSE))</f>
        <v/>
      </c>
      <c r="K321" s="1111" t="str">
        <f>IF(OR(D321="",D321="-"),"",VLOOKUP(D321,'Fatores de Emissão'!$D$217:$K$219,7,FALSE))</f>
        <v/>
      </c>
      <c r="L321" s="478" t="str">
        <f t="shared" si="21"/>
        <v/>
      </c>
      <c r="M321" s="478" t="str">
        <f t="shared" si="21"/>
        <v/>
      </c>
      <c r="N321" s="478" t="str">
        <f t="shared" si="21"/>
        <v/>
      </c>
      <c r="O321" s="441" t="str">
        <f t="shared" si="20"/>
        <v/>
      </c>
      <c r="P321" s="440"/>
    </row>
    <row r="322" spans="1:16" s="237" customFormat="1" ht="15" hidden="1" customHeight="1" outlineLevel="2" x14ac:dyDescent="0.25">
      <c r="A322" s="363"/>
      <c r="B322" s="1160"/>
      <c r="C322" s="1160"/>
      <c r="D322" s="1268"/>
      <c r="E322" s="1268"/>
      <c r="F322" s="438"/>
      <c r="G322" s="438"/>
      <c r="H322" s="1020" t="str">
        <f>IF(OR(D322="",D322="-"),"",VLOOKUP(D322,'Fatores de Emissão'!$D$217:$K$219,4,FALSE))</f>
        <v/>
      </c>
      <c r="I322" s="1111" t="str">
        <f>IF(OR(D322="",D322="-"),"",VLOOKUP(D322,'Fatores de Emissão'!$D$217:$K$219,3,FALSE))</f>
        <v/>
      </c>
      <c r="J322" s="1111" t="str">
        <f>IF(OR(D322="",D322="-"),"",VLOOKUP(D322,'Fatores de Emissão'!$D$217:$K$219,5,FALSE))</f>
        <v/>
      </c>
      <c r="K322" s="1111" t="str">
        <f>IF(OR(D322="",D322="-"),"",VLOOKUP(D322,'Fatores de Emissão'!$D$217:$K$219,7,FALSE))</f>
        <v/>
      </c>
      <c r="L322" s="478" t="str">
        <f t="shared" si="21"/>
        <v/>
      </c>
      <c r="M322" s="478" t="str">
        <f t="shared" si="21"/>
        <v/>
      </c>
      <c r="N322" s="478" t="str">
        <f t="shared" si="21"/>
        <v/>
      </c>
      <c r="O322" s="441" t="str">
        <f t="shared" si="20"/>
        <v/>
      </c>
      <c r="P322" s="440"/>
    </row>
    <row r="323" spans="1:16" s="237" customFormat="1" ht="15" hidden="1" customHeight="1" outlineLevel="2" x14ac:dyDescent="0.25">
      <c r="A323" s="363"/>
      <c r="B323" s="1160"/>
      <c r="C323" s="1160"/>
      <c r="D323" s="1268"/>
      <c r="E323" s="1268"/>
      <c r="F323" s="438"/>
      <c r="G323" s="438"/>
      <c r="H323" s="1020" t="str">
        <f>IF(OR(D323="",D323="-"),"",VLOOKUP(D323,'Fatores de Emissão'!$D$217:$K$219,4,FALSE))</f>
        <v/>
      </c>
      <c r="I323" s="1111" t="str">
        <f>IF(OR(D323="",D323="-"),"",VLOOKUP(D323,'Fatores de Emissão'!$D$217:$K$219,3,FALSE))</f>
        <v/>
      </c>
      <c r="J323" s="1111" t="str">
        <f>IF(OR(D323="",D323="-"),"",VLOOKUP(D323,'Fatores de Emissão'!$D$217:$K$219,5,FALSE))</f>
        <v/>
      </c>
      <c r="K323" s="1111" t="str">
        <f>IF(OR(D323="",D323="-"),"",VLOOKUP(D323,'Fatores de Emissão'!$D$217:$K$219,7,FALSE))</f>
        <v/>
      </c>
      <c r="L323" s="478" t="str">
        <f t="shared" si="21"/>
        <v/>
      </c>
      <c r="M323" s="478" t="str">
        <f t="shared" si="21"/>
        <v/>
      </c>
      <c r="N323" s="478" t="str">
        <f t="shared" si="21"/>
        <v/>
      </c>
      <c r="O323" s="441" t="str">
        <f t="shared" si="20"/>
        <v/>
      </c>
      <c r="P323" s="440"/>
    </row>
    <row r="324" spans="1:16" s="237" customFormat="1" ht="15" hidden="1" customHeight="1" outlineLevel="2" x14ac:dyDescent="0.25">
      <c r="A324" s="363"/>
      <c r="B324" s="1160"/>
      <c r="C324" s="1160"/>
      <c r="D324" s="1268"/>
      <c r="E324" s="1268"/>
      <c r="F324" s="438"/>
      <c r="G324" s="438"/>
      <c r="H324" s="1020" t="str">
        <f>IF(OR(D324="",D324="-"),"",VLOOKUP(D324,'Fatores de Emissão'!$D$217:$K$219,4,FALSE))</f>
        <v/>
      </c>
      <c r="I324" s="1111" t="str">
        <f>IF(OR(D324="",D324="-"),"",VLOOKUP(D324,'Fatores de Emissão'!$D$217:$K$219,3,FALSE))</f>
        <v/>
      </c>
      <c r="J324" s="1111" t="str">
        <f>IF(OR(D324="",D324="-"),"",VLOOKUP(D324,'Fatores de Emissão'!$D$217:$K$219,5,FALSE))</f>
        <v/>
      </c>
      <c r="K324" s="1111" t="str">
        <f>IF(OR(D324="",D324="-"),"",VLOOKUP(D324,'Fatores de Emissão'!$D$217:$K$219,7,FALSE))</f>
        <v/>
      </c>
      <c r="L324" s="478" t="str">
        <f t="shared" si="21"/>
        <v/>
      </c>
      <c r="M324" s="478" t="str">
        <f t="shared" si="21"/>
        <v/>
      </c>
      <c r="N324" s="478" t="str">
        <f t="shared" si="21"/>
        <v/>
      </c>
      <c r="O324" s="441" t="str">
        <f t="shared" si="20"/>
        <v/>
      </c>
      <c r="P324" s="440"/>
    </row>
    <row r="325" spans="1:16" s="237" customFormat="1" ht="15" hidden="1" customHeight="1" outlineLevel="2" x14ac:dyDescent="0.25">
      <c r="A325" s="363"/>
      <c r="B325" s="1160"/>
      <c r="C325" s="1160"/>
      <c r="D325" s="1268"/>
      <c r="E325" s="1268"/>
      <c r="F325" s="438"/>
      <c r="G325" s="438"/>
      <c r="H325" s="1020" t="str">
        <f>IF(OR(D325="",D325="-"),"",VLOOKUP(D325,'Fatores de Emissão'!$D$217:$K$219,4,FALSE))</f>
        <v/>
      </c>
      <c r="I325" s="1111" t="str">
        <f>IF(OR(D325="",D325="-"),"",VLOOKUP(D325,'Fatores de Emissão'!$D$217:$K$219,3,FALSE))</f>
        <v/>
      </c>
      <c r="J325" s="1111" t="str">
        <f>IF(OR(D325="",D325="-"),"",VLOOKUP(D325,'Fatores de Emissão'!$D$217:$K$219,5,FALSE))</f>
        <v/>
      </c>
      <c r="K325" s="1111" t="str">
        <f>IF(OR(D325="",D325="-"),"",VLOOKUP(D325,'Fatores de Emissão'!$D$217:$K$219,7,FALSE))</f>
        <v/>
      </c>
      <c r="L325" s="478" t="str">
        <f t="shared" si="21"/>
        <v/>
      </c>
      <c r="M325" s="478" t="str">
        <f t="shared" si="21"/>
        <v/>
      </c>
      <c r="N325" s="478" t="str">
        <f t="shared" si="21"/>
        <v/>
      </c>
      <c r="O325" s="441" t="str">
        <f t="shared" si="20"/>
        <v/>
      </c>
      <c r="P325" s="440"/>
    </row>
    <row r="326" spans="1:16" s="237" customFormat="1" ht="15" hidden="1" customHeight="1" outlineLevel="2" x14ac:dyDescent="0.25">
      <c r="A326" s="363"/>
      <c r="B326" s="1160"/>
      <c r="C326" s="1160"/>
      <c r="D326" s="1268"/>
      <c r="E326" s="1268"/>
      <c r="F326" s="438"/>
      <c r="G326" s="438"/>
      <c r="H326" s="1020" t="str">
        <f>IF(OR(D326="",D326="-"),"",VLOOKUP(D326,'Fatores de Emissão'!$D$217:$K$219,4,FALSE))</f>
        <v/>
      </c>
      <c r="I326" s="1111" t="str">
        <f>IF(OR(D326="",D326="-"),"",VLOOKUP(D326,'Fatores de Emissão'!$D$217:$K$219,3,FALSE))</f>
        <v/>
      </c>
      <c r="J326" s="1111" t="str">
        <f>IF(OR(D326="",D326="-"),"",VLOOKUP(D326,'Fatores de Emissão'!$D$217:$K$219,5,FALSE))</f>
        <v/>
      </c>
      <c r="K326" s="1111" t="str">
        <f>IF(OR(D326="",D326="-"),"",VLOOKUP(D326,'Fatores de Emissão'!$D$217:$K$219,7,FALSE))</f>
        <v/>
      </c>
      <c r="L326" s="478" t="str">
        <f t="shared" si="21"/>
        <v/>
      </c>
      <c r="M326" s="478" t="str">
        <f t="shared" si="21"/>
        <v/>
      </c>
      <c r="N326" s="478" t="str">
        <f t="shared" si="21"/>
        <v/>
      </c>
      <c r="O326" s="441" t="str">
        <f t="shared" si="20"/>
        <v/>
      </c>
      <c r="P326" s="440"/>
    </row>
    <row r="327" spans="1:16" s="237" customFormat="1" ht="15" hidden="1" customHeight="1" outlineLevel="2" x14ac:dyDescent="0.25">
      <c r="A327" s="363"/>
      <c r="B327" s="1160"/>
      <c r="C327" s="1160"/>
      <c r="D327" s="1268"/>
      <c r="E327" s="1268"/>
      <c r="F327" s="438"/>
      <c r="G327" s="438"/>
      <c r="H327" s="1020" t="str">
        <f>IF(OR(D327="",D327="-"),"",VLOOKUP(D327,'Fatores de Emissão'!$D$217:$K$219,4,FALSE))</f>
        <v/>
      </c>
      <c r="I327" s="1111" t="str">
        <f>IF(OR(D327="",D327="-"),"",VLOOKUP(D327,'Fatores de Emissão'!$D$217:$K$219,3,FALSE))</f>
        <v/>
      </c>
      <c r="J327" s="1111" t="str">
        <f>IF(OR(D327="",D327="-"),"",VLOOKUP(D327,'Fatores de Emissão'!$D$217:$K$219,5,FALSE))</f>
        <v/>
      </c>
      <c r="K327" s="1111" t="str">
        <f>IF(OR(D327="",D327="-"),"",VLOOKUP(D327,'Fatores de Emissão'!$D$217:$K$219,7,FALSE))</f>
        <v/>
      </c>
      <c r="L327" s="478" t="str">
        <f t="shared" si="21"/>
        <v/>
      </c>
      <c r="M327" s="478" t="str">
        <f t="shared" si="21"/>
        <v/>
      </c>
      <c r="N327" s="478" t="str">
        <f t="shared" si="21"/>
        <v/>
      </c>
      <c r="O327" s="441" t="str">
        <f t="shared" si="20"/>
        <v/>
      </c>
      <c r="P327" s="440"/>
    </row>
    <row r="328" spans="1:16" s="237" customFormat="1" ht="15" hidden="1" customHeight="1" outlineLevel="2" x14ac:dyDescent="0.25">
      <c r="A328" s="363"/>
      <c r="B328" s="1160"/>
      <c r="C328" s="1160"/>
      <c r="D328" s="1268"/>
      <c r="E328" s="1268"/>
      <c r="F328" s="438"/>
      <c r="G328" s="438"/>
      <c r="H328" s="1020" t="str">
        <f>IF(OR(D328="",D328="-"),"",VLOOKUP(D328,'Fatores de Emissão'!$D$217:$K$219,4,FALSE))</f>
        <v/>
      </c>
      <c r="I328" s="1111" t="str">
        <f>IF(OR(D328="",D328="-"),"",VLOOKUP(D328,'Fatores de Emissão'!$D$217:$K$219,3,FALSE))</f>
        <v/>
      </c>
      <c r="J328" s="1111" t="str">
        <f>IF(OR(D328="",D328="-"),"",VLOOKUP(D328,'Fatores de Emissão'!$D$217:$K$219,5,FALSE))</f>
        <v/>
      </c>
      <c r="K328" s="1111" t="str">
        <f>IF(OR(D328="",D328="-"),"",VLOOKUP(D328,'Fatores de Emissão'!$D$217:$K$219,7,FALSE))</f>
        <v/>
      </c>
      <c r="L328" s="478" t="str">
        <f t="shared" si="21"/>
        <v/>
      </c>
      <c r="M328" s="478" t="str">
        <f t="shared" si="21"/>
        <v/>
      </c>
      <c r="N328" s="478" t="str">
        <f t="shared" si="21"/>
        <v/>
      </c>
      <c r="O328" s="441" t="str">
        <f t="shared" si="20"/>
        <v/>
      </c>
      <c r="P328" s="440"/>
    </row>
    <row r="329" spans="1:16" s="237" customFormat="1" ht="15" hidden="1" customHeight="1" outlineLevel="2" x14ac:dyDescent="0.25">
      <c r="A329" s="363"/>
      <c r="B329" s="1160"/>
      <c r="C329" s="1160"/>
      <c r="D329" s="1268"/>
      <c r="E329" s="1268"/>
      <c r="F329" s="438"/>
      <c r="G329" s="438"/>
      <c r="H329" s="1020" t="str">
        <f>IF(OR(D329="",D329="-"),"",VLOOKUP(D329,'Fatores de Emissão'!$D$217:$K$219,4,FALSE))</f>
        <v/>
      </c>
      <c r="I329" s="1111" t="str">
        <f>IF(OR(D329="",D329="-"),"",VLOOKUP(D329,'Fatores de Emissão'!$D$217:$K$219,3,FALSE))</f>
        <v/>
      </c>
      <c r="J329" s="1111" t="str">
        <f>IF(OR(D329="",D329="-"),"",VLOOKUP(D329,'Fatores de Emissão'!$D$217:$K$219,5,FALSE))</f>
        <v/>
      </c>
      <c r="K329" s="1111" t="str">
        <f>IF(OR(D329="",D329="-"),"",VLOOKUP(D329,'Fatores de Emissão'!$D$217:$K$219,7,FALSE))</f>
        <v/>
      </c>
      <c r="L329" s="478" t="str">
        <f t="shared" si="21"/>
        <v/>
      </c>
      <c r="M329" s="478" t="str">
        <f t="shared" si="21"/>
        <v/>
      </c>
      <c r="N329" s="478" t="str">
        <f t="shared" si="21"/>
        <v/>
      </c>
      <c r="O329" s="441" t="str">
        <f t="shared" si="20"/>
        <v/>
      </c>
      <c r="P329" s="440"/>
    </row>
    <row r="330" spans="1:16" s="237" customFormat="1" ht="15" hidden="1" customHeight="1" outlineLevel="2" x14ac:dyDescent="0.25">
      <c r="A330" s="363"/>
      <c r="B330" s="1160"/>
      <c r="C330" s="1160"/>
      <c r="D330" s="1268"/>
      <c r="E330" s="1268"/>
      <c r="F330" s="438"/>
      <c r="G330" s="438"/>
      <c r="H330" s="1020" t="str">
        <f>IF(OR(D330="",D330="-"),"",VLOOKUP(D330,'Fatores de Emissão'!$D$217:$K$219,4,FALSE))</f>
        <v/>
      </c>
      <c r="I330" s="1111" t="str">
        <f>IF(OR(D330="",D330="-"),"",VLOOKUP(D330,'Fatores de Emissão'!$D$217:$K$219,3,FALSE))</f>
        <v/>
      </c>
      <c r="J330" s="1111" t="str">
        <f>IF(OR(D330="",D330="-"),"",VLOOKUP(D330,'Fatores de Emissão'!$D$217:$K$219,5,FALSE))</f>
        <v/>
      </c>
      <c r="K330" s="1111" t="str">
        <f>IF(OR(D330="",D330="-"),"",VLOOKUP(D330,'Fatores de Emissão'!$D$217:$K$219,7,FALSE))</f>
        <v/>
      </c>
      <c r="L330" s="478" t="str">
        <f t="shared" si="21"/>
        <v/>
      </c>
      <c r="M330" s="478" t="str">
        <f t="shared" si="21"/>
        <v/>
      </c>
      <c r="N330" s="478" t="str">
        <f t="shared" si="21"/>
        <v/>
      </c>
      <c r="O330" s="441" t="str">
        <f t="shared" si="20"/>
        <v/>
      </c>
      <c r="P330" s="440"/>
    </row>
    <row r="331" spans="1:16" s="237" customFormat="1" ht="15" hidden="1" customHeight="1" outlineLevel="2" x14ac:dyDescent="0.25">
      <c r="A331" s="363"/>
      <c r="B331" s="1160"/>
      <c r="C331" s="1160"/>
      <c r="D331" s="1268"/>
      <c r="E331" s="1268"/>
      <c r="F331" s="438"/>
      <c r="G331" s="438"/>
      <c r="H331" s="1020" t="str">
        <f>IF(OR(D331="",D331="-"),"",VLOOKUP(D331,'Fatores de Emissão'!$D$217:$K$219,4,FALSE))</f>
        <v/>
      </c>
      <c r="I331" s="1111" t="str">
        <f>IF(OR(D331="",D331="-"),"",VLOOKUP(D331,'Fatores de Emissão'!$D$217:$K$219,3,FALSE))</f>
        <v/>
      </c>
      <c r="J331" s="1111" t="str">
        <f>IF(OR(D331="",D331="-"),"",VLOOKUP(D331,'Fatores de Emissão'!$D$217:$K$219,5,FALSE))</f>
        <v/>
      </c>
      <c r="K331" s="1111" t="str">
        <f>IF(OR(D331="",D331="-"),"",VLOOKUP(D331,'Fatores de Emissão'!$D$217:$K$219,7,FALSE))</f>
        <v/>
      </c>
      <c r="L331" s="478" t="str">
        <f t="shared" si="21"/>
        <v/>
      </c>
      <c r="M331" s="478" t="str">
        <f t="shared" si="21"/>
        <v/>
      </c>
      <c r="N331" s="478" t="str">
        <f t="shared" si="21"/>
        <v/>
      </c>
      <c r="O331" s="441" t="str">
        <f t="shared" si="20"/>
        <v/>
      </c>
      <c r="P331" s="440"/>
    </row>
    <row r="332" spans="1:16" s="237" customFormat="1" ht="15" hidden="1" customHeight="1" outlineLevel="2" x14ac:dyDescent="0.25">
      <c r="A332" s="363"/>
      <c r="B332" s="1160"/>
      <c r="C332" s="1160"/>
      <c r="D332" s="1268"/>
      <c r="E332" s="1268"/>
      <c r="F332" s="438"/>
      <c r="G332" s="438"/>
      <c r="H332" s="1020" t="str">
        <f>IF(OR(D332="",D332="-"),"",VLOOKUP(D332,'Fatores de Emissão'!$D$217:$K$219,4,FALSE))</f>
        <v/>
      </c>
      <c r="I332" s="1111" t="str">
        <f>IF(OR(D332="",D332="-"),"",VLOOKUP(D332,'Fatores de Emissão'!$D$217:$K$219,3,FALSE))</f>
        <v/>
      </c>
      <c r="J332" s="1111" t="str">
        <f>IF(OR(D332="",D332="-"),"",VLOOKUP(D332,'Fatores de Emissão'!$D$217:$K$219,5,FALSE))</f>
        <v/>
      </c>
      <c r="K332" s="1111" t="str">
        <f>IF(OR(D332="",D332="-"),"",VLOOKUP(D332,'Fatores de Emissão'!$D$217:$K$219,7,FALSE))</f>
        <v/>
      </c>
      <c r="L332" s="478" t="str">
        <f t="shared" si="21"/>
        <v/>
      </c>
      <c r="M332" s="478" t="str">
        <f t="shared" si="21"/>
        <v/>
      </c>
      <c r="N332" s="478" t="str">
        <f t="shared" si="21"/>
        <v/>
      </c>
      <c r="O332" s="441" t="str">
        <f t="shared" si="20"/>
        <v/>
      </c>
      <c r="P332" s="440"/>
    </row>
    <row r="333" spans="1:16" s="237" customFormat="1" ht="15" hidden="1" customHeight="1" outlineLevel="2" x14ac:dyDescent="0.25">
      <c r="A333" s="363"/>
      <c r="B333" s="1160"/>
      <c r="C333" s="1160"/>
      <c r="D333" s="1268"/>
      <c r="E333" s="1268"/>
      <c r="F333" s="438"/>
      <c r="G333" s="438"/>
      <c r="H333" s="1020" t="str">
        <f>IF(OR(D333="",D333="-"),"",VLOOKUP(D333,'Fatores de Emissão'!$D$217:$K$219,4,FALSE))</f>
        <v/>
      </c>
      <c r="I333" s="1111" t="str">
        <f>IF(OR(D333="",D333="-"),"",VLOOKUP(D333,'Fatores de Emissão'!$D$217:$K$219,3,FALSE))</f>
        <v/>
      </c>
      <c r="J333" s="1111" t="str">
        <f>IF(OR(D333="",D333="-"),"",VLOOKUP(D333,'Fatores de Emissão'!$D$217:$K$219,5,FALSE))</f>
        <v/>
      </c>
      <c r="K333" s="1111" t="str">
        <f>IF(OR(D333="",D333="-"),"",VLOOKUP(D333,'Fatores de Emissão'!$D$217:$K$219,7,FALSE))</f>
        <v/>
      </c>
      <c r="L333" s="478" t="str">
        <f t="shared" si="21"/>
        <v/>
      </c>
      <c r="M333" s="478" t="str">
        <f t="shared" si="21"/>
        <v/>
      </c>
      <c r="N333" s="478" t="str">
        <f t="shared" si="21"/>
        <v/>
      </c>
      <c r="O333" s="441" t="str">
        <f t="shared" si="20"/>
        <v/>
      </c>
      <c r="P333" s="440"/>
    </row>
    <row r="334" spans="1:16" s="237" customFormat="1" ht="15" hidden="1" customHeight="1" outlineLevel="2" x14ac:dyDescent="0.25">
      <c r="A334" s="363"/>
      <c r="B334" s="1160"/>
      <c r="C334" s="1160"/>
      <c r="D334" s="1268"/>
      <c r="E334" s="1268"/>
      <c r="F334" s="438"/>
      <c r="G334" s="438"/>
      <c r="H334" s="1020" t="str">
        <f>IF(OR(D334="",D334="-"),"",VLOOKUP(D334,'Fatores de Emissão'!$D$217:$K$219,4,FALSE))</f>
        <v/>
      </c>
      <c r="I334" s="1111" t="str">
        <f>IF(OR(D334="",D334="-"),"",VLOOKUP(D334,'Fatores de Emissão'!$D$217:$K$219,3,FALSE))</f>
        <v/>
      </c>
      <c r="J334" s="1111" t="str">
        <f>IF(OR(D334="",D334="-"),"",VLOOKUP(D334,'Fatores de Emissão'!$D$217:$K$219,5,FALSE))</f>
        <v/>
      </c>
      <c r="K334" s="1111" t="str">
        <f>IF(OR(D334="",D334="-"),"",VLOOKUP(D334,'Fatores de Emissão'!$D$217:$K$219,7,FALSE))</f>
        <v/>
      </c>
      <c r="L334" s="478" t="str">
        <f t="shared" si="21"/>
        <v/>
      </c>
      <c r="M334" s="478" t="str">
        <f t="shared" si="21"/>
        <v/>
      </c>
      <c r="N334" s="478" t="str">
        <f t="shared" si="21"/>
        <v/>
      </c>
      <c r="O334" s="441" t="str">
        <f t="shared" si="20"/>
        <v/>
      </c>
      <c r="P334" s="440"/>
    </row>
    <row r="335" spans="1:16" s="237" customFormat="1" ht="15" hidden="1" customHeight="1" outlineLevel="2" x14ac:dyDescent="0.25">
      <c r="A335" s="363"/>
      <c r="B335" s="1160"/>
      <c r="C335" s="1160"/>
      <c r="D335" s="1268"/>
      <c r="E335" s="1268"/>
      <c r="F335" s="438"/>
      <c r="G335" s="438"/>
      <c r="H335" s="1020" t="str">
        <f>IF(OR(D335="",D335="-"),"",VLOOKUP(D335,'Fatores de Emissão'!$D$217:$K$219,4,FALSE))</f>
        <v/>
      </c>
      <c r="I335" s="1111" t="str">
        <f>IF(OR(D335="",D335="-"),"",VLOOKUP(D335,'Fatores de Emissão'!$D$217:$K$219,3,FALSE))</f>
        <v/>
      </c>
      <c r="J335" s="1111" t="str">
        <f>IF(OR(D335="",D335="-"),"",VLOOKUP(D335,'Fatores de Emissão'!$D$217:$K$219,5,FALSE))</f>
        <v/>
      </c>
      <c r="K335" s="1111" t="str">
        <f>IF(OR(D335="",D335="-"),"",VLOOKUP(D335,'Fatores de Emissão'!$D$217:$K$219,7,FALSE))</f>
        <v/>
      </c>
      <c r="L335" s="478" t="str">
        <f t="shared" si="21"/>
        <v/>
      </c>
      <c r="M335" s="478" t="str">
        <f t="shared" si="21"/>
        <v/>
      </c>
      <c r="N335" s="478" t="str">
        <f t="shared" si="21"/>
        <v/>
      </c>
      <c r="O335" s="441" t="str">
        <f t="shared" si="20"/>
        <v/>
      </c>
      <c r="P335" s="440"/>
    </row>
    <row r="336" spans="1:16" s="237" customFormat="1" ht="15" hidden="1" customHeight="1" outlineLevel="2" x14ac:dyDescent="0.25">
      <c r="A336" s="363"/>
      <c r="B336" s="1160"/>
      <c r="C336" s="1160"/>
      <c r="D336" s="1268"/>
      <c r="E336" s="1268"/>
      <c r="F336" s="438"/>
      <c r="G336" s="438"/>
      <c r="H336" s="1020" t="str">
        <f>IF(OR(D336="",D336="-"),"",VLOOKUP(D336,'Fatores de Emissão'!$D$217:$K$219,4,FALSE))</f>
        <v/>
      </c>
      <c r="I336" s="1111" t="str">
        <f>IF(OR(D336="",D336="-"),"",VLOOKUP(D336,'Fatores de Emissão'!$D$217:$K$219,3,FALSE))</f>
        <v/>
      </c>
      <c r="J336" s="1111" t="str">
        <f>IF(OR(D336="",D336="-"),"",VLOOKUP(D336,'Fatores de Emissão'!$D$217:$K$219,5,FALSE))</f>
        <v/>
      </c>
      <c r="K336" s="1111" t="str">
        <f>IF(OR(D336="",D336="-"),"",VLOOKUP(D336,'Fatores de Emissão'!$D$217:$K$219,7,FALSE))</f>
        <v/>
      </c>
      <c r="L336" s="478" t="str">
        <f t="shared" si="21"/>
        <v/>
      </c>
      <c r="M336" s="478" t="str">
        <f t="shared" si="21"/>
        <v/>
      </c>
      <c r="N336" s="478" t="str">
        <f t="shared" si="21"/>
        <v/>
      </c>
      <c r="O336" s="441" t="str">
        <f t="shared" si="20"/>
        <v/>
      </c>
      <c r="P336" s="440"/>
    </row>
    <row r="337" spans="1:58" s="237" customFormat="1" ht="15" hidden="1" customHeight="1" outlineLevel="2" x14ac:dyDescent="0.25">
      <c r="A337" s="363"/>
      <c r="B337" s="1160"/>
      <c r="C337" s="1160"/>
      <c r="D337" s="1268"/>
      <c r="E337" s="1268"/>
      <c r="F337" s="438"/>
      <c r="G337" s="438"/>
      <c r="H337" s="1020" t="str">
        <f>IF(OR(D337="",D337="-"),"",VLOOKUP(D337,'Fatores de Emissão'!$D$217:$K$219,4,FALSE))</f>
        <v/>
      </c>
      <c r="I337" s="1111" t="str">
        <f>IF(OR(D337="",D337="-"),"",VLOOKUP(D337,'Fatores de Emissão'!$D$217:$K$219,3,FALSE))</f>
        <v/>
      </c>
      <c r="J337" s="1111" t="str">
        <f>IF(OR(D337="",D337="-"),"",VLOOKUP(D337,'Fatores de Emissão'!$D$217:$K$219,5,FALSE))</f>
        <v/>
      </c>
      <c r="K337" s="1111" t="str">
        <f>IF(OR(D337="",D337="-"),"",VLOOKUP(D337,'Fatores de Emissão'!$D$217:$K$219,7,FALSE))</f>
        <v/>
      </c>
      <c r="L337" s="478" t="str">
        <f>IF($D337="","",$F337*1.08*$G337*I337/1000)</f>
        <v/>
      </c>
      <c r="M337" s="478" t="str">
        <f>IF($D337="","",$F337*1.08*$G337*J337/1000)</f>
        <v/>
      </c>
      <c r="N337" s="478" t="str">
        <f>IF($D337="","",$F337*1.08*$G337*K337/1000)</f>
        <v/>
      </c>
      <c r="O337" s="441" t="str">
        <f t="shared" si="20"/>
        <v/>
      </c>
      <c r="P337" s="440"/>
    </row>
    <row r="338" spans="1:58" s="237" customFormat="1" ht="15" hidden="1" customHeight="1" outlineLevel="2" x14ac:dyDescent="0.25">
      <c r="A338" s="363"/>
      <c r="B338" s="1160"/>
      <c r="C338" s="1160"/>
      <c r="D338" s="1268"/>
      <c r="E338" s="1268"/>
      <c r="F338" s="438"/>
      <c r="G338" s="438"/>
      <c r="H338" s="1020" t="str">
        <f>IF(OR(D338="",D338="-"),"",VLOOKUP(D338,'Fatores de Emissão'!$D$217:$K$219,4,FALSE))</f>
        <v/>
      </c>
      <c r="I338" s="1111" t="str">
        <f>IF(OR(D338="",D338="-"),"",VLOOKUP(D338,'Fatores de Emissão'!$D$217:$K$219,3,FALSE))</f>
        <v/>
      </c>
      <c r="J338" s="1111" t="str">
        <f>IF(OR(D338="",D338="-"),"",VLOOKUP(D338,'Fatores de Emissão'!$D$217:$K$219,5,FALSE))</f>
        <v/>
      </c>
      <c r="K338" s="1111" t="str">
        <f>IF(OR(D338="",D338="-"),"",VLOOKUP(D338,'Fatores de Emissão'!$D$217:$K$219,7,FALSE))</f>
        <v/>
      </c>
      <c r="L338" s="478" t="str">
        <f t="shared" ref="L338:N341" si="22">IF($D338="","",$F338*1.08*$G338*I338/1000)</f>
        <v/>
      </c>
      <c r="M338" s="478" t="str">
        <f t="shared" si="22"/>
        <v/>
      </c>
      <c r="N338" s="478" t="str">
        <f t="shared" si="22"/>
        <v/>
      </c>
      <c r="O338" s="441" t="str">
        <f t="shared" si="20"/>
        <v/>
      </c>
      <c r="P338" s="440"/>
    </row>
    <row r="339" spans="1:58" s="237" customFormat="1" ht="15" hidden="1" customHeight="1" outlineLevel="2" x14ac:dyDescent="0.25">
      <c r="A339" s="363"/>
      <c r="B339" s="1160"/>
      <c r="C339" s="1160"/>
      <c r="D339" s="1268"/>
      <c r="E339" s="1268"/>
      <c r="F339" s="438"/>
      <c r="G339" s="438"/>
      <c r="H339" s="1020" t="str">
        <f>IF(OR(D339="",D339="-"),"",VLOOKUP(D339,'Fatores de Emissão'!$D$217:$K$219,4,FALSE))</f>
        <v/>
      </c>
      <c r="I339" s="1111" t="str">
        <f>IF(OR(D339="",D339="-"),"",VLOOKUP(D339,'Fatores de Emissão'!$D$217:$K$219,3,FALSE))</f>
        <v/>
      </c>
      <c r="J339" s="1111" t="str">
        <f>IF(OR(D339="",D339="-"),"",VLOOKUP(D339,'Fatores de Emissão'!$D$217:$K$219,5,FALSE))</f>
        <v/>
      </c>
      <c r="K339" s="1111" t="str">
        <f>IF(OR(D339="",D339="-"),"",VLOOKUP(D339,'Fatores de Emissão'!$D$217:$K$219,7,FALSE))</f>
        <v/>
      </c>
      <c r="L339" s="478" t="str">
        <f t="shared" si="22"/>
        <v/>
      </c>
      <c r="M339" s="478" t="str">
        <f t="shared" si="22"/>
        <v/>
      </c>
      <c r="N339" s="478" t="str">
        <f t="shared" si="22"/>
        <v/>
      </c>
      <c r="O339" s="441" t="str">
        <f t="shared" si="20"/>
        <v/>
      </c>
      <c r="P339" s="440"/>
    </row>
    <row r="340" spans="1:58" s="237" customFormat="1" ht="15" hidden="1" customHeight="1" outlineLevel="2" x14ac:dyDescent="0.25">
      <c r="A340" s="363"/>
      <c r="B340" s="1160"/>
      <c r="C340" s="1160"/>
      <c r="D340" s="1268"/>
      <c r="E340" s="1268"/>
      <c r="F340" s="438"/>
      <c r="G340" s="438"/>
      <c r="H340" s="1020" t="str">
        <f>IF(OR(D340="",D340="-"),"",VLOOKUP(D340,'Fatores de Emissão'!$D$217:$K$219,4,FALSE))</f>
        <v/>
      </c>
      <c r="I340" s="1111" t="str">
        <f>IF(OR(D340="",D340="-"),"",VLOOKUP(D340,'Fatores de Emissão'!$D$217:$K$219,3,FALSE))</f>
        <v/>
      </c>
      <c r="J340" s="1111" t="str">
        <f>IF(OR(D340="",D340="-"),"",VLOOKUP(D340,'Fatores de Emissão'!$D$217:$K$219,5,FALSE))</f>
        <v/>
      </c>
      <c r="K340" s="1111" t="str">
        <f>IF(OR(D340="",D340="-"),"",VLOOKUP(D340,'Fatores de Emissão'!$D$217:$K$219,7,FALSE))</f>
        <v/>
      </c>
      <c r="L340" s="478" t="str">
        <f t="shared" si="22"/>
        <v/>
      </c>
      <c r="M340" s="478" t="str">
        <f t="shared" si="22"/>
        <v/>
      </c>
      <c r="N340" s="478" t="str">
        <f t="shared" si="22"/>
        <v/>
      </c>
      <c r="O340" s="441" t="str">
        <f t="shared" si="20"/>
        <v/>
      </c>
      <c r="P340" s="440"/>
    </row>
    <row r="341" spans="1:58" s="237" customFormat="1" ht="15" hidden="1" customHeight="1" outlineLevel="2" x14ac:dyDescent="0.25">
      <c r="A341" s="363"/>
      <c r="B341" s="1160"/>
      <c r="C341" s="1160"/>
      <c r="D341" s="1268"/>
      <c r="E341" s="1268"/>
      <c r="F341" s="438"/>
      <c r="G341" s="438"/>
      <c r="H341" s="1020" t="str">
        <f>IF(OR(D341="",D341="-"),"",VLOOKUP(D341,'Fatores de Emissão'!$D$217:$K$219,4,FALSE))</f>
        <v/>
      </c>
      <c r="I341" s="1111" t="str">
        <f>IF(OR(D341="",D341="-"),"",VLOOKUP(D341,'Fatores de Emissão'!$D$217:$K$219,3,FALSE))</f>
        <v/>
      </c>
      <c r="J341" s="1111" t="str">
        <f>IF(OR(D341="",D341="-"),"",VLOOKUP(D341,'Fatores de Emissão'!$D$217:$K$219,5,FALSE))</f>
        <v/>
      </c>
      <c r="K341" s="1111" t="str">
        <f>IF(OR(D341="",D341="-"),"",VLOOKUP(D341,'Fatores de Emissão'!$D$217:$K$219,7,FALSE))</f>
        <v/>
      </c>
      <c r="L341" s="478" t="str">
        <f t="shared" si="22"/>
        <v/>
      </c>
      <c r="M341" s="478" t="str">
        <f t="shared" si="22"/>
        <v/>
      </c>
      <c r="N341" s="478" t="str">
        <f t="shared" si="22"/>
        <v/>
      </c>
      <c r="O341" s="441" t="str">
        <f t="shared" si="20"/>
        <v/>
      </c>
      <c r="P341" s="440"/>
    </row>
    <row r="342" spans="1:58" s="237" customFormat="1" ht="15" customHeight="1" outlineLevel="1" x14ac:dyDescent="0.25">
      <c r="A342" s="363"/>
      <c r="B342" s="363"/>
      <c r="C342" s="363"/>
      <c r="D342" s="363"/>
      <c r="E342" s="363"/>
      <c r="F342" s="363"/>
      <c r="G342" s="363"/>
      <c r="H342" s="363"/>
      <c r="I342" s="1278" t="s">
        <v>78</v>
      </c>
      <c r="J342" s="1279"/>
      <c r="K342" s="1280"/>
      <c r="L342" s="443">
        <f>SUM(L292:L341)</f>
        <v>0</v>
      </c>
      <c r="M342" s="443">
        <f>SUM(M292:M341)</f>
        <v>0</v>
      </c>
      <c r="N342" s="443">
        <f>SUM(N292:N341)</f>
        <v>0</v>
      </c>
      <c r="O342" s="443">
        <f>SUM(O292:O341)</f>
        <v>0</v>
      </c>
      <c r="P342" s="443">
        <f>SUM(P292:P341)</f>
        <v>0</v>
      </c>
    </row>
    <row r="343" spans="1:58" s="237" customFormat="1" ht="15" customHeight="1" x14ac:dyDescent="0.25">
      <c r="A343" s="363"/>
      <c r="B343" s="373"/>
      <c r="C343" s="373"/>
      <c r="D343" s="442"/>
      <c r="E343" s="442"/>
      <c r="F343" s="373"/>
      <c r="G343" s="373"/>
      <c r="H343" s="373"/>
      <c r="I343" s="373"/>
      <c r="J343" s="373"/>
      <c r="K343" s="373"/>
      <c r="L343" s="373"/>
      <c r="M343" s="373"/>
      <c r="N343" s="373"/>
      <c r="O343" s="373"/>
      <c r="P343" s="373"/>
      <c r="Q343" s="373"/>
      <c r="R343" s="373"/>
      <c r="S343" s="373"/>
      <c r="T343" s="373"/>
      <c r="U343" s="373"/>
      <c r="V343" s="363"/>
      <c r="W343" s="373"/>
      <c r="X343" s="373"/>
      <c r="Z343" s="373"/>
      <c r="AA343" s="373"/>
      <c r="AB343" s="373"/>
    </row>
    <row r="344" spans="1:58" s="463" customFormat="1" ht="18" customHeight="1" x14ac:dyDescent="0.3">
      <c r="A344" s="972"/>
      <c r="B344" s="973" t="s">
        <v>2157</v>
      </c>
      <c r="C344" s="974"/>
      <c r="D344" s="974"/>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c r="AL344" s="974"/>
      <c r="AM344" s="974"/>
      <c r="AN344" s="974"/>
      <c r="AO344" s="974"/>
      <c r="AP344" s="974"/>
      <c r="AQ344" s="974"/>
      <c r="AR344" s="974"/>
      <c r="AS344" s="974"/>
      <c r="AT344" s="974"/>
      <c r="AU344" s="974"/>
      <c r="AV344" s="974"/>
      <c r="AW344" s="974"/>
      <c r="AX344" s="974"/>
      <c r="AY344" s="974"/>
      <c r="AZ344" s="974"/>
      <c r="BA344" s="974"/>
      <c r="BB344" s="974"/>
      <c r="BC344" s="974"/>
      <c r="BD344" s="974"/>
      <c r="BE344" s="974"/>
      <c r="BF344" s="975"/>
    </row>
    <row r="345" spans="1:58" ht="15.75" customHeight="1" x14ac:dyDescent="0.2">
      <c r="A345" s="339"/>
      <c r="B345" s="339"/>
      <c r="C345" s="339"/>
      <c r="D345" s="339"/>
      <c r="E345" s="339"/>
      <c r="F345" s="339"/>
      <c r="G345" s="339"/>
      <c r="H345" s="339"/>
      <c r="I345" s="339"/>
      <c r="J345" s="339"/>
      <c r="K345" s="339"/>
      <c r="L345" s="339"/>
      <c r="M345" s="339"/>
      <c r="N345" s="339"/>
      <c r="O345" s="339"/>
      <c r="P345" s="339"/>
      <c r="Q345" s="339"/>
      <c r="R345" s="339"/>
      <c r="S345" s="339"/>
      <c r="T345" s="339"/>
      <c r="U345" s="339"/>
      <c r="V345" s="339"/>
      <c r="W345" s="339"/>
      <c r="X345" s="339"/>
      <c r="Y345" s="339"/>
      <c r="Z345" s="339"/>
      <c r="AA345" s="339"/>
      <c r="AB345" s="339"/>
    </row>
    <row r="346" spans="1:58" ht="15" x14ac:dyDescent="0.25">
      <c r="A346" s="339"/>
      <c r="B346" s="362" t="s">
        <v>2156</v>
      </c>
      <c r="C346" s="338"/>
      <c r="D346" s="338"/>
      <c r="E346" s="339"/>
      <c r="F346" s="339"/>
      <c r="G346" s="339"/>
      <c r="H346" s="339"/>
      <c r="I346" s="339"/>
      <c r="J346" s="339"/>
      <c r="K346" s="339"/>
      <c r="L346" s="339"/>
      <c r="M346" s="339"/>
      <c r="N346" s="339"/>
      <c r="O346" s="339"/>
      <c r="P346" s="339"/>
      <c r="Q346" s="339"/>
      <c r="R346" s="339"/>
      <c r="S346" s="339"/>
      <c r="T346" s="339"/>
      <c r="U346" s="339"/>
      <c r="V346" s="339"/>
      <c r="W346" s="339"/>
      <c r="X346" s="339"/>
      <c r="Y346" s="339"/>
      <c r="Z346" s="339"/>
      <c r="AA346" s="339"/>
      <c r="AB346" s="339"/>
    </row>
    <row r="347" spans="1:58" ht="5.0999999999999996" customHeight="1" thickBot="1" x14ac:dyDescent="0.25">
      <c r="A347" s="339"/>
      <c r="B347" s="339"/>
      <c r="C347" s="339"/>
      <c r="D347" s="339"/>
      <c r="E347" s="339"/>
      <c r="F347" s="339"/>
      <c r="G347" s="339"/>
      <c r="H347" s="339"/>
      <c r="I347" s="339"/>
      <c r="J347" s="339"/>
      <c r="K347" s="339"/>
      <c r="L347" s="339"/>
      <c r="M347" s="339"/>
      <c r="N347" s="339"/>
      <c r="O347" s="339"/>
      <c r="P347" s="339"/>
      <c r="Q347" s="339"/>
      <c r="R347" s="339"/>
      <c r="S347" s="339"/>
      <c r="T347" s="339"/>
      <c r="U347" s="339"/>
      <c r="V347" s="339"/>
      <c r="W347" s="339"/>
      <c r="X347" s="339"/>
      <c r="Y347" s="339"/>
      <c r="Z347" s="339"/>
      <c r="AA347" s="339"/>
      <c r="AB347" s="339"/>
    </row>
    <row r="348" spans="1:58" s="212" customFormat="1" ht="30" customHeight="1" thickBot="1" x14ac:dyDescent="0.3">
      <c r="A348" s="909"/>
      <c r="B348" s="963" t="s">
        <v>1407</v>
      </c>
      <c r="C348" s="977"/>
      <c r="D348" s="977"/>
      <c r="E348" s="977"/>
      <c r="F348" s="978">
        <f>SUM(total_TeD_up_rod_opcao2_CO2e,total_TeD_up_rod_opcao3_CO2e,total_TeD_up_ferro_CO2e,total_TeD_up_hidro_CO2e,total_TeD_up_aero_CO2e)</f>
        <v>0</v>
      </c>
      <c r="G348" s="979"/>
      <c r="H348" s="909"/>
      <c r="I348" s="909"/>
      <c r="J348" s="909"/>
      <c r="K348" s="909"/>
      <c r="L348" s="909"/>
      <c r="M348" s="909"/>
      <c r="N348" s="909"/>
      <c r="O348" s="909"/>
      <c r="P348" s="909"/>
      <c r="Q348" s="909"/>
      <c r="R348" s="909"/>
      <c r="S348" s="909"/>
      <c r="T348" s="909"/>
      <c r="U348" s="909"/>
      <c r="V348" s="909"/>
      <c r="W348" s="909"/>
      <c r="X348" s="909"/>
      <c r="Y348" s="909"/>
      <c r="Z348" s="909"/>
      <c r="AA348" s="909"/>
      <c r="AB348" s="909"/>
    </row>
    <row r="349" spans="1:58" s="212" customFormat="1" ht="5.0999999999999996" customHeight="1" thickBot="1" x14ac:dyDescent="0.3">
      <c r="A349" s="909"/>
      <c r="B349" s="909"/>
      <c r="C349" s="909"/>
      <c r="D349" s="909"/>
      <c r="E349" s="909"/>
      <c r="F349" s="909"/>
      <c r="G349" s="909"/>
      <c r="H349" s="909"/>
      <c r="I349" s="909"/>
      <c r="J349" s="909"/>
      <c r="K349" s="909"/>
      <c r="L349" s="909"/>
      <c r="M349" s="909"/>
      <c r="N349" s="909"/>
      <c r="O349" s="909"/>
      <c r="P349" s="909"/>
      <c r="Q349" s="909"/>
      <c r="R349" s="909"/>
      <c r="S349" s="909"/>
      <c r="T349" s="909"/>
      <c r="U349" s="909"/>
      <c r="V349" s="909"/>
      <c r="W349" s="909"/>
      <c r="X349" s="909"/>
      <c r="Y349" s="909"/>
      <c r="Z349" s="909"/>
      <c r="AA349" s="909"/>
      <c r="AB349" s="909"/>
    </row>
    <row r="350" spans="1:58" s="212" customFormat="1" ht="30" customHeight="1" thickBot="1" x14ac:dyDescent="0.3">
      <c r="A350" s="909"/>
      <c r="B350" s="410" t="s">
        <v>1504</v>
      </c>
      <c r="C350" s="944"/>
      <c r="D350" s="944"/>
      <c r="E350" s="944"/>
      <c r="F350" s="490">
        <f>SUM(total_TeD_up_rod_opcao2_CO2bio,total_TeD_up_rod_opcao3_CO2bio,total_TeD_up_ferro_CO2bio, total_TeD_up_hidro_CO2bio, total_TeD_up_aero_CO2bio)</f>
        <v>0</v>
      </c>
      <c r="G350" s="979"/>
      <c r="H350" s="909"/>
      <c r="I350" s="909"/>
      <c r="J350" s="909"/>
      <c r="K350" s="909"/>
      <c r="L350" s="909"/>
      <c r="M350" s="909"/>
      <c r="N350" s="909"/>
      <c r="O350" s="909"/>
      <c r="P350" s="909"/>
      <c r="Q350" s="909"/>
      <c r="R350" s="909"/>
      <c r="S350" s="909"/>
      <c r="T350" s="909"/>
      <c r="U350" s="909"/>
      <c r="V350" s="909"/>
      <c r="W350" s="909"/>
      <c r="X350" s="909"/>
      <c r="Y350" s="909"/>
      <c r="Z350" s="909"/>
      <c r="AA350" s="909"/>
      <c r="AB350" s="909"/>
    </row>
    <row r="351" spans="1:58" ht="15" customHeight="1" x14ac:dyDescent="0.2">
      <c r="A351" s="339"/>
      <c r="B351" s="339"/>
      <c r="C351" s="339"/>
      <c r="D351" s="339"/>
      <c r="E351" s="339"/>
      <c r="F351" s="339"/>
      <c r="G351" s="339"/>
      <c r="H351" s="339"/>
      <c r="I351" s="339"/>
      <c r="J351" s="339"/>
      <c r="K351" s="339"/>
      <c r="L351" s="339"/>
      <c r="M351" s="339"/>
      <c r="N351" s="339"/>
      <c r="O351" s="339"/>
      <c r="P351" s="339"/>
      <c r="Q351" s="339"/>
      <c r="R351" s="339"/>
      <c r="S351" s="339"/>
      <c r="T351" s="339"/>
      <c r="U351" s="339"/>
      <c r="V351" s="339"/>
      <c r="W351" s="339"/>
      <c r="X351" s="339"/>
      <c r="Y351" s="339"/>
      <c r="Z351" s="339"/>
      <c r="AA351" s="339"/>
      <c r="AB351" s="339"/>
    </row>
    <row r="352" spans="1:58" s="237" customFormat="1" ht="15" customHeight="1" x14ac:dyDescent="0.25">
      <c r="A352" s="363"/>
      <c r="B352" s="362" t="s">
        <v>97</v>
      </c>
      <c r="C352" s="363"/>
      <c r="D352" s="363"/>
      <c r="E352" s="363"/>
      <c r="F352" s="363"/>
      <c r="G352" s="363"/>
      <c r="H352" s="363"/>
      <c r="I352" s="363"/>
      <c r="J352" s="363"/>
      <c r="K352" s="363"/>
      <c r="L352" s="363"/>
      <c r="M352" s="363"/>
      <c r="N352" s="363"/>
      <c r="O352" s="363"/>
      <c r="P352" s="363"/>
      <c r="Q352" s="363"/>
      <c r="R352" s="363"/>
      <c r="S352" s="363"/>
      <c r="T352" s="363"/>
      <c r="U352" s="363"/>
      <c r="V352" s="363"/>
      <c r="W352" s="363"/>
      <c r="X352" s="363"/>
      <c r="Y352" s="363"/>
      <c r="Z352" s="363"/>
      <c r="AA352" s="363"/>
      <c r="AB352" s="363"/>
    </row>
    <row r="353" spans="1:28" s="237" customFormat="1" ht="15" customHeight="1" x14ac:dyDescent="0.35">
      <c r="A353" s="363"/>
      <c r="B353" s="491" t="s">
        <v>1528</v>
      </c>
      <c r="C353" s="363"/>
      <c r="D353" s="363"/>
      <c r="E353" s="363"/>
      <c r="F353" s="363"/>
      <c r="G353" s="363"/>
      <c r="H353" s="363"/>
      <c r="I353" s="363"/>
      <c r="J353" s="363"/>
      <c r="K353" s="363"/>
      <c r="L353" s="363"/>
      <c r="M353" s="363"/>
      <c r="N353" s="363"/>
      <c r="O353" s="363"/>
      <c r="P353" s="363"/>
      <c r="Q353" s="363"/>
      <c r="R353" s="363"/>
      <c r="S353" s="363"/>
      <c r="T353" s="363"/>
      <c r="U353" s="363"/>
      <c r="V353" s="363"/>
      <c r="W353" s="363"/>
      <c r="X353" s="363"/>
      <c r="Y353" s="363"/>
      <c r="Z353" s="363"/>
      <c r="AA353" s="363"/>
      <c r="AB353" s="363"/>
    </row>
    <row r="354" spans="1:28" ht="15" customHeight="1" x14ac:dyDescent="0.2">
      <c r="E354" s="420"/>
    </row>
    <row r="355" spans="1:28" ht="15" customHeight="1" x14ac:dyDescent="0.2"/>
    <row r="356" spans="1:28" ht="15" customHeight="1" x14ac:dyDescent="0.2"/>
    <row r="357" spans="1:28" ht="15" customHeight="1" x14ac:dyDescent="0.2"/>
    <row r="358" spans="1:28" ht="15" customHeight="1" x14ac:dyDescent="0.2"/>
    <row r="359" spans="1:28" ht="15" customHeight="1" x14ac:dyDescent="0.2"/>
    <row r="360" spans="1:28" ht="15" customHeight="1" x14ac:dyDescent="0.2"/>
    <row r="361" spans="1:28" ht="15" customHeight="1" x14ac:dyDescent="0.2"/>
    <row r="362" spans="1:28" ht="15" customHeight="1" x14ac:dyDescent="0.2"/>
    <row r="363" spans="1:28" ht="15" customHeight="1" x14ac:dyDescent="0.2"/>
    <row r="364" spans="1:28" ht="15" customHeight="1" x14ac:dyDescent="0.2"/>
    <row r="365" spans="1:28" ht="15" customHeight="1" x14ac:dyDescent="0.2"/>
    <row r="366" spans="1:28" ht="15" customHeight="1" x14ac:dyDescent="0.2"/>
    <row r="367" spans="1:28" ht="15" customHeight="1" x14ac:dyDescent="0.2"/>
    <row r="368" spans="1:2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sheetData>
  <dataConsolidate/>
  <mergeCells count="273">
    <mergeCell ref="M40:M42"/>
    <mergeCell ref="N40:N42"/>
    <mergeCell ref="O40:O42"/>
    <mergeCell ref="P7:Q7"/>
    <mergeCell ref="D13:F13"/>
    <mergeCell ref="B15:K17"/>
    <mergeCell ref="B21:K21"/>
    <mergeCell ref="B30:J31"/>
    <mergeCell ref="B40:B42"/>
    <mergeCell ref="C40:C42"/>
    <mergeCell ref="D40:E42"/>
    <mergeCell ref="F40:F42"/>
    <mergeCell ref="G40:G42"/>
    <mergeCell ref="D43:E43"/>
    <mergeCell ref="D44:E44"/>
    <mergeCell ref="D45:E45"/>
    <mergeCell ref="D46:E46"/>
    <mergeCell ref="D47:E47"/>
    <mergeCell ref="D48:E48"/>
    <mergeCell ref="H40:J41"/>
    <mergeCell ref="K40:K42"/>
    <mergeCell ref="L40:L42"/>
    <mergeCell ref="D55:E55"/>
    <mergeCell ref="D56:E56"/>
    <mergeCell ref="D57:E57"/>
    <mergeCell ref="D58:E58"/>
    <mergeCell ref="D59:E59"/>
    <mergeCell ref="D60:E60"/>
    <mergeCell ref="D49:E49"/>
    <mergeCell ref="D50:E50"/>
    <mergeCell ref="D51:E51"/>
    <mergeCell ref="D52:E52"/>
    <mergeCell ref="D53:E53"/>
    <mergeCell ref="D54:E54"/>
    <mergeCell ref="D67:E67"/>
    <mergeCell ref="D68:E68"/>
    <mergeCell ref="D69:E69"/>
    <mergeCell ref="D70:E70"/>
    <mergeCell ref="D71:E71"/>
    <mergeCell ref="D72:E72"/>
    <mergeCell ref="D61:E61"/>
    <mergeCell ref="D62:E62"/>
    <mergeCell ref="D63:E63"/>
    <mergeCell ref="D64:E64"/>
    <mergeCell ref="D65:E65"/>
    <mergeCell ref="D66:E66"/>
    <mergeCell ref="D79:E79"/>
    <mergeCell ref="D80:E80"/>
    <mergeCell ref="D81:E81"/>
    <mergeCell ref="D82:E82"/>
    <mergeCell ref="D83:E83"/>
    <mergeCell ref="D84:E84"/>
    <mergeCell ref="D73:E73"/>
    <mergeCell ref="D74:E74"/>
    <mergeCell ref="D75:E75"/>
    <mergeCell ref="D76:E76"/>
    <mergeCell ref="D77:E77"/>
    <mergeCell ref="D78:E78"/>
    <mergeCell ref="B99:B101"/>
    <mergeCell ref="C99:C101"/>
    <mergeCell ref="D99:D101"/>
    <mergeCell ref="E99:E101"/>
    <mergeCell ref="F99:F101"/>
    <mergeCell ref="G99:G101"/>
    <mergeCell ref="D85:E85"/>
    <mergeCell ref="D86:E86"/>
    <mergeCell ref="D87:E87"/>
    <mergeCell ref="D88:E88"/>
    <mergeCell ref="D89:E89"/>
    <mergeCell ref="D90:E90"/>
    <mergeCell ref="H99:J100"/>
    <mergeCell ref="K99:K101"/>
    <mergeCell ref="L99:L101"/>
    <mergeCell ref="M99:M101"/>
    <mergeCell ref="N99:N101"/>
    <mergeCell ref="O99:O101"/>
    <mergeCell ref="D91:E91"/>
    <mergeCell ref="D92:E92"/>
    <mergeCell ref="D93:E93"/>
    <mergeCell ref="H94:J94"/>
    <mergeCell ref="O162:O164"/>
    <mergeCell ref="P162:P164"/>
    <mergeCell ref="D165:E165"/>
    <mergeCell ref="I153:J153"/>
    <mergeCell ref="B162:B164"/>
    <mergeCell ref="C162:C164"/>
    <mergeCell ref="D162:E164"/>
    <mergeCell ref="F162:F164"/>
    <mergeCell ref="G162:G164"/>
    <mergeCell ref="H162:H164"/>
    <mergeCell ref="I162:K163"/>
    <mergeCell ref="D166:E166"/>
    <mergeCell ref="D167:E167"/>
    <mergeCell ref="D168:E168"/>
    <mergeCell ref="D169:E169"/>
    <mergeCell ref="D170:E170"/>
    <mergeCell ref="D171:E171"/>
    <mergeCell ref="L162:L164"/>
    <mergeCell ref="M162:M164"/>
    <mergeCell ref="N162:N164"/>
    <mergeCell ref="D178:E178"/>
    <mergeCell ref="D179:E179"/>
    <mergeCell ref="D180:E180"/>
    <mergeCell ref="D181:E181"/>
    <mergeCell ref="D182:E182"/>
    <mergeCell ref="D183:E183"/>
    <mergeCell ref="D172:E172"/>
    <mergeCell ref="D173:E173"/>
    <mergeCell ref="D174:E174"/>
    <mergeCell ref="D175:E175"/>
    <mergeCell ref="D176:E176"/>
    <mergeCell ref="D177:E177"/>
    <mergeCell ref="D190:E190"/>
    <mergeCell ref="D191:E191"/>
    <mergeCell ref="D192:E192"/>
    <mergeCell ref="D193:E193"/>
    <mergeCell ref="D194:E194"/>
    <mergeCell ref="D195:E195"/>
    <mergeCell ref="D184:E184"/>
    <mergeCell ref="D185:E185"/>
    <mergeCell ref="D186:E186"/>
    <mergeCell ref="D187:E187"/>
    <mergeCell ref="D188:E188"/>
    <mergeCell ref="D189:E189"/>
    <mergeCell ref="D202:E202"/>
    <mergeCell ref="D203:E203"/>
    <mergeCell ref="D204:E204"/>
    <mergeCell ref="D205:E205"/>
    <mergeCell ref="D206:E206"/>
    <mergeCell ref="D207:E207"/>
    <mergeCell ref="D196:E196"/>
    <mergeCell ref="D197:E197"/>
    <mergeCell ref="D198:E198"/>
    <mergeCell ref="D199:E199"/>
    <mergeCell ref="D200:E200"/>
    <mergeCell ref="D201:E201"/>
    <mergeCell ref="B225:B227"/>
    <mergeCell ref="C225:C227"/>
    <mergeCell ref="D225:E227"/>
    <mergeCell ref="F225:F227"/>
    <mergeCell ref="G225:G227"/>
    <mergeCell ref="H225:H227"/>
    <mergeCell ref="I225:K226"/>
    <mergeCell ref="D208:E208"/>
    <mergeCell ref="D209:E209"/>
    <mergeCell ref="D210:E210"/>
    <mergeCell ref="D211:E211"/>
    <mergeCell ref="D212:E212"/>
    <mergeCell ref="D213:E213"/>
    <mergeCell ref="L225:L227"/>
    <mergeCell ref="M225:M227"/>
    <mergeCell ref="N225:N227"/>
    <mergeCell ref="O225:O227"/>
    <mergeCell ref="P225:P227"/>
    <mergeCell ref="D228:E228"/>
    <mergeCell ref="D214:E214"/>
    <mergeCell ref="D215:E215"/>
    <mergeCell ref="I216:K216"/>
    <mergeCell ref="D235:E235"/>
    <mergeCell ref="D236:E236"/>
    <mergeCell ref="D237:E237"/>
    <mergeCell ref="D238:E238"/>
    <mergeCell ref="D239:E239"/>
    <mergeCell ref="D240:E240"/>
    <mergeCell ref="D229:E229"/>
    <mergeCell ref="D230:E230"/>
    <mergeCell ref="D231:E231"/>
    <mergeCell ref="D232:E232"/>
    <mergeCell ref="D233:E233"/>
    <mergeCell ref="D234:E234"/>
    <mergeCell ref="D247:E247"/>
    <mergeCell ref="D248:E248"/>
    <mergeCell ref="D249:E249"/>
    <mergeCell ref="D250:E250"/>
    <mergeCell ref="D251:E251"/>
    <mergeCell ref="D252:E252"/>
    <mergeCell ref="D241:E241"/>
    <mergeCell ref="D242:E242"/>
    <mergeCell ref="D243:E243"/>
    <mergeCell ref="D244:E244"/>
    <mergeCell ref="D245:E245"/>
    <mergeCell ref="D246:E246"/>
    <mergeCell ref="D259:E259"/>
    <mergeCell ref="D260:E260"/>
    <mergeCell ref="D261:E261"/>
    <mergeCell ref="D262:E262"/>
    <mergeCell ref="D263:E263"/>
    <mergeCell ref="D264:E264"/>
    <mergeCell ref="D253:E253"/>
    <mergeCell ref="D254:E254"/>
    <mergeCell ref="D255:E255"/>
    <mergeCell ref="D256:E256"/>
    <mergeCell ref="D257:E257"/>
    <mergeCell ref="D258:E258"/>
    <mergeCell ref="D271:E271"/>
    <mergeCell ref="D272:E272"/>
    <mergeCell ref="D273:E273"/>
    <mergeCell ref="D274:E274"/>
    <mergeCell ref="D275:E275"/>
    <mergeCell ref="D276:E276"/>
    <mergeCell ref="D265:E265"/>
    <mergeCell ref="D266:E266"/>
    <mergeCell ref="D267:E267"/>
    <mergeCell ref="D268:E268"/>
    <mergeCell ref="D269:E269"/>
    <mergeCell ref="D270:E270"/>
    <mergeCell ref="O288:O290"/>
    <mergeCell ref="P288:P290"/>
    <mergeCell ref="D291:E291"/>
    <mergeCell ref="D277:E277"/>
    <mergeCell ref="D278:E278"/>
    <mergeCell ref="I279:K279"/>
    <mergeCell ref="B288:B290"/>
    <mergeCell ref="C288:C290"/>
    <mergeCell ref="D288:E290"/>
    <mergeCell ref="F288:F290"/>
    <mergeCell ref="G288:G290"/>
    <mergeCell ref="H288:H290"/>
    <mergeCell ref="I288:K289"/>
    <mergeCell ref="D292:E292"/>
    <mergeCell ref="D293:E293"/>
    <mergeCell ref="D294:E294"/>
    <mergeCell ref="D295:E295"/>
    <mergeCell ref="D296:E296"/>
    <mergeCell ref="D297:E297"/>
    <mergeCell ref="L288:L290"/>
    <mergeCell ref="M288:M290"/>
    <mergeCell ref="N288:N290"/>
    <mergeCell ref="D304:E304"/>
    <mergeCell ref="D305:E305"/>
    <mergeCell ref="D306:E306"/>
    <mergeCell ref="D307:E307"/>
    <mergeCell ref="D308:E308"/>
    <mergeCell ref="D309:E309"/>
    <mergeCell ref="D298:E298"/>
    <mergeCell ref="D299:E299"/>
    <mergeCell ref="D300:E300"/>
    <mergeCell ref="D301:E301"/>
    <mergeCell ref="D302:E302"/>
    <mergeCell ref="D303:E303"/>
    <mergeCell ref="D316:E316"/>
    <mergeCell ref="D317:E317"/>
    <mergeCell ref="D318:E318"/>
    <mergeCell ref="D319:E319"/>
    <mergeCell ref="D320:E320"/>
    <mergeCell ref="D321:E321"/>
    <mergeCell ref="D310:E310"/>
    <mergeCell ref="D311:E311"/>
    <mergeCell ref="D312:E312"/>
    <mergeCell ref="D313:E313"/>
    <mergeCell ref="D314:E314"/>
    <mergeCell ref="D315:E315"/>
    <mergeCell ref="D328:E328"/>
    <mergeCell ref="D329:E329"/>
    <mergeCell ref="D330:E330"/>
    <mergeCell ref="D331:E331"/>
    <mergeCell ref="D332:E332"/>
    <mergeCell ref="D333:E333"/>
    <mergeCell ref="D322:E322"/>
    <mergeCell ref="D323:E323"/>
    <mergeCell ref="D324:E324"/>
    <mergeCell ref="D325:E325"/>
    <mergeCell ref="D326:E326"/>
    <mergeCell ref="D327:E327"/>
    <mergeCell ref="D340:E340"/>
    <mergeCell ref="D341:E341"/>
    <mergeCell ref="I342:K342"/>
    <mergeCell ref="D334:E334"/>
    <mergeCell ref="D335:E335"/>
    <mergeCell ref="D336:E336"/>
    <mergeCell ref="D337:E337"/>
    <mergeCell ref="D338:E338"/>
    <mergeCell ref="D339:E339"/>
  </mergeCells>
  <conditionalFormatting sqref="D13">
    <cfRule type="containsText" dxfId="3038" priority="3011" operator="containsText" text="Escolha o ano do inventário na aba 'Introdução">
      <formula>NOT(ISERROR(SEARCH("Escolha o ano do inventário na aba 'Introdução",D13)))</formula>
    </cfRule>
  </conditionalFormatting>
  <conditionalFormatting sqref="D103:D153">
    <cfRule type="expression" dxfId="3037" priority="3012">
      <formula>#REF!&lt;&gt;""</formula>
    </cfRule>
  </conditionalFormatting>
  <conditionalFormatting sqref="D44">
    <cfRule type="expression" dxfId="3036" priority="3010">
      <formula>#REF!&lt;&gt;""</formula>
    </cfRule>
  </conditionalFormatting>
  <conditionalFormatting sqref="D86:D93">
    <cfRule type="expression" dxfId="3035" priority="3009">
      <formula>#REF!&lt;&gt;""</formula>
    </cfRule>
  </conditionalFormatting>
  <conditionalFormatting sqref="D45">
    <cfRule type="expression" dxfId="3034" priority="3008">
      <formula>#REF!&lt;&gt;""</formula>
    </cfRule>
  </conditionalFormatting>
  <conditionalFormatting sqref="D46:D85">
    <cfRule type="expression" dxfId="3033" priority="3007">
      <formula>#REF!&lt;&gt;""</formula>
    </cfRule>
  </conditionalFormatting>
  <conditionalFormatting sqref="D208:D216">
    <cfRule type="expression" dxfId="3032" priority="3006">
      <formula>#REF!&lt;&gt;""</formula>
    </cfRule>
  </conditionalFormatting>
  <conditionalFormatting sqref="D176:D207">
    <cfRule type="expression" dxfId="3031" priority="3005">
      <formula>#REF!&lt;&gt;""</formula>
    </cfRule>
  </conditionalFormatting>
  <conditionalFormatting sqref="D342">
    <cfRule type="expression" dxfId="3030" priority="3004">
      <formula>#REF!&lt;&gt;""</formula>
    </cfRule>
  </conditionalFormatting>
  <conditionalFormatting sqref="P7">
    <cfRule type="expression" dxfId="3029" priority="3003" stopIfTrue="1">
      <formula>NOT(ISERROR(SEARCH("ESCOLHA",P7)))</formula>
    </cfRule>
  </conditionalFormatting>
  <conditionalFormatting sqref="F44">
    <cfRule type="expression" dxfId="3028" priority="2991">
      <formula>#REF!&lt;&gt;""</formula>
    </cfRule>
    <cfRule type="expression" dxfId="3027" priority="2992">
      <formula>#REF!&lt;&gt;""</formula>
    </cfRule>
    <cfRule type="expression" dxfId="3026" priority="2993">
      <formula>#REF!&lt;&gt;""</formula>
    </cfRule>
    <cfRule type="expression" dxfId="3025" priority="2994">
      <formula>#REF!&lt;&gt;""</formula>
    </cfRule>
    <cfRule type="expression" dxfId="3024" priority="2995">
      <formula>#REF!&lt;&gt;""</formula>
    </cfRule>
    <cfRule type="expression" dxfId="3023" priority="2996">
      <formula>#REF!&lt;&gt;""</formula>
    </cfRule>
    <cfRule type="expression" dxfId="3022" priority="2997">
      <formula>#REF!&lt;&gt;""</formula>
    </cfRule>
    <cfRule type="expression" dxfId="3021" priority="2998">
      <formula>#REF!&lt;&gt;""</formula>
    </cfRule>
    <cfRule type="expression" dxfId="3020" priority="2999">
      <formula>#REF!&lt;&gt;""</formula>
    </cfRule>
    <cfRule type="expression" dxfId="3019" priority="3000">
      <formula>#REF!&lt;&gt;""</formula>
    </cfRule>
    <cfRule type="expression" dxfId="3018" priority="3001">
      <formula>#REF!&lt;&gt;""</formula>
    </cfRule>
    <cfRule type="expression" dxfId="3017" priority="3002">
      <formula>#REF!&lt;&gt;""</formula>
    </cfRule>
  </conditionalFormatting>
  <conditionalFormatting sqref="F45">
    <cfRule type="expression" dxfId="3016" priority="2979">
      <formula>#REF!&lt;&gt;""</formula>
    </cfRule>
    <cfRule type="expression" dxfId="3015" priority="2980">
      <formula>#REF!&lt;&gt;""</formula>
    </cfRule>
    <cfRule type="expression" dxfId="3014" priority="2981">
      <formula>#REF!&lt;&gt;""</formula>
    </cfRule>
    <cfRule type="expression" dxfId="3013" priority="2982">
      <formula>#REF!&lt;&gt;""</formula>
    </cfRule>
    <cfRule type="expression" dxfId="3012" priority="2983">
      <formula>#REF!&lt;&gt;""</formula>
    </cfRule>
    <cfRule type="expression" dxfId="3011" priority="2984">
      <formula>#REF!&lt;&gt;""</formula>
    </cfRule>
    <cfRule type="expression" dxfId="3010" priority="2985">
      <formula>#REF!&lt;&gt;""</formula>
    </cfRule>
    <cfRule type="expression" dxfId="3009" priority="2986">
      <formula>#REF!&lt;&gt;""</formula>
    </cfRule>
    <cfRule type="expression" dxfId="3008" priority="2987">
      <formula>#REF!&lt;&gt;""</formula>
    </cfRule>
    <cfRule type="expression" dxfId="3007" priority="2988">
      <formula>#REF!&lt;&gt;""</formula>
    </cfRule>
    <cfRule type="expression" dxfId="3006" priority="2989">
      <formula>#REF!&lt;&gt;""</formula>
    </cfRule>
    <cfRule type="expression" dxfId="3005" priority="2990">
      <formula>#REF!&lt;&gt;""</formula>
    </cfRule>
  </conditionalFormatting>
  <conditionalFormatting sqref="F46">
    <cfRule type="expression" dxfId="3004" priority="2967">
      <formula>#REF!&lt;&gt;""</formula>
    </cfRule>
    <cfRule type="expression" dxfId="3003" priority="2968">
      <formula>#REF!&lt;&gt;""</formula>
    </cfRule>
    <cfRule type="expression" dxfId="3002" priority="2969">
      <formula>#REF!&lt;&gt;""</formula>
    </cfRule>
    <cfRule type="expression" dxfId="3001" priority="2970">
      <formula>#REF!&lt;&gt;""</formula>
    </cfRule>
    <cfRule type="expression" dxfId="3000" priority="2971">
      <formula>#REF!&lt;&gt;""</formula>
    </cfRule>
    <cfRule type="expression" dxfId="2999" priority="2972">
      <formula>#REF!&lt;&gt;""</formula>
    </cfRule>
    <cfRule type="expression" dxfId="2998" priority="2973">
      <formula>#REF!&lt;&gt;""</formula>
    </cfRule>
    <cfRule type="expression" dxfId="2997" priority="2974">
      <formula>#REF!&lt;&gt;""</formula>
    </cfRule>
    <cfRule type="expression" dxfId="2996" priority="2975">
      <formula>#REF!&lt;&gt;""</formula>
    </cfRule>
    <cfRule type="expression" dxfId="2995" priority="2976">
      <formula>#REF!&lt;&gt;""</formula>
    </cfRule>
    <cfRule type="expression" dxfId="2994" priority="2977">
      <formula>#REF!&lt;&gt;""</formula>
    </cfRule>
    <cfRule type="expression" dxfId="2993" priority="2978">
      <formula>#REF!&lt;&gt;""</formula>
    </cfRule>
  </conditionalFormatting>
  <conditionalFormatting sqref="F47">
    <cfRule type="expression" dxfId="2992" priority="2955">
      <formula>#REF!&lt;&gt;""</formula>
    </cfRule>
    <cfRule type="expression" dxfId="2991" priority="2956">
      <formula>#REF!&lt;&gt;""</formula>
    </cfRule>
    <cfRule type="expression" dxfId="2990" priority="2957">
      <formula>#REF!&lt;&gt;""</formula>
    </cfRule>
    <cfRule type="expression" dxfId="2989" priority="2958">
      <formula>#REF!&lt;&gt;""</formula>
    </cfRule>
    <cfRule type="expression" dxfId="2988" priority="2959">
      <formula>#REF!&lt;&gt;""</formula>
    </cfRule>
    <cfRule type="expression" dxfId="2987" priority="2960">
      <formula>#REF!&lt;&gt;""</formula>
    </cfRule>
    <cfRule type="expression" dxfId="2986" priority="2961">
      <formula>#REF!&lt;&gt;""</formula>
    </cfRule>
    <cfRule type="expression" dxfId="2985" priority="2962">
      <formula>#REF!&lt;&gt;""</formula>
    </cfRule>
    <cfRule type="expression" dxfId="2984" priority="2963">
      <formula>#REF!&lt;&gt;""</formula>
    </cfRule>
    <cfRule type="expression" dxfId="2983" priority="2964">
      <formula>#REF!&lt;&gt;""</formula>
    </cfRule>
    <cfRule type="expression" dxfId="2982" priority="2965">
      <formula>#REF!&lt;&gt;""</formula>
    </cfRule>
    <cfRule type="expression" dxfId="2981" priority="2966">
      <formula>#REF!&lt;&gt;""</formula>
    </cfRule>
  </conditionalFormatting>
  <conditionalFormatting sqref="F48">
    <cfRule type="expression" dxfId="2980" priority="2943">
      <formula>#REF!&lt;&gt;""</formula>
    </cfRule>
    <cfRule type="expression" dxfId="2979" priority="2944">
      <formula>#REF!&lt;&gt;""</formula>
    </cfRule>
    <cfRule type="expression" dxfId="2978" priority="2945">
      <formula>#REF!&lt;&gt;""</formula>
    </cfRule>
    <cfRule type="expression" dxfId="2977" priority="2946">
      <formula>#REF!&lt;&gt;""</formula>
    </cfRule>
    <cfRule type="expression" dxfId="2976" priority="2947">
      <formula>#REF!&lt;&gt;""</formula>
    </cfRule>
    <cfRule type="expression" dxfId="2975" priority="2948">
      <formula>#REF!&lt;&gt;""</formula>
    </cfRule>
    <cfRule type="expression" dxfId="2974" priority="2949">
      <formula>#REF!&lt;&gt;""</formula>
    </cfRule>
    <cfRule type="expression" dxfId="2973" priority="2950">
      <formula>#REF!&lt;&gt;""</formula>
    </cfRule>
    <cfRule type="expression" dxfId="2972" priority="2951">
      <formula>#REF!&lt;&gt;""</formula>
    </cfRule>
    <cfRule type="expression" dxfId="2971" priority="2952">
      <formula>#REF!&lt;&gt;""</formula>
    </cfRule>
    <cfRule type="expression" dxfId="2970" priority="2953">
      <formula>#REF!&lt;&gt;""</formula>
    </cfRule>
    <cfRule type="expression" dxfId="2969" priority="2954">
      <formula>#REF!&lt;&gt;""</formula>
    </cfRule>
  </conditionalFormatting>
  <conditionalFormatting sqref="F49">
    <cfRule type="expression" dxfId="2968" priority="2931">
      <formula>#REF!&lt;&gt;""</formula>
    </cfRule>
    <cfRule type="expression" dxfId="2967" priority="2932">
      <formula>#REF!&lt;&gt;""</formula>
    </cfRule>
    <cfRule type="expression" dxfId="2966" priority="2933">
      <formula>#REF!&lt;&gt;""</formula>
    </cfRule>
    <cfRule type="expression" dxfId="2965" priority="2934">
      <formula>#REF!&lt;&gt;""</formula>
    </cfRule>
    <cfRule type="expression" dxfId="2964" priority="2935">
      <formula>#REF!&lt;&gt;""</formula>
    </cfRule>
    <cfRule type="expression" dxfId="2963" priority="2936">
      <formula>#REF!&lt;&gt;""</formula>
    </cfRule>
    <cfRule type="expression" dxfId="2962" priority="2937">
      <formula>#REF!&lt;&gt;""</formula>
    </cfRule>
    <cfRule type="expression" dxfId="2961" priority="2938">
      <formula>#REF!&lt;&gt;""</formula>
    </cfRule>
    <cfRule type="expression" dxfId="2960" priority="2939">
      <formula>#REF!&lt;&gt;""</formula>
    </cfRule>
    <cfRule type="expression" dxfId="2959" priority="2940">
      <formula>#REF!&lt;&gt;""</formula>
    </cfRule>
    <cfRule type="expression" dxfId="2958" priority="2941">
      <formula>#REF!&lt;&gt;""</formula>
    </cfRule>
    <cfRule type="expression" dxfId="2957" priority="2942">
      <formula>#REF!&lt;&gt;""</formula>
    </cfRule>
  </conditionalFormatting>
  <conditionalFormatting sqref="F50">
    <cfRule type="expression" dxfId="2956" priority="2919">
      <formula>#REF!&lt;&gt;""</formula>
    </cfRule>
    <cfRule type="expression" dxfId="2955" priority="2920">
      <formula>#REF!&lt;&gt;""</formula>
    </cfRule>
    <cfRule type="expression" dxfId="2954" priority="2921">
      <formula>#REF!&lt;&gt;""</formula>
    </cfRule>
    <cfRule type="expression" dxfId="2953" priority="2922">
      <formula>#REF!&lt;&gt;""</formula>
    </cfRule>
    <cfRule type="expression" dxfId="2952" priority="2923">
      <formula>#REF!&lt;&gt;""</formula>
    </cfRule>
    <cfRule type="expression" dxfId="2951" priority="2924">
      <formula>#REF!&lt;&gt;""</formula>
    </cfRule>
    <cfRule type="expression" dxfId="2950" priority="2925">
      <formula>#REF!&lt;&gt;""</formula>
    </cfRule>
    <cfRule type="expression" dxfId="2949" priority="2926">
      <formula>#REF!&lt;&gt;""</formula>
    </cfRule>
    <cfRule type="expression" dxfId="2948" priority="2927">
      <formula>#REF!&lt;&gt;""</formula>
    </cfRule>
    <cfRule type="expression" dxfId="2947" priority="2928">
      <formula>#REF!&lt;&gt;""</formula>
    </cfRule>
    <cfRule type="expression" dxfId="2946" priority="2929">
      <formula>#REF!&lt;&gt;""</formula>
    </cfRule>
    <cfRule type="expression" dxfId="2945" priority="2930">
      <formula>#REF!&lt;&gt;""</formula>
    </cfRule>
  </conditionalFormatting>
  <conditionalFormatting sqref="F51">
    <cfRule type="expression" dxfId="2944" priority="2907">
      <formula>#REF!&lt;&gt;""</formula>
    </cfRule>
    <cfRule type="expression" dxfId="2943" priority="2908">
      <formula>#REF!&lt;&gt;""</formula>
    </cfRule>
    <cfRule type="expression" dxfId="2942" priority="2909">
      <formula>#REF!&lt;&gt;""</formula>
    </cfRule>
    <cfRule type="expression" dxfId="2941" priority="2910">
      <formula>#REF!&lt;&gt;""</formula>
    </cfRule>
    <cfRule type="expression" dxfId="2940" priority="2911">
      <formula>#REF!&lt;&gt;""</formula>
    </cfRule>
    <cfRule type="expression" dxfId="2939" priority="2912">
      <formula>#REF!&lt;&gt;""</formula>
    </cfRule>
    <cfRule type="expression" dxfId="2938" priority="2913">
      <formula>#REF!&lt;&gt;""</formula>
    </cfRule>
    <cfRule type="expression" dxfId="2937" priority="2914">
      <formula>#REF!&lt;&gt;""</formula>
    </cfRule>
    <cfRule type="expression" dxfId="2936" priority="2915">
      <formula>#REF!&lt;&gt;""</formula>
    </cfRule>
    <cfRule type="expression" dxfId="2935" priority="2916">
      <formula>#REF!&lt;&gt;""</formula>
    </cfRule>
    <cfRule type="expression" dxfId="2934" priority="2917">
      <formula>#REF!&lt;&gt;""</formula>
    </cfRule>
    <cfRule type="expression" dxfId="2933" priority="2918">
      <formula>#REF!&lt;&gt;""</formula>
    </cfRule>
  </conditionalFormatting>
  <conditionalFormatting sqref="F52">
    <cfRule type="expression" dxfId="2932" priority="2895">
      <formula>#REF!&lt;&gt;""</formula>
    </cfRule>
    <cfRule type="expression" dxfId="2931" priority="2896">
      <formula>#REF!&lt;&gt;""</formula>
    </cfRule>
    <cfRule type="expression" dxfId="2930" priority="2897">
      <formula>#REF!&lt;&gt;""</formula>
    </cfRule>
    <cfRule type="expression" dxfId="2929" priority="2898">
      <formula>#REF!&lt;&gt;""</formula>
    </cfRule>
    <cfRule type="expression" dxfId="2928" priority="2899">
      <formula>#REF!&lt;&gt;""</formula>
    </cfRule>
    <cfRule type="expression" dxfId="2927" priority="2900">
      <formula>#REF!&lt;&gt;""</formula>
    </cfRule>
    <cfRule type="expression" dxfId="2926" priority="2901">
      <formula>#REF!&lt;&gt;""</formula>
    </cfRule>
    <cfRule type="expression" dxfId="2925" priority="2902">
      <formula>#REF!&lt;&gt;""</formula>
    </cfRule>
    <cfRule type="expression" dxfId="2924" priority="2903">
      <formula>#REF!&lt;&gt;""</formula>
    </cfRule>
    <cfRule type="expression" dxfId="2923" priority="2904">
      <formula>#REF!&lt;&gt;""</formula>
    </cfRule>
    <cfRule type="expression" dxfId="2922" priority="2905">
      <formula>#REF!&lt;&gt;""</formula>
    </cfRule>
    <cfRule type="expression" dxfId="2921" priority="2906">
      <formula>#REF!&lt;&gt;""</formula>
    </cfRule>
  </conditionalFormatting>
  <conditionalFormatting sqref="F53">
    <cfRule type="expression" dxfId="2920" priority="2883">
      <formula>#REF!&lt;&gt;""</formula>
    </cfRule>
    <cfRule type="expression" dxfId="2919" priority="2884">
      <formula>#REF!&lt;&gt;""</formula>
    </cfRule>
    <cfRule type="expression" dxfId="2918" priority="2885">
      <formula>#REF!&lt;&gt;""</formula>
    </cfRule>
    <cfRule type="expression" dxfId="2917" priority="2886">
      <formula>#REF!&lt;&gt;""</formula>
    </cfRule>
    <cfRule type="expression" dxfId="2916" priority="2887">
      <formula>#REF!&lt;&gt;""</formula>
    </cfRule>
    <cfRule type="expression" dxfId="2915" priority="2888">
      <formula>#REF!&lt;&gt;""</formula>
    </cfRule>
    <cfRule type="expression" dxfId="2914" priority="2889">
      <formula>#REF!&lt;&gt;""</formula>
    </cfRule>
    <cfRule type="expression" dxfId="2913" priority="2890">
      <formula>#REF!&lt;&gt;""</formula>
    </cfRule>
    <cfRule type="expression" dxfId="2912" priority="2891">
      <formula>#REF!&lt;&gt;""</formula>
    </cfRule>
    <cfRule type="expression" dxfId="2911" priority="2892">
      <formula>#REF!&lt;&gt;""</formula>
    </cfRule>
    <cfRule type="expression" dxfId="2910" priority="2893">
      <formula>#REF!&lt;&gt;""</formula>
    </cfRule>
    <cfRule type="expression" dxfId="2909" priority="2894">
      <formula>#REF!&lt;&gt;""</formula>
    </cfRule>
  </conditionalFormatting>
  <conditionalFormatting sqref="F54">
    <cfRule type="expression" dxfId="2908" priority="2871">
      <formula>#REF!&lt;&gt;""</formula>
    </cfRule>
    <cfRule type="expression" dxfId="2907" priority="2872">
      <formula>#REF!&lt;&gt;""</formula>
    </cfRule>
    <cfRule type="expression" dxfId="2906" priority="2873">
      <formula>#REF!&lt;&gt;""</formula>
    </cfRule>
    <cfRule type="expression" dxfId="2905" priority="2874">
      <formula>#REF!&lt;&gt;""</formula>
    </cfRule>
    <cfRule type="expression" dxfId="2904" priority="2875">
      <formula>#REF!&lt;&gt;""</formula>
    </cfRule>
    <cfRule type="expression" dxfId="2903" priority="2876">
      <formula>#REF!&lt;&gt;""</formula>
    </cfRule>
    <cfRule type="expression" dxfId="2902" priority="2877">
      <formula>#REF!&lt;&gt;""</formula>
    </cfRule>
    <cfRule type="expression" dxfId="2901" priority="2878">
      <formula>#REF!&lt;&gt;""</formula>
    </cfRule>
    <cfRule type="expression" dxfId="2900" priority="2879">
      <formula>#REF!&lt;&gt;""</formula>
    </cfRule>
    <cfRule type="expression" dxfId="2899" priority="2880">
      <formula>#REF!&lt;&gt;""</formula>
    </cfRule>
    <cfRule type="expression" dxfId="2898" priority="2881">
      <formula>#REF!&lt;&gt;""</formula>
    </cfRule>
    <cfRule type="expression" dxfId="2897" priority="2882">
      <formula>#REF!&lt;&gt;""</formula>
    </cfRule>
  </conditionalFormatting>
  <conditionalFormatting sqref="F55">
    <cfRule type="expression" dxfId="2896" priority="2859">
      <formula>#REF!&lt;&gt;""</formula>
    </cfRule>
    <cfRule type="expression" dxfId="2895" priority="2860">
      <formula>#REF!&lt;&gt;""</formula>
    </cfRule>
    <cfRule type="expression" dxfId="2894" priority="2861">
      <formula>#REF!&lt;&gt;""</formula>
    </cfRule>
    <cfRule type="expression" dxfId="2893" priority="2862">
      <formula>#REF!&lt;&gt;""</formula>
    </cfRule>
    <cfRule type="expression" dxfId="2892" priority="2863">
      <formula>#REF!&lt;&gt;""</formula>
    </cfRule>
    <cfRule type="expression" dxfId="2891" priority="2864">
      <formula>#REF!&lt;&gt;""</formula>
    </cfRule>
    <cfRule type="expression" dxfId="2890" priority="2865">
      <formula>#REF!&lt;&gt;""</formula>
    </cfRule>
    <cfRule type="expression" dxfId="2889" priority="2866">
      <formula>#REF!&lt;&gt;""</formula>
    </cfRule>
    <cfRule type="expression" dxfId="2888" priority="2867">
      <formula>#REF!&lt;&gt;""</formula>
    </cfRule>
    <cfRule type="expression" dxfId="2887" priority="2868">
      <formula>#REF!&lt;&gt;""</formula>
    </cfRule>
    <cfRule type="expression" dxfId="2886" priority="2869">
      <formula>#REF!&lt;&gt;""</formula>
    </cfRule>
    <cfRule type="expression" dxfId="2885" priority="2870">
      <formula>#REF!&lt;&gt;""</formula>
    </cfRule>
  </conditionalFormatting>
  <conditionalFormatting sqref="F56">
    <cfRule type="expression" dxfId="2884" priority="2847">
      <formula>#REF!&lt;&gt;""</formula>
    </cfRule>
    <cfRule type="expression" dxfId="2883" priority="2848">
      <formula>#REF!&lt;&gt;""</formula>
    </cfRule>
    <cfRule type="expression" dxfId="2882" priority="2849">
      <formula>#REF!&lt;&gt;""</formula>
    </cfRule>
    <cfRule type="expression" dxfId="2881" priority="2850">
      <formula>#REF!&lt;&gt;""</formula>
    </cfRule>
    <cfRule type="expression" dxfId="2880" priority="2851">
      <formula>#REF!&lt;&gt;""</formula>
    </cfRule>
    <cfRule type="expression" dxfId="2879" priority="2852">
      <formula>#REF!&lt;&gt;""</formula>
    </cfRule>
    <cfRule type="expression" dxfId="2878" priority="2853">
      <formula>#REF!&lt;&gt;""</formula>
    </cfRule>
    <cfRule type="expression" dxfId="2877" priority="2854">
      <formula>#REF!&lt;&gt;""</formula>
    </cfRule>
    <cfRule type="expression" dxfId="2876" priority="2855">
      <formula>#REF!&lt;&gt;""</formula>
    </cfRule>
    <cfRule type="expression" dxfId="2875" priority="2856">
      <formula>#REF!&lt;&gt;""</formula>
    </cfRule>
    <cfRule type="expression" dxfId="2874" priority="2857">
      <formula>#REF!&lt;&gt;""</formula>
    </cfRule>
    <cfRule type="expression" dxfId="2873" priority="2858">
      <formula>#REF!&lt;&gt;""</formula>
    </cfRule>
  </conditionalFormatting>
  <conditionalFormatting sqref="F57">
    <cfRule type="expression" dxfId="2872" priority="2835">
      <formula>#REF!&lt;&gt;""</formula>
    </cfRule>
    <cfRule type="expression" dxfId="2871" priority="2836">
      <formula>#REF!&lt;&gt;""</formula>
    </cfRule>
    <cfRule type="expression" dxfId="2870" priority="2837">
      <formula>#REF!&lt;&gt;""</formula>
    </cfRule>
    <cfRule type="expression" dxfId="2869" priority="2838">
      <formula>#REF!&lt;&gt;""</formula>
    </cfRule>
    <cfRule type="expression" dxfId="2868" priority="2839">
      <formula>#REF!&lt;&gt;""</formula>
    </cfRule>
    <cfRule type="expression" dxfId="2867" priority="2840">
      <formula>#REF!&lt;&gt;""</formula>
    </cfRule>
    <cfRule type="expression" dxfId="2866" priority="2841">
      <formula>#REF!&lt;&gt;""</formula>
    </cfRule>
    <cfRule type="expression" dxfId="2865" priority="2842">
      <formula>#REF!&lt;&gt;""</formula>
    </cfRule>
    <cfRule type="expression" dxfId="2864" priority="2843">
      <formula>#REF!&lt;&gt;""</formula>
    </cfRule>
    <cfRule type="expression" dxfId="2863" priority="2844">
      <formula>#REF!&lt;&gt;""</formula>
    </cfRule>
    <cfRule type="expression" dxfId="2862" priority="2845">
      <formula>#REF!&lt;&gt;""</formula>
    </cfRule>
    <cfRule type="expression" dxfId="2861" priority="2846">
      <formula>#REF!&lt;&gt;""</formula>
    </cfRule>
  </conditionalFormatting>
  <conditionalFormatting sqref="F58">
    <cfRule type="expression" dxfId="2860" priority="2823">
      <formula>#REF!&lt;&gt;""</formula>
    </cfRule>
    <cfRule type="expression" dxfId="2859" priority="2824">
      <formula>#REF!&lt;&gt;""</formula>
    </cfRule>
    <cfRule type="expression" dxfId="2858" priority="2825">
      <formula>#REF!&lt;&gt;""</formula>
    </cfRule>
    <cfRule type="expression" dxfId="2857" priority="2826">
      <formula>#REF!&lt;&gt;""</formula>
    </cfRule>
    <cfRule type="expression" dxfId="2856" priority="2827">
      <formula>#REF!&lt;&gt;""</formula>
    </cfRule>
    <cfRule type="expression" dxfId="2855" priority="2828">
      <formula>#REF!&lt;&gt;""</formula>
    </cfRule>
    <cfRule type="expression" dxfId="2854" priority="2829">
      <formula>#REF!&lt;&gt;""</formula>
    </cfRule>
    <cfRule type="expression" dxfId="2853" priority="2830">
      <formula>#REF!&lt;&gt;""</formula>
    </cfRule>
    <cfRule type="expression" dxfId="2852" priority="2831">
      <formula>#REF!&lt;&gt;""</formula>
    </cfRule>
    <cfRule type="expression" dxfId="2851" priority="2832">
      <formula>#REF!&lt;&gt;""</formula>
    </cfRule>
    <cfRule type="expression" dxfId="2850" priority="2833">
      <formula>#REF!&lt;&gt;""</formula>
    </cfRule>
    <cfRule type="expression" dxfId="2849" priority="2834">
      <formula>#REF!&lt;&gt;""</formula>
    </cfRule>
  </conditionalFormatting>
  <conditionalFormatting sqref="F59">
    <cfRule type="expression" dxfId="2848" priority="2811">
      <formula>#REF!&lt;&gt;""</formula>
    </cfRule>
    <cfRule type="expression" dxfId="2847" priority="2812">
      <formula>#REF!&lt;&gt;""</formula>
    </cfRule>
    <cfRule type="expression" dxfId="2846" priority="2813">
      <formula>#REF!&lt;&gt;""</formula>
    </cfRule>
    <cfRule type="expression" dxfId="2845" priority="2814">
      <formula>#REF!&lt;&gt;""</formula>
    </cfRule>
    <cfRule type="expression" dxfId="2844" priority="2815">
      <formula>#REF!&lt;&gt;""</formula>
    </cfRule>
    <cfRule type="expression" dxfId="2843" priority="2816">
      <formula>#REF!&lt;&gt;""</formula>
    </cfRule>
    <cfRule type="expression" dxfId="2842" priority="2817">
      <formula>#REF!&lt;&gt;""</formula>
    </cfRule>
    <cfRule type="expression" dxfId="2841" priority="2818">
      <formula>#REF!&lt;&gt;""</formula>
    </cfRule>
    <cfRule type="expression" dxfId="2840" priority="2819">
      <formula>#REF!&lt;&gt;""</formula>
    </cfRule>
    <cfRule type="expression" dxfId="2839" priority="2820">
      <formula>#REF!&lt;&gt;""</formula>
    </cfRule>
    <cfRule type="expression" dxfId="2838" priority="2821">
      <formula>#REF!&lt;&gt;""</formula>
    </cfRule>
    <cfRule type="expression" dxfId="2837" priority="2822">
      <formula>#REF!&lt;&gt;""</formula>
    </cfRule>
  </conditionalFormatting>
  <conditionalFormatting sqref="F60">
    <cfRule type="expression" dxfId="2836" priority="2799">
      <formula>#REF!&lt;&gt;""</formula>
    </cfRule>
    <cfRule type="expression" dxfId="2835" priority="2800">
      <formula>#REF!&lt;&gt;""</formula>
    </cfRule>
    <cfRule type="expression" dxfId="2834" priority="2801">
      <formula>#REF!&lt;&gt;""</formula>
    </cfRule>
    <cfRule type="expression" dxfId="2833" priority="2802">
      <formula>#REF!&lt;&gt;""</formula>
    </cfRule>
    <cfRule type="expression" dxfId="2832" priority="2803">
      <formula>#REF!&lt;&gt;""</formula>
    </cfRule>
    <cfRule type="expression" dxfId="2831" priority="2804">
      <formula>#REF!&lt;&gt;""</formula>
    </cfRule>
    <cfRule type="expression" dxfId="2830" priority="2805">
      <formula>#REF!&lt;&gt;""</formula>
    </cfRule>
    <cfRule type="expression" dxfId="2829" priority="2806">
      <formula>#REF!&lt;&gt;""</formula>
    </cfRule>
    <cfRule type="expression" dxfId="2828" priority="2807">
      <formula>#REF!&lt;&gt;""</formula>
    </cfRule>
    <cfRule type="expression" dxfId="2827" priority="2808">
      <formula>#REF!&lt;&gt;""</formula>
    </cfRule>
    <cfRule type="expression" dxfId="2826" priority="2809">
      <formula>#REF!&lt;&gt;""</formula>
    </cfRule>
    <cfRule type="expression" dxfId="2825" priority="2810">
      <formula>#REF!&lt;&gt;""</formula>
    </cfRule>
  </conditionalFormatting>
  <conditionalFormatting sqref="F61">
    <cfRule type="expression" dxfId="2824" priority="2787">
      <formula>#REF!&lt;&gt;""</formula>
    </cfRule>
    <cfRule type="expression" dxfId="2823" priority="2788">
      <formula>#REF!&lt;&gt;""</formula>
    </cfRule>
    <cfRule type="expression" dxfId="2822" priority="2789">
      <formula>#REF!&lt;&gt;""</formula>
    </cfRule>
    <cfRule type="expression" dxfId="2821" priority="2790">
      <formula>#REF!&lt;&gt;""</formula>
    </cfRule>
    <cfRule type="expression" dxfId="2820" priority="2791">
      <formula>#REF!&lt;&gt;""</formula>
    </cfRule>
    <cfRule type="expression" dxfId="2819" priority="2792">
      <formula>#REF!&lt;&gt;""</formula>
    </cfRule>
    <cfRule type="expression" dxfId="2818" priority="2793">
      <formula>#REF!&lt;&gt;""</formula>
    </cfRule>
    <cfRule type="expression" dxfId="2817" priority="2794">
      <formula>#REF!&lt;&gt;""</formula>
    </cfRule>
    <cfRule type="expression" dxfId="2816" priority="2795">
      <formula>#REF!&lt;&gt;""</formula>
    </cfRule>
    <cfRule type="expression" dxfId="2815" priority="2796">
      <formula>#REF!&lt;&gt;""</formula>
    </cfRule>
    <cfRule type="expression" dxfId="2814" priority="2797">
      <formula>#REF!&lt;&gt;""</formula>
    </cfRule>
    <cfRule type="expression" dxfId="2813" priority="2798">
      <formula>#REF!&lt;&gt;""</formula>
    </cfRule>
  </conditionalFormatting>
  <conditionalFormatting sqref="F62">
    <cfRule type="expression" dxfId="2812" priority="2775">
      <formula>#REF!&lt;&gt;""</formula>
    </cfRule>
    <cfRule type="expression" dxfId="2811" priority="2776">
      <formula>#REF!&lt;&gt;""</formula>
    </cfRule>
    <cfRule type="expression" dxfId="2810" priority="2777">
      <formula>#REF!&lt;&gt;""</formula>
    </cfRule>
    <cfRule type="expression" dxfId="2809" priority="2778">
      <formula>#REF!&lt;&gt;""</formula>
    </cfRule>
    <cfRule type="expression" dxfId="2808" priority="2779">
      <formula>#REF!&lt;&gt;""</formula>
    </cfRule>
    <cfRule type="expression" dxfId="2807" priority="2780">
      <formula>#REF!&lt;&gt;""</formula>
    </cfRule>
    <cfRule type="expression" dxfId="2806" priority="2781">
      <formula>#REF!&lt;&gt;""</formula>
    </cfRule>
    <cfRule type="expression" dxfId="2805" priority="2782">
      <formula>#REF!&lt;&gt;""</formula>
    </cfRule>
    <cfRule type="expression" dxfId="2804" priority="2783">
      <formula>#REF!&lt;&gt;""</formula>
    </cfRule>
    <cfRule type="expression" dxfId="2803" priority="2784">
      <formula>#REF!&lt;&gt;""</formula>
    </cfRule>
    <cfRule type="expression" dxfId="2802" priority="2785">
      <formula>#REF!&lt;&gt;""</formula>
    </cfRule>
    <cfRule type="expression" dxfId="2801" priority="2786">
      <formula>#REF!&lt;&gt;""</formula>
    </cfRule>
  </conditionalFormatting>
  <conditionalFormatting sqref="F63">
    <cfRule type="expression" dxfId="2800" priority="2763">
      <formula>#REF!&lt;&gt;""</formula>
    </cfRule>
    <cfRule type="expression" dxfId="2799" priority="2764">
      <formula>#REF!&lt;&gt;""</formula>
    </cfRule>
    <cfRule type="expression" dxfId="2798" priority="2765">
      <formula>#REF!&lt;&gt;""</formula>
    </cfRule>
    <cfRule type="expression" dxfId="2797" priority="2766">
      <formula>#REF!&lt;&gt;""</formula>
    </cfRule>
    <cfRule type="expression" dxfId="2796" priority="2767">
      <formula>#REF!&lt;&gt;""</formula>
    </cfRule>
    <cfRule type="expression" dxfId="2795" priority="2768">
      <formula>#REF!&lt;&gt;""</formula>
    </cfRule>
    <cfRule type="expression" dxfId="2794" priority="2769">
      <formula>#REF!&lt;&gt;""</formula>
    </cfRule>
    <cfRule type="expression" dxfId="2793" priority="2770">
      <formula>#REF!&lt;&gt;""</formula>
    </cfRule>
    <cfRule type="expression" dxfId="2792" priority="2771">
      <formula>#REF!&lt;&gt;""</formula>
    </cfRule>
    <cfRule type="expression" dxfId="2791" priority="2772">
      <formula>#REF!&lt;&gt;""</formula>
    </cfRule>
    <cfRule type="expression" dxfId="2790" priority="2773">
      <formula>#REF!&lt;&gt;""</formula>
    </cfRule>
    <cfRule type="expression" dxfId="2789" priority="2774">
      <formula>#REF!&lt;&gt;""</formula>
    </cfRule>
  </conditionalFormatting>
  <conditionalFormatting sqref="F64">
    <cfRule type="expression" dxfId="2788" priority="2751">
      <formula>#REF!&lt;&gt;""</formula>
    </cfRule>
    <cfRule type="expression" dxfId="2787" priority="2752">
      <formula>#REF!&lt;&gt;""</formula>
    </cfRule>
    <cfRule type="expression" dxfId="2786" priority="2753">
      <formula>#REF!&lt;&gt;""</formula>
    </cfRule>
    <cfRule type="expression" dxfId="2785" priority="2754">
      <formula>#REF!&lt;&gt;""</formula>
    </cfRule>
    <cfRule type="expression" dxfId="2784" priority="2755">
      <formula>#REF!&lt;&gt;""</formula>
    </cfRule>
    <cfRule type="expression" dxfId="2783" priority="2756">
      <formula>#REF!&lt;&gt;""</formula>
    </cfRule>
    <cfRule type="expression" dxfId="2782" priority="2757">
      <formula>#REF!&lt;&gt;""</formula>
    </cfRule>
    <cfRule type="expression" dxfId="2781" priority="2758">
      <formula>#REF!&lt;&gt;""</formula>
    </cfRule>
    <cfRule type="expression" dxfId="2780" priority="2759">
      <formula>#REF!&lt;&gt;""</formula>
    </cfRule>
    <cfRule type="expression" dxfId="2779" priority="2760">
      <formula>#REF!&lt;&gt;""</formula>
    </cfRule>
    <cfRule type="expression" dxfId="2778" priority="2761">
      <formula>#REF!&lt;&gt;""</formula>
    </cfRule>
    <cfRule type="expression" dxfId="2777" priority="2762">
      <formula>#REF!&lt;&gt;""</formula>
    </cfRule>
  </conditionalFormatting>
  <conditionalFormatting sqref="F65">
    <cfRule type="expression" dxfId="2776" priority="2739">
      <formula>#REF!&lt;&gt;""</formula>
    </cfRule>
    <cfRule type="expression" dxfId="2775" priority="2740">
      <formula>#REF!&lt;&gt;""</formula>
    </cfRule>
    <cfRule type="expression" dxfId="2774" priority="2741">
      <formula>#REF!&lt;&gt;""</formula>
    </cfRule>
    <cfRule type="expression" dxfId="2773" priority="2742">
      <formula>#REF!&lt;&gt;""</formula>
    </cfRule>
    <cfRule type="expression" dxfId="2772" priority="2743">
      <formula>#REF!&lt;&gt;""</formula>
    </cfRule>
    <cfRule type="expression" dxfId="2771" priority="2744">
      <formula>#REF!&lt;&gt;""</formula>
    </cfRule>
    <cfRule type="expression" dxfId="2770" priority="2745">
      <formula>#REF!&lt;&gt;""</formula>
    </cfRule>
    <cfRule type="expression" dxfId="2769" priority="2746">
      <formula>#REF!&lt;&gt;""</formula>
    </cfRule>
    <cfRule type="expression" dxfId="2768" priority="2747">
      <formula>#REF!&lt;&gt;""</formula>
    </cfRule>
    <cfRule type="expression" dxfId="2767" priority="2748">
      <formula>#REF!&lt;&gt;""</formula>
    </cfRule>
    <cfRule type="expression" dxfId="2766" priority="2749">
      <formula>#REF!&lt;&gt;""</formula>
    </cfRule>
    <cfRule type="expression" dxfId="2765" priority="2750">
      <formula>#REF!&lt;&gt;""</formula>
    </cfRule>
  </conditionalFormatting>
  <conditionalFormatting sqref="F66">
    <cfRule type="expression" dxfId="2764" priority="2727">
      <formula>#REF!&lt;&gt;""</formula>
    </cfRule>
    <cfRule type="expression" dxfId="2763" priority="2728">
      <formula>#REF!&lt;&gt;""</formula>
    </cfRule>
    <cfRule type="expression" dxfId="2762" priority="2729">
      <formula>#REF!&lt;&gt;""</formula>
    </cfRule>
    <cfRule type="expression" dxfId="2761" priority="2730">
      <formula>#REF!&lt;&gt;""</formula>
    </cfRule>
    <cfRule type="expression" dxfId="2760" priority="2731">
      <formula>#REF!&lt;&gt;""</formula>
    </cfRule>
    <cfRule type="expression" dxfId="2759" priority="2732">
      <formula>#REF!&lt;&gt;""</formula>
    </cfRule>
    <cfRule type="expression" dxfId="2758" priority="2733">
      <formula>#REF!&lt;&gt;""</formula>
    </cfRule>
    <cfRule type="expression" dxfId="2757" priority="2734">
      <formula>#REF!&lt;&gt;""</formula>
    </cfRule>
    <cfRule type="expression" dxfId="2756" priority="2735">
      <formula>#REF!&lt;&gt;""</formula>
    </cfRule>
    <cfRule type="expression" dxfId="2755" priority="2736">
      <formula>#REF!&lt;&gt;""</formula>
    </cfRule>
    <cfRule type="expression" dxfId="2754" priority="2737">
      <formula>#REF!&lt;&gt;""</formula>
    </cfRule>
    <cfRule type="expression" dxfId="2753" priority="2738">
      <formula>#REF!&lt;&gt;""</formula>
    </cfRule>
  </conditionalFormatting>
  <conditionalFormatting sqref="F67">
    <cfRule type="expression" dxfId="2752" priority="2715">
      <formula>#REF!&lt;&gt;""</formula>
    </cfRule>
    <cfRule type="expression" dxfId="2751" priority="2716">
      <formula>#REF!&lt;&gt;""</formula>
    </cfRule>
    <cfRule type="expression" dxfId="2750" priority="2717">
      <formula>#REF!&lt;&gt;""</formula>
    </cfRule>
    <cfRule type="expression" dxfId="2749" priority="2718">
      <formula>#REF!&lt;&gt;""</formula>
    </cfRule>
    <cfRule type="expression" dxfId="2748" priority="2719">
      <formula>#REF!&lt;&gt;""</formula>
    </cfRule>
    <cfRule type="expression" dxfId="2747" priority="2720">
      <formula>#REF!&lt;&gt;""</formula>
    </cfRule>
    <cfRule type="expression" dxfId="2746" priority="2721">
      <formula>#REF!&lt;&gt;""</formula>
    </cfRule>
    <cfRule type="expression" dxfId="2745" priority="2722">
      <formula>#REF!&lt;&gt;""</formula>
    </cfRule>
    <cfRule type="expression" dxfId="2744" priority="2723">
      <formula>#REF!&lt;&gt;""</formula>
    </cfRule>
    <cfRule type="expression" dxfId="2743" priority="2724">
      <formula>#REF!&lt;&gt;""</formula>
    </cfRule>
    <cfRule type="expression" dxfId="2742" priority="2725">
      <formula>#REF!&lt;&gt;""</formula>
    </cfRule>
    <cfRule type="expression" dxfId="2741" priority="2726">
      <formula>#REF!&lt;&gt;""</formula>
    </cfRule>
  </conditionalFormatting>
  <conditionalFormatting sqref="F68">
    <cfRule type="expression" dxfId="2740" priority="2703">
      <formula>#REF!&lt;&gt;""</formula>
    </cfRule>
    <cfRule type="expression" dxfId="2739" priority="2704">
      <formula>#REF!&lt;&gt;""</formula>
    </cfRule>
    <cfRule type="expression" dxfId="2738" priority="2705">
      <formula>#REF!&lt;&gt;""</formula>
    </cfRule>
    <cfRule type="expression" dxfId="2737" priority="2706">
      <formula>#REF!&lt;&gt;""</formula>
    </cfRule>
    <cfRule type="expression" dxfId="2736" priority="2707">
      <formula>#REF!&lt;&gt;""</formula>
    </cfRule>
    <cfRule type="expression" dxfId="2735" priority="2708">
      <formula>#REF!&lt;&gt;""</formula>
    </cfRule>
    <cfRule type="expression" dxfId="2734" priority="2709">
      <formula>#REF!&lt;&gt;""</formula>
    </cfRule>
    <cfRule type="expression" dxfId="2733" priority="2710">
      <formula>#REF!&lt;&gt;""</formula>
    </cfRule>
    <cfRule type="expression" dxfId="2732" priority="2711">
      <formula>#REF!&lt;&gt;""</formula>
    </cfRule>
    <cfRule type="expression" dxfId="2731" priority="2712">
      <formula>#REF!&lt;&gt;""</formula>
    </cfRule>
    <cfRule type="expression" dxfId="2730" priority="2713">
      <formula>#REF!&lt;&gt;""</formula>
    </cfRule>
    <cfRule type="expression" dxfId="2729" priority="2714">
      <formula>#REF!&lt;&gt;""</formula>
    </cfRule>
  </conditionalFormatting>
  <conditionalFormatting sqref="F69">
    <cfRule type="expression" dxfId="2728" priority="2691">
      <formula>#REF!&lt;&gt;""</formula>
    </cfRule>
    <cfRule type="expression" dxfId="2727" priority="2692">
      <formula>#REF!&lt;&gt;""</formula>
    </cfRule>
    <cfRule type="expression" dxfId="2726" priority="2693">
      <formula>#REF!&lt;&gt;""</formula>
    </cfRule>
    <cfRule type="expression" dxfId="2725" priority="2694">
      <formula>#REF!&lt;&gt;""</formula>
    </cfRule>
    <cfRule type="expression" dxfId="2724" priority="2695">
      <formula>#REF!&lt;&gt;""</formula>
    </cfRule>
    <cfRule type="expression" dxfId="2723" priority="2696">
      <formula>#REF!&lt;&gt;""</formula>
    </cfRule>
    <cfRule type="expression" dxfId="2722" priority="2697">
      <formula>#REF!&lt;&gt;""</formula>
    </cfRule>
    <cfRule type="expression" dxfId="2721" priority="2698">
      <formula>#REF!&lt;&gt;""</formula>
    </cfRule>
    <cfRule type="expression" dxfId="2720" priority="2699">
      <formula>#REF!&lt;&gt;""</formula>
    </cfRule>
    <cfRule type="expression" dxfId="2719" priority="2700">
      <formula>#REF!&lt;&gt;""</formula>
    </cfRule>
    <cfRule type="expression" dxfId="2718" priority="2701">
      <formula>#REF!&lt;&gt;""</formula>
    </cfRule>
    <cfRule type="expression" dxfId="2717" priority="2702">
      <formula>#REF!&lt;&gt;""</formula>
    </cfRule>
  </conditionalFormatting>
  <conditionalFormatting sqref="F70">
    <cfRule type="expression" dxfId="2716" priority="2679">
      <formula>#REF!&lt;&gt;""</formula>
    </cfRule>
    <cfRule type="expression" dxfId="2715" priority="2680">
      <formula>#REF!&lt;&gt;""</formula>
    </cfRule>
    <cfRule type="expression" dxfId="2714" priority="2681">
      <formula>#REF!&lt;&gt;""</formula>
    </cfRule>
    <cfRule type="expression" dxfId="2713" priority="2682">
      <formula>#REF!&lt;&gt;""</formula>
    </cfRule>
    <cfRule type="expression" dxfId="2712" priority="2683">
      <formula>#REF!&lt;&gt;""</formula>
    </cfRule>
    <cfRule type="expression" dxfId="2711" priority="2684">
      <formula>#REF!&lt;&gt;""</formula>
    </cfRule>
    <cfRule type="expression" dxfId="2710" priority="2685">
      <formula>#REF!&lt;&gt;""</formula>
    </cfRule>
    <cfRule type="expression" dxfId="2709" priority="2686">
      <formula>#REF!&lt;&gt;""</formula>
    </cfRule>
    <cfRule type="expression" dxfId="2708" priority="2687">
      <formula>#REF!&lt;&gt;""</formula>
    </cfRule>
    <cfRule type="expression" dxfId="2707" priority="2688">
      <formula>#REF!&lt;&gt;""</formula>
    </cfRule>
    <cfRule type="expression" dxfId="2706" priority="2689">
      <formula>#REF!&lt;&gt;""</formula>
    </cfRule>
    <cfRule type="expression" dxfId="2705" priority="2690">
      <formula>#REF!&lt;&gt;""</formula>
    </cfRule>
  </conditionalFormatting>
  <conditionalFormatting sqref="F71">
    <cfRule type="expression" dxfId="2704" priority="2667">
      <formula>#REF!&lt;&gt;""</formula>
    </cfRule>
    <cfRule type="expression" dxfId="2703" priority="2668">
      <formula>#REF!&lt;&gt;""</formula>
    </cfRule>
    <cfRule type="expression" dxfId="2702" priority="2669">
      <formula>#REF!&lt;&gt;""</formula>
    </cfRule>
    <cfRule type="expression" dxfId="2701" priority="2670">
      <formula>#REF!&lt;&gt;""</formula>
    </cfRule>
    <cfRule type="expression" dxfId="2700" priority="2671">
      <formula>#REF!&lt;&gt;""</formula>
    </cfRule>
    <cfRule type="expression" dxfId="2699" priority="2672">
      <formula>#REF!&lt;&gt;""</formula>
    </cfRule>
    <cfRule type="expression" dxfId="2698" priority="2673">
      <formula>#REF!&lt;&gt;""</formula>
    </cfRule>
    <cfRule type="expression" dxfId="2697" priority="2674">
      <formula>#REF!&lt;&gt;""</formula>
    </cfRule>
    <cfRule type="expression" dxfId="2696" priority="2675">
      <formula>#REF!&lt;&gt;""</formula>
    </cfRule>
    <cfRule type="expression" dxfId="2695" priority="2676">
      <formula>#REF!&lt;&gt;""</formula>
    </cfRule>
    <cfRule type="expression" dxfId="2694" priority="2677">
      <formula>#REF!&lt;&gt;""</formula>
    </cfRule>
    <cfRule type="expression" dxfId="2693" priority="2678">
      <formula>#REF!&lt;&gt;""</formula>
    </cfRule>
  </conditionalFormatting>
  <conditionalFormatting sqref="F72">
    <cfRule type="expression" dxfId="2692" priority="2655">
      <formula>#REF!&lt;&gt;""</formula>
    </cfRule>
    <cfRule type="expression" dxfId="2691" priority="2656">
      <formula>#REF!&lt;&gt;""</formula>
    </cfRule>
    <cfRule type="expression" dxfId="2690" priority="2657">
      <formula>#REF!&lt;&gt;""</formula>
    </cfRule>
    <cfRule type="expression" dxfId="2689" priority="2658">
      <formula>#REF!&lt;&gt;""</formula>
    </cfRule>
    <cfRule type="expression" dxfId="2688" priority="2659">
      <formula>#REF!&lt;&gt;""</formula>
    </cfRule>
    <cfRule type="expression" dxfId="2687" priority="2660">
      <formula>#REF!&lt;&gt;""</formula>
    </cfRule>
    <cfRule type="expression" dxfId="2686" priority="2661">
      <formula>#REF!&lt;&gt;""</formula>
    </cfRule>
    <cfRule type="expression" dxfId="2685" priority="2662">
      <formula>#REF!&lt;&gt;""</formula>
    </cfRule>
    <cfRule type="expression" dxfId="2684" priority="2663">
      <formula>#REF!&lt;&gt;""</formula>
    </cfRule>
    <cfRule type="expression" dxfId="2683" priority="2664">
      <formula>#REF!&lt;&gt;""</formula>
    </cfRule>
    <cfRule type="expression" dxfId="2682" priority="2665">
      <formula>#REF!&lt;&gt;""</formula>
    </cfRule>
    <cfRule type="expression" dxfId="2681" priority="2666">
      <formula>#REF!&lt;&gt;""</formula>
    </cfRule>
  </conditionalFormatting>
  <conditionalFormatting sqref="F73">
    <cfRule type="expression" dxfId="2680" priority="2643">
      <formula>#REF!&lt;&gt;""</formula>
    </cfRule>
    <cfRule type="expression" dxfId="2679" priority="2644">
      <formula>#REF!&lt;&gt;""</formula>
    </cfRule>
    <cfRule type="expression" dxfId="2678" priority="2645">
      <formula>#REF!&lt;&gt;""</formula>
    </cfRule>
    <cfRule type="expression" dxfId="2677" priority="2646">
      <formula>#REF!&lt;&gt;""</formula>
    </cfRule>
    <cfRule type="expression" dxfId="2676" priority="2647">
      <formula>#REF!&lt;&gt;""</formula>
    </cfRule>
    <cfRule type="expression" dxfId="2675" priority="2648">
      <formula>#REF!&lt;&gt;""</formula>
    </cfRule>
    <cfRule type="expression" dxfId="2674" priority="2649">
      <formula>#REF!&lt;&gt;""</formula>
    </cfRule>
    <cfRule type="expression" dxfId="2673" priority="2650">
      <formula>#REF!&lt;&gt;""</formula>
    </cfRule>
    <cfRule type="expression" dxfId="2672" priority="2651">
      <formula>#REF!&lt;&gt;""</formula>
    </cfRule>
    <cfRule type="expression" dxfId="2671" priority="2652">
      <formula>#REF!&lt;&gt;""</formula>
    </cfRule>
    <cfRule type="expression" dxfId="2670" priority="2653">
      <formula>#REF!&lt;&gt;""</formula>
    </cfRule>
    <cfRule type="expression" dxfId="2669" priority="2654">
      <formula>#REF!&lt;&gt;""</formula>
    </cfRule>
  </conditionalFormatting>
  <conditionalFormatting sqref="F74">
    <cfRule type="expression" dxfId="2668" priority="2631">
      <formula>#REF!&lt;&gt;""</formula>
    </cfRule>
    <cfRule type="expression" dxfId="2667" priority="2632">
      <formula>#REF!&lt;&gt;""</formula>
    </cfRule>
    <cfRule type="expression" dxfId="2666" priority="2633">
      <formula>#REF!&lt;&gt;""</formula>
    </cfRule>
    <cfRule type="expression" dxfId="2665" priority="2634">
      <formula>#REF!&lt;&gt;""</formula>
    </cfRule>
    <cfRule type="expression" dxfId="2664" priority="2635">
      <formula>#REF!&lt;&gt;""</formula>
    </cfRule>
    <cfRule type="expression" dxfId="2663" priority="2636">
      <formula>#REF!&lt;&gt;""</formula>
    </cfRule>
    <cfRule type="expression" dxfId="2662" priority="2637">
      <formula>#REF!&lt;&gt;""</formula>
    </cfRule>
    <cfRule type="expression" dxfId="2661" priority="2638">
      <formula>#REF!&lt;&gt;""</formula>
    </cfRule>
    <cfRule type="expression" dxfId="2660" priority="2639">
      <formula>#REF!&lt;&gt;""</formula>
    </cfRule>
    <cfRule type="expression" dxfId="2659" priority="2640">
      <formula>#REF!&lt;&gt;""</formula>
    </cfRule>
    <cfRule type="expression" dxfId="2658" priority="2641">
      <formula>#REF!&lt;&gt;""</formula>
    </cfRule>
    <cfRule type="expression" dxfId="2657" priority="2642">
      <formula>#REF!&lt;&gt;""</formula>
    </cfRule>
  </conditionalFormatting>
  <conditionalFormatting sqref="F75">
    <cfRule type="expression" dxfId="2656" priority="2619">
      <formula>#REF!&lt;&gt;""</formula>
    </cfRule>
    <cfRule type="expression" dxfId="2655" priority="2620">
      <formula>#REF!&lt;&gt;""</formula>
    </cfRule>
    <cfRule type="expression" dxfId="2654" priority="2621">
      <formula>#REF!&lt;&gt;""</formula>
    </cfRule>
    <cfRule type="expression" dxfId="2653" priority="2622">
      <formula>#REF!&lt;&gt;""</formula>
    </cfRule>
    <cfRule type="expression" dxfId="2652" priority="2623">
      <formula>#REF!&lt;&gt;""</formula>
    </cfRule>
    <cfRule type="expression" dxfId="2651" priority="2624">
      <formula>#REF!&lt;&gt;""</formula>
    </cfRule>
    <cfRule type="expression" dxfId="2650" priority="2625">
      <formula>#REF!&lt;&gt;""</formula>
    </cfRule>
    <cfRule type="expression" dxfId="2649" priority="2626">
      <formula>#REF!&lt;&gt;""</formula>
    </cfRule>
    <cfRule type="expression" dxfId="2648" priority="2627">
      <formula>#REF!&lt;&gt;""</formula>
    </cfRule>
    <cfRule type="expression" dxfId="2647" priority="2628">
      <formula>#REF!&lt;&gt;""</formula>
    </cfRule>
    <cfRule type="expression" dxfId="2646" priority="2629">
      <formula>#REF!&lt;&gt;""</formula>
    </cfRule>
    <cfRule type="expression" dxfId="2645" priority="2630">
      <formula>#REF!&lt;&gt;""</formula>
    </cfRule>
  </conditionalFormatting>
  <conditionalFormatting sqref="F76">
    <cfRule type="expression" dxfId="2644" priority="2607">
      <formula>#REF!&lt;&gt;""</formula>
    </cfRule>
    <cfRule type="expression" dxfId="2643" priority="2608">
      <formula>#REF!&lt;&gt;""</formula>
    </cfRule>
    <cfRule type="expression" dxfId="2642" priority="2609">
      <formula>#REF!&lt;&gt;""</formula>
    </cfRule>
    <cfRule type="expression" dxfId="2641" priority="2610">
      <formula>#REF!&lt;&gt;""</formula>
    </cfRule>
    <cfRule type="expression" dxfId="2640" priority="2611">
      <formula>#REF!&lt;&gt;""</formula>
    </cfRule>
    <cfRule type="expression" dxfId="2639" priority="2612">
      <formula>#REF!&lt;&gt;""</formula>
    </cfRule>
    <cfRule type="expression" dxfId="2638" priority="2613">
      <formula>#REF!&lt;&gt;""</formula>
    </cfRule>
    <cfRule type="expression" dxfId="2637" priority="2614">
      <formula>#REF!&lt;&gt;""</formula>
    </cfRule>
    <cfRule type="expression" dxfId="2636" priority="2615">
      <formula>#REF!&lt;&gt;""</formula>
    </cfRule>
    <cfRule type="expression" dxfId="2635" priority="2616">
      <formula>#REF!&lt;&gt;""</formula>
    </cfRule>
    <cfRule type="expression" dxfId="2634" priority="2617">
      <formula>#REF!&lt;&gt;""</formula>
    </cfRule>
    <cfRule type="expression" dxfId="2633" priority="2618">
      <formula>#REF!&lt;&gt;""</formula>
    </cfRule>
  </conditionalFormatting>
  <conditionalFormatting sqref="F77">
    <cfRule type="expression" dxfId="2632" priority="2595">
      <formula>#REF!&lt;&gt;""</formula>
    </cfRule>
    <cfRule type="expression" dxfId="2631" priority="2596">
      <formula>#REF!&lt;&gt;""</formula>
    </cfRule>
    <cfRule type="expression" dxfId="2630" priority="2597">
      <formula>#REF!&lt;&gt;""</formula>
    </cfRule>
    <cfRule type="expression" dxfId="2629" priority="2598">
      <formula>#REF!&lt;&gt;""</formula>
    </cfRule>
    <cfRule type="expression" dxfId="2628" priority="2599">
      <formula>#REF!&lt;&gt;""</formula>
    </cfRule>
    <cfRule type="expression" dxfId="2627" priority="2600">
      <formula>#REF!&lt;&gt;""</formula>
    </cfRule>
    <cfRule type="expression" dxfId="2626" priority="2601">
      <formula>#REF!&lt;&gt;""</formula>
    </cfRule>
    <cfRule type="expression" dxfId="2625" priority="2602">
      <formula>#REF!&lt;&gt;""</formula>
    </cfRule>
    <cfRule type="expression" dxfId="2624" priority="2603">
      <formula>#REF!&lt;&gt;""</formula>
    </cfRule>
    <cfRule type="expression" dxfId="2623" priority="2604">
      <formula>#REF!&lt;&gt;""</formula>
    </cfRule>
    <cfRule type="expression" dxfId="2622" priority="2605">
      <formula>#REF!&lt;&gt;""</formula>
    </cfRule>
    <cfRule type="expression" dxfId="2621" priority="2606">
      <formula>#REF!&lt;&gt;""</formula>
    </cfRule>
  </conditionalFormatting>
  <conditionalFormatting sqref="F78">
    <cfRule type="expression" dxfId="2620" priority="2583">
      <formula>#REF!&lt;&gt;""</formula>
    </cfRule>
    <cfRule type="expression" dxfId="2619" priority="2584">
      <formula>#REF!&lt;&gt;""</formula>
    </cfRule>
    <cfRule type="expression" dxfId="2618" priority="2585">
      <formula>#REF!&lt;&gt;""</formula>
    </cfRule>
    <cfRule type="expression" dxfId="2617" priority="2586">
      <formula>#REF!&lt;&gt;""</formula>
    </cfRule>
    <cfRule type="expression" dxfId="2616" priority="2587">
      <formula>#REF!&lt;&gt;""</formula>
    </cfRule>
    <cfRule type="expression" dxfId="2615" priority="2588">
      <formula>#REF!&lt;&gt;""</formula>
    </cfRule>
    <cfRule type="expression" dxfId="2614" priority="2589">
      <formula>#REF!&lt;&gt;""</formula>
    </cfRule>
    <cfRule type="expression" dxfId="2613" priority="2590">
      <formula>#REF!&lt;&gt;""</formula>
    </cfRule>
    <cfRule type="expression" dxfId="2612" priority="2591">
      <formula>#REF!&lt;&gt;""</formula>
    </cfRule>
    <cfRule type="expression" dxfId="2611" priority="2592">
      <formula>#REF!&lt;&gt;""</formula>
    </cfRule>
    <cfRule type="expression" dxfId="2610" priority="2593">
      <formula>#REF!&lt;&gt;""</formula>
    </cfRule>
    <cfRule type="expression" dxfId="2609" priority="2594">
      <formula>#REF!&lt;&gt;""</formula>
    </cfRule>
  </conditionalFormatting>
  <conditionalFormatting sqref="F79">
    <cfRule type="expression" dxfId="2608" priority="2571">
      <formula>#REF!&lt;&gt;""</formula>
    </cfRule>
    <cfRule type="expression" dxfId="2607" priority="2572">
      <formula>#REF!&lt;&gt;""</formula>
    </cfRule>
    <cfRule type="expression" dxfId="2606" priority="2573">
      <formula>#REF!&lt;&gt;""</formula>
    </cfRule>
    <cfRule type="expression" dxfId="2605" priority="2574">
      <formula>#REF!&lt;&gt;""</formula>
    </cfRule>
    <cfRule type="expression" dxfId="2604" priority="2575">
      <formula>#REF!&lt;&gt;""</formula>
    </cfRule>
    <cfRule type="expression" dxfId="2603" priority="2576">
      <formula>#REF!&lt;&gt;""</formula>
    </cfRule>
    <cfRule type="expression" dxfId="2602" priority="2577">
      <formula>#REF!&lt;&gt;""</formula>
    </cfRule>
    <cfRule type="expression" dxfId="2601" priority="2578">
      <formula>#REF!&lt;&gt;""</formula>
    </cfRule>
    <cfRule type="expression" dxfId="2600" priority="2579">
      <formula>#REF!&lt;&gt;""</formula>
    </cfRule>
    <cfRule type="expression" dxfId="2599" priority="2580">
      <formula>#REF!&lt;&gt;""</formula>
    </cfRule>
    <cfRule type="expression" dxfId="2598" priority="2581">
      <formula>#REF!&lt;&gt;""</formula>
    </cfRule>
    <cfRule type="expression" dxfId="2597" priority="2582">
      <formula>#REF!&lt;&gt;""</formula>
    </cfRule>
  </conditionalFormatting>
  <conditionalFormatting sqref="F80">
    <cfRule type="expression" dxfId="2596" priority="2559">
      <formula>#REF!&lt;&gt;""</formula>
    </cfRule>
    <cfRule type="expression" dxfId="2595" priority="2560">
      <formula>#REF!&lt;&gt;""</formula>
    </cfRule>
    <cfRule type="expression" dxfId="2594" priority="2561">
      <formula>#REF!&lt;&gt;""</formula>
    </cfRule>
    <cfRule type="expression" dxfId="2593" priority="2562">
      <formula>#REF!&lt;&gt;""</formula>
    </cfRule>
    <cfRule type="expression" dxfId="2592" priority="2563">
      <formula>#REF!&lt;&gt;""</formula>
    </cfRule>
    <cfRule type="expression" dxfId="2591" priority="2564">
      <formula>#REF!&lt;&gt;""</formula>
    </cfRule>
    <cfRule type="expression" dxfId="2590" priority="2565">
      <formula>#REF!&lt;&gt;""</formula>
    </cfRule>
    <cfRule type="expression" dxfId="2589" priority="2566">
      <formula>#REF!&lt;&gt;""</formula>
    </cfRule>
    <cfRule type="expression" dxfId="2588" priority="2567">
      <formula>#REF!&lt;&gt;""</formula>
    </cfRule>
    <cfRule type="expression" dxfId="2587" priority="2568">
      <formula>#REF!&lt;&gt;""</formula>
    </cfRule>
    <cfRule type="expression" dxfId="2586" priority="2569">
      <formula>#REF!&lt;&gt;""</formula>
    </cfRule>
    <cfRule type="expression" dxfId="2585" priority="2570">
      <formula>#REF!&lt;&gt;""</formula>
    </cfRule>
  </conditionalFormatting>
  <conditionalFormatting sqref="F81">
    <cfRule type="expression" dxfId="2584" priority="2547">
      <formula>#REF!&lt;&gt;""</formula>
    </cfRule>
    <cfRule type="expression" dxfId="2583" priority="2548">
      <formula>#REF!&lt;&gt;""</formula>
    </cfRule>
    <cfRule type="expression" dxfId="2582" priority="2549">
      <formula>#REF!&lt;&gt;""</formula>
    </cfRule>
    <cfRule type="expression" dxfId="2581" priority="2550">
      <formula>#REF!&lt;&gt;""</formula>
    </cfRule>
    <cfRule type="expression" dxfId="2580" priority="2551">
      <formula>#REF!&lt;&gt;""</formula>
    </cfRule>
    <cfRule type="expression" dxfId="2579" priority="2552">
      <formula>#REF!&lt;&gt;""</formula>
    </cfRule>
    <cfRule type="expression" dxfId="2578" priority="2553">
      <formula>#REF!&lt;&gt;""</formula>
    </cfRule>
    <cfRule type="expression" dxfId="2577" priority="2554">
      <formula>#REF!&lt;&gt;""</formula>
    </cfRule>
    <cfRule type="expression" dxfId="2576" priority="2555">
      <formula>#REF!&lt;&gt;""</formula>
    </cfRule>
    <cfRule type="expression" dxfId="2575" priority="2556">
      <formula>#REF!&lt;&gt;""</formula>
    </cfRule>
    <cfRule type="expression" dxfId="2574" priority="2557">
      <formula>#REF!&lt;&gt;""</formula>
    </cfRule>
    <cfRule type="expression" dxfId="2573" priority="2558">
      <formula>#REF!&lt;&gt;""</formula>
    </cfRule>
  </conditionalFormatting>
  <conditionalFormatting sqref="F82">
    <cfRule type="expression" dxfId="2572" priority="2535">
      <formula>#REF!&lt;&gt;""</formula>
    </cfRule>
    <cfRule type="expression" dxfId="2571" priority="2536">
      <formula>#REF!&lt;&gt;""</formula>
    </cfRule>
    <cfRule type="expression" dxfId="2570" priority="2537">
      <formula>#REF!&lt;&gt;""</formula>
    </cfRule>
    <cfRule type="expression" dxfId="2569" priority="2538">
      <formula>#REF!&lt;&gt;""</formula>
    </cfRule>
    <cfRule type="expression" dxfId="2568" priority="2539">
      <formula>#REF!&lt;&gt;""</formula>
    </cfRule>
    <cfRule type="expression" dxfId="2567" priority="2540">
      <formula>#REF!&lt;&gt;""</formula>
    </cfRule>
    <cfRule type="expression" dxfId="2566" priority="2541">
      <formula>#REF!&lt;&gt;""</formula>
    </cfRule>
    <cfRule type="expression" dxfId="2565" priority="2542">
      <formula>#REF!&lt;&gt;""</formula>
    </cfRule>
    <cfRule type="expression" dxfId="2564" priority="2543">
      <formula>#REF!&lt;&gt;""</formula>
    </cfRule>
    <cfRule type="expression" dxfId="2563" priority="2544">
      <formula>#REF!&lt;&gt;""</formula>
    </cfRule>
    <cfRule type="expression" dxfId="2562" priority="2545">
      <formula>#REF!&lt;&gt;""</formula>
    </cfRule>
    <cfRule type="expression" dxfId="2561" priority="2546">
      <formula>#REF!&lt;&gt;""</formula>
    </cfRule>
  </conditionalFormatting>
  <conditionalFormatting sqref="F83">
    <cfRule type="expression" dxfId="2560" priority="2523">
      <formula>#REF!&lt;&gt;""</formula>
    </cfRule>
    <cfRule type="expression" dxfId="2559" priority="2524">
      <formula>#REF!&lt;&gt;""</formula>
    </cfRule>
    <cfRule type="expression" dxfId="2558" priority="2525">
      <formula>#REF!&lt;&gt;""</formula>
    </cfRule>
    <cfRule type="expression" dxfId="2557" priority="2526">
      <formula>#REF!&lt;&gt;""</formula>
    </cfRule>
    <cfRule type="expression" dxfId="2556" priority="2527">
      <formula>#REF!&lt;&gt;""</formula>
    </cfRule>
    <cfRule type="expression" dxfId="2555" priority="2528">
      <formula>#REF!&lt;&gt;""</formula>
    </cfRule>
    <cfRule type="expression" dxfId="2554" priority="2529">
      <formula>#REF!&lt;&gt;""</formula>
    </cfRule>
    <cfRule type="expression" dxfId="2553" priority="2530">
      <formula>#REF!&lt;&gt;""</formula>
    </cfRule>
    <cfRule type="expression" dxfId="2552" priority="2531">
      <formula>#REF!&lt;&gt;""</formula>
    </cfRule>
    <cfRule type="expression" dxfId="2551" priority="2532">
      <formula>#REF!&lt;&gt;""</formula>
    </cfRule>
    <cfRule type="expression" dxfId="2550" priority="2533">
      <formula>#REF!&lt;&gt;""</formula>
    </cfRule>
    <cfRule type="expression" dxfId="2549" priority="2534">
      <formula>#REF!&lt;&gt;""</formula>
    </cfRule>
  </conditionalFormatting>
  <conditionalFormatting sqref="F84">
    <cfRule type="expression" dxfId="2548" priority="2511">
      <formula>#REF!&lt;&gt;""</formula>
    </cfRule>
    <cfRule type="expression" dxfId="2547" priority="2512">
      <formula>#REF!&lt;&gt;""</formula>
    </cfRule>
    <cfRule type="expression" dxfId="2546" priority="2513">
      <formula>#REF!&lt;&gt;""</formula>
    </cfRule>
    <cfRule type="expression" dxfId="2545" priority="2514">
      <formula>#REF!&lt;&gt;""</formula>
    </cfRule>
    <cfRule type="expression" dxfId="2544" priority="2515">
      <formula>#REF!&lt;&gt;""</formula>
    </cfRule>
    <cfRule type="expression" dxfId="2543" priority="2516">
      <formula>#REF!&lt;&gt;""</formula>
    </cfRule>
    <cfRule type="expression" dxfId="2542" priority="2517">
      <formula>#REF!&lt;&gt;""</formula>
    </cfRule>
    <cfRule type="expression" dxfId="2541" priority="2518">
      <formula>#REF!&lt;&gt;""</formula>
    </cfRule>
    <cfRule type="expression" dxfId="2540" priority="2519">
      <formula>#REF!&lt;&gt;""</formula>
    </cfRule>
    <cfRule type="expression" dxfId="2539" priority="2520">
      <formula>#REF!&lt;&gt;""</formula>
    </cfRule>
    <cfRule type="expression" dxfId="2538" priority="2521">
      <formula>#REF!&lt;&gt;""</formula>
    </cfRule>
    <cfRule type="expression" dxfId="2537" priority="2522">
      <formula>#REF!&lt;&gt;""</formula>
    </cfRule>
  </conditionalFormatting>
  <conditionalFormatting sqref="F85">
    <cfRule type="expression" dxfId="2536" priority="2499">
      <formula>#REF!&lt;&gt;""</formula>
    </cfRule>
    <cfRule type="expression" dxfId="2535" priority="2500">
      <formula>#REF!&lt;&gt;""</formula>
    </cfRule>
    <cfRule type="expression" dxfId="2534" priority="2501">
      <formula>#REF!&lt;&gt;""</formula>
    </cfRule>
    <cfRule type="expression" dxfId="2533" priority="2502">
      <formula>#REF!&lt;&gt;""</formula>
    </cfRule>
    <cfRule type="expression" dxfId="2532" priority="2503">
      <formula>#REF!&lt;&gt;""</formula>
    </cfRule>
    <cfRule type="expression" dxfId="2531" priority="2504">
      <formula>#REF!&lt;&gt;""</formula>
    </cfRule>
    <cfRule type="expression" dxfId="2530" priority="2505">
      <formula>#REF!&lt;&gt;""</formula>
    </cfRule>
    <cfRule type="expression" dxfId="2529" priority="2506">
      <formula>#REF!&lt;&gt;""</formula>
    </cfRule>
    <cfRule type="expression" dxfId="2528" priority="2507">
      <formula>#REF!&lt;&gt;""</formula>
    </cfRule>
    <cfRule type="expression" dxfId="2527" priority="2508">
      <formula>#REF!&lt;&gt;""</formula>
    </cfRule>
    <cfRule type="expression" dxfId="2526" priority="2509">
      <formula>#REF!&lt;&gt;""</formula>
    </cfRule>
    <cfRule type="expression" dxfId="2525" priority="2510">
      <formula>#REF!&lt;&gt;""</formula>
    </cfRule>
  </conditionalFormatting>
  <conditionalFormatting sqref="F86">
    <cfRule type="expression" dxfId="2524" priority="2487">
      <formula>#REF!&lt;&gt;""</formula>
    </cfRule>
    <cfRule type="expression" dxfId="2523" priority="2488">
      <formula>#REF!&lt;&gt;""</formula>
    </cfRule>
    <cfRule type="expression" dxfId="2522" priority="2489">
      <formula>#REF!&lt;&gt;""</formula>
    </cfRule>
    <cfRule type="expression" dxfId="2521" priority="2490">
      <formula>#REF!&lt;&gt;""</formula>
    </cfRule>
    <cfRule type="expression" dxfId="2520" priority="2491">
      <formula>#REF!&lt;&gt;""</formula>
    </cfRule>
    <cfRule type="expression" dxfId="2519" priority="2492">
      <formula>#REF!&lt;&gt;""</formula>
    </cfRule>
    <cfRule type="expression" dxfId="2518" priority="2493">
      <formula>#REF!&lt;&gt;""</formula>
    </cfRule>
    <cfRule type="expression" dxfId="2517" priority="2494">
      <formula>#REF!&lt;&gt;""</formula>
    </cfRule>
    <cfRule type="expression" dxfId="2516" priority="2495">
      <formula>#REF!&lt;&gt;""</formula>
    </cfRule>
    <cfRule type="expression" dxfId="2515" priority="2496">
      <formula>#REF!&lt;&gt;""</formula>
    </cfRule>
    <cfRule type="expression" dxfId="2514" priority="2497">
      <formula>#REF!&lt;&gt;""</formula>
    </cfRule>
    <cfRule type="expression" dxfId="2513" priority="2498">
      <formula>#REF!&lt;&gt;""</formula>
    </cfRule>
  </conditionalFormatting>
  <conditionalFormatting sqref="F87">
    <cfRule type="expression" dxfId="2512" priority="2475">
      <formula>#REF!&lt;&gt;""</formula>
    </cfRule>
    <cfRule type="expression" dxfId="2511" priority="2476">
      <formula>#REF!&lt;&gt;""</formula>
    </cfRule>
    <cfRule type="expression" dxfId="2510" priority="2477">
      <formula>#REF!&lt;&gt;""</formula>
    </cfRule>
    <cfRule type="expression" dxfId="2509" priority="2478">
      <formula>#REF!&lt;&gt;""</formula>
    </cfRule>
    <cfRule type="expression" dxfId="2508" priority="2479">
      <formula>#REF!&lt;&gt;""</formula>
    </cfRule>
    <cfRule type="expression" dxfId="2507" priority="2480">
      <formula>#REF!&lt;&gt;""</formula>
    </cfRule>
    <cfRule type="expression" dxfId="2506" priority="2481">
      <formula>#REF!&lt;&gt;""</formula>
    </cfRule>
    <cfRule type="expression" dxfId="2505" priority="2482">
      <formula>#REF!&lt;&gt;""</formula>
    </cfRule>
    <cfRule type="expression" dxfId="2504" priority="2483">
      <formula>#REF!&lt;&gt;""</formula>
    </cfRule>
    <cfRule type="expression" dxfId="2503" priority="2484">
      <formula>#REF!&lt;&gt;""</formula>
    </cfRule>
    <cfRule type="expression" dxfId="2502" priority="2485">
      <formula>#REF!&lt;&gt;""</formula>
    </cfRule>
    <cfRule type="expression" dxfId="2501" priority="2486">
      <formula>#REF!&lt;&gt;""</formula>
    </cfRule>
  </conditionalFormatting>
  <conditionalFormatting sqref="F88">
    <cfRule type="expression" dxfId="2500" priority="2463">
      <formula>#REF!&lt;&gt;""</formula>
    </cfRule>
    <cfRule type="expression" dxfId="2499" priority="2464">
      <formula>#REF!&lt;&gt;""</formula>
    </cfRule>
    <cfRule type="expression" dxfId="2498" priority="2465">
      <formula>#REF!&lt;&gt;""</formula>
    </cfRule>
    <cfRule type="expression" dxfId="2497" priority="2466">
      <formula>#REF!&lt;&gt;""</formula>
    </cfRule>
    <cfRule type="expression" dxfId="2496" priority="2467">
      <formula>#REF!&lt;&gt;""</formula>
    </cfRule>
    <cfRule type="expression" dxfId="2495" priority="2468">
      <formula>#REF!&lt;&gt;""</formula>
    </cfRule>
    <cfRule type="expression" dxfId="2494" priority="2469">
      <formula>#REF!&lt;&gt;""</formula>
    </cfRule>
    <cfRule type="expression" dxfId="2493" priority="2470">
      <formula>#REF!&lt;&gt;""</formula>
    </cfRule>
    <cfRule type="expression" dxfId="2492" priority="2471">
      <formula>#REF!&lt;&gt;""</formula>
    </cfRule>
    <cfRule type="expression" dxfId="2491" priority="2472">
      <formula>#REF!&lt;&gt;""</formula>
    </cfRule>
    <cfRule type="expression" dxfId="2490" priority="2473">
      <formula>#REF!&lt;&gt;""</formula>
    </cfRule>
    <cfRule type="expression" dxfId="2489" priority="2474">
      <formula>#REF!&lt;&gt;""</formula>
    </cfRule>
  </conditionalFormatting>
  <conditionalFormatting sqref="F89">
    <cfRule type="expression" dxfId="2488" priority="2451">
      <formula>#REF!&lt;&gt;""</formula>
    </cfRule>
    <cfRule type="expression" dxfId="2487" priority="2452">
      <formula>#REF!&lt;&gt;""</formula>
    </cfRule>
    <cfRule type="expression" dxfId="2486" priority="2453">
      <formula>#REF!&lt;&gt;""</formula>
    </cfRule>
    <cfRule type="expression" dxfId="2485" priority="2454">
      <formula>#REF!&lt;&gt;""</formula>
    </cfRule>
    <cfRule type="expression" dxfId="2484" priority="2455">
      <formula>#REF!&lt;&gt;""</formula>
    </cfRule>
    <cfRule type="expression" dxfId="2483" priority="2456">
      <formula>#REF!&lt;&gt;""</formula>
    </cfRule>
    <cfRule type="expression" dxfId="2482" priority="2457">
      <formula>#REF!&lt;&gt;""</formula>
    </cfRule>
    <cfRule type="expression" dxfId="2481" priority="2458">
      <formula>#REF!&lt;&gt;""</formula>
    </cfRule>
    <cfRule type="expression" dxfId="2480" priority="2459">
      <formula>#REF!&lt;&gt;""</formula>
    </cfRule>
    <cfRule type="expression" dxfId="2479" priority="2460">
      <formula>#REF!&lt;&gt;""</formula>
    </cfRule>
    <cfRule type="expression" dxfId="2478" priority="2461">
      <formula>#REF!&lt;&gt;""</formula>
    </cfRule>
    <cfRule type="expression" dxfId="2477" priority="2462">
      <formula>#REF!&lt;&gt;""</formula>
    </cfRule>
  </conditionalFormatting>
  <conditionalFormatting sqref="F90">
    <cfRule type="expression" dxfId="2476" priority="2439">
      <formula>#REF!&lt;&gt;""</formula>
    </cfRule>
    <cfRule type="expression" dxfId="2475" priority="2440">
      <formula>#REF!&lt;&gt;""</formula>
    </cfRule>
    <cfRule type="expression" dxfId="2474" priority="2441">
      <formula>#REF!&lt;&gt;""</formula>
    </cfRule>
    <cfRule type="expression" dxfId="2473" priority="2442">
      <formula>#REF!&lt;&gt;""</formula>
    </cfRule>
    <cfRule type="expression" dxfId="2472" priority="2443">
      <formula>#REF!&lt;&gt;""</formula>
    </cfRule>
    <cfRule type="expression" dxfId="2471" priority="2444">
      <formula>#REF!&lt;&gt;""</formula>
    </cfRule>
    <cfRule type="expression" dxfId="2470" priority="2445">
      <formula>#REF!&lt;&gt;""</formula>
    </cfRule>
    <cfRule type="expression" dxfId="2469" priority="2446">
      <formula>#REF!&lt;&gt;""</formula>
    </cfRule>
    <cfRule type="expression" dxfId="2468" priority="2447">
      <formula>#REF!&lt;&gt;""</formula>
    </cfRule>
    <cfRule type="expression" dxfId="2467" priority="2448">
      <formula>#REF!&lt;&gt;""</formula>
    </cfRule>
    <cfRule type="expression" dxfId="2466" priority="2449">
      <formula>#REF!&lt;&gt;""</formula>
    </cfRule>
    <cfRule type="expression" dxfId="2465" priority="2450">
      <formula>#REF!&lt;&gt;""</formula>
    </cfRule>
  </conditionalFormatting>
  <conditionalFormatting sqref="F91">
    <cfRule type="expression" dxfId="2464" priority="2427">
      <formula>#REF!&lt;&gt;""</formula>
    </cfRule>
    <cfRule type="expression" dxfId="2463" priority="2428">
      <formula>#REF!&lt;&gt;""</formula>
    </cfRule>
    <cfRule type="expression" dxfId="2462" priority="2429">
      <formula>#REF!&lt;&gt;""</formula>
    </cfRule>
    <cfRule type="expression" dxfId="2461" priority="2430">
      <formula>#REF!&lt;&gt;""</formula>
    </cfRule>
    <cfRule type="expression" dxfId="2460" priority="2431">
      <formula>#REF!&lt;&gt;""</formula>
    </cfRule>
    <cfRule type="expression" dxfId="2459" priority="2432">
      <formula>#REF!&lt;&gt;""</formula>
    </cfRule>
    <cfRule type="expression" dxfId="2458" priority="2433">
      <formula>#REF!&lt;&gt;""</formula>
    </cfRule>
    <cfRule type="expression" dxfId="2457" priority="2434">
      <formula>#REF!&lt;&gt;""</formula>
    </cfRule>
    <cfRule type="expression" dxfId="2456" priority="2435">
      <formula>#REF!&lt;&gt;""</formula>
    </cfRule>
    <cfRule type="expression" dxfId="2455" priority="2436">
      <formula>#REF!&lt;&gt;""</formula>
    </cfRule>
    <cfRule type="expression" dxfId="2454" priority="2437">
      <formula>#REF!&lt;&gt;""</formula>
    </cfRule>
    <cfRule type="expression" dxfId="2453" priority="2438">
      <formula>#REF!&lt;&gt;""</formula>
    </cfRule>
  </conditionalFormatting>
  <conditionalFormatting sqref="F92">
    <cfRule type="expression" dxfId="2452" priority="2415">
      <formula>#REF!&lt;&gt;""</formula>
    </cfRule>
    <cfRule type="expression" dxfId="2451" priority="2416">
      <formula>#REF!&lt;&gt;""</formula>
    </cfRule>
    <cfRule type="expression" dxfId="2450" priority="2417">
      <formula>#REF!&lt;&gt;""</formula>
    </cfRule>
    <cfRule type="expression" dxfId="2449" priority="2418">
      <formula>#REF!&lt;&gt;""</formula>
    </cfRule>
    <cfRule type="expression" dxfId="2448" priority="2419">
      <formula>#REF!&lt;&gt;""</formula>
    </cfRule>
    <cfRule type="expression" dxfId="2447" priority="2420">
      <formula>#REF!&lt;&gt;""</formula>
    </cfRule>
    <cfRule type="expression" dxfId="2446" priority="2421">
      <formula>#REF!&lt;&gt;""</formula>
    </cfRule>
    <cfRule type="expression" dxfId="2445" priority="2422">
      <formula>#REF!&lt;&gt;""</formula>
    </cfRule>
    <cfRule type="expression" dxfId="2444" priority="2423">
      <formula>#REF!&lt;&gt;""</formula>
    </cfRule>
    <cfRule type="expression" dxfId="2443" priority="2424">
      <formula>#REF!&lt;&gt;""</formula>
    </cfRule>
    <cfRule type="expression" dxfId="2442" priority="2425">
      <formula>#REF!&lt;&gt;""</formula>
    </cfRule>
    <cfRule type="expression" dxfId="2441" priority="2426">
      <formula>#REF!&lt;&gt;""</formula>
    </cfRule>
  </conditionalFormatting>
  <conditionalFormatting sqref="F93">
    <cfRule type="expression" dxfId="2440" priority="2403">
      <formula>#REF!&lt;&gt;""</formula>
    </cfRule>
    <cfRule type="expression" dxfId="2439" priority="2404">
      <formula>#REF!&lt;&gt;""</formula>
    </cfRule>
    <cfRule type="expression" dxfId="2438" priority="2405">
      <formula>#REF!&lt;&gt;""</formula>
    </cfRule>
    <cfRule type="expression" dxfId="2437" priority="2406">
      <formula>#REF!&lt;&gt;""</formula>
    </cfRule>
    <cfRule type="expression" dxfId="2436" priority="2407">
      <formula>#REF!&lt;&gt;""</formula>
    </cfRule>
    <cfRule type="expression" dxfId="2435" priority="2408">
      <formula>#REF!&lt;&gt;""</formula>
    </cfRule>
    <cfRule type="expression" dxfId="2434" priority="2409">
      <formula>#REF!&lt;&gt;""</formula>
    </cfRule>
    <cfRule type="expression" dxfId="2433" priority="2410">
      <formula>#REF!&lt;&gt;""</formula>
    </cfRule>
    <cfRule type="expression" dxfId="2432" priority="2411">
      <formula>#REF!&lt;&gt;""</formula>
    </cfRule>
    <cfRule type="expression" dxfId="2431" priority="2412">
      <formula>#REF!&lt;&gt;""</formula>
    </cfRule>
    <cfRule type="expression" dxfId="2430" priority="2413">
      <formula>#REF!&lt;&gt;""</formula>
    </cfRule>
    <cfRule type="expression" dxfId="2429" priority="2414">
      <formula>#REF!&lt;&gt;""</formula>
    </cfRule>
  </conditionalFormatting>
  <conditionalFormatting sqref="E103">
    <cfRule type="expression" dxfId="2428" priority="2391">
      <formula>#REF!&lt;&gt;""</formula>
    </cfRule>
    <cfRule type="expression" dxfId="2427" priority="2392">
      <formula>#REF!&lt;&gt;""</formula>
    </cfRule>
    <cfRule type="expression" dxfId="2426" priority="2393">
      <formula>#REF!&lt;&gt;""</formula>
    </cfRule>
    <cfRule type="expression" dxfId="2425" priority="2394">
      <formula>#REF!&lt;&gt;""</formula>
    </cfRule>
    <cfRule type="expression" dxfId="2424" priority="2395">
      <formula>#REF!&lt;&gt;""</formula>
    </cfRule>
    <cfRule type="expression" dxfId="2423" priority="2396">
      <formula>#REF!&lt;&gt;""</formula>
    </cfRule>
    <cfRule type="expression" dxfId="2422" priority="2397">
      <formula>#REF!&lt;&gt;""</formula>
    </cfRule>
    <cfRule type="expression" dxfId="2421" priority="2398">
      <formula>#REF!&lt;&gt;""</formula>
    </cfRule>
    <cfRule type="expression" dxfId="2420" priority="2399">
      <formula>#REF!&lt;&gt;""</formula>
    </cfRule>
    <cfRule type="expression" dxfId="2419" priority="2400">
      <formula>#REF!&lt;&gt;""</formula>
    </cfRule>
    <cfRule type="expression" dxfId="2418" priority="2401">
      <formula>#REF!&lt;&gt;""</formula>
    </cfRule>
    <cfRule type="expression" dxfId="2417" priority="2402">
      <formula>#REF!&lt;&gt;""</formula>
    </cfRule>
  </conditionalFormatting>
  <conditionalFormatting sqref="E104">
    <cfRule type="expression" dxfId="2416" priority="2379">
      <formula>#REF!&lt;&gt;""</formula>
    </cfRule>
    <cfRule type="expression" dxfId="2415" priority="2380">
      <formula>#REF!&lt;&gt;""</formula>
    </cfRule>
    <cfRule type="expression" dxfId="2414" priority="2381">
      <formula>#REF!&lt;&gt;""</formula>
    </cfRule>
    <cfRule type="expression" dxfId="2413" priority="2382">
      <formula>#REF!&lt;&gt;""</formula>
    </cfRule>
    <cfRule type="expression" dxfId="2412" priority="2383">
      <formula>#REF!&lt;&gt;""</formula>
    </cfRule>
    <cfRule type="expression" dxfId="2411" priority="2384">
      <formula>#REF!&lt;&gt;""</formula>
    </cfRule>
    <cfRule type="expression" dxfId="2410" priority="2385">
      <formula>#REF!&lt;&gt;""</formula>
    </cfRule>
    <cfRule type="expression" dxfId="2409" priority="2386">
      <formula>#REF!&lt;&gt;""</formula>
    </cfRule>
    <cfRule type="expression" dxfId="2408" priority="2387">
      <formula>#REF!&lt;&gt;""</formula>
    </cfRule>
    <cfRule type="expression" dxfId="2407" priority="2388">
      <formula>#REF!&lt;&gt;""</formula>
    </cfRule>
    <cfRule type="expression" dxfId="2406" priority="2389">
      <formula>#REF!&lt;&gt;""</formula>
    </cfRule>
    <cfRule type="expression" dxfId="2405" priority="2390">
      <formula>#REF!&lt;&gt;""</formula>
    </cfRule>
  </conditionalFormatting>
  <conditionalFormatting sqref="E105">
    <cfRule type="expression" dxfId="2404" priority="2367">
      <formula>#REF!&lt;&gt;""</formula>
    </cfRule>
    <cfRule type="expression" dxfId="2403" priority="2368">
      <formula>#REF!&lt;&gt;""</formula>
    </cfRule>
    <cfRule type="expression" dxfId="2402" priority="2369">
      <formula>#REF!&lt;&gt;""</formula>
    </cfRule>
    <cfRule type="expression" dxfId="2401" priority="2370">
      <formula>#REF!&lt;&gt;""</formula>
    </cfRule>
    <cfRule type="expression" dxfId="2400" priority="2371">
      <formula>#REF!&lt;&gt;""</formula>
    </cfRule>
    <cfRule type="expression" dxfId="2399" priority="2372">
      <formula>#REF!&lt;&gt;""</formula>
    </cfRule>
    <cfRule type="expression" dxfId="2398" priority="2373">
      <formula>#REF!&lt;&gt;""</formula>
    </cfRule>
    <cfRule type="expression" dxfId="2397" priority="2374">
      <formula>#REF!&lt;&gt;""</formula>
    </cfRule>
    <cfRule type="expression" dxfId="2396" priority="2375">
      <formula>#REF!&lt;&gt;""</formula>
    </cfRule>
    <cfRule type="expression" dxfId="2395" priority="2376">
      <formula>#REF!&lt;&gt;""</formula>
    </cfRule>
    <cfRule type="expression" dxfId="2394" priority="2377">
      <formula>#REF!&lt;&gt;""</formula>
    </cfRule>
    <cfRule type="expression" dxfId="2393" priority="2378">
      <formula>#REF!&lt;&gt;""</formula>
    </cfRule>
  </conditionalFormatting>
  <conditionalFormatting sqref="E106">
    <cfRule type="expression" dxfId="2392" priority="2355">
      <formula>#REF!&lt;&gt;""</formula>
    </cfRule>
    <cfRule type="expression" dxfId="2391" priority="2356">
      <formula>#REF!&lt;&gt;""</formula>
    </cfRule>
    <cfRule type="expression" dxfId="2390" priority="2357">
      <formula>#REF!&lt;&gt;""</formula>
    </cfRule>
    <cfRule type="expression" dxfId="2389" priority="2358">
      <formula>#REF!&lt;&gt;""</formula>
    </cfRule>
    <cfRule type="expression" dxfId="2388" priority="2359">
      <formula>#REF!&lt;&gt;""</formula>
    </cfRule>
    <cfRule type="expression" dxfId="2387" priority="2360">
      <formula>#REF!&lt;&gt;""</formula>
    </cfRule>
    <cfRule type="expression" dxfId="2386" priority="2361">
      <formula>#REF!&lt;&gt;""</formula>
    </cfRule>
    <cfRule type="expression" dxfId="2385" priority="2362">
      <formula>#REF!&lt;&gt;""</formula>
    </cfRule>
    <cfRule type="expression" dxfId="2384" priority="2363">
      <formula>#REF!&lt;&gt;""</formula>
    </cfRule>
    <cfRule type="expression" dxfId="2383" priority="2364">
      <formula>#REF!&lt;&gt;""</formula>
    </cfRule>
    <cfRule type="expression" dxfId="2382" priority="2365">
      <formula>#REF!&lt;&gt;""</formula>
    </cfRule>
    <cfRule type="expression" dxfId="2381" priority="2366">
      <formula>#REF!&lt;&gt;""</formula>
    </cfRule>
  </conditionalFormatting>
  <conditionalFormatting sqref="E107">
    <cfRule type="expression" dxfId="2380" priority="2343">
      <formula>#REF!&lt;&gt;""</formula>
    </cfRule>
    <cfRule type="expression" dxfId="2379" priority="2344">
      <formula>#REF!&lt;&gt;""</formula>
    </cfRule>
    <cfRule type="expression" dxfId="2378" priority="2345">
      <formula>#REF!&lt;&gt;""</formula>
    </cfRule>
    <cfRule type="expression" dxfId="2377" priority="2346">
      <formula>#REF!&lt;&gt;""</formula>
    </cfRule>
    <cfRule type="expression" dxfId="2376" priority="2347">
      <formula>#REF!&lt;&gt;""</formula>
    </cfRule>
    <cfRule type="expression" dxfId="2375" priority="2348">
      <formula>#REF!&lt;&gt;""</formula>
    </cfRule>
    <cfRule type="expression" dxfId="2374" priority="2349">
      <formula>#REF!&lt;&gt;""</formula>
    </cfRule>
    <cfRule type="expression" dxfId="2373" priority="2350">
      <formula>#REF!&lt;&gt;""</formula>
    </cfRule>
    <cfRule type="expression" dxfId="2372" priority="2351">
      <formula>#REF!&lt;&gt;""</formula>
    </cfRule>
    <cfRule type="expression" dxfId="2371" priority="2352">
      <formula>#REF!&lt;&gt;""</formula>
    </cfRule>
    <cfRule type="expression" dxfId="2370" priority="2353">
      <formula>#REF!&lt;&gt;""</formula>
    </cfRule>
    <cfRule type="expression" dxfId="2369" priority="2354">
      <formula>#REF!&lt;&gt;""</formula>
    </cfRule>
  </conditionalFormatting>
  <conditionalFormatting sqref="E108">
    <cfRule type="expression" dxfId="2368" priority="2331">
      <formula>#REF!&lt;&gt;""</formula>
    </cfRule>
    <cfRule type="expression" dxfId="2367" priority="2332">
      <formula>#REF!&lt;&gt;""</formula>
    </cfRule>
    <cfRule type="expression" dxfId="2366" priority="2333">
      <formula>#REF!&lt;&gt;""</formula>
    </cfRule>
    <cfRule type="expression" dxfId="2365" priority="2334">
      <formula>#REF!&lt;&gt;""</formula>
    </cfRule>
    <cfRule type="expression" dxfId="2364" priority="2335">
      <formula>#REF!&lt;&gt;""</formula>
    </cfRule>
    <cfRule type="expression" dxfId="2363" priority="2336">
      <formula>#REF!&lt;&gt;""</formula>
    </cfRule>
    <cfRule type="expression" dxfId="2362" priority="2337">
      <formula>#REF!&lt;&gt;""</formula>
    </cfRule>
    <cfRule type="expression" dxfId="2361" priority="2338">
      <formula>#REF!&lt;&gt;""</formula>
    </cfRule>
    <cfRule type="expression" dxfId="2360" priority="2339">
      <formula>#REF!&lt;&gt;""</formula>
    </cfRule>
    <cfRule type="expression" dxfId="2359" priority="2340">
      <formula>#REF!&lt;&gt;""</formula>
    </cfRule>
    <cfRule type="expression" dxfId="2358" priority="2341">
      <formula>#REF!&lt;&gt;""</formula>
    </cfRule>
    <cfRule type="expression" dxfId="2357" priority="2342">
      <formula>#REF!&lt;&gt;""</formula>
    </cfRule>
  </conditionalFormatting>
  <conditionalFormatting sqref="E109">
    <cfRule type="expression" dxfId="2356" priority="2319">
      <formula>#REF!&lt;&gt;""</formula>
    </cfRule>
    <cfRule type="expression" dxfId="2355" priority="2320">
      <formula>#REF!&lt;&gt;""</formula>
    </cfRule>
    <cfRule type="expression" dxfId="2354" priority="2321">
      <formula>#REF!&lt;&gt;""</formula>
    </cfRule>
    <cfRule type="expression" dxfId="2353" priority="2322">
      <formula>#REF!&lt;&gt;""</formula>
    </cfRule>
    <cfRule type="expression" dxfId="2352" priority="2323">
      <formula>#REF!&lt;&gt;""</formula>
    </cfRule>
    <cfRule type="expression" dxfId="2351" priority="2324">
      <formula>#REF!&lt;&gt;""</formula>
    </cfRule>
    <cfRule type="expression" dxfId="2350" priority="2325">
      <formula>#REF!&lt;&gt;""</formula>
    </cfRule>
    <cfRule type="expression" dxfId="2349" priority="2326">
      <formula>#REF!&lt;&gt;""</formula>
    </cfRule>
    <cfRule type="expression" dxfId="2348" priority="2327">
      <formula>#REF!&lt;&gt;""</formula>
    </cfRule>
    <cfRule type="expression" dxfId="2347" priority="2328">
      <formula>#REF!&lt;&gt;""</formula>
    </cfRule>
    <cfRule type="expression" dxfId="2346" priority="2329">
      <formula>#REF!&lt;&gt;""</formula>
    </cfRule>
    <cfRule type="expression" dxfId="2345" priority="2330">
      <formula>#REF!&lt;&gt;""</formula>
    </cfRule>
  </conditionalFormatting>
  <conditionalFormatting sqref="E110">
    <cfRule type="expression" dxfId="2344" priority="2307">
      <formula>#REF!&lt;&gt;""</formula>
    </cfRule>
    <cfRule type="expression" dxfId="2343" priority="2308">
      <formula>#REF!&lt;&gt;""</formula>
    </cfRule>
    <cfRule type="expression" dxfId="2342" priority="2309">
      <formula>#REF!&lt;&gt;""</formula>
    </cfRule>
    <cfRule type="expression" dxfId="2341" priority="2310">
      <formula>#REF!&lt;&gt;""</formula>
    </cfRule>
    <cfRule type="expression" dxfId="2340" priority="2311">
      <formula>#REF!&lt;&gt;""</formula>
    </cfRule>
    <cfRule type="expression" dxfId="2339" priority="2312">
      <formula>#REF!&lt;&gt;""</formula>
    </cfRule>
    <cfRule type="expression" dxfId="2338" priority="2313">
      <formula>#REF!&lt;&gt;""</formula>
    </cfRule>
    <cfRule type="expression" dxfId="2337" priority="2314">
      <formula>#REF!&lt;&gt;""</formula>
    </cfRule>
    <cfRule type="expression" dxfId="2336" priority="2315">
      <formula>#REF!&lt;&gt;""</formula>
    </cfRule>
    <cfRule type="expression" dxfId="2335" priority="2316">
      <formula>#REF!&lt;&gt;""</formula>
    </cfRule>
    <cfRule type="expression" dxfId="2334" priority="2317">
      <formula>#REF!&lt;&gt;""</formula>
    </cfRule>
    <cfRule type="expression" dxfId="2333" priority="2318">
      <formula>#REF!&lt;&gt;""</formula>
    </cfRule>
  </conditionalFormatting>
  <conditionalFormatting sqref="E111">
    <cfRule type="expression" dxfId="2332" priority="2295">
      <formula>#REF!&lt;&gt;""</formula>
    </cfRule>
    <cfRule type="expression" dxfId="2331" priority="2296">
      <formula>#REF!&lt;&gt;""</formula>
    </cfRule>
    <cfRule type="expression" dxfId="2330" priority="2297">
      <formula>#REF!&lt;&gt;""</formula>
    </cfRule>
    <cfRule type="expression" dxfId="2329" priority="2298">
      <formula>#REF!&lt;&gt;""</formula>
    </cfRule>
    <cfRule type="expression" dxfId="2328" priority="2299">
      <formula>#REF!&lt;&gt;""</formula>
    </cfRule>
    <cfRule type="expression" dxfId="2327" priority="2300">
      <formula>#REF!&lt;&gt;""</formula>
    </cfRule>
    <cfRule type="expression" dxfId="2326" priority="2301">
      <formula>#REF!&lt;&gt;""</formula>
    </cfRule>
    <cfRule type="expression" dxfId="2325" priority="2302">
      <formula>#REF!&lt;&gt;""</formula>
    </cfRule>
    <cfRule type="expression" dxfId="2324" priority="2303">
      <formula>#REF!&lt;&gt;""</formula>
    </cfRule>
    <cfRule type="expression" dxfId="2323" priority="2304">
      <formula>#REF!&lt;&gt;""</formula>
    </cfRule>
    <cfRule type="expression" dxfId="2322" priority="2305">
      <formula>#REF!&lt;&gt;""</formula>
    </cfRule>
    <cfRule type="expression" dxfId="2321" priority="2306">
      <formula>#REF!&lt;&gt;""</formula>
    </cfRule>
  </conditionalFormatting>
  <conditionalFormatting sqref="E112">
    <cfRule type="expression" dxfId="2320" priority="2283">
      <formula>#REF!&lt;&gt;""</formula>
    </cfRule>
    <cfRule type="expression" dxfId="2319" priority="2284">
      <formula>#REF!&lt;&gt;""</formula>
    </cfRule>
    <cfRule type="expression" dxfId="2318" priority="2285">
      <formula>#REF!&lt;&gt;""</formula>
    </cfRule>
    <cfRule type="expression" dxfId="2317" priority="2286">
      <formula>#REF!&lt;&gt;""</formula>
    </cfRule>
    <cfRule type="expression" dxfId="2316" priority="2287">
      <formula>#REF!&lt;&gt;""</formula>
    </cfRule>
    <cfRule type="expression" dxfId="2315" priority="2288">
      <formula>#REF!&lt;&gt;""</formula>
    </cfRule>
    <cfRule type="expression" dxfId="2314" priority="2289">
      <formula>#REF!&lt;&gt;""</formula>
    </cfRule>
    <cfRule type="expression" dxfId="2313" priority="2290">
      <formula>#REF!&lt;&gt;""</formula>
    </cfRule>
    <cfRule type="expression" dxfId="2312" priority="2291">
      <formula>#REF!&lt;&gt;""</formula>
    </cfRule>
    <cfRule type="expression" dxfId="2311" priority="2292">
      <formula>#REF!&lt;&gt;""</formula>
    </cfRule>
    <cfRule type="expression" dxfId="2310" priority="2293">
      <formula>#REF!&lt;&gt;""</formula>
    </cfRule>
    <cfRule type="expression" dxfId="2309" priority="2294">
      <formula>#REF!&lt;&gt;""</formula>
    </cfRule>
  </conditionalFormatting>
  <conditionalFormatting sqref="E113">
    <cfRule type="expression" dxfId="2308" priority="2271">
      <formula>#REF!&lt;&gt;""</formula>
    </cfRule>
    <cfRule type="expression" dxfId="2307" priority="2272">
      <formula>#REF!&lt;&gt;""</formula>
    </cfRule>
    <cfRule type="expression" dxfId="2306" priority="2273">
      <formula>#REF!&lt;&gt;""</formula>
    </cfRule>
    <cfRule type="expression" dxfId="2305" priority="2274">
      <formula>#REF!&lt;&gt;""</formula>
    </cfRule>
    <cfRule type="expression" dxfId="2304" priority="2275">
      <formula>#REF!&lt;&gt;""</formula>
    </cfRule>
    <cfRule type="expression" dxfId="2303" priority="2276">
      <formula>#REF!&lt;&gt;""</formula>
    </cfRule>
    <cfRule type="expression" dxfId="2302" priority="2277">
      <formula>#REF!&lt;&gt;""</formula>
    </cfRule>
    <cfRule type="expression" dxfId="2301" priority="2278">
      <formula>#REF!&lt;&gt;""</formula>
    </cfRule>
    <cfRule type="expression" dxfId="2300" priority="2279">
      <formula>#REF!&lt;&gt;""</formula>
    </cfRule>
    <cfRule type="expression" dxfId="2299" priority="2280">
      <formula>#REF!&lt;&gt;""</formula>
    </cfRule>
    <cfRule type="expression" dxfId="2298" priority="2281">
      <formula>#REF!&lt;&gt;""</formula>
    </cfRule>
    <cfRule type="expression" dxfId="2297" priority="2282">
      <formula>#REF!&lt;&gt;""</formula>
    </cfRule>
  </conditionalFormatting>
  <conditionalFormatting sqref="E114">
    <cfRule type="expression" dxfId="2296" priority="2259">
      <formula>#REF!&lt;&gt;""</formula>
    </cfRule>
    <cfRule type="expression" dxfId="2295" priority="2260">
      <formula>#REF!&lt;&gt;""</formula>
    </cfRule>
    <cfRule type="expression" dxfId="2294" priority="2261">
      <formula>#REF!&lt;&gt;""</formula>
    </cfRule>
    <cfRule type="expression" dxfId="2293" priority="2262">
      <formula>#REF!&lt;&gt;""</formula>
    </cfRule>
    <cfRule type="expression" dxfId="2292" priority="2263">
      <formula>#REF!&lt;&gt;""</formula>
    </cfRule>
    <cfRule type="expression" dxfId="2291" priority="2264">
      <formula>#REF!&lt;&gt;""</formula>
    </cfRule>
    <cfRule type="expression" dxfId="2290" priority="2265">
      <formula>#REF!&lt;&gt;""</formula>
    </cfRule>
    <cfRule type="expression" dxfId="2289" priority="2266">
      <formula>#REF!&lt;&gt;""</formula>
    </cfRule>
    <cfRule type="expression" dxfId="2288" priority="2267">
      <formula>#REF!&lt;&gt;""</formula>
    </cfRule>
    <cfRule type="expression" dxfId="2287" priority="2268">
      <formula>#REF!&lt;&gt;""</formula>
    </cfRule>
    <cfRule type="expression" dxfId="2286" priority="2269">
      <formula>#REF!&lt;&gt;""</formula>
    </cfRule>
    <cfRule type="expression" dxfId="2285" priority="2270">
      <formula>#REF!&lt;&gt;""</formula>
    </cfRule>
  </conditionalFormatting>
  <conditionalFormatting sqref="E115">
    <cfRule type="expression" dxfId="2284" priority="2247">
      <formula>#REF!&lt;&gt;""</formula>
    </cfRule>
    <cfRule type="expression" dxfId="2283" priority="2248">
      <formula>#REF!&lt;&gt;""</formula>
    </cfRule>
    <cfRule type="expression" dxfId="2282" priority="2249">
      <formula>#REF!&lt;&gt;""</formula>
    </cfRule>
    <cfRule type="expression" dxfId="2281" priority="2250">
      <formula>#REF!&lt;&gt;""</formula>
    </cfRule>
    <cfRule type="expression" dxfId="2280" priority="2251">
      <formula>#REF!&lt;&gt;""</formula>
    </cfRule>
    <cfRule type="expression" dxfId="2279" priority="2252">
      <formula>#REF!&lt;&gt;""</formula>
    </cfRule>
    <cfRule type="expression" dxfId="2278" priority="2253">
      <formula>#REF!&lt;&gt;""</formula>
    </cfRule>
    <cfRule type="expression" dxfId="2277" priority="2254">
      <formula>#REF!&lt;&gt;""</formula>
    </cfRule>
    <cfRule type="expression" dxfId="2276" priority="2255">
      <formula>#REF!&lt;&gt;""</formula>
    </cfRule>
    <cfRule type="expression" dxfId="2275" priority="2256">
      <formula>#REF!&lt;&gt;""</formula>
    </cfRule>
    <cfRule type="expression" dxfId="2274" priority="2257">
      <formula>#REF!&lt;&gt;""</formula>
    </cfRule>
    <cfRule type="expression" dxfId="2273" priority="2258">
      <formula>#REF!&lt;&gt;""</formula>
    </cfRule>
  </conditionalFormatting>
  <conditionalFormatting sqref="E116">
    <cfRule type="expression" dxfId="2272" priority="2235">
      <formula>#REF!&lt;&gt;""</formula>
    </cfRule>
    <cfRule type="expression" dxfId="2271" priority="2236">
      <formula>#REF!&lt;&gt;""</formula>
    </cfRule>
    <cfRule type="expression" dxfId="2270" priority="2237">
      <formula>#REF!&lt;&gt;""</formula>
    </cfRule>
    <cfRule type="expression" dxfId="2269" priority="2238">
      <formula>#REF!&lt;&gt;""</formula>
    </cfRule>
    <cfRule type="expression" dxfId="2268" priority="2239">
      <formula>#REF!&lt;&gt;""</formula>
    </cfRule>
    <cfRule type="expression" dxfId="2267" priority="2240">
      <formula>#REF!&lt;&gt;""</formula>
    </cfRule>
    <cfRule type="expression" dxfId="2266" priority="2241">
      <formula>#REF!&lt;&gt;""</formula>
    </cfRule>
    <cfRule type="expression" dxfId="2265" priority="2242">
      <formula>#REF!&lt;&gt;""</formula>
    </cfRule>
    <cfRule type="expression" dxfId="2264" priority="2243">
      <formula>#REF!&lt;&gt;""</formula>
    </cfRule>
    <cfRule type="expression" dxfId="2263" priority="2244">
      <formula>#REF!&lt;&gt;""</formula>
    </cfRule>
    <cfRule type="expression" dxfId="2262" priority="2245">
      <formula>#REF!&lt;&gt;""</formula>
    </cfRule>
    <cfRule type="expression" dxfId="2261" priority="2246">
      <formula>#REF!&lt;&gt;""</formula>
    </cfRule>
  </conditionalFormatting>
  <conditionalFormatting sqref="E117">
    <cfRule type="expression" dxfId="2260" priority="2223">
      <formula>#REF!&lt;&gt;""</formula>
    </cfRule>
    <cfRule type="expression" dxfId="2259" priority="2224">
      <formula>#REF!&lt;&gt;""</formula>
    </cfRule>
    <cfRule type="expression" dxfId="2258" priority="2225">
      <formula>#REF!&lt;&gt;""</formula>
    </cfRule>
    <cfRule type="expression" dxfId="2257" priority="2226">
      <formula>#REF!&lt;&gt;""</formula>
    </cfRule>
    <cfRule type="expression" dxfId="2256" priority="2227">
      <formula>#REF!&lt;&gt;""</formula>
    </cfRule>
    <cfRule type="expression" dxfId="2255" priority="2228">
      <formula>#REF!&lt;&gt;""</formula>
    </cfRule>
    <cfRule type="expression" dxfId="2254" priority="2229">
      <formula>#REF!&lt;&gt;""</formula>
    </cfRule>
    <cfRule type="expression" dxfId="2253" priority="2230">
      <formula>#REF!&lt;&gt;""</formula>
    </cfRule>
    <cfRule type="expression" dxfId="2252" priority="2231">
      <formula>#REF!&lt;&gt;""</formula>
    </cfRule>
    <cfRule type="expression" dxfId="2251" priority="2232">
      <formula>#REF!&lt;&gt;""</formula>
    </cfRule>
    <cfRule type="expression" dxfId="2250" priority="2233">
      <formula>#REF!&lt;&gt;""</formula>
    </cfRule>
    <cfRule type="expression" dxfId="2249" priority="2234">
      <formula>#REF!&lt;&gt;""</formula>
    </cfRule>
  </conditionalFormatting>
  <conditionalFormatting sqref="E118">
    <cfRule type="expression" dxfId="2248" priority="2211">
      <formula>#REF!&lt;&gt;""</formula>
    </cfRule>
    <cfRule type="expression" dxfId="2247" priority="2212">
      <formula>#REF!&lt;&gt;""</formula>
    </cfRule>
    <cfRule type="expression" dxfId="2246" priority="2213">
      <formula>#REF!&lt;&gt;""</formula>
    </cfRule>
    <cfRule type="expression" dxfId="2245" priority="2214">
      <formula>#REF!&lt;&gt;""</formula>
    </cfRule>
    <cfRule type="expression" dxfId="2244" priority="2215">
      <formula>#REF!&lt;&gt;""</formula>
    </cfRule>
    <cfRule type="expression" dxfId="2243" priority="2216">
      <formula>#REF!&lt;&gt;""</formula>
    </cfRule>
    <cfRule type="expression" dxfId="2242" priority="2217">
      <formula>#REF!&lt;&gt;""</formula>
    </cfRule>
    <cfRule type="expression" dxfId="2241" priority="2218">
      <formula>#REF!&lt;&gt;""</formula>
    </cfRule>
    <cfRule type="expression" dxfId="2240" priority="2219">
      <formula>#REF!&lt;&gt;""</formula>
    </cfRule>
    <cfRule type="expression" dxfId="2239" priority="2220">
      <formula>#REF!&lt;&gt;""</formula>
    </cfRule>
    <cfRule type="expression" dxfId="2238" priority="2221">
      <formula>#REF!&lt;&gt;""</formula>
    </cfRule>
    <cfRule type="expression" dxfId="2237" priority="2222">
      <formula>#REF!&lt;&gt;""</formula>
    </cfRule>
  </conditionalFormatting>
  <conditionalFormatting sqref="E119">
    <cfRule type="expression" dxfId="2236" priority="2199">
      <formula>#REF!&lt;&gt;""</formula>
    </cfRule>
    <cfRule type="expression" dxfId="2235" priority="2200">
      <formula>#REF!&lt;&gt;""</formula>
    </cfRule>
    <cfRule type="expression" dxfId="2234" priority="2201">
      <formula>#REF!&lt;&gt;""</formula>
    </cfRule>
    <cfRule type="expression" dxfId="2233" priority="2202">
      <formula>#REF!&lt;&gt;""</formula>
    </cfRule>
    <cfRule type="expression" dxfId="2232" priority="2203">
      <formula>#REF!&lt;&gt;""</formula>
    </cfRule>
    <cfRule type="expression" dxfId="2231" priority="2204">
      <formula>#REF!&lt;&gt;""</formula>
    </cfRule>
    <cfRule type="expression" dxfId="2230" priority="2205">
      <formula>#REF!&lt;&gt;""</formula>
    </cfRule>
    <cfRule type="expression" dxfId="2229" priority="2206">
      <formula>#REF!&lt;&gt;""</formula>
    </cfRule>
    <cfRule type="expression" dxfId="2228" priority="2207">
      <formula>#REF!&lt;&gt;""</formula>
    </cfRule>
    <cfRule type="expression" dxfId="2227" priority="2208">
      <formula>#REF!&lt;&gt;""</formula>
    </cfRule>
    <cfRule type="expression" dxfId="2226" priority="2209">
      <formula>#REF!&lt;&gt;""</formula>
    </cfRule>
    <cfRule type="expression" dxfId="2225" priority="2210">
      <formula>#REF!&lt;&gt;""</formula>
    </cfRule>
  </conditionalFormatting>
  <conditionalFormatting sqref="E120">
    <cfRule type="expression" dxfId="2224" priority="2187">
      <formula>#REF!&lt;&gt;""</formula>
    </cfRule>
    <cfRule type="expression" dxfId="2223" priority="2188">
      <formula>#REF!&lt;&gt;""</formula>
    </cfRule>
    <cfRule type="expression" dxfId="2222" priority="2189">
      <formula>#REF!&lt;&gt;""</formula>
    </cfRule>
    <cfRule type="expression" dxfId="2221" priority="2190">
      <formula>#REF!&lt;&gt;""</formula>
    </cfRule>
    <cfRule type="expression" dxfId="2220" priority="2191">
      <formula>#REF!&lt;&gt;""</formula>
    </cfRule>
    <cfRule type="expression" dxfId="2219" priority="2192">
      <formula>#REF!&lt;&gt;""</formula>
    </cfRule>
    <cfRule type="expression" dxfId="2218" priority="2193">
      <formula>#REF!&lt;&gt;""</formula>
    </cfRule>
    <cfRule type="expression" dxfId="2217" priority="2194">
      <formula>#REF!&lt;&gt;""</formula>
    </cfRule>
    <cfRule type="expression" dxfId="2216" priority="2195">
      <formula>#REF!&lt;&gt;""</formula>
    </cfRule>
    <cfRule type="expression" dxfId="2215" priority="2196">
      <formula>#REF!&lt;&gt;""</formula>
    </cfRule>
    <cfRule type="expression" dxfId="2214" priority="2197">
      <formula>#REF!&lt;&gt;""</formula>
    </cfRule>
    <cfRule type="expression" dxfId="2213" priority="2198">
      <formula>#REF!&lt;&gt;""</formula>
    </cfRule>
  </conditionalFormatting>
  <conditionalFormatting sqref="E121">
    <cfRule type="expression" dxfId="2212" priority="2175">
      <formula>#REF!&lt;&gt;""</formula>
    </cfRule>
    <cfRule type="expression" dxfId="2211" priority="2176">
      <formula>#REF!&lt;&gt;""</formula>
    </cfRule>
    <cfRule type="expression" dxfId="2210" priority="2177">
      <formula>#REF!&lt;&gt;""</formula>
    </cfRule>
    <cfRule type="expression" dxfId="2209" priority="2178">
      <formula>#REF!&lt;&gt;""</formula>
    </cfRule>
    <cfRule type="expression" dxfId="2208" priority="2179">
      <formula>#REF!&lt;&gt;""</formula>
    </cfRule>
    <cfRule type="expression" dxfId="2207" priority="2180">
      <formula>#REF!&lt;&gt;""</formula>
    </cfRule>
    <cfRule type="expression" dxfId="2206" priority="2181">
      <formula>#REF!&lt;&gt;""</formula>
    </cfRule>
    <cfRule type="expression" dxfId="2205" priority="2182">
      <formula>#REF!&lt;&gt;""</formula>
    </cfRule>
    <cfRule type="expression" dxfId="2204" priority="2183">
      <formula>#REF!&lt;&gt;""</formula>
    </cfRule>
    <cfRule type="expression" dxfId="2203" priority="2184">
      <formula>#REF!&lt;&gt;""</formula>
    </cfRule>
    <cfRule type="expression" dxfId="2202" priority="2185">
      <formula>#REF!&lt;&gt;""</formula>
    </cfRule>
    <cfRule type="expression" dxfId="2201" priority="2186">
      <formula>#REF!&lt;&gt;""</formula>
    </cfRule>
  </conditionalFormatting>
  <conditionalFormatting sqref="E122">
    <cfRule type="expression" dxfId="2200" priority="2163">
      <formula>#REF!&lt;&gt;""</formula>
    </cfRule>
    <cfRule type="expression" dxfId="2199" priority="2164">
      <formula>#REF!&lt;&gt;""</formula>
    </cfRule>
    <cfRule type="expression" dxfId="2198" priority="2165">
      <formula>#REF!&lt;&gt;""</formula>
    </cfRule>
    <cfRule type="expression" dxfId="2197" priority="2166">
      <formula>#REF!&lt;&gt;""</formula>
    </cfRule>
    <cfRule type="expression" dxfId="2196" priority="2167">
      <formula>#REF!&lt;&gt;""</formula>
    </cfRule>
    <cfRule type="expression" dxfId="2195" priority="2168">
      <formula>#REF!&lt;&gt;""</formula>
    </cfRule>
    <cfRule type="expression" dxfId="2194" priority="2169">
      <formula>#REF!&lt;&gt;""</formula>
    </cfRule>
    <cfRule type="expression" dxfId="2193" priority="2170">
      <formula>#REF!&lt;&gt;""</formula>
    </cfRule>
    <cfRule type="expression" dxfId="2192" priority="2171">
      <formula>#REF!&lt;&gt;""</formula>
    </cfRule>
    <cfRule type="expression" dxfId="2191" priority="2172">
      <formula>#REF!&lt;&gt;""</formula>
    </cfRule>
    <cfRule type="expression" dxfId="2190" priority="2173">
      <formula>#REF!&lt;&gt;""</formula>
    </cfRule>
    <cfRule type="expression" dxfId="2189" priority="2174">
      <formula>#REF!&lt;&gt;""</formula>
    </cfRule>
  </conditionalFormatting>
  <conditionalFormatting sqref="E123">
    <cfRule type="expression" dxfId="2188" priority="2151">
      <formula>#REF!&lt;&gt;""</formula>
    </cfRule>
    <cfRule type="expression" dxfId="2187" priority="2152">
      <formula>#REF!&lt;&gt;""</formula>
    </cfRule>
    <cfRule type="expression" dxfId="2186" priority="2153">
      <formula>#REF!&lt;&gt;""</formula>
    </cfRule>
    <cfRule type="expression" dxfId="2185" priority="2154">
      <formula>#REF!&lt;&gt;""</formula>
    </cfRule>
    <cfRule type="expression" dxfId="2184" priority="2155">
      <formula>#REF!&lt;&gt;""</formula>
    </cfRule>
    <cfRule type="expression" dxfId="2183" priority="2156">
      <formula>#REF!&lt;&gt;""</formula>
    </cfRule>
    <cfRule type="expression" dxfId="2182" priority="2157">
      <formula>#REF!&lt;&gt;""</formula>
    </cfRule>
    <cfRule type="expression" dxfId="2181" priority="2158">
      <formula>#REF!&lt;&gt;""</formula>
    </cfRule>
    <cfRule type="expression" dxfId="2180" priority="2159">
      <formula>#REF!&lt;&gt;""</formula>
    </cfRule>
    <cfRule type="expression" dxfId="2179" priority="2160">
      <formula>#REF!&lt;&gt;""</formula>
    </cfRule>
    <cfRule type="expression" dxfId="2178" priority="2161">
      <formula>#REF!&lt;&gt;""</formula>
    </cfRule>
    <cfRule type="expression" dxfId="2177" priority="2162">
      <formula>#REF!&lt;&gt;""</formula>
    </cfRule>
  </conditionalFormatting>
  <conditionalFormatting sqref="E124">
    <cfRule type="expression" dxfId="2176" priority="2139">
      <formula>#REF!&lt;&gt;""</formula>
    </cfRule>
    <cfRule type="expression" dxfId="2175" priority="2140">
      <formula>#REF!&lt;&gt;""</formula>
    </cfRule>
    <cfRule type="expression" dxfId="2174" priority="2141">
      <formula>#REF!&lt;&gt;""</formula>
    </cfRule>
    <cfRule type="expression" dxfId="2173" priority="2142">
      <formula>#REF!&lt;&gt;""</formula>
    </cfRule>
    <cfRule type="expression" dxfId="2172" priority="2143">
      <formula>#REF!&lt;&gt;""</formula>
    </cfRule>
    <cfRule type="expression" dxfId="2171" priority="2144">
      <formula>#REF!&lt;&gt;""</formula>
    </cfRule>
    <cfRule type="expression" dxfId="2170" priority="2145">
      <formula>#REF!&lt;&gt;""</formula>
    </cfRule>
    <cfRule type="expression" dxfId="2169" priority="2146">
      <formula>#REF!&lt;&gt;""</formula>
    </cfRule>
    <cfRule type="expression" dxfId="2168" priority="2147">
      <formula>#REF!&lt;&gt;""</formula>
    </cfRule>
    <cfRule type="expression" dxfId="2167" priority="2148">
      <formula>#REF!&lt;&gt;""</formula>
    </cfRule>
    <cfRule type="expression" dxfId="2166" priority="2149">
      <formula>#REF!&lt;&gt;""</formula>
    </cfRule>
    <cfRule type="expression" dxfId="2165" priority="2150">
      <formula>#REF!&lt;&gt;""</formula>
    </cfRule>
  </conditionalFormatting>
  <conditionalFormatting sqref="E125">
    <cfRule type="expression" dxfId="2164" priority="2127">
      <formula>#REF!&lt;&gt;""</formula>
    </cfRule>
    <cfRule type="expression" dxfId="2163" priority="2128">
      <formula>#REF!&lt;&gt;""</formula>
    </cfRule>
    <cfRule type="expression" dxfId="2162" priority="2129">
      <formula>#REF!&lt;&gt;""</formula>
    </cfRule>
    <cfRule type="expression" dxfId="2161" priority="2130">
      <formula>#REF!&lt;&gt;""</formula>
    </cfRule>
    <cfRule type="expression" dxfId="2160" priority="2131">
      <formula>#REF!&lt;&gt;""</formula>
    </cfRule>
    <cfRule type="expression" dxfId="2159" priority="2132">
      <formula>#REF!&lt;&gt;""</formula>
    </cfRule>
    <cfRule type="expression" dxfId="2158" priority="2133">
      <formula>#REF!&lt;&gt;""</formula>
    </cfRule>
    <cfRule type="expression" dxfId="2157" priority="2134">
      <formula>#REF!&lt;&gt;""</formula>
    </cfRule>
    <cfRule type="expression" dxfId="2156" priority="2135">
      <formula>#REF!&lt;&gt;""</formula>
    </cfRule>
    <cfRule type="expression" dxfId="2155" priority="2136">
      <formula>#REF!&lt;&gt;""</formula>
    </cfRule>
    <cfRule type="expression" dxfId="2154" priority="2137">
      <formula>#REF!&lt;&gt;""</formula>
    </cfRule>
    <cfRule type="expression" dxfId="2153" priority="2138">
      <formula>#REF!&lt;&gt;""</formula>
    </cfRule>
  </conditionalFormatting>
  <conditionalFormatting sqref="E126">
    <cfRule type="expression" dxfId="2152" priority="2115">
      <formula>#REF!&lt;&gt;""</formula>
    </cfRule>
    <cfRule type="expression" dxfId="2151" priority="2116">
      <formula>#REF!&lt;&gt;""</formula>
    </cfRule>
    <cfRule type="expression" dxfId="2150" priority="2117">
      <formula>#REF!&lt;&gt;""</formula>
    </cfRule>
    <cfRule type="expression" dxfId="2149" priority="2118">
      <formula>#REF!&lt;&gt;""</formula>
    </cfRule>
    <cfRule type="expression" dxfId="2148" priority="2119">
      <formula>#REF!&lt;&gt;""</formula>
    </cfRule>
    <cfRule type="expression" dxfId="2147" priority="2120">
      <formula>#REF!&lt;&gt;""</formula>
    </cfRule>
    <cfRule type="expression" dxfId="2146" priority="2121">
      <formula>#REF!&lt;&gt;""</formula>
    </cfRule>
    <cfRule type="expression" dxfId="2145" priority="2122">
      <formula>#REF!&lt;&gt;""</formula>
    </cfRule>
    <cfRule type="expression" dxfId="2144" priority="2123">
      <formula>#REF!&lt;&gt;""</formula>
    </cfRule>
    <cfRule type="expression" dxfId="2143" priority="2124">
      <formula>#REF!&lt;&gt;""</formula>
    </cfRule>
    <cfRule type="expression" dxfId="2142" priority="2125">
      <formula>#REF!&lt;&gt;""</formula>
    </cfRule>
    <cfRule type="expression" dxfId="2141" priority="2126">
      <formula>#REF!&lt;&gt;""</formula>
    </cfRule>
  </conditionalFormatting>
  <conditionalFormatting sqref="E127">
    <cfRule type="expression" dxfId="2140" priority="2103">
      <formula>#REF!&lt;&gt;""</formula>
    </cfRule>
    <cfRule type="expression" dxfId="2139" priority="2104">
      <formula>#REF!&lt;&gt;""</formula>
    </cfRule>
    <cfRule type="expression" dxfId="2138" priority="2105">
      <formula>#REF!&lt;&gt;""</formula>
    </cfRule>
    <cfRule type="expression" dxfId="2137" priority="2106">
      <formula>#REF!&lt;&gt;""</formula>
    </cfRule>
    <cfRule type="expression" dxfId="2136" priority="2107">
      <formula>#REF!&lt;&gt;""</formula>
    </cfRule>
    <cfRule type="expression" dxfId="2135" priority="2108">
      <formula>#REF!&lt;&gt;""</formula>
    </cfRule>
    <cfRule type="expression" dxfId="2134" priority="2109">
      <formula>#REF!&lt;&gt;""</formula>
    </cfRule>
    <cfRule type="expression" dxfId="2133" priority="2110">
      <formula>#REF!&lt;&gt;""</formula>
    </cfRule>
    <cfRule type="expression" dxfId="2132" priority="2111">
      <formula>#REF!&lt;&gt;""</formula>
    </cfRule>
    <cfRule type="expression" dxfId="2131" priority="2112">
      <formula>#REF!&lt;&gt;""</formula>
    </cfRule>
    <cfRule type="expression" dxfId="2130" priority="2113">
      <formula>#REF!&lt;&gt;""</formula>
    </cfRule>
    <cfRule type="expression" dxfId="2129" priority="2114">
      <formula>#REF!&lt;&gt;""</formula>
    </cfRule>
  </conditionalFormatting>
  <conditionalFormatting sqref="E128">
    <cfRule type="expression" dxfId="2128" priority="2091">
      <formula>#REF!&lt;&gt;""</formula>
    </cfRule>
    <cfRule type="expression" dxfId="2127" priority="2092">
      <formula>#REF!&lt;&gt;""</formula>
    </cfRule>
    <cfRule type="expression" dxfId="2126" priority="2093">
      <formula>#REF!&lt;&gt;""</formula>
    </cfRule>
    <cfRule type="expression" dxfId="2125" priority="2094">
      <formula>#REF!&lt;&gt;""</formula>
    </cfRule>
    <cfRule type="expression" dxfId="2124" priority="2095">
      <formula>#REF!&lt;&gt;""</formula>
    </cfRule>
    <cfRule type="expression" dxfId="2123" priority="2096">
      <formula>#REF!&lt;&gt;""</formula>
    </cfRule>
    <cfRule type="expression" dxfId="2122" priority="2097">
      <formula>#REF!&lt;&gt;""</formula>
    </cfRule>
    <cfRule type="expression" dxfId="2121" priority="2098">
      <formula>#REF!&lt;&gt;""</formula>
    </cfRule>
    <cfRule type="expression" dxfId="2120" priority="2099">
      <formula>#REF!&lt;&gt;""</formula>
    </cfRule>
    <cfRule type="expression" dxfId="2119" priority="2100">
      <formula>#REF!&lt;&gt;""</formula>
    </cfRule>
    <cfRule type="expression" dxfId="2118" priority="2101">
      <formula>#REF!&lt;&gt;""</formula>
    </cfRule>
    <cfRule type="expression" dxfId="2117" priority="2102">
      <formula>#REF!&lt;&gt;""</formula>
    </cfRule>
  </conditionalFormatting>
  <conditionalFormatting sqref="E129">
    <cfRule type="expression" dxfId="2116" priority="2079">
      <formula>#REF!&lt;&gt;""</formula>
    </cfRule>
    <cfRule type="expression" dxfId="2115" priority="2080">
      <formula>#REF!&lt;&gt;""</formula>
    </cfRule>
    <cfRule type="expression" dxfId="2114" priority="2081">
      <formula>#REF!&lt;&gt;""</formula>
    </cfRule>
    <cfRule type="expression" dxfId="2113" priority="2082">
      <formula>#REF!&lt;&gt;""</formula>
    </cfRule>
    <cfRule type="expression" dxfId="2112" priority="2083">
      <formula>#REF!&lt;&gt;""</formula>
    </cfRule>
    <cfRule type="expression" dxfId="2111" priority="2084">
      <formula>#REF!&lt;&gt;""</formula>
    </cfRule>
    <cfRule type="expression" dxfId="2110" priority="2085">
      <formula>#REF!&lt;&gt;""</formula>
    </cfRule>
    <cfRule type="expression" dxfId="2109" priority="2086">
      <formula>#REF!&lt;&gt;""</formula>
    </cfRule>
    <cfRule type="expression" dxfId="2108" priority="2087">
      <formula>#REF!&lt;&gt;""</formula>
    </cfRule>
    <cfRule type="expression" dxfId="2107" priority="2088">
      <formula>#REF!&lt;&gt;""</formula>
    </cfRule>
    <cfRule type="expression" dxfId="2106" priority="2089">
      <formula>#REF!&lt;&gt;""</formula>
    </cfRule>
    <cfRule type="expression" dxfId="2105" priority="2090">
      <formula>#REF!&lt;&gt;""</formula>
    </cfRule>
  </conditionalFormatting>
  <conditionalFormatting sqref="E130">
    <cfRule type="expression" dxfId="2104" priority="2067">
      <formula>#REF!&lt;&gt;""</formula>
    </cfRule>
    <cfRule type="expression" dxfId="2103" priority="2068">
      <formula>#REF!&lt;&gt;""</formula>
    </cfRule>
    <cfRule type="expression" dxfId="2102" priority="2069">
      <formula>#REF!&lt;&gt;""</formula>
    </cfRule>
    <cfRule type="expression" dxfId="2101" priority="2070">
      <formula>#REF!&lt;&gt;""</formula>
    </cfRule>
    <cfRule type="expression" dxfId="2100" priority="2071">
      <formula>#REF!&lt;&gt;""</formula>
    </cfRule>
    <cfRule type="expression" dxfId="2099" priority="2072">
      <formula>#REF!&lt;&gt;""</formula>
    </cfRule>
    <cfRule type="expression" dxfId="2098" priority="2073">
      <formula>#REF!&lt;&gt;""</formula>
    </cfRule>
    <cfRule type="expression" dxfId="2097" priority="2074">
      <formula>#REF!&lt;&gt;""</formula>
    </cfRule>
    <cfRule type="expression" dxfId="2096" priority="2075">
      <formula>#REF!&lt;&gt;""</formula>
    </cfRule>
    <cfRule type="expression" dxfId="2095" priority="2076">
      <formula>#REF!&lt;&gt;""</formula>
    </cfRule>
    <cfRule type="expression" dxfId="2094" priority="2077">
      <formula>#REF!&lt;&gt;""</formula>
    </cfRule>
    <cfRule type="expression" dxfId="2093" priority="2078">
      <formula>#REF!&lt;&gt;""</formula>
    </cfRule>
  </conditionalFormatting>
  <conditionalFormatting sqref="E131">
    <cfRule type="expression" dxfId="2092" priority="2055">
      <formula>#REF!&lt;&gt;""</formula>
    </cfRule>
    <cfRule type="expression" dxfId="2091" priority="2056">
      <formula>#REF!&lt;&gt;""</formula>
    </cfRule>
    <cfRule type="expression" dxfId="2090" priority="2057">
      <formula>#REF!&lt;&gt;""</formula>
    </cfRule>
    <cfRule type="expression" dxfId="2089" priority="2058">
      <formula>#REF!&lt;&gt;""</formula>
    </cfRule>
    <cfRule type="expression" dxfId="2088" priority="2059">
      <formula>#REF!&lt;&gt;""</formula>
    </cfRule>
    <cfRule type="expression" dxfId="2087" priority="2060">
      <formula>#REF!&lt;&gt;""</formula>
    </cfRule>
    <cfRule type="expression" dxfId="2086" priority="2061">
      <formula>#REF!&lt;&gt;""</formula>
    </cfRule>
    <cfRule type="expression" dxfId="2085" priority="2062">
      <formula>#REF!&lt;&gt;""</formula>
    </cfRule>
    <cfRule type="expression" dxfId="2084" priority="2063">
      <formula>#REF!&lt;&gt;""</formula>
    </cfRule>
    <cfRule type="expression" dxfId="2083" priority="2064">
      <formula>#REF!&lt;&gt;""</formula>
    </cfRule>
    <cfRule type="expression" dxfId="2082" priority="2065">
      <formula>#REF!&lt;&gt;""</formula>
    </cfRule>
    <cfRule type="expression" dxfId="2081" priority="2066">
      <formula>#REF!&lt;&gt;""</formula>
    </cfRule>
  </conditionalFormatting>
  <conditionalFormatting sqref="E132">
    <cfRule type="expression" dxfId="2080" priority="2043">
      <formula>#REF!&lt;&gt;""</formula>
    </cfRule>
    <cfRule type="expression" dxfId="2079" priority="2044">
      <formula>#REF!&lt;&gt;""</formula>
    </cfRule>
    <cfRule type="expression" dxfId="2078" priority="2045">
      <formula>#REF!&lt;&gt;""</formula>
    </cfRule>
    <cfRule type="expression" dxfId="2077" priority="2046">
      <formula>#REF!&lt;&gt;""</formula>
    </cfRule>
    <cfRule type="expression" dxfId="2076" priority="2047">
      <formula>#REF!&lt;&gt;""</formula>
    </cfRule>
    <cfRule type="expression" dxfId="2075" priority="2048">
      <formula>#REF!&lt;&gt;""</formula>
    </cfRule>
    <cfRule type="expression" dxfId="2074" priority="2049">
      <formula>#REF!&lt;&gt;""</formula>
    </cfRule>
    <cfRule type="expression" dxfId="2073" priority="2050">
      <formula>#REF!&lt;&gt;""</formula>
    </cfRule>
    <cfRule type="expression" dxfId="2072" priority="2051">
      <formula>#REF!&lt;&gt;""</formula>
    </cfRule>
    <cfRule type="expression" dxfId="2071" priority="2052">
      <formula>#REF!&lt;&gt;""</formula>
    </cfRule>
    <cfRule type="expression" dxfId="2070" priority="2053">
      <formula>#REF!&lt;&gt;""</formula>
    </cfRule>
    <cfRule type="expression" dxfId="2069" priority="2054">
      <formula>#REF!&lt;&gt;""</formula>
    </cfRule>
  </conditionalFormatting>
  <conditionalFormatting sqref="E133">
    <cfRule type="expression" dxfId="2068" priority="2031">
      <formula>#REF!&lt;&gt;""</formula>
    </cfRule>
    <cfRule type="expression" dxfId="2067" priority="2032">
      <formula>#REF!&lt;&gt;""</formula>
    </cfRule>
    <cfRule type="expression" dxfId="2066" priority="2033">
      <formula>#REF!&lt;&gt;""</formula>
    </cfRule>
    <cfRule type="expression" dxfId="2065" priority="2034">
      <formula>#REF!&lt;&gt;""</formula>
    </cfRule>
    <cfRule type="expression" dxfId="2064" priority="2035">
      <formula>#REF!&lt;&gt;""</formula>
    </cfRule>
    <cfRule type="expression" dxfId="2063" priority="2036">
      <formula>#REF!&lt;&gt;""</formula>
    </cfRule>
    <cfRule type="expression" dxfId="2062" priority="2037">
      <formula>#REF!&lt;&gt;""</formula>
    </cfRule>
    <cfRule type="expression" dxfId="2061" priority="2038">
      <formula>#REF!&lt;&gt;""</formula>
    </cfRule>
    <cfRule type="expression" dxfId="2060" priority="2039">
      <formula>#REF!&lt;&gt;""</formula>
    </cfRule>
    <cfRule type="expression" dxfId="2059" priority="2040">
      <formula>#REF!&lt;&gt;""</formula>
    </cfRule>
    <cfRule type="expression" dxfId="2058" priority="2041">
      <formula>#REF!&lt;&gt;""</formula>
    </cfRule>
    <cfRule type="expression" dxfId="2057" priority="2042">
      <formula>#REF!&lt;&gt;""</formula>
    </cfRule>
  </conditionalFormatting>
  <conditionalFormatting sqref="E134">
    <cfRule type="expression" dxfId="2056" priority="2019">
      <formula>#REF!&lt;&gt;""</formula>
    </cfRule>
    <cfRule type="expression" dxfId="2055" priority="2020">
      <formula>#REF!&lt;&gt;""</formula>
    </cfRule>
    <cfRule type="expression" dxfId="2054" priority="2021">
      <formula>#REF!&lt;&gt;""</formula>
    </cfRule>
    <cfRule type="expression" dxfId="2053" priority="2022">
      <formula>#REF!&lt;&gt;""</formula>
    </cfRule>
    <cfRule type="expression" dxfId="2052" priority="2023">
      <formula>#REF!&lt;&gt;""</formula>
    </cfRule>
    <cfRule type="expression" dxfId="2051" priority="2024">
      <formula>#REF!&lt;&gt;""</formula>
    </cfRule>
    <cfRule type="expression" dxfId="2050" priority="2025">
      <formula>#REF!&lt;&gt;""</formula>
    </cfRule>
    <cfRule type="expression" dxfId="2049" priority="2026">
      <formula>#REF!&lt;&gt;""</formula>
    </cfRule>
    <cfRule type="expression" dxfId="2048" priority="2027">
      <formula>#REF!&lt;&gt;""</formula>
    </cfRule>
    <cfRule type="expression" dxfId="2047" priority="2028">
      <formula>#REF!&lt;&gt;""</formula>
    </cfRule>
    <cfRule type="expression" dxfId="2046" priority="2029">
      <formula>#REF!&lt;&gt;""</formula>
    </cfRule>
    <cfRule type="expression" dxfId="2045" priority="2030">
      <formula>#REF!&lt;&gt;""</formula>
    </cfRule>
  </conditionalFormatting>
  <conditionalFormatting sqref="E135">
    <cfRule type="expression" dxfId="2044" priority="2007">
      <formula>#REF!&lt;&gt;""</formula>
    </cfRule>
    <cfRule type="expression" dxfId="2043" priority="2008">
      <formula>#REF!&lt;&gt;""</formula>
    </cfRule>
    <cfRule type="expression" dxfId="2042" priority="2009">
      <formula>#REF!&lt;&gt;""</formula>
    </cfRule>
    <cfRule type="expression" dxfId="2041" priority="2010">
      <formula>#REF!&lt;&gt;""</formula>
    </cfRule>
    <cfRule type="expression" dxfId="2040" priority="2011">
      <formula>#REF!&lt;&gt;""</formula>
    </cfRule>
    <cfRule type="expression" dxfId="2039" priority="2012">
      <formula>#REF!&lt;&gt;""</formula>
    </cfRule>
    <cfRule type="expression" dxfId="2038" priority="2013">
      <formula>#REF!&lt;&gt;""</formula>
    </cfRule>
    <cfRule type="expression" dxfId="2037" priority="2014">
      <formula>#REF!&lt;&gt;""</formula>
    </cfRule>
    <cfRule type="expression" dxfId="2036" priority="2015">
      <formula>#REF!&lt;&gt;""</formula>
    </cfRule>
    <cfRule type="expression" dxfId="2035" priority="2016">
      <formula>#REF!&lt;&gt;""</formula>
    </cfRule>
    <cfRule type="expression" dxfId="2034" priority="2017">
      <formula>#REF!&lt;&gt;""</formula>
    </cfRule>
    <cfRule type="expression" dxfId="2033" priority="2018">
      <formula>#REF!&lt;&gt;""</formula>
    </cfRule>
  </conditionalFormatting>
  <conditionalFormatting sqref="E136">
    <cfRule type="expression" dxfId="2032" priority="1995">
      <formula>#REF!&lt;&gt;""</formula>
    </cfRule>
    <cfRule type="expression" dxfId="2031" priority="1996">
      <formula>#REF!&lt;&gt;""</formula>
    </cfRule>
    <cfRule type="expression" dxfId="2030" priority="1997">
      <formula>#REF!&lt;&gt;""</formula>
    </cfRule>
    <cfRule type="expression" dxfId="2029" priority="1998">
      <formula>#REF!&lt;&gt;""</formula>
    </cfRule>
    <cfRule type="expression" dxfId="2028" priority="1999">
      <formula>#REF!&lt;&gt;""</formula>
    </cfRule>
    <cfRule type="expression" dxfId="2027" priority="2000">
      <formula>#REF!&lt;&gt;""</formula>
    </cfRule>
    <cfRule type="expression" dxfId="2026" priority="2001">
      <formula>#REF!&lt;&gt;""</formula>
    </cfRule>
    <cfRule type="expression" dxfId="2025" priority="2002">
      <formula>#REF!&lt;&gt;""</formula>
    </cfRule>
    <cfRule type="expression" dxfId="2024" priority="2003">
      <formula>#REF!&lt;&gt;""</formula>
    </cfRule>
    <cfRule type="expression" dxfId="2023" priority="2004">
      <formula>#REF!&lt;&gt;""</formula>
    </cfRule>
    <cfRule type="expression" dxfId="2022" priority="2005">
      <formula>#REF!&lt;&gt;""</formula>
    </cfRule>
    <cfRule type="expression" dxfId="2021" priority="2006">
      <formula>#REF!&lt;&gt;""</formula>
    </cfRule>
  </conditionalFormatting>
  <conditionalFormatting sqref="E137">
    <cfRule type="expression" dxfId="2020" priority="1983">
      <formula>#REF!&lt;&gt;""</formula>
    </cfRule>
    <cfRule type="expression" dxfId="2019" priority="1984">
      <formula>#REF!&lt;&gt;""</formula>
    </cfRule>
    <cfRule type="expression" dxfId="2018" priority="1985">
      <formula>#REF!&lt;&gt;""</formula>
    </cfRule>
    <cfRule type="expression" dxfId="2017" priority="1986">
      <formula>#REF!&lt;&gt;""</formula>
    </cfRule>
    <cfRule type="expression" dxfId="2016" priority="1987">
      <formula>#REF!&lt;&gt;""</formula>
    </cfRule>
    <cfRule type="expression" dxfId="2015" priority="1988">
      <formula>#REF!&lt;&gt;""</formula>
    </cfRule>
    <cfRule type="expression" dxfId="2014" priority="1989">
      <formula>#REF!&lt;&gt;""</formula>
    </cfRule>
    <cfRule type="expression" dxfId="2013" priority="1990">
      <formula>#REF!&lt;&gt;""</formula>
    </cfRule>
    <cfRule type="expression" dxfId="2012" priority="1991">
      <formula>#REF!&lt;&gt;""</formula>
    </cfRule>
    <cfRule type="expression" dxfId="2011" priority="1992">
      <formula>#REF!&lt;&gt;""</formula>
    </cfRule>
    <cfRule type="expression" dxfId="2010" priority="1993">
      <formula>#REF!&lt;&gt;""</formula>
    </cfRule>
    <cfRule type="expression" dxfId="2009" priority="1994">
      <formula>#REF!&lt;&gt;""</formula>
    </cfRule>
  </conditionalFormatting>
  <conditionalFormatting sqref="E138">
    <cfRule type="expression" dxfId="2008" priority="1971">
      <formula>#REF!&lt;&gt;""</formula>
    </cfRule>
    <cfRule type="expression" dxfId="2007" priority="1972">
      <formula>#REF!&lt;&gt;""</formula>
    </cfRule>
    <cfRule type="expression" dxfId="2006" priority="1973">
      <formula>#REF!&lt;&gt;""</formula>
    </cfRule>
    <cfRule type="expression" dxfId="2005" priority="1974">
      <formula>#REF!&lt;&gt;""</formula>
    </cfRule>
    <cfRule type="expression" dxfId="2004" priority="1975">
      <formula>#REF!&lt;&gt;""</formula>
    </cfRule>
    <cfRule type="expression" dxfId="2003" priority="1976">
      <formula>#REF!&lt;&gt;""</formula>
    </cfRule>
    <cfRule type="expression" dxfId="2002" priority="1977">
      <formula>#REF!&lt;&gt;""</formula>
    </cfRule>
    <cfRule type="expression" dxfId="2001" priority="1978">
      <formula>#REF!&lt;&gt;""</formula>
    </cfRule>
    <cfRule type="expression" dxfId="2000" priority="1979">
      <formula>#REF!&lt;&gt;""</formula>
    </cfRule>
    <cfRule type="expression" dxfId="1999" priority="1980">
      <formula>#REF!&lt;&gt;""</formula>
    </cfRule>
    <cfRule type="expression" dxfId="1998" priority="1981">
      <formula>#REF!&lt;&gt;""</formula>
    </cfRule>
    <cfRule type="expression" dxfId="1997" priority="1982">
      <formula>#REF!&lt;&gt;""</formula>
    </cfRule>
  </conditionalFormatting>
  <conditionalFormatting sqref="E139">
    <cfRule type="expression" dxfId="1996" priority="1959">
      <formula>#REF!&lt;&gt;""</formula>
    </cfRule>
    <cfRule type="expression" dxfId="1995" priority="1960">
      <formula>#REF!&lt;&gt;""</formula>
    </cfRule>
    <cfRule type="expression" dxfId="1994" priority="1961">
      <formula>#REF!&lt;&gt;""</formula>
    </cfRule>
    <cfRule type="expression" dxfId="1993" priority="1962">
      <formula>#REF!&lt;&gt;""</formula>
    </cfRule>
    <cfRule type="expression" dxfId="1992" priority="1963">
      <formula>#REF!&lt;&gt;""</formula>
    </cfRule>
    <cfRule type="expression" dxfId="1991" priority="1964">
      <formula>#REF!&lt;&gt;""</formula>
    </cfRule>
    <cfRule type="expression" dxfId="1990" priority="1965">
      <formula>#REF!&lt;&gt;""</formula>
    </cfRule>
    <cfRule type="expression" dxfId="1989" priority="1966">
      <formula>#REF!&lt;&gt;""</formula>
    </cfRule>
    <cfRule type="expression" dxfId="1988" priority="1967">
      <formula>#REF!&lt;&gt;""</formula>
    </cfRule>
    <cfRule type="expression" dxfId="1987" priority="1968">
      <formula>#REF!&lt;&gt;""</formula>
    </cfRule>
    <cfRule type="expression" dxfId="1986" priority="1969">
      <formula>#REF!&lt;&gt;""</formula>
    </cfRule>
    <cfRule type="expression" dxfId="1985" priority="1970">
      <formula>#REF!&lt;&gt;""</formula>
    </cfRule>
  </conditionalFormatting>
  <conditionalFormatting sqref="E140">
    <cfRule type="expression" dxfId="1984" priority="1947">
      <formula>#REF!&lt;&gt;""</formula>
    </cfRule>
    <cfRule type="expression" dxfId="1983" priority="1948">
      <formula>#REF!&lt;&gt;""</formula>
    </cfRule>
    <cfRule type="expression" dxfId="1982" priority="1949">
      <formula>#REF!&lt;&gt;""</formula>
    </cfRule>
    <cfRule type="expression" dxfId="1981" priority="1950">
      <formula>#REF!&lt;&gt;""</formula>
    </cfRule>
    <cfRule type="expression" dxfId="1980" priority="1951">
      <formula>#REF!&lt;&gt;""</formula>
    </cfRule>
    <cfRule type="expression" dxfId="1979" priority="1952">
      <formula>#REF!&lt;&gt;""</formula>
    </cfRule>
    <cfRule type="expression" dxfId="1978" priority="1953">
      <formula>#REF!&lt;&gt;""</formula>
    </cfRule>
    <cfRule type="expression" dxfId="1977" priority="1954">
      <formula>#REF!&lt;&gt;""</formula>
    </cfRule>
    <cfRule type="expression" dxfId="1976" priority="1955">
      <formula>#REF!&lt;&gt;""</formula>
    </cfRule>
    <cfRule type="expression" dxfId="1975" priority="1956">
      <formula>#REF!&lt;&gt;""</formula>
    </cfRule>
    <cfRule type="expression" dxfId="1974" priority="1957">
      <formula>#REF!&lt;&gt;""</formula>
    </cfRule>
    <cfRule type="expression" dxfId="1973" priority="1958">
      <formula>#REF!&lt;&gt;""</formula>
    </cfRule>
  </conditionalFormatting>
  <conditionalFormatting sqref="E141">
    <cfRule type="expression" dxfId="1972" priority="1935">
      <formula>#REF!&lt;&gt;""</formula>
    </cfRule>
    <cfRule type="expression" dxfId="1971" priority="1936">
      <formula>#REF!&lt;&gt;""</formula>
    </cfRule>
    <cfRule type="expression" dxfId="1970" priority="1937">
      <formula>#REF!&lt;&gt;""</formula>
    </cfRule>
    <cfRule type="expression" dxfId="1969" priority="1938">
      <formula>#REF!&lt;&gt;""</formula>
    </cfRule>
    <cfRule type="expression" dxfId="1968" priority="1939">
      <formula>#REF!&lt;&gt;""</formula>
    </cfRule>
    <cfRule type="expression" dxfId="1967" priority="1940">
      <formula>#REF!&lt;&gt;""</formula>
    </cfRule>
    <cfRule type="expression" dxfId="1966" priority="1941">
      <formula>#REF!&lt;&gt;""</formula>
    </cfRule>
    <cfRule type="expression" dxfId="1965" priority="1942">
      <formula>#REF!&lt;&gt;""</formula>
    </cfRule>
    <cfRule type="expression" dxfId="1964" priority="1943">
      <formula>#REF!&lt;&gt;""</formula>
    </cfRule>
    <cfRule type="expression" dxfId="1963" priority="1944">
      <formula>#REF!&lt;&gt;""</formula>
    </cfRule>
    <cfRule type="expression" dxfId="1962" priority="1945">
      <formula>#REF!&lt;&gt;""</formula>
    </cfRule>
    <cfRule type="expression" dxfId="1961" priority="1946">
      <formula>#REF!&lt;&gt;""</formula>
    </cfRule>
  </conditionalFormatting>
  <conditionalFormatting sqref="E142">
    <cfRule type="expression" dxfId="1960" priority="1923">
      <formula>#REF!&lt;&gt;""</formula>
    </cfRule>
    <cfRule type="expression" dxfId="1959" priority="1924">
      <formula>#REF!&lt;&gt;""</formula>
    </cfRule>
    <cfRule type="expression" dxfId="1958" priority="1925">
      <formula>#REF!&lt;&gt;""</formula>
    </cfRule>
    <cfRule type="expression" dxfId="1957" priority="1926">
      <formula>#REF!&lt;&gt;""</formula>
    </cfRule>
    <cfRule type="expression" dxfId="1956" priority="1927">
      <formula>#REF!&lt;&gt;""</formula>
    </cfRule>
    <cfRule type="expression" dxfId="1955" priority="1928">
      <formula>#REF!&lt;&gt;""</formula>
    </cfRule>
    <cfRule type="expression" dxfId="1954" priority="1929">
      <formula>#REF!&lt;&gt;""</formula>
    </cfRule>
    <cfRule type="expression" dxfId="1953" priority="1930">
      <formula>#REF!&lt;&gt;""</formula>
    </cfRule>
    <cfRule type="expression" dxfId="1952" priority="1931">
      <formula>#REF!&lt;&gt;""</formula>
    </cfRule>
    <cfRule type="expression" dxfId="1951" priority="1932">
      <formula>#REF!&lt;&gt;""</formula>
    </cfRule>
    <cfRule type="expression" dxfId="1950" priority="1933">
      <formula>#REF!&lt;&gt;""</formula>
    </cfRule>
    <cfRule type="expression" dxfId="1949" priority="1934">
      <formula>#REF!&lt;&gt;""</formula>
    </cfRule>
  </conditionalFormatting>
  <conditionalFormatting sqref="E143">
    <cfRule type="expression" dxfId="1948" priority="1911">
      <formula>#REF!&lt;&gt;""</formula>
    </cfRule>
    <cfRule type="expression" dxfId="1947" priority="1912">
      <formula>#REF!&lt;&gt;""</formula>
    </cfRule>
    <cfRule type="expression" dxfId="1946" priority="1913">
      <formula>#REF!&lt;&gt;""</formula>
    </cfRule>
    <cfRule type="expression" dxfId="1945" priority="1914">
      <formula>#REF!&lt;&gt;""</formula>
    </cfRule>
    <cfRule type="expression" dxfId="1944" priority="1915">
      <formula>#REF!&lt;&gt;""</formula>
    </cfRule>
    <cfRule type="expression" dxfId="1943" priority="1916">
      <formula>#REF!&lt;&gt;""</formula>
    </cfRule>
    <cfRule type="expression" dxfId="1942" priority="1917">
      <formula>#REF!&lt;&gt;""</formula>
    </cfRule>
    <cfRule type="expression" dxfId="1941" priority="1918">
      <formula>#REF!&lt;&gt;""</formula>
    </cfRule>
    <cfRule type="expression" dxfId="1940" priority="1919">
      <formula>#REF!&lt;&gt;""</formula>
    </cfRule>
    <cfRule type="expression" dxfId="1939" priority="1920">
      <formula>#REF!&lt;&gt;""</formula>
    </cfRule>
    <cfRule type="expression" dxfId="1938" priority="1921">
      <formula>#REF!&lt;&gt;""</formula>
    </cfRule>
    <cfRule type="expression" dxfId="1937" priority="1922">
      <formula>#REF!&lt;&gt;""</formula>
    </cfRule>
  </conditionalFormatting>
  <conditionalFormatting sqref="E144">
    <cfRule type="expression" dxfId="1936" priority="1899">
      <formula>#REF!&lt;&gt;""</formula>
    </cfRule>
    <cfRule type="expression" dxfId="1935" priority="1900">
      <formula>#REF!&lt;&gt;""</formula>
    </cfRule>
    <cfRule type="expression" dxfId="1934" priority="1901">
      <formula>#REF!&lt;&gt;""</formula>
    </cfRule>
    <cfRule type="expression" dxfId="1933" priority="1902">
      <formula>#REF!&lt;&gt;""</formula>
    </cfRule>
    <cfRule type="expression" dxfId="1932" priority="1903">
      <formula>#REF!&lt;&gt;""</formula>
    </cfRule>
    <cfRule type="expression" dxfId="1931" priority="1904">
      <formula>#REF!&lt;&gt;""</formula>
    </cfRule>
    <cfRule type="expression" dxfId="1930" priority="1905">
      <formula>#REF!&lt;&gt;""</formula>
    </cfRule>
    <cfRule type="expression" dxfId="1929" priority="1906">
      <formula>#REF!&lt;&gt;""</formula>
    </cfRule>
    <cfRule type="expression" dxfId="1928" priority="1907">
      <formula>#REF!&lt;&gt;""</formula>
    </cfRule>
    <cfRule type="expression" dxfId="1927" priority="1908">
      <formula>#REF!&lt;&gt;""</formula>
    </cfRule>
    <cfRule type="expression" dxfId="1926" priority="1909">
      <formula>#REF!&lt;&gt;""</formula>
    </cfRule>
    <cfRule type="expression" dxfId="1925" priority="1910">
      <formula>#REF!&lt;&gt;""</formula>
    </cfRule>
  </conditionalFormatting>
  <conditionalFormatting sqref="E145">
    <cfRule type="expression" dxfId="1924" priority="1887">
      <formula>#REF!&lt;&gt;""</formula>
    </cfRule>
    <cfRule type="expression" dxfId="1923" priority="1888">
      <formula>#REF!&lt;&gt;""</formula>
    </cfRule>
    <cfRule type="expression" dxfId="1922" priority="1889">
      <formula>#REF!&lt;&gt;""</formula>
    </cfRule>
    <cfRule type="expression" dxfId="1921" priority="1890">
      <formula>#REF!&lt;&gt;""</formula>
    </cfRule>
    <cfRule type="expression" dxfId="1920" priority="1891">
      <formula>#REF!&lt;&gt;""</formula>
    </cfRule>
    <cfRule type="expression" dxfId="1919" priority="1892">
      <formula>#REF!&lt;&gt;""</formula>
    </cfRule>
    <cfRule type="expression" dxfId="1918" priority="1893">
      <formula>#REF!&lt;&gt;""</formula>
    </cfRule>
    <cfRule type="expression" dxfId="1917" priority="1894">
      <formula>#REF!&lt;&gt;""</formula>
    </cfRule>
    <cfRule type="expression" dxfId="1916" priority="1895">
      <formula>#REF!&lt;&gt;""</formula>
    </cfRule>
    <cfRule type="expression" dxfId="1915" priority="1896">
      <formula>#REF!&lt;&gt;""</formula>
    </cfRule>
    <cfRule type="expression" dxfId="1914" priority="1897">
      <formula>#REF!&lt;&gt;""</formula>
    </cfRule>
    <cfRule type="expression" dxfId="1913" priority="1898">
      <formula>#REF!&lt;&gt;""</formula>
    </cfRule>
  </conditionalFormatting>
  <conditionalFormatting sqref="E146">
    <cfRule type="expression" dxfId="1912" priority="1875">
      <formula>#REF!&lt;&gt;""</formula>
    </cfRule>
    <cfRule type="expression" dxfId="1911" priority="1876">
      <formula>#REF!&lt;&gt;""</formula>
    </cfRule>
    <cfRule type="expression" dxfId="1910" priority="1877">
      <formula>#REF!&lt;&gt;""</formula>
    </cfRule>
    <cfRule type="expression" dxfId="1909" priority="1878">
      <formula>#REF!&lt;&gt;""</formula>
    </cfRule>
    <cfRule type="expression" dxfId="1908" priority="1879">
      <formula>#REF!&lt;&gt;""</formula>
    </cfRule>
    <cfRule type="expression" dxfId="1907" priority="1880">
      <formula>#REF!&lt;&gt;""</formula>
    </cfRule>
    <cfRule type="expression" dxfId="1906" priority="1881">
      <formula>#REF!&lt;&gt;""</formula>
    </cfRule>
    <cfRule type="expression" dxfId="1905" priority="1882">
      <formula>#REF!&lt;&gt;""</formula>
    </cfRule>
    <cfRule type="expression" dxfId="1904" priority="1883">
      <formula>#REF!&lt;&gt;""</formula>
    </cfRule>
    <cfRule type="expression" dxfId="1903" priority="1884">
      <formula>#REF!&lt;&gt;""</formula>
    </cfRule>
    <cfRule type="expression" dxfId="1902" priority="1885">
      <formula>#REF!&lt;&gt;""</formula>
    </cfRule>
    <cfRule type="expression" dxfId="1901" priority="1886">
      <formula>#REF!&lt;&gt;""</formula>
    </cfRule>
  </conditionalFormatting>
  <conditionalFormatting sqref="E147">
    <cfRule type="expression" dxfId="1900" priority="1863">
      <formula>#REF!&lt;&gt;""</formula>
    </cfRule>
    <cfRule type="expression" dxfId="1899" priority="1864">
      <formula>#REF!&lt;&gt;""</formula>
    </cfRule>
    <cfRule type="expression" dxfId="1898" priority="1865">
      <formula>#REF!&lt;&gt;""</formula>
    </cfRule>
    <cfRule type="expression" dxfId="1897" priority="1866">
      <formula>#REF!&lt;&gt;""</formula>
    </cfRule>
    <cfRule type="expression" dxfId="1896" priority="1867">
      <formula>#REF!&lt;&gt;""</formula>
    </cfRule>
    <cfRule type="expression" dxfId="1895" priority="1868">
      <formula>#REF!&lt;&gt;""</formula>
    </cfRule>
    <cfRule type="expression" dxfId="1894" priority="1869">
      <formula>#REF!&lt;&gt;""</formula>
    </cfRule>
    <cfRule type="expression" dxfId="1893" priority="1870">
      <formula>#REF!&lt;&gt;""</formula>
    </cfRule>
    <cfRule type="expression" dxfId="1892" priority="1871">
      <formula>#REF!&lt;&gt;""</formula>
    </cfRule>
    <cfRule type="expression" dxfId="1891" priority="1872">
      <formula>#REF!&lt;&gt;""</formula>
    </cfRule>
    <cfRule type="expression" dxfId="1890" priority="1873">
      <formula>#REF!&lt;&gt;""</formula>
    </cfRule>
    <cfRule type="expression" dxfId="1889" priority="1874">
      <formula>#REF!&lt;&gt;""</formula>
    </cfRule>
  </conditionalFormatting>
  <conditionalFormatting sqref="E148">
    <cfRule type="expression" dxfId="1888" priority="1851">
      <formula>#REF!&lt;&gt;""</formula>
    </cfRule>
    <cfRule type="expression" dxfId="1887" priority="1852">
      <formula>#REF!&lt;&gt;""</formula>
    </cfRule>
    <cfRule type="expression" dxfId="1886" priority="1853">
      <formula>#REF!&lt;&gt;""</formula>
    </cfRule>
    <cfRule type="expression" dxfId="1885" priority="1854">
      <formula>#REF!&lt;&gt;""</formula>
    </cfRule>
    <cfRule type="expression" dxfId="1884" priority="1855">
      <formula>#REF!&lt;&gt;""</formula>
    </cfRule>
    <cfRule type="expression" dxfId="1883" priority="1856">
      <formula>#REF!&lt;&gt;""</formula>
    </cfRule>
    <cfRule type="expression" dxfId="1882" priority="1857">
      <formula>#REF!&lt;&gt;""</formula>
    </cfRule>
    <cfRule type="expression" dxfId="1881" priority="1858">
      <formula>#REF!&lt;&gt;""</formula>
    </cfRule>
    <cfRule type="expression" dxfId="1880" priority="1859">
      <formula>#REF!&lt;&gt;""</formula>
    </cfRule>
    <cfRule type="expression" dxfId="1879" priority="1860">
      <formula>#REF!&lt;&gt;""</formula>
    </cfRule>
    <cfRule type="expression" dxfId="1878" priority="1861">
      <formula>#REF!&lt;&gt;""</formula>
    </cfRule>
    <cfRule type="expression" dxfId="1877" priority="1862">
      <formula>#REF!&lt;&gt;""</formula>
    </cfRule>
  </conditionalFormatting>
  <conditionalFormatting sqref="E149">
    <cfRule type="expression" dxfId="1876" priority="1839">
      <formula>#REF!&lt;&gt;""</formula>
    </cfRule>
    <cfRule type="expression" dxfId="1875" priority="1840">
      <formula>#REF!&lt;&gt;""</formula>
    </cfRule>
    <cfRule type="expression" dxfId="1874" priority="1841">
      <formula>#REF!&lt;&gt;""</formula>
    </cfRule>
    <cfRule type="expression" dxfId="1873" priority="1842">
      <formula>#REF!&lt;&gt;""</formula>
    </cfRule>
    <cfRule type="expression" dxfId="1872" priority="1843">
      <formula>#REF!&lt;&gt;""</formula>
    </cfRule>
    <cfRule type="expression" dxfId="1871" priority="1844">
      <formula>#REF!&lt;&gt;""</formula>
    </cfRule>
    <cfRule type="expression" dxfId="1870" priority="1845">
      <formula>#REF!&lt;&gt;""</formula>
    </cfRule>
    <cfRule type="expression" dxfId="1869" priority="1846">
      <formula>#REF!&lt;&gt;""</formula>
    </cfRule>
    <cfRule type="expression" dxfId="1868" priority="1847">
      <formula>#REF!&lt;&gt;""</formula>
    </cfRule>
    <cfRule type="expression" dxfId="1867" priority="1848">
      <formula>#REF!&lt;&gt;""</formula>
    </cfRule>
    <cfRule type="expression" dxfId="1866" priority="1849">
      <formula>#REF!&lt;&gt;""</formula>
    </cfRule>
    <cfRule type="expression" dxfId="1865" priority="1850">
      <formula>#REF!&lt;&gt;""</formula>
    </cfRule>
  </conditionalFormatting>
  <conditionalFormatting sqref="E150">
    <cfRule type="expression" dxfId="1864" priority="1827">
      <formula>#REF!&lt;&gt;""</formula>
    </cfRule>
    <cfRule type="expression" dxfId="1863" priority="1828">
      <formula>#REF!&lt;&gt;""</formula>
    </cfRule>
    <cfRule type="expression" dxfId="1862" priority="1829">
      <formula>#REF!&lt;&gt;""</formula>
    </cfRule>
    <cfRule type="expression" dxfId="1861" priority="1830">
      <formula>#REF!&lt;&gt;""</formula>
    </cfRule>
    <cfRule type="expression" dxfId="1860" priority="1831">
      <formula>#REF!&lt;&gt;""</formula>
    </cfRule>
    <cfRule type="expression" dxfId="1859" priority="1832">
      <formula>#REF!&lt;&gt;""</formula>
    </cfRule>
    <cfRule type="expression" dxfId="1858" priority="1833">
      <formula>#REF!&lt;&gt;""</formula>
    </cfRule>
    <cfRule type="expression" dxfId="1857" priority="1834">
      <formula>#REF!&lt;&gt;""</formula>
    </cfRule>
    <cfRule type="expression" dxfId="1856" priority="1835">
      <formula>#REF!&lt;&gt;""</formula>
    </cfRule>
    <cfRule type="expression" dxfId="1855" priority="1836">
      <formula>#REF!&lt;&gt;""</formula>
    </cfRule>
    <cfRule type="expression" dxfId="1854" priority="1837">
      <formula>#REF!&lt;&gt;""</formula>
    </cfRule>
    <cfRule type="expression" dxfId="1853" priority="1838">
      <formula>#REF!&lt;&gt;""</formula>
    </cfRule>
  </conditionalFormatting>
  <conditionalFormatting sqref="E151">
    <cfRule type="expression" dxfId="1852" priority="1815">
      <formula>#REF!&lt;&gt;""</formula>
    </cfRule>
    <cfRule type="expression" dxfId="1851" priority="1816">
      <formula>#REF!&lt;&gt;""</formula>
    </cfRule>
    <cfRule type="expression" dxfId="1850" priority="1817">
      <formula>#REF!&lt;&gt;""</formula>
    </cfRule>
    <cfRule type="expression" dxfId="1849" priority="1818">
      <formula>#REF!&lt;&gt;""</formula>
    </cfRule>
    <cfRule type="expression" dxfId="1848" priority="1819">
      <formula>#REF!&lt;&gt;""</formula>
    </cfRule>
    <cfRule type="expression" dxfId="1847" priority="1820">
      <formula>#REF!&lt;&gt;""</formula>
    </cfRule>
    <cfRule type="expression" dxfId="1846" priority="1821">
      <formula>#REF!&lt;&gt;""</formula>
    </cfRule>
    <cfRule type="expression" dxfId="1845" priority="1822">
      <formula>#REF!&lt;&gt;""</formula>
    </cfRule>
    <cfRule type="expression" dxfId="1844" priority="1823">
      <formula>#REF!&lt;&gt;""</formula>
    </cfRule>
    <cfRule type="expression" dxfId="1843" priority="1824">
      <formula>#REF!&lt;&gt;""</formula>
    </cfRule>
    <cfRule type="expression" dxfId="1842" priority="1825">
      <formula>#REF!&lt;&gt;""</formula>
    </cfRule>
    <cfRule type="expression" dxfId="1841" priority="1826">
      <formula>#REF!&lt;&gt;""</formula>
    </cfRule>
  </conditionalFormatting>
  <conditionalFormatting sqref="E152">
    <cfRule type="expression" dxfId="1840" priority="1803">
      <formula>#REF!&lt;&gt;""</formula>
    </cfRule>
    <cfRule type="expression" dxfId="1839" priority="1804">
      <formula>#REF!&lt;&gt;""</formula>
    </cfRule>
    <cfRule type="expression" dxfId="1838" priority="1805">
      <formula>#REF!&lt;&gt;""</formula>
    </cfRule>
    <cfRule type="expression" dxfId="1837" priority="1806">
      <formula>#REF!&lt;&gt;""</formula>
    </cfRule>
    <cfRule type="expression" dxfId="1836" priority="1807">
      <formula>#REF!&lt;&gt;""</formula>
    </cfRule>
    <cfRule type="expression" dxfId="1835" priority="1808">
      <formula>#REF!&lt;&gt;""</formula>
    </cfRule>
    <cfRule type="expression" dxfId="1834" priority="1809">
      <formula>#REF!&lt;&gt;""</formula>
    </cfRule>
    <cfRule type="expression" dxfId="1833" priority="1810">
      <formula>#REF!&lt;&gt;""</formula>
    </cfRule>
    <cfRule type="expression" dxfId="1832" priority="1811">
      <formula>#REF!&lt;&gt;""</formula>
    </cfRule>
    <cfRule type="expression" dxfId="1831" priority="1812">
      <formula>#REF!&lt;&gt;""</formula>
    </cfRule>
    <cfRule type="expression" dxfId="1830" priority="1813">
      <formula>#REF!&lt;&gt;""</formula>
    </cfRule>
    <cfRule type="expression" dxfId="1829" priority="1814">
      <formula>#REF!&lt;&gt;""</formula>
    </cfRule>
  </conditionalFormatting>
  <conditionalFormatting sqref="F166 G166:G215">
    <cfRule type="expression" dxfId="1828" priority="1791">
      <formula>#REF!&lt;&gt;""</formula>
    </cfRule>
    <cfRule type="expression" dxfId="1827" priority="1792">
      <formula>#REF!&lt;&gt;""</formula>
    </cfRule>
    <cfRule type="expression" dxfId="1826" priority="1793">
      <formula>#REF!&lt;&gt;""</formula>
    </cfRule>
    <cfRule type="expression" dxfId="1825" priority="1794">
      <formula>#REF!&lt;&gt;""</formula>
    </cfRule>
    <cfRule type="expression" dxfId="1824" priority="1795">
      <formula>#REF!&lt;&gt;""</formula>
    </cfRule>
    <cfRule type="expression" dxfId="1823" priority="1796">
      <formula>#REF!&lt;&gt;""</formula>
    </cfRule>
    <cfRule type="expression" dxfId="1822" priority="1797">
      <formula>#REF!&lt;&gt;""</formula>
    </cfRule>
    <cfRule type="expression" dxfId="1821" priority="1798">
      <formula>#REF!&lt;&gt;""</formula>
    </cfRule>
    <cfRule type="expression" dxfId="1820" priority="1799">
      <formula>#REF!&lt;&gt;""</formula>
    </cfRule>
    <cfRule type="expression" dxfId="1819" priority="1800">
      <formula>#REF!&lt;&gt;""</formula>
    </cfRule>
    <cfRule type="expression" dxfId="1818" priority="1801">
      <formula>#REF!&lt;&gt;""</formula>
    </cfRule>
    <cfRule type="expression" dxfId="1817" priority="1802">
      <formula>#REF!&lt;&gt;""</formula>
    </cfRule>
  </conditionalFormatting>
  <conditionalFormatting sqref="F167">
    <cfRule type="expression" dxfId="1816" priority="1779">
      <formula>#REF!&lt;&gt;""</formula>
    </cfRule>
    <cfRule type="expression" dxfId="1815" priority="1780">
      <formula>#REF!&lt;&gt;""</formula>
    </cfRule>
    <cfRule type="expression" dxfId="1814" priority="1781">
      <formula>#REF!&lt;&gt;""</formula>
    </cfRule>
    <cfRule type="expression" dxfId="1813" priority="1782">
      <formula>#REF!&lt;&gt;""</formula>
    </cfRule>
    <cfRule type="expression" dxfId="1812" priority="1783">
      <formula>#REF!&lt;&gt;""</formula>
    </cfRule>
    <cfRule type="expression" dxfId="1811" priority="1784">
      <formula>#REF!&lt;&gt;""</formula>
    </cfRule>
    <cfRule type="expression" dxfId="1810" priority="1785">
      <formula>#REF!&lt;&gt;""</formula>
    </cfRule>
    <cfRule type="expression" dxfId="1809" priority="1786">
      <formula>#REF!&lt;&gt;""</formula>
    </cfRule>
    <cfRule type="expression" dxfId="1808" priority="1787">
      <formula>#REF!&lt;&gt;""</formula>
    </cfRule>
    <cfRule type="expression" dxfId="1807" priority="1788">
      <formula>#REF!&lt;&gt;""</formula>
    </cfRule>
    <cfRule type="expression" dxfId="1806" priority="1789">
      <formula>#REF!&lt;&gt;""</formula>
    </cfRule>
    <cfRule type="expression" dxfId="1805" priority="1790">
      <formula>#REF!&lt;&gt;""</formula>
    </cfRule>
  </conditionalFormatting>
  <conditionalFormatting sqref="F168">
    <cfRule type="expression" dxfId="1804" priority="1767">
      <formula>#REF!&lt;&gt;""</formula>
    </cfRule>
    <cfRule type="expression" dxfId="1803" priority="1768">
      <formula>#REF!&lt;&gt;""</formula>
    </cfRule>
    <cfRule type="expression" dxfId="1802" priority="1769">
      <formula>#REF!&lt;&gt;""</formula>
    </cfRule>
    <cfRule type="expression" dxfId="1801" priority="1770">
      <formula>#REF!&lt;&gt;""</formula>
    </cfRule>
    <cfRule type="expression" dxfId="1800" priority="1771">
      <formula>#REF!&lt;&gt;""</formula>
    </cfRule>
    <cfRule type="expression" dxfId="1799" priority="1772">
      <formula>#REF!&lt;&gt;""</formula>
    </cfRule>
    <cfRule type="expression" dxfId="1798" priority="1773">
      <formula>#REF!&lt;&gt;""</formula>
    </cfRule>
    <cfRule type="expression" dxfId="1797" priority="1774">
      <formula>#REF!&lt;&gt;""</formula>
    </cfRule>
    <cfRule type="expression" dxfId="1796" priority="1775">
      <formula>#REF!&lt;&gt;""</formula>
    </cfRule>
    <cfRule type="expression" dxfId="1795" priority="1776">
      <formula>#REF!&lt;&gt;""</formula>
    </cfRule>
    <cfRule type="expression" dxfId="1794" priority="1777">
      <formula>#REF!&lt;&gt;""</formula>
    </cfRule>
    <cfRule type="expression" dxfId="1793" priority="1778">
      <formula>#REF!&lt;&gt;""</formula>
    </cfRule>
  </conditionalFormatting>
  <conditionalFormatting sqref="F169">
    <cfRule type="expression" dxfId="1792" priority="1755">
      <formula>#REF!&lt;&gt;""</formula>
    </cfRule>
    <cfRule type="expression" dxfId="1791" priority="1756">
      <formula>#REF!&lt;&gt;""</formula>
    </cfRule>
    <cfRule type="expression" dxfId="1790" priority="1757">
      <formula>#REF!&lt;&gt;""</formula>
    </cfRule>
    <cfRule type="expression" dxfId="1789" priority="1758">
      <formula>#REF!&lt;&gt;""</formula>
    </cfRule>
    <cfRule type="expression" dxfId="1788" priority="1759">
      <formula>#REF!&lt;&gt;""</formula>
    </cfRule>
    <cfRule type="expression" dxfId="1787" priority="1760">
      <formula>#REF!&lt;&gt;""</formula>
    </cfRule>
    <cfRule type="expression" dxfId="1786" priority="1761">
      <formula>#REF!&lt;&gt;""</formula>
    </cfRule>
    <cfRule type="expression" dxfId="1785" priority="1762">
      <formula>#REF!&lt;&gt;""</formula>
    </cfRule>
    <cfRule type="expression" dxfId="1784" priority="1763">
      <formula>#REF!&lt;&gt;""</formula>
    </cfRule>
    <cfRule type="expression" dxfId="1783" priority="1764">
      <formula>#REF!&lt;&gt;""</formula>
    </cfRule>
    <cfRule type="expression" dxfId="1782" priority="1765">
      <formula>#REF!&lt;&gt;""</formula>
    </cfRule>
    <cfRule type="expression" dxfId="1781" priority="1766">
      <formula>#REF!&lt;&gt;""</formula>
    </cfRule>
  </conditionalFormatting>
  <conditionalFormatting sqref="F170">
    <cfRule type="expression" dxfId="1780" priority="1743">
      <formula>#REF!&lt;&gt;""</formula>
    </cfRule>
    <cfRule type="expression" dxfId="1779" priority="1744">
      <formula>#REF!&lt;&gt;""</formula>
    </cfRule>
    <cfRule type="expression" dxfId="1778" priority="1745">
      <formula>#REF!&lt;&gt;""</formula>
    </cfRule>
    <cfRule type="expression" dxfId="1777" priority="1746">
      <formula>#REF!&lt;&gt;""</formula>
    </cfRule>
    <cfRule type="expression" dxfId="1776" priority="1747">
      <formula>#REF!&lt;&gt;""</formula>
    </cfRule>
    <cfRule type="expression" dxfId="1775" priority="1748">
      <formula>#REF!&lt;&gt;""</formula>
    </cfRule>
    <cfRule type="expression" dxfId="1774" priority="1749">
      <formula>#REF!&lt;&gt;""</formula>
    </cfRule>
    <cfRule type="expression" dxfId="1773" priority="1750">
      <formula>#REF!&lt;&gt;""</formula>
    </cfRule>
    <cfRule type="expression" dxfId="1772" priority="1751">
      <formula>#REF!&lt;&gt;""</formula>
    </cfRule>
    <cfRule type="expression" dxfId="1771" priority="1752">
      <formula>#REF!&lt;&gt;""</formula>
    </cfRule>
    <cfRule type="expression" dxfId="1770" priority="1753">
      <formula>#REF!&lt;&gt;""</formula>
    </cfRule>
    <cfRule type="expression" dxfId="1769" priority="1754">
      <formula>#REF!&lt;&gt;""</formula>
    </cfRule>
  </conditionalFormatting>
  <conditionalFormatting sqref="F171">
    <cfRule type="expression" dxfId="1768" priority="1731">
      <formula>#REF!&lt;&gt;""</formula>
    </cfRule>
    <cfRule type="expression" dxfId="1767" priority="1732">
      <formula>#REF!&lt;&gt;""</formula>
    </cfRule>
    <cfRule type="expression" dxfId="1766" priority="1733">
      <formula>#REF!&lt;&gt;""</formula>
    </cfRule>
    <cfRule type="expression" dxfId="1765" priority="1734">
      <formula>#REF!&lt;&gt;""</formula>
    </cfRule>
    <cfRule type="expression" dxfId="1764" priority="1735">
      <formula>#REF!&lt;&gt;""</formula>
    </cfRule>
    <cfRule type="expression" dxfId="1763" priority="1736">
      <formula>#REF!&lt;&gt;""</formula>
    </cfRule>
    <cfRule type="expression" dxfId="1762" priority="1737">
      <formula>#REF!&lt;&gt;""</formula>
    </cfRule>
    <cfRule type="expression" dxfId="1761" priority="1738">
      <formula>#REF!&lt;&gt;""</formula>
    </cfRule>
    <cfRule type="expression" dxfId="1760" priority="1739">
      <formula>#REF!&lt;&gt;""</formula>
    </cfRule>
    <cfRule type="expression" dxfId="1759" priority="1740">
      <formula>#REF!&lt;&gt;""</formula>
    </cfRule>
    <cfRule type="expression" dxfId="1758" priority="1741">
      <formula>#REF!&lt;&gt;""</formula>
    </cfRule>
    <cfRule type="expression" dxfId="1757" priority="1742">
      <formula>#REF!&lt;&gt;""</formula>
    </cfRule>
  </conditionalFormatting>
  <conditionalFormatting sqref="F172">
    <cfRule type="expression" dxfId="1756" priority="1719">
      <formula>#REF!&lt;&gt;""</formula>
    </cfRule>
    <cfRule type="expression" dxfId="1755" priority="1720">
      <formula>#REF!&lt;&gt;""</formula>
    </cfRule>
    <cfRule type="expression" dxfId="1754" priority="1721">
      <formula>#REF!&lt;&gt;""</formula>
    </cfRule>
    <cfRule type="expression" dxfId="1753" priority="1722">
      <formula>#REF!&lt;&gt;""</formula>
    </cfRule>
    <cfRule type="expression" dxfId="1752" priority="1723">
      <formula>#REF!&lt;&gt;""</formula>
    </cfRule>
    <cfRule type="expression" dxfId="1751" priority="1724">
      <formula>#REF!&lt;&gt;""</formula>
    </cfRule>
    <cfRule type="expression" dxfId="1750" priority="1725">
      <formula>#REF!&lt;&gt;""</formula>
    </cfRule>
    <cfRule type="expression" dxfId="1749" priority="1726">
      <formula>#REF!&lt;&gt;""</formula>
    </cfRule>
    <cfRule type="expression" dxfId="1748" priority="1727">
      <formula>#REF!&lt;&gt;""</formula>
    </cfRule>
    <cfRule type="expression" dxfId="1747" priority="1728">
      <formula>#REF!&lt;&gt;""</formula>
    </cfRule>
    <cfRule type="expression" dxfId="1746" priority="1729">
      <formula>#REF!&lt;&gt;""</formula>
    </cfRule>
    <cfRule type="expression" dxfId="1745" priority="1730">
      <formula>#REF!&lt;&gt;""</formula>
    </cfRule>
  </conditionalFormatting>
  <conditionalFormatting sqref="F173">
    <cfRule type="expression" dxfId="1744" priority="1707">
      <formula>#REF!&lt;&gt;""</formula>
    </cfRule>
    <cfRule type="expression" dxfId="1743" priority="1708">
      <formula>#REF!&lt;&gt;""</formula>
    </cfRule>
    <cfRule type="expression" dxfId="1742" priority="1709">
      <formula>#REF!&lt;&gt;""</formula>
    </cfRule>
    <cfRule type="expression" dxfId="1741" priority="1710">
      <formula>#REF!&lt;&gt;""</formula>
    </cfRule>
    <cfRule type="expression" dxfId="1740" priority="1711">
      <formula>#REF!&lt;&gt;""</formula>
    </cfRule>
    <cfRule type="expression" dxfId="1739" priority="1712">
      <formula>#REF!&lt;&gt;""</formula>
    </cfRule>
    <cfRule type="expression" dxfId="1738" priority="1713">
      <formula>#REF!&lt;&gt;""</formula>
    </cfRule>
    <cfRule type="expression" dxfId="1737" priority="1714">
      <formula>#REF!&lt;&gt;""</formula>
    </cfRule>
    <cfRule type="expression" dxfId="1736" priority="1715">
      <formula>#REF!&lt;&gt;""</formula>
    </cfRule>
    <cfRule type="expression" dxfId="1735" priority="1716">
      <formula>#REF!&lt;&gt;""</formula>
    </cfRule>
    <cfRule type="expression" dxfId="1734" priority="1717">
      <formula>#REF!&lt;&gt;""</formula>
    </cfRule>
    <cfRule type="expression" dxfId="1733" priority="1718">
      <formula>#REF!&lt;&gt;""</formula>
    </cfRule>
  </conditionalFormatting>
  <conditionalFormatting sqref="F174">
    <cfRule type="expression" dxfId="1732" priority="1695">
      <formula>#REF!&lt;&gt;""</formula>
    </cfRule>
    <cfRule type="expression" dxfId="1731" priority="1696">
      <formula>#REF!&lt;&gt;""</formula>
    </cfRule>
    <cfRule type="expression" dxfId="1730" priority="1697">
      <formula>#REF!&lt;&gt;""</formula>
    </cfRule>
    <cfRule type="expression" dxfId="1729" priority="1698">
      <formula>#REF!&lt;&gt;""</formula>
    </cfRule>
    <cfRule type="expression" dxfId="1728" priority="1699">
      <formula>#REF!&lt;&gt;""</formula>
    </cfRule>
    <cfRule type="expression" dxfId="1727" priority="1700">
      <formula>#REF!&lt;&gt;""</formula>
    </cfRule>
    <cfRule type="expression" dxfId="1726" priority="1701">
      <formula>#REF!&lt;&gt;""</formula>
    </cfRule>
    <cfRule type="expression" dxfId="1725" priority="1702">
      <formula>#REF!&lt;&gt;""</formula>
    </cfRule>
    <cfRule type="expression" dxfId="1724" priority="1703">
      <formula>#REF!&lt;&gt;""</formula>
    </cfRule>
    <cfRule type="expression" dxfId="1723" priority="1704">
      <formula>#REF!&lt;&gt;""</formula>
    </cfRule>
    <cfRule type="expression" dxfId="1722" priority="1705">
      <formula>#REF!&lt;&gt;""</formula>
    </cfRule>
    <cfRule type="expression" dxfId="1721" priority="1706">
      <formula>#REF!&lt;&gt;""</formula>
    </cfRule>
  </conditionalFormatting>
  <conditionalFormatting sqref="F175">
    <cfRule type="expression" dxfId="1720" priority="1683">
      <formula>#REF!&lt;&gt;""</formula>
    </cfRule>
    <cfRule type="expression" dxfId="1719" priority="1684">
      <formula>#REF!&lt;&gt;""</formula>
    </cfRule>
    <cfRule type="expression" dxfId="1718" priority="1685">
      <formula>#REF!&lt;&gt;""</formula>
    </cfRule>
    <cfRule type="expression" dxfId="1717" priority="1686">
      <formula>#REF!&lt;&gt;""</formula>
    </cfRule>
    <cfRule type="expression" dxfId="1716" priority="1687">
      <formula>#REF!&lt;&gt;""</formula>
    </cfRule>
    <cfRule type="expression" dxfId="1715" priority="1688">
      <formula>#REF!&lt;&gt;""</formula>
    </cfRule>
    <cfRule type="expression" dxfId="1714" priority="1689">
      <formula>#REF!&lt;&gt;""</formula>
    </cfRule>
    <cfRule type="expression" dxfId="1713" priority="1690">
      <formula>#REF!&lt;&gt;""</formula>
    </cfRule>
    <cfRule type="expression" dxfId="1712" priority="1691">
      <formula>#REF!&lt;&gt;""</formula>
    </cfRule>
    <cfRule type="expression" dxfId="1711" priority="1692">
      <formula>#REF!&lt;&gt;""</formula>
    </cfRule>
    <cfRule type="expression" dxfId="1710" priority="1693">
      <formula>#REF!&lt;&gt;""</formula>
    </cfRule>
    <cfRule type="expression" dxfId="1709" priority="1694">
      <formula>#REF!&lt;&gt;""</formula>
    </cfRule>
  </conditionalFormatting>
  <conditionalFormatting sqref="F176">
    <cfRule type="expression" dxfId="1708" priority="1671">
      <formula>#REF!&lt;&gt;""</formula>
    </cfRule>
    <cfRule type="expression" dxfId="1707" priority="1672">
      <formula>#REF!&lt;&gt;""</formula>
    </cfRule>
    <cfRule type="expression" dxfId="1706" priority="1673">
      <formula>#REF!&lt;&gt;""</formula>
    </cfRule>
    <cfRule type="expression" dxfId="1705" priority="1674">
      <formula>#REF!&lt;&gt;""</formula>
    </cfRule>
    <cfRule type="expression" dxfId="1704" priority="1675">
      <formula>#REF!&lt;&gt;""</formula>
    </cfRule>
    <cfRule type="expression" dxfId="1703" priority="1676">
      <formula>#REF!&lt;&gt;""</formula>
    </cfRule>
    <cfRule type="expression" dxfId="1702" priority="1677">
      <formula>#REF!&lt;&gt;""</formula>
    </cfRule>
    <cfRule type="expression" dxfId="1701" priority="1678">
      <formula>#REF!&lt;&gt;""</formula>
    </cfRule>
    <cfRule type="expression" dxfId="1700" priority="1679">
      <formula>#REF!&lt;&gt;""</formula>
    </cfRule>
    <cfRule type="expression" dxfId="1699" priority="1680">
      <formula>#REF!&lt;&gt;""</formula>
    </cfRule>
    <cfRule type="expression" dxfId="1698" priority="1681">
      <formula>#REF!&lt;&gt;""</formula>
    </cfRule>
    <cfRule type="expression" dxfId="1697" priority="1682">
      <formula>#REF!&lt;&gt;""</formula>
    </cfRule>
  </conditionalFormatting>
  <conditionalFormatting sqref="F177">
    <cfRule type="expression" dxfId="1696" priority="1659">
      <formula>#REF!&lt;&gt;""</formula>
    </cfRule>
    <cfRule type="expression" dxfId="1695" priority="1660">
      <formula>#REF!&lt;&gt;""</formula>
    </cfRule>
    <cfRule type="expression" dxfId="1694" priority="1661">
      <formula>#REF!&lt;&gt;""</formula>
    </cfRule>
    <cfRule type="expression" dxfId="1693" priority="1662">
      <formula>#REF!&lt;&gt;""</formula>
    </cfRule>
    <cfRule type="expression" dxfId="1692" priority="1663">
      <formula>#REF!&lt;&gt;""</formula>
    </cfRule>
    <cfRule type="expression" dxfId="1691" priority="1664">
      <formula>#REF!&lt;&gt;""</formula>
    </cfRule>
    <cfRule type="expression" dxfId="1690" priority="1665">
      <formula>#REF!&lt;&gt;""</formula>
    </cfRule>
    <cfRule type="expression" dxfId="1689" priority="1666">
      <formula>#REF!&lt;&gt;""</formula>
    </cfRule>
    <cfRule type="expression" dxfId="1688" priority="1667">
      <formula>#REF!&lt;&gt;""</formula>
    </cfRule>
    <cfRule type="expression" dxfId="1687" priority="1668">
      <formula>#REF!&lt;&gt;""</formula>
    </cfRule>
    <cfRule type="expression" dxfId="1686" priority="1669">
      <formula>#REF!&lt;&gt;""</formula>
    </cfRule>
    <cfRule type="expression" dxfId="1685" priority="1670">
      <formula>#REF!&lt;&gt;""</formula>
    </cfRule>
  </conditionalFormatting>
  <conditionalFormatting sqref="F178">
    <cfRule type="expression" dxfId="1684" priority="1647">
      <formula>#REF!&lt;&gt;""</formula>
    </cfRule>
    <cfRule type="expression" dxfId="1683" priority="1648">
      <formula>#REF!&lt;&gt;""</formula>
    </cfRule>
    <cfRule type="expression" dxfId="1682" priority="1649">
      <formula>#REF!&lt;&gt;""</formula>
    </cfRule>
    <cfRule type="expression" dxfId="1681" priority="1650">
      <formula>#REF!&lt;&gt;""</formula>
    </cfRule>
    <cfRule type="expression" dxfId="1680" priority="1651">
      <formula>#REF!&lt;&gt;""</formula>
    </cfRule>
    <cfRule type="expression" dxfId="1679" priority="1652">
      <formula>#REF!&lt;&gt;""</formula>
    </cfRule>
    <cfRule type="expression" dxfId="1678" priority="1653">
      <formula>#REF!&lt;&gt;""</formula>
    </cfRule>
    <cfRule type="expression" dxfId="1677" priority="1654">
      <formula>#REF!&lt;&gt;""</formula>
    </cfRule>
    <cfRule type="expression" dxfId="1676" priority="1655">
      <formula>#REF!&lt;&gt;""</formula>
    </cfRule>
    <cfRule type="expression" dxfId="1675" priority="1656">
      <formula>#REF!&lt;&gt;""</formula>
    </cfRule>
    <cfRule type="expression" dxfId="1674" priority="1657">
      <formula>#REF!&lt;&gt;""</formula>
    </cfRule>
    <cfRule type="expression" dxfId="1673" priority="1658">
      <formula>#REF!&lt;&gt;""</formula>
    </cfRule>
  </conditionalFormatting>
  <conditionalFormatting sqref="F179">
    <cfRule type="expression" dxfId="1672" priority="1635">
      <formula>#REF!&lt;&gt;""</formula>
    </cfRule>
    <cfRule type="expression" dxfId="1671" priority="1636">
      <formula>#REF!&lt;&gt;""</formula>
    </cfRule>
    <cfRule type="expression" dxfId="1670" priority="1637">
      <formula>#REF!&lt;&gt;""</formula>
    </cfRule>
    <cfRule type="expression" dxfId="1669" priority="1638">
      <formula>#REF!&lt;&gt;""</formula>
    </cfRule>
    <cfRule type="expression" dxfId="1668" priority="1639">
      <formula>#REF!&lt;&gt;""</formula>
    </cfRule>
    <cfRule type="expression" dxfId="1667" priority="1640">
      <formula>#REF!&lt;&gt;""</formula>
    </cfRule>
    <cfRule type="expression" dxfId="1666" priority="1641">
      <formula>#REF!&lt;&gt;""</formula>
    </cfRule>
    <cfRule type="expression" dxfId="1665" priority="1642">
      <formula>#REF!&lt;&gt;""</formula>
    </cfRule>
    <cfRule type="expression" dxfId="1664" priority="1643">
      <formula>#REF!&lt;&gt;""</formula>
    </cfRule>
    <cfRule type="expression" dxfId="1663" priority="1644">
      <formula>#REF!&lt;&gt;""</formula>
    </cfRule>
    <cfRule type="expression" dxfId="1662" priority="1645">
      <formula>#REF!&lt;&gt;""</formula>
    </cfRule>
    <cfRule type="expression" dxfId="1661" priority="1646">
      <formula>#REF!&lt;&gt;""</formula>
    </cfRule>
  </conditionalFormatting>
  <conditionalFormatting sqref="F180">
    <cfRule type="expression" dxfId="1660" priority="1623">
      <formula>#REF!&lt;&gt;""</formula>
    </cfRule>
    <cfRule type="expression" dxfId="1659" priority="1624">
      <formula>#REF!&lt;&gt;""</formula>
    </cfRule>
    <cfRule type="expression" dxfId="1658" priority="1625">
      <formula>#REF!&lt;&gt;""</formula>
    </cfRule>
    <cfRule type="expression" dxfId="1657" priority="1626">
      <formula>#REF!&lt;&gt;""</formula>
    </cfRule>
    <cfRule type="expression" dxfId="1656" priority="1627">
      <formula>#REF!&lt;&gt;""</formula>
    </cfRule>
    <cfRule type="expression" dxfId="1655" priority="1628">
      <formula>#REF!&lt;&gt;""</formula>
    </cfRule>
    <cfRule type="expression" dxfId="1654" priority="1629">
      <formula>#REF!&lt;&gt;""</formula>
    </cfRule>
    <cfRule type="expression" dxfId="1653" priority="1630">
      <formula>#REF!&lt;&gt;""</formula>
    </cfRule>
    <cfRule type="expression" dxfId="1652" priority="1631">
      <formula>#REF!&lt;&gt;""</formula>
    </cfRule>
    <cfRule type="expression" dxfId="1651" priority="1632">
      <formula>#REF!&lt;&gt;""</formula>
    </cfRule>
    <cfRule type="expression" dxfId="1650" priority="1633">
      <formula>#REF!&lt;&gt;""</formula>
    </cfRule>
    <cfRule type="expression" dxfId="1649" priority="1634">
      <formula>#REF!&lt;&gt;""</formula>
    </cfRule>
  </conditionalFormatting>
  <conditionalFormatting sqref="F181">
    <cfRule type="expression" dxfId="1648" priority="1611">
      <formula>#REF!&lt;&gt;""</formula>
    </cfRule>
    <cfRule type="expression" dxfId="1647" priority="1612">
      <formula>#REF!&lt;&gt;""</formula>
    </cfRule>
    <cfRule type="expression" dxfId="1646" priority="1613">
      <formula>#REF!&lt;&gt;""</formula>
    </cfRule>
    <cfRule type="expression" dxfId="1645" priority="1614">
      <formula>#REF!&lt;&gt;""</formula>
    </cfRule>
    <cfRule type="expression" dxfId="1644" priority="1615">
      <formula>#REF!&lt;&gt;""</formula>
    </cfRule>
    <cfRule type="expression" dxfId="1643" priority="1616">
      <formula>#REF!&lt;&gt;""</formula>
    </cfRule>
    <cfRule type="expression" dxfId="1642" priority="1617">
      <formula>#REF!&lt;&gt;""</formula>
    </cfRule>
    <cfRule type="expression" dxfId="1641" priority="1618">
      <formula>#REF!&lt;&gt;""</formula>
    </cfRule>
    <cfRule type="expression" dxfId="1640" priority="1619">
      <formula>#REF!&lt;&gt;""</formula>
    </cfRule>
    <cfRule type="expression" dxfId="1639" priority="1620">
      <formula>#REF!&lt;&gt;""</formula>
    </cfRule>
    <cfRule type="expression" dxfId="1638" priority="1621">
      <formula>#REF!&lt;&gt;""</formula>
    </cfRule>
    <cfRule type="expression" dxfId="1637" priority="1622">
      <formula>#REF!&lt;&gt;""</formula>
    </cfRule>
  </conditionalFormatting>
  <conditionalFormatting sqref="F182">
    <cfRule type="expression" dxfId="1636" priority="1599">
      <formula>#REF!&lt;&gt;""</formula>
    </cfRule>
    <cfRule type="expression" dxfId="1635" priority="1600">
      <formula>#REF!&lt;&gt;""</formula>
    </cfRule>
    <cfRule type="expression" dxfId="1634" priority="1601">
      <formula>#REF!&lt;&gt;""</formula>
    </cfRule>
    <cfRule type="expression" dxfId="1633" priority="1602">
      <formula>#REF!&lt;&gt;""</formula>
    </cfRule>
    <cfRule type="expression" dxfId="1632" priority="1603">
      <formula>#REF!&lt;&gt;""</formula>
    </cfRule>
    <cfRule type="expression" dxfId="1631" priority="1604">
      <formula>#REF!&lt;&gt;""</formula>
    </cfRule>
    <cfRule type="expression" dxfId="1630" priority="1605">
      <formula>#REF!&lt;&gt;""</formula>
    </cfRule>
    <cfRule type="expression" dxfId="1629" priority="1606">
      <formula>#REF!&lt;&gt;""</formula>
    </cfRule>
    <cfRule type="expression" dxfId="1628" priority="1607">
      <formula>#REF!&lt;&gt;""</formula>
    </cfRule>
    <cfRule type="expression" dxfId="1627" priority="1608">
      <formula>#REF!&lt;&gt;""</formula>
    </cfRule>
    <cfRule type="expression" dxfId="1626" priority="1609">
      <formula>#REF!&lt;&gt;""</formula>
    </cfRule>
    <cfRule type="expression" dxfId="1625" priority="1610">
      <formula>#REF!&lt;&gt;""</formula>
    </cfRule>
  </conditionalFormatting>
  <conditionalFormatting sqref="F183">
    <cfRule type="expression" dxfId="1624" priority="1587">
      <formula>#REF!&lt;&gt;""</formula>
    </cfRule>
    <cfRule type="expression" dxfId="1623" priority="1588">
      <formula>#REF!&lt;&gt;""</formula>
    </cfRule>
    <cfRule type="expression" dxfId="1622" priority="1589">
      <formula>#REF!&lt;&gt;""</formula>
    </cfRule>
    <cfRule type="expression" dxfId="1621" priority="1590">
      <formula>#REF!&lt;&gt;""</formula>
    </cfRule>
    <cfRule type="expression" dxfId="1620" priority="1591">
      <formula>#REF!&lt;&gt;""</formula>
    </cfRule>
    <cfRule type="expression" dxfId="1619" priority="1592">
      <formula>#REF!&lt;&gt;""</formula>
    </cfRule>
    <cfRule type="expression" dxfId="1618" priority="1593">
      <formula>#REF!&lt;&gt;""</formula>
    </cfRule>
    <cfRule type="expression" dxfId="1617" priority="1594">
      <formula>#REF!&lt;&gt;""</formula>
    </cfRule>
    <cfRule type="expression" dxfId="1616" priority="1595">
      <formula>#REF!&lt;&gt;""</formula>
    </cfRule>
    <cfRule type="expression" dxfId="1615" priority="1596">
      <formula>#REF!&lt;&gt;""</formula>
    </cfRule>
    <cfRule type="expression" dxfId="1614" priority="1597">
      <formula>#REF!&lt;&gt;""</formula>
    </cfRule>
    <cfRule type="expression" dxfId="1613" priority="1598">
      <formula>#REF!&lt;&gt;""</formula>
    </cfRule>
  </conditionalFormatting>
  <conditionalFormatting sqref="F184">
    <cfRule type="expression" dxfId="1612" priority="1575">
      <formula>#REF!&lt;&gt;""</formula>
    </cfRule>
    <cfRule type="expression" dxfId="1611" priority="1576">
      <formula>#REF!&lt;&gt;""</formula>
    </cfRule>
    <cfRule type="expression" dxfId="1610" priority="1577">
      <formula>#REF!&lt;&gt;""</formula>
    </cfRule>
    <cfRule type="expression" dxfId="1609" priority="1578">
      <formula>#REF!&lt;&gt;""</formula>
    </cfRule>
    <cfRule type="expression" dxfId="1608" priority="1579">
      <formula>#REF!&lt;&gt;""</formula>
    </cfRule>
    <cfRule type="expression" dxfId="1607" priority="1580">
      <formula>#REF!&lt;&gt;""</formula>
    </cfRule>
    <cfRule type="expression" dxfId="1606" priority="1581">
      <formula>#REF!&lt;&gt;""</formula>
    </cfRule>
    <cfRule type="expression" dxfId="1605" priority="1582">
      <formula>#REF!&lt;&gt;""</formula>
    </cfRule>
    <cfRule type="expression" dxfId="1604" priority="1583">
      <formula>#REF!&lt;&gt;""</formula>
    </cfRule>
    <cfRule type="expression" dxfId="1603" priority="1584">
      <formula>#REF!&lt;&gt;""</formula>
    </cfRule>
    <cfRule type="expression" dxfId="1602" priority="1585">
      <formula>#REF!&lt;&gt;""</formula>
    </cfRule>
    <cfRule type="expression" dxfId="1601" priority="1586">
      <formula>#REF!&lt;&gt;""</formula>
    </cfRule>
  </conditionalFormatting>
  <conditionalFormatting sqref="F185">
    <cfRule type="expression" dxfId="1600" priority="1563">
      <formula>#REF!&lt;&gt;""</formula>
    </cfRule>
    <cfRule type="expression" dxfId="1599" priority="1564">
      <formula>#REF!&lt;&gt;""</formula>
    </cfRule>
    <cfRule type="expression" dxfId="1598" priority="1565">
      <formula>#REF!&lt;&gt;""</formula>
    </cfRule>
    <cfRule type="expression" dxfId="1597" priority="1566">
      <formula>#REF!&lt;&gt;""</formula>
    </cfRule>
    <cfRule type="expression" dxfId="1596" priority="1567">
      <formula>#REF!&lt;&gt;""</formula>
    </cfRule>
    <cfRule type="expression" dxfId="1595" priority="1568">
      <formula>#REF!&lt;&gt;""</formula>
    </cfRule>
    <cfRule type="expression" dxfId="1594" priority="1569">
      <formula>#REF!&lt;&gt;""</formula>
    </cfRule>
    <cfRule type="expression" dxfId="1593" priority="1570">
      <formula>#REF!&lt;&gt;""</formula>
    </cfRule>
    <cfRule type="expression" dxfId="1592" priority="1571">
      <formula>#REF!&lt;&gt;""</formula>
    </cfRule>
    <cfRule type="expression" dxfId="1591" priority="1572">
      <formula>#REF!&lt;&gt;""</formula>
    </cfRule>
    <cfRule type="expression" dxfId="1590" priority="1573">
      <formula>#REF!&lt;&gt;""</formula>
    </cfRule>
    <cfRule type="expression" dxfId="1589" priority="1574">
      <formula>#REF!&lt;&gt;""</formula>
    </cfRule>
  </conditionalFormatting>
  <conditionalFormatting sqref="F186">
    <cfRule type="expression" dxfId="1588" priority="1551">
      <formula>#REF!&lt;&gt;""</formula>
    </cfRule>
    <cfRule type="expression" dxfId="1587" priority="1552">
      <formula>#REF!&lt;&gt;""</formula>
    </cfRule>
    <cfRule type="expression" dxfId="1586" priority="1553">
      <formula>#REF!&lt;&gt;""</formula>
    </cfRule>
    <cfRule type="expression" dxfId="1585" priority="1554">
      <formula>#REF!&lt;&gt;""</formula>
    </cfRule>
    <cfRule type="expression" dxfId="1584" priority="1555">
      <formula>#REF!&lt;&gt;""</formula>
    </cfRule>
    <cfRule type="expression" dxfId="1583" priority="1556">
      <formula>#REF!&lt;&gt;""</formula>
    </cfRule>
    <cfRule type="expression" dxfId="1582" priority="1557">
      <formula>#REF!&lt;&gt;""</formula>
    </cfRule>
    <cfRule type="expression" dxfId="1581" priority="1558">
      <formula>#REF!&lt;&gt;""</formula>
    </cfRule>
    <cfRule type="expression" dxfId="1580" priority="1559">
      <formula>#REF!&lt;&gt;""</formula>
    </cfRule>
    <cfRule type="expression" dxfId="1579" priority="1560">
      <formula>#REF!&lt;&gt;""</formula>
    </cfRule>
    <cfRule type="expression" dxfId="1578" priority="1561">
      <formula>#REF!&lt;&gt;""</formula>
    </cfRule>
    <cfRule type="expression" dxfId="1577" priority="1562">
      <formula>#REF!&lt;&gt;""</formula>
    </cfRule>
  </conditionalFormatting>
  <conditionalFormatting sqref="F187">
    <cfRule type="expression" dxfId="1576" priority="1539">
      <formula>#REF!&lt;&gt;""</formula>
    </cfRule>
    <cfRule type="expression" dxfId="1575" priority="1540">
      <formula>#REF!&lt;&gt;""</formula>
    </cfRule>
    <cfRule type="expression" dxfId="1574" priority="1541">
      <formula>#REF!&lt;&gt;""</formula>
    </cfRule>
    <cfRule type="expression" dxfId="1573" priority="1542">
      <formula>#REF!&lt;&gt;""</formula>
    </cfRule>
    <cfRule type="expression" dxfId="1572" priority="1543">
      <formula>#REF!&lt;&gt;""</formula>
    </cfRule>
    <cfRule type="expression" dxfId="1571" priority="1544">
      <formula>#REF!&lt;&gt;""</formula>
    </cfRule>
    <cfRule type="expression" dxfId="1570" priority="1545">
      <formula>#REF!&lt;&gt;""</formula>
    </cfRule>
    <cfRule type="expression" dxfId="1569" priority="1546">
      <formula>#REF!&lt;&gt;""</formula>
    </cfRule>
    <cfRule type="expression" dxfId="1568" priority="1547">
      <formula>#REF!&lt;&gt;""</formula>
    </cfRule>
    <cfRule type="expression" dxfId="1567" priority="1548">
      <formula>#REF!&lt;&gt;""</formula>
    </cfRule>
    <cfRule type="expression" dxfId="1566" priority="1549">
      <formula>#REF!&lt;&gt;""</formula>
    </cfRule>
    <cfRule type="expression" dxfId="1565" priority="1550">
      <formula>#REF!&lt;&gt;""</formula>
    </cfRule>
  </conditionalFormatting>
  <conditionalFormatting sqref="F188">
    <cfRule type="expression" dxfId="1564" priority="1527">
      <formula>#REF!&lt;&gt;""</formula>
    </cfRule>
    <cfRule type="expression" dxfId="1563" priority="1528">
      <formula>#REF!&lt;&gt;""</formula>
    </cfRule>
    <cfRule type="expression" dxfId="1562" priority="1529">
      <formula>#REF!&lt;&gt;""</formula>
    </cfRule>
    <cfRule type="expression" dxfId="1561" priority="1530">
      <formula>#REF!&lt;&gt;""</formula>
    </cfRule>
    <cfRule type="expression" dxfId="1560" priority="1531">
      <formula>#REF!&lt;&gt;""</formula>
    </cfRule>
    <cfRule type="expression" dxfId="1559" priority="1532">
      <formula>#REF!&lt;&gt;""</formula>
    </cfRule>
    <cfRule type="expression" dxfId="1558" priority="1533">
      <formula>#REF!&lt;&gt;""</formula>
    </cfRule>
    <cfRule type="expression" dxfId="1557" priority="1534">
      <formula>#REF!&lt;&gt;""</formula>
    </cfRule>
    <cfRule type="expression" dxfId="1556" priority="1535">
      <formula>#REF!&lt;&gt;""</formula>
    </cfRule>
    <cfRule type="expression" dxfId="1555" priority="1536">
      <formula>#REF!&lt;&gt;""</formula>
    </cfRule>
    <cfRule type="expression" dxfId="1554" priority="1537">
      <formula>#REF!&lt;&gt;""</formula>
    </cfRule>
    <cfRule type="expression" dxfId="1553" priority="1538">
      <formula>#REF!&lt;&gt;""</formula>
    </cfRule>
  </conditionalFormatting>
  <conditionalFormatting sqref="F189">
    <cfRule type="expression" dxfId="1552" priority="1515">
      <formula>#REF!&lt;&gt;""</formula>
    </cfRule>
    <cfRule type="expression" dxfId="1551" priority="1516">
      <formula>#REF!&lt;&gt;""</formula>
    </cfRule>
    <cfRule type="expression" dxfId="1550" priority="1517">
      <formula>#REF!&lt;&gt;""</formula>
    </cfRule>
    <cfRule type="expression" dxfId="1549" priority="1518">
      <formula>#REF!&lt;&gt;""</formula>
    </cfRule>
    <cfRule type="expression" dxfId="1548" priority="1519">
      <formula>#REF!&lt;&gt;""</formula>
    </cfRule>
    <cfRule type="expression" dxfId="1547" priority="1520">
      <formula>#REF!&lt;&gt;""</formula>
    </cfRule>
    <cfRule type="expression" dxfId="1546" priority="1521">
      <formula>#REF!&lt;&gt;""</formula>
    </cfRule>
    <cfRule type="expression" dxfId="1545" priority="1522">
      <formula>#REF!&lt;&gt;""</formula>
    </cfRule>
    <cfRule type="expression" dxfId="1544" priority="1523">
      <formula>#REF!&lt;&gt;""</formula>
    </cfRule>
    <cfRule type="expression" dxfId="1543" priority="1524">
      <formula>#REF!&lt;&gt;""</formula>
    </cfRule>
    <cfRule type="expression" dxfId="1542" priority="1525">
      <formula>#REF!&lt;&gt;""</formula>
    </cfRule>
    <cfRule type="expression" dxfId="1541" priority="1526">
      <formula>#REF!&lt;&gt;""</formula>
    </cfRule>
  </conditionalFormatting>
  <conditionalFormatting sqref="F190">
    <cfRule type="expression" dxfId="1540" priority="1503">
      <formula>#REF!&lt;&gt;""</formula>
    </cfRule>
    <cfRule type="expression" dxfId="1539" priority="1504">
      <formula>#REF!&lt;&gt;""</formula>
    </cfRule>
    <cfRule type="expression" dxfId="1538" priority="1505">
      <formula>#REF!&lt;&gt;""</formula>
    </cfRule>
    <cfRule type="expression" dxfId="1537" priority="1506">
      <formula>#REF!&lt;&gt;""</formula>
    </cfRule>
    <cfRule type="expression" dxfId="1536" priority="1507">
      <formula>#REF!&lt;&gt;""</formula>
    </cfRule>
    <cfRule type="expression" dxfId="1535" priority="1508">
      <formula>#REF!&lt;&gt;""</formula>
    </cfRule>
    <cfRule type="expression" dxfId="1534" priority="1509">
      <formula>#REF!&lt;&gt;""</formula>
    </cfRule>
    <cfRule type="expression" dxfId="1533" priority="1510">
      <formula>#REF!&lt;&gt;""</formula>
    </cfRule>
    <cfRule type="expression" dxfId="1532" priority="1511">
      <formula>#REF!&lt;&gt;""</formula>
    </cfRule>
    <cfRule type="expression" dxfId="1531" priority="1512">
      <formula>#REF!&lt;&gt;""</formula>
    </cfRule>
    <cfRule type="expression" dxfId="1530" priority="1513">
      <formula>#REF!&lt;&gt;""</formula>
    </cfRule>
    <cfRule type="expression" dxfId="1529" priority="1514">
      <formula>#REF!&lt;&gt;""</formula>
    </cfRule>
  </conditionalFormatting>
  <conditionalFormatting sqref="F191">
    <cfRule type="expression" dxfId="1528" priority="1491">
      <formula>#REF!&lt;&gt;""</formula>
    </cfRule>
    <cfRule type="expression" dxfId="1527" priority="1492">
      <formula>#REF!&lt;&gt;""</formula>
    </cfRule>
    <cfRule type="expression" dxfId="1526" priority="1493">
      <formula>#REF!&lt;&gt;""</formula>
    </cfRule>
    <cfRule type="expression" dxfId="1525" priority="1494">
      <formula>#REF!&lt;&gt;""</formula>
    </cfRule>
    <cfRule type="expression" dxfId="1524" priority="1495">
      <formula>#REF!&lt;&gt;""</formula>
    </cfRule>
    <cfRule type="expression" dxfId="1523" priority="1496">
      <formula>#REF!&lt;&gt;""</formula>
    </cfRule>
    <cfRule type="expression" dxfId="1522" priority="1497">
      <formula>#REF!&lt;&gt;""</formula>
    </cfRule>
    <cfRule type="expression" dxfId="1521" priority="1498">
      <formula>#REF!&lt;&gt;""</formula>
    </cfRule>
    <cfRule type="expression" dxfId="1520" priority="1499">
      <formula>#REF!&lt;&gt;""</formula>
    </cfRule>
    <cfRule type="expression" dxfId="1519" priority="1500">
      <formula>#REF!&lt;&gt;""</formula>
    </cfRule>
    <cfRule type="expression" dxfId="1518" priority="1501">
      <formula>#REF!&lt;&gt;""</formula>
    </cfRule>
    <cfRule type="expression" dxfId="1517" priority="1502">
      <formula>#REF!&lt;&gt;""</formula>
    </cfRule>
  </conditionalFormatting>
  <conditionalFormatting sqref="F192">
    <cfRule type="expression" dxfId="1516" priority="1479">
      <formula>#REF!&lt;&gt;""</formula>
    </cfRule>
    <cfRule type="expression" dxfId="1515" priority="1480">
      <formula>#REF!&lt;&gt;""</formula>
    </cfRule>
    <cfRule type="expression" dxfId="1514" priority="1481">
      <formula>#REF!&lt;&gt;""</formula>
    </cfRule>
    <cfRule type="expression" dxfId="1513" priority="1482">
      <formula>#REF!&lt;&gt;""</formula>
    </cfRule>
    <cfRule type="expression" dxfId="1512" priority="1483">
      <formula>#REF!&lt;&gt;""</formula>
    </cfRule>
    <cfRule type="expression" dxfId="1511" priority="1484">
      <formula>#REF!&lt;&gt;""</formula>
    </cfRule>
    <cfRule type="expression" dxfId="1510" priority="1485">
      <formula>#REF!&lt;&gt;""</formula>
    </cfRule>
    <cfRule type="expression" dxfId="1509" priority="1486">
      <formula>#REF!&lt;&gt;""</formula>
    </cfRule>
    <cfRule type="expression" dxfId="1508" priority="1487">
      <formula>#REF!&lt;&gt;""</formula>
    </cfRule>
    <cfRule type="expression" dxfId="1507" priority="1488">
      <formula>#REF!&lt;&gt;""</formula>
    </cfRule>
    <cfRule type="expression" dxfId="1506" priority="1489">
      <formula>#REF!&lt;&gt;""</formula>
    </cfRule>
    <cfRule type="expression" dxfId="1505" priority="1490">
      <formula>#REF!&lt;&gt;""</formula>
    </cfRule>
  </conditionalFormatting>
  <conditionalFormatting sqref="F193">
    <cfRule type="expression" dxfId="1504" priority="1467">
      <formula>#REF!&lt;&gt;""</formula>
    </cfRule>
    <cfRule type="expression" dxfId="1503" priority="1468">
      <formula>#REF!&lt;&gt;""</formula>
    </cfRule>
    <cfRule type="expression" dxfId="1502" priority="1469">
      <formula>#REF!&lt;&gt;""</formula>
    </cfRule>
    <cfRule type="expression" dxfId="1501" priority="1470">
      <formula>#REF!&lt;&gt;""</formula>
    </cfRule>
    <cfRule type="expression" dxfId="1500" priority="1471">
      <formula>#REF!&lt;&gt;""</formula>
    </cfRule>
    <cfRule type="expression" dxfId="1499" priority="1472">
      <formula>#REF!&lt;&gt;""</formula>
    </cfRule>
    <cfRule type="expression" dxfId="1498" priority="1473">
      <formula>#REF!&lt;&gt;""</formula>
    </cfRule>
    <cfRule type="expression" dxfId="1497" priority="1474">
      <formula>#REF!&lt;&gt;""</formula>
    </cfRule>
    <cfRule type="expression" dxfId="1496" priority="1475">
      <formula>#REF!&lt;&gt;""</formula>
    </cfRule>
    <cfRule type="expression" dxfId="1495" priority="1476">
      <formula>#REF!&lt;&gt;""</formula>
    </cfRule>
    <cfRule type="expression" dxfId="1494" priority="1477">
      <formula>#REF!&lt;&gt;""</formula>
    </cfRule>
    <cfRule type="expression" dxfId="1493" priority="1478">
      <formula>#REF!&lt;&gt;""</formula>
    </cfRule>
  </conditionalFormatting>
  <conditionalFormatting sqref="F194">
    <cfRule type="expression" dxfId="1492" priority="1455">
      <formula>#REF!&lt;&gt;""</formula>
    </cfRule>
    <cfRule type="expression" dxfId="1491" priority="1456">
      <formula>#REF!&lt;&gt;""</formula>
    </cfRule>
    <cfRule type="expression" dxfId="1490" priority="1457">
      <formula>#REF!&lt;&gt;""</formula>
    </cfRule>
    <cfRule type="expression" dxfId="1489" priority="1458">
      <formula>#REF!&lt;&gt;""</formula>
    </cfRule>
    <cfRule type="expression" dxfId="1488" priority="1459">
      <formula>#REF!&lt;&gt;""</formula>
    </cfRule>
    <cfRule type="expression" dxfId="1487" priority="1460">
      <formula>#REF!&lt;&gt;""</formula>
    </cfRule>
    <cfRule type="expression" dxfId="1486" priority="1461">
      <formula>#REF!&lt;&gt;""</formula>
    </cfRule>
    <cfRule type="expression" dxfId="1485" priority="1462">
      <formula>#REF!&lt;&gt;""</formula>
    </cfRule>
    <cfRule type="expression" dxfId="1484" priority="1463">
      <formula>#REF!&lt;&gt;""</formula>
    </cfRule>
    <cfRule type="expression" dxfId="1483" priority="1464">
      <formula>#REF!&lt;&gt;""</formula>
    </cfRule>
    <cfRule type="expression" dxfId="1482" priority="1465">
      <formula>#REF!&lt;&gt;""</formula>
    </cfRule>
    <cfRule type="expression" dxfId="1481" priority="1466">
      <formula>#REF!&lt;&gt;""</formula>
    </cfRule>
  </conditionalFormatting>
  <conditionalFormatting sqref="F195">
    <cfRule type="expression" dxfId="1480" priority="1443">
      <formula>#REF!&lt;&gt;""</formula>
    </cfRule>
    <cfRule type="expression" dxfId="1479" priority="1444">
      <formula>#REF!&lt;&gt;""</formula>
    </cfRule>
    <cfRule type="expression" dxfId="1478" priority="1445">
      <formula>#REF!&lt;&gt;""</formula>
    </cfRule>
    <cfRule type="expression" dxfId="1477" priority="1446">
      <formula>#REF!&lt;&gt;""</formula>
    </cfRule>
    <cfRule type="expression" dxfId="1476" priority="1447">
      <formula>#REF!&lt;&gt;""</formula>
    </cfRule>
    <cfRule type="expression" dxfId="1475" priority="1448">
      <formula>#REF!&lt;&gt;""</formula>
    </cfRule>
    <cfRule type="expression" dxfId="1474" priority="1449">
      <formula>#REF!&lt;&gt;""</formula>
    </cfRule>
    <cfRule type="expression" dxfId="1473" priority="1450">
      <formula>#REF!&lt;&gt;""</formula>
    </cfRule>
    <cfRule type="expression" dxfId="1472" priority="1451">
      <formula>#REF!&lt;&gt;""</formula>
    </cfRule>
    <cfRule type="expression" dxfId="1471" priority="1452">
      <formula>#REF!&lt;&gt;""</formula>
    </cfRule>
    <cfRule type="expression" dxfId="1470" priority="1453">
      <formula>#REF!&lt;&gt;""</formula>
    </cfRule>
    <cfRule type="expression" dxfId="1469" priority="1454">
      <formula>#REF!&lt;&gt;""</formula>
    </cfRule>
  </conditionalFormatting>
  <conditionalFormatting sqref="F196">
    <cfRule type="expression" dxfId="1468" priority="1431">
      <formula>#REF!&lt;&gt;""</formula>
    </cfRule>
    <cfRule type="expression" dxfId="1467" priority="1432">
      <formula>#REF!&lt;&gt;""</formula>
    </cfRule>
    <cfRule type="expression" dxfId="1466" priority="1433">
      <formula>#REF!&lt;&gt;""</formula>
    </cfRule>
    <cfRule type="expression" dxfId="1465" priority="1434">
      <formula>#REF!&lt;&gt;""</formula>
    </cfRule>
    <cfRule type="expression" dxfId="1464" priority="1435">
      <formula>#REF!&lt;&gt;""</formula>
    </cfRule>
    <cfRule type="expression" dxfId="1463" priority="1436">
      <formula>#REF!&lt;&gt;""</formula>
    </cfRule>
    <cfRule type="expression" dxfId="1462" priority="1437">
      <formula>#REF!&lt;&gt;""</formula>
    </cfRule>
    <cfRule type="expression" dxfId="1461" priority="1438">
      <formula>#REF!&lt;&gt;""</formula>
    </cfRule>
    <cfRule type="expression" dxfId="1460" priority="1439">
      <formula>#REF!&lt;&gt;""</formula>
    </cfRule>
    <cfRule type="expression" dxfId="1459" priority="1440">
      <formula>#REF!&lt;&gt;""</formula>
    </cfRule>
    <cfRule type="expression" dxfId="1458" priority="1441">
      <formula>#REF!&lt;&gt;""</formula>
    </cfRule>
    <cfRule type="expression" dxfId="1457" priority="1442">
      <formula>#REF!&lt;&gt;""</formula>
    </cfRule>
  </conditionalFormatting>
  <conditionalFormatting sqref="F197">
    <cfRule type="expression" dxfId="1456" priority="1419">
      <formula>#REF!&lt;&gt;""</formula>
    </cfRule>
    <cfRule type="expression" dxfId="1455" priority="1420">
      <formula>#REF!&lt;&gt;""</formula>
    </cfRule>
    <cfRule type="expression" dxfId="1454" priority="1421">
      <formula>#REF!&lt;&gt;""</formula>
    </cfRule>
    <cfRule type="expression" dxfId="1453" priority="1422">
      <formula>#REF!&lt;&gt;""</formula>
    </cfRule>
    <cfRule type="expression" dxfId="1452" priority="1423">
      <formula>#REF!&lt;&gt;""</formula>
    </cfRule>
    <cfRule type="expression" dxfId="1451" priority="1424">
      <formula>#REF!&lt;&gt;""</formula>
    </cfRule>
    <cfRule type="expression" dxfId="1450" priority="1425">
      <formula>#REF!&lt;&gt;""</formula>
    </cfRule>
    <cfRule type="expression" dxfId="1449" priority="1426">
      <formula>#REF!&lt;&gt;""</formula>
    </cfRule>
    <cfRule type="expression" dxfId="1448" priority="1427">
      <formula>#REF!&lt;&gt;""</formula>
    </cfRule>
    <cfRule type="expression" dxfId="1447" priority="1428">
      <formula>#REF!&lt;&gt;""</formula>
    </cfRule>
    <cfRule type="expression" dxfId="1446" priority="1429">
      <formula>#REF!&lt;&gt;""</formula>
    </cfRule>
    <cfRule type="expression" dxfId="1445" priority="1430">
      <formula>#REF!&lt;&gt;""</formula>
    </cfRule>
  </conditionalFormatting>
  <conditionalFormatting sqref="F198">
    <cfRule type="expression" dxfId="1444" priority="1407">
      <formula>#REF!&lt;&gt;""</formula>
    </cfRule>
    <cfRule type="expression" dxfId="1443" priority="1408">
      <formula>#REF!&lt;&gt;""</formula>
    </cfRule>
    <cfRule type="expression" dxfId="1442" priority="1409">
      <formula>#REF!&lt;&gt;""</formula>
    </cfRule>
    <cfRule type="expression" dxfId="1441" priority="1410">
      <formula>#REF!&lt;&gt;""</formula>
    </cfRule>
    <cfRule type="expression" dxfId="1440" priority="1411">
      <formula>#REF!&lt;&gt;""</formula>
    </cfRule>
    <cfRule type="expression" dxfId="1439" priority="1412">
      <formula>#REF!&lt;&gt;""</formula>
    </cfRule>
    <cfRule type="expression" dxfId="1438" priority="1413">
      <formula>#REF!&lt;&gt;""</formula>
    </cfRule>
    <cfRule type="expression" dxfId="1437" priority="1414">
      <formula>#REF!&lt;&gt;""</formula>
    </cfRule>
    <cfRule type="expression" dxfId="1436" priority="1415">
      <formula>#REF!&lt;&gt;""</formula>
    </cfRule>
    <cfRule type="expression" dxfId="1435" priority="1416">
      <formula>#REF!&lt;&gt;""</formula>
    </cfRule>
    <cfRule type="expression" dxfId="1434" priority="1417">
      <formula>#REF!&lt;&gt;""</formula>
    </cfRule>
    <cfRule type="expression" dxfId="1433" priority="1418">
      <formula>#REF!&lt;&gt;""</formula>
    </cfRule>
  </conditionalFormatting>
  <conditionalFormatting sqref="F199">
    <cfRule type="expression" dxfId="1432" priority="1395">
      <formula>#REF!&lt;&gt;""</formula>
    </cfRule>
    <cfRule type="expression" dxfId="1431" priority="1396">
      <formula>#REF!&lt;&gt;""</formula>
    </cfRule>
    <cfRule type="expression" dxfId="1430" priority="1397">
      <formula>#REF!&lt;&gt;""</formula>
    </cfRule>
    <cfRule type="expression" dxfId="1429" priority="1398">
      <formula>#REF!&lt;&gt;""</formula>
    </cfRule>
    <cfRule type="expression" dxfId="1428" priority="1399">
      <formula>#REF!&lt;&gt;""</formula>
    </cfRule>
    <cfRule type="expression" dxfId="1427" priority="1400">
      <formula>#REF!&lt;&gt;""</formula>
    </cfRule>
    <cfRule type="expression" dxfId="1426" priority="1401">
      <formula>#REF!&lt;&gt;""</formula>
    </cfRule>
    <cfRule type="expression" dxfId="1425" priority="1402">
      <formula>#REF!&lt;&gt;""</formula>
    </cfRule>
    <cfRule type="expression" dxfId="1424" priority="1403">
      <formula>#REF!&lt;&gt;""</formula>
    </cfRule>
    <cfRule type="expression" dxfId="1423" priority="1404">
      <formula>#REF!&lt;&gt;""</formula>
    </cfRule>
    <cfRule type="expression" dxfId="1422" priority="1405">
      <formula>#REF!&lt;&gt;""</formula>
    </cfRule>
    <cfRule type="expression" dxfId="1421" priority="1406">
      <formula>#REF!&lt;&gt;""</formula>
    </cfRule>
  </conditionalFormatting>
  <conditionalFormatting sqref="F200">
    <cfRule type="expression" dxfId="1420" priority="1383">
      <formula>#REF!&lt;&gt;""</formula>
    </cfRule>
    <cfRule type="expression" dxfId="1419" priority="1384">
      <formula>#REF!&lt;&gt;""</formula>
    </cfRule>
    <cfRule type="expression" dxfId="1418" priority="1385">
      <formula>#REF!&lt;&gt;""</formula>
    </cfRule>
    <cfRule type="expression" dxfId="1417" priority="1386">
      <formula>#REF!&lt;&gt;""</formula>
    </cfRule>
    <cfRule type="expression" dxfId="1416" priority="1387">
      <formula>#REF!&lt;&gt;""</formula>
    </cfRule>
    <cfRule type="expression" dxfId="1415" priority="1388">
      <formula>#REF!&lt;&gt;""</formula>
    </cfRule>
    <cfRule type="expression" dxfId="1414" priority="1389">
      <formula>#REF!&lt;&gt;""</formula>
    </cfRule>
    <cfRule type="expression" dxfId="1413" priority="1390">
      <formula>#REF!&lt;&gt;""</formula>
    </cfRule>
    <cfRule type="expression" dxfId="1412" priority="1391">
      <formula>#REF!&lt;&gt;""</formula>
    </cfRule>
    <cfRule type="expression" dxfId="1411" priority="1392">
      <formula>#REF!&lt;&gt;""</formula>
    </cfRule>
    <cfRule type="expression" dxfId="1410" priority="1393">
      <formula>#REF!&lt;&gt;""</formula>
    </cfRule>
    <cfRule type="expression" dxfId="1409" priority="1394">
      <formula>#REF!&lt;&gt;""</formula>
    </cfRule>
  </conditionalFormatting>
  <conditionalFormatting sqref="F201">
    <cfRule type="expression" dxfId="1408" priority="1371">
      <formula>#REF!&lt;&gt;""</formula>
    </cfRule>
    <cfRule type="expression" dxfId="1407" priority="1372">
      <formula>#REF!&lt;&gt;""</formula>
    </cfRule>
    <cfRule type="expression" dxfId="1406" priority="1373">
      <formula>#REF!&lt;&gt;""</formula>
    </cfRule>
    <cfRule type="expression" dxfId="1405" priority="1374">
      <formula>#REF!&lt;&gt;""</formula>
    </cfRule>
    <cfRule type="expression" dxfId="1404" priority="1375">
      <formula>#REF!&lt;&gt;""</formula>
    </cfRule>
    <cfRule type="expression" dxfId="1403" priority="1376">
      <formula>#REF!&lt;&gt;""</formula>
    </cfRule>
    <cfRule type="expression" dxfId="1402" priority="1377">
      <formula>#REF!&lt;&gt;""</formula>
    </cfRule>
    <cfRule type="expression" dxfId="1401" priority="1378">
      <formula>#REF!&lt;&gt;""</formula>
    </cfRule>
    <cfRule type="expression" dxfId="1400" priority="1379">
      <formula>#REF!&lt;&gt;""</formula>
    </cfRule>
    <cfRule type="expression" dxfId="1399" priority="1380">
      <formula>#REF!&lt;&gt;""</formula>
    </cfRule>
    <cfRule type="expression" dxfId="1398" priority="1381">
      <formula>#REF!&lt;&gt;""</formula>
    </cfRule>
    <cfRule type="expression" dxfId="1397" priority="1382">
      <formula>#REF!&lt;&gt;""</formula>
    </cfRule>
  </conditionalFormatting>
  <conditionalFormatting sqref="F202">
    <cfRule type="expression" dxfId="1396" priority="1359">
      <formula>#REF!&lt;&gt;""</formula>
    </cfRule>
    <cfRule type="expression" dxfId="1395" priority="1360">
      <formula>#REF!&lt;&gt;""</formula>
    </cfRule>
    <cfRule type="expression" dxfId="1394" priority="1361">
      <formula>#REF!&lt;&gt;""</formula>
    </cfRule>
    <cfRule type="expression" dxfId="1393" priority="1362">
      <formula>#REF!&lt;&gt;""</formula>
    </cfRule>
    <cfRule type="expression" dxfId="1392" priority="1363">
      <formula>#REF!&lt;&gt;""</formula>
    </cfRule>
    <cfRule type="expression" dxfId="1391" priority="1364">
      <formula>#REF!&lt;&gt;""</formula>
    </cfRule>
    <cfRule type="expression" dxfId="1390" priority="1365">
      <formula>#REF!&lt;&gt;""</formula>
    </cfRule>
    <cfRule type="expression" dxfId="1389" priority="1366">
      <formula>#REF!&lt;&gt;""</formula>
    </cfRule>
    <cfRule type="expression" dxfId="1388" priority="1367">
      <formula>#REF!&lt;&gt;""</formula>
    </cfRule>
    <cfRule type="expression" dxfId="1387" priority="1368">
      <formula>#REF!&lt;&gt;""</formula>
    </cfRule>
    <cfRule type="expression" dxfId="1386" priority="1369">
      <formula>#REF!&lt;&gt;""</formula>
    </cfRule>
    <cfRule type="expression" dxfId="1385" priority="1370">
      <formula>#REF!&lt;&gt;""</formula>
    </cfRule>
  </conditionalFormatting>
  <conditionalFormatting sqref="F203">
    <cfRule type="expression" dxfId="1384" priority="1347">
      <formula>#REF!&lt;&gt;""</formula>
    </cfRule>
    <cfRule type="expression" dxfId="1383" priority="1348">
      <formula>#REF!&lt;&gt;""</formula>
    </cfRule>
    <cfRule type="expression" dxfId="1382" priority="1349">
      <formula>#REF!&lt;&gt;""</formula>
    </cfRule>
    <cfRule type="expression" dxfId="1381" priority="1350">
      <formula>#REF!&lt;&gt;""</formula>
    </cfRule>
    <cfRule type="expression" dxfId="1380" priority="1351">
      <formula>#REF!&lt;&gt;""</formula>
    </cfRule>
    <cfRule type="expression" dxfId="1379" priority="1352">
      <formula>#REF!&lt;&gt;""</formula>
    </cfRule>
    <cfRule type="expression" dxfId="1378" priority="1353">
      <formula>#REF!&lt;&gt;""</formula>
    </cfRule>
    <cfRule type="expression" dxfId="1377" priority="1354">
      <formula>#REF!&lt;&gt;""</formula>
    </cfRule>
    <cfRule type="expression" dxfId="1376" priority="1355">
      <formula>#REF!&lt;&gt;""</formula>
    </cfRule>
    <cfRule type="expression" dxfId="1375" priority="1356">
      <formula>#REF!&lt;&gt;""</formula>
    </cfRule>
    <cfRule type="expression" dxfId="1374" priority="1357">
      <formula>#REF!&lt;&gt;""</formula>
    </cfRule>
    <cfRule type="expression" dxfId="1373" priority="1358">
      <formula>#REF!&lt;&gt;""</formula>
    </cfRule>
  </conditionalFormatting>
  <conditionalFormatting sqref="F204">
    <cfRule type="expression" dxfId="1372" priority="1335">
      <formula>#REF!&lt;&gt;""</formula>
    </cfRule>
    <cfRule type="expression" dxfId="1371" priority="1336">
      <formula>#REF!&lt;&gt;""</formula>
    </cfRule>
    <cfRule type="expression" dxfId="1370" priority="1337">
      <formula>#REF!&lt;&gt;""</formula>
    </cfRule>
    <cfRule type="expression" dxfId="1369" priority="1338">
      <formula>#REF!&lt;&gt;""</formula>
    </cfRule>
    <cfRule type="expression" dxfId="1368" priority="1339">
      <formula>#REF!&lt;&gt;""</formula>
    </cfRule>
    <cfRule type="expression" dxfId="1367" priority="1340">
      <formula>#REF!&lt;&gt;""</formula>
    </cfRule>
    <cfRule type="expression" dxfId="1366" priority="1341">
      <formula>#REF!&lt;&gt;""</formula>
    </cfRule>
    <cfRule type="expression" dxfId="1365" priority="1342">
      <formula>#REF!&lt;&gt;""</formula>
    </cfRule>
    <cfRule type="expression" dxfId="1364" priority="1343">
      <formula>#REF!&lt;&gt;""</formula>
    </cfRule>
    <cfRule type="expression" dxfId="1363" priority="1344">
      <formula>#REF!&lt;&gt;""</formula>
    </cfRule>
    <cfRule type="expression" dxfId="1362" priority="1345">
      <formula>#REF!&lt;&gt;""</formula>
    </cfRule>
    <cfRule type="expression" dxfId="1361" priority="1346">
      <formula>#REF!&lt;&gt;""</formula>
    </cfRule>
  </conditionalFormatting>
  <conditionalFormatting sqref="F205">
    <cfRule type="expression" dxfId="1360" priority="1323">
      <formula>#REF!&lt;&gt;""</formula>
    </cfRule>
    <cfRule type="expression" dxfId="1359" priority="1324">
      <formula>#REF!&lt;&gt;""</formula>
    </cfRule>
    <cfRule type="expression" dxfId="1358" priority="1325">
      <formula>#REF!&lt;&gt;""</formula>
    </cfRule>
    <cfRule type="expression" dxfId="1357" priority="1326">
      <formula>#REF!&lt;&gt;""</formula>
    </cfRule>
    <cfRule type="expression" dxfId="1356" priority="1327">
      <formula>#REF!&lt;&gt;""</formula>
    </cfRule>
    <cfRule type="expression" dxfId="1355" priority="1328">
      <formula>#REF!&lt;&gt;""</formula>
    </cfRule>
    <cfRule type="expression" dxfId="1354" priority="1329">
      <formula>#REF!&lt;&gt;""</formula>
    </cfRule>
    <cfRule type="expression" dxfId="1353" priority="1330">
      <formula>#REF!&lt;&gt;""</formula>
    </cfRule>
    <cfRule type="expression" dxfId="1352" priority="1331">
      <formula>#REF!&lt;&gt;""</formula>
    </cfRule>
    <cfRule type="expression" dxfId="1351" priority="1332">
      <formula>#REF!&lt;&gt;""</formula>
    </cfRule>
    <cfRule type="expression" dxfId="1350" priority="1333">
      <formula>#REF!&lt;&gt;""</formula>
    </cfRule>
    <cfRule type="expression" dxfId="1349" priority="1334">
      <formula>#REF!&lt;&gt;""</formula>
    </cfRule>
  </conditionalFormatting>
  <conditionalFormatting sqref="F206">
    <cfRule type="expression" dxfId="1348" priority="1311">
      <formula>#REF!&lt;&gt;""</formula>
    </cfRule>
    <cfRule type="expression" dxfId="1347" priority="1312">
      <formula>#REF!&lt;&gt;""</formula>
    </cfRule>
    <cfRule type="expression" dxfId="1346" priority="1313">
      <formula>#REF!&lt;&gt;""</formula>
    </cfRule>
    <cfRule type="expression" dxfId="1345" priority="1314">
      <formula>#REF!&lt;&gt;""</formula>
    </cfRule>
    <cfRule type="expression" dxfId="1344" priority="1315">
      <formula>#REF!&lt;&gt;""</formula>
    </cfRule>
    <cfRule type="expression" dxfId="1343" priority="1316">
      <formula>#REF!&lt;&gt;""</formula>
    </cfRule>
    <cfRule type="expression" dxfId="1342" priority="1317">
      <formula>#REF!&lt;&gt;""</formula>
    </cfRule>
    <cfRule type="expression" dxfId="1341" priority="1318">
      <formula>#REF!&lt;&gt;""</formula>
    </cfRule>
    <cfRule type="expression" dxfId="1340" priority="1319">
      <formula>#REF!&lt;&gt;""</formula>
    </cfRule>
    <cfRule type="expression" dxfId="1339" priority="1320">
      <formula>#REF!&lt;&gt;""</formula>
    </cfRule>
    <cfRule type="expression" dxfId="1338" priority="1321">
      <formula>#REF!&lt;&gt;""</formula>
    </cfRule>
    <cfRule type="expression" dxfId="1337" priority="1322">
      <formula>#REF!&lt;&gt;""</formula>
    </cfRule>
  </conditionalFormatting>
  <conditionalFormatting sqref="F207">
    <cfRule type="expression" dxfId="1336" priority="1299">
      <formula>#REF!&lt;&gt;""</formula>
    </cfRule>
    <cfRule type="expression" dxfId="1335" priority="1300">
      <formula>#REF!&lt;&gt;""</formula>
    </cfRule>
    <cfRule type="expression" dxfId="1334" priority="1301">
      <formula>#REF!&lt;&gt;""</formula>
    </cfRule>
    <cfRule type="expression" dxfId="1333" priority="1302">
      <formula>#REF!&lt;&gt;""</formula>
    </cfRule>
    <cfRule type="expression" dxfId="1332" priority="1303">
      <formula>#REF!&lt;&gt;""</formula>
    </cfRule>
    <cfRule type="expression" dxfId="1331" priority="1304">
      <formula>#REF!&lt;&gt;""</formula>
    </cfRule>
    <cfRule type="expression" dxfId="1330" priority="1305">
      <formula>#REF!&lt;&gt;""</formula>
    </cfRule>
    <cfRule type="expression" dxfId="1329" priority="1306">
      <formula>#REF!&lt;&gt;""</formula>
    </cfRule>
    <cfRule type="expression" dxfId="1328" priority="1307">
      <formula>#REF!&lt;&gt;""</formula>
    </cfRule>
    <cfRule type="expression" dxfId="1327" priority="1308">
      <formula>#REF!&lt;&gt;""</formula>
    </cfRule>
    <cfRule type="expression" dxfId="1326" priority="1309">
      <formula>#REF!&lt;&gt;""</formula>
    </cfRule>
    <cfRule type="expression" dxfId="1325" priority="1310">
      <formula>#REF!&lt;&gt;""</formula>
    </cfRule>
  </conditionalFormatting>
  <conditionalFormatting sqref="F208">
    <cfRule type="expression" dxfId="1324" priority="1287">
      <formula>#REF!&lt;&gt;""</formula>
    </cfRule>
    <cfRule type="expression" dxfId="1323" priority="1288">
      <formula>#REF!&lt;&gt;""</formula>
    </cfRule>
    <cfRule type="expression" dxfId="1322" priority="1289">
      <formula>#REF!&lt;&gt;""</formula>
    </cfRule>
    <cfRule type="expression" dxfId="1321" priority="1290">
      <formula>#REF!&lt;&gt;""</formula>
    </cfRule>
    <cfRule type="expression" dxfId="1320" priority="1291">
      <formula>#REF!&lt;&gt;""</formula>
    </cfRule>
    <cfRule type="expression" dxfId="1319" priority="1292">
      <formula>#REF!&lt;&gt;""</formula>
    </cfRule>
    <cfRule type="expression" dxfId="1318" priority="1293">
      <formula>#REF!&lt;&gt;""</formula>
    </cfRule>
    <cfRule type="expression" dxfId="1317" priority="1294">
      <formula>#REF!&lt;&gt;""</formula>
    </cfRule>
    <cfRule type="expression" dxfId="1316" priority="1295">
      <formula>#REF!&lt;&gt;""</formula>
    </cfRule>
    <cfRule type="expression" dxfId="1315" priority="1296">
      <formula>#REF!&lt;&gt;""</formula>
    </cfRule>
    <cfRule type="expression" dxfId="1314" priority="1297">
      <formula>#REF!&lt;&gt;""</formula>
    </cfRule>
    <cfRule type="expression" dxfId="1313" priority="1298">
      <formula>#REF!&lt;&gt;""</formula>
    </cfRule>
  </conditionalFormatting>
  <conditionalFormatting sqref="F209">
    <cfRule type="expression" dxfId="1312" priority="1275">
      <formula>#REF!&lt;&gt;""</formula>
    </cfRule>
    <cfRule type="expression" dxfId="1311" priority="1276">
      <formula>#REF!&lt;&gt;""</formula>
    </cfRule>
    <cfRule type="expression" dxfId="1310" priority="1277">
      <formula>#REF!&lt;&gt;""</formula>
    </cfRule>
    <cfRule type="expression" dxfId="1309" priority="1278">
      <formula>#REF!&lt;&gt;""</formula>
    </cfRule>
    <cfRule type="expression" dxfId="1308" priority="1279">
      <formula>#REF!&lt;&gt;""</formula>
    </cfRule>
    <cfRule type="expression" dxfId="1307" priority="1280">
      <formula>#REF!&lt;&gt;""</formula>
    </cfRule>
    <cfRule type="expression" dxfId="1306" priority="1281">
      <formula>#REF!&lt;&gt;""</formula>
    </cfRule>
    <cfRule type="expression" dxfId="1305" priority="1282">
      <formula>#REF!&lt;&gt;""</formula>
    </cfRule>
    <cfRule type="expression" dxfId="1304" priority="1283">
      <formula>#REF!&lt;&gt;""</formula>
    </cfRule>
    <cfRule type="expression" dxfId="1303" priority="1284">
      <formula>#REF!&lt;&gt;""</formula>
    </cfRule>
    <cfRule type="expression" dxfId="1302" priority="1285">
      <formula>#REF!&lt;&gt;""</formula>
    </cfRule>
    <cfRule type="expression" dxfId="1301" priority="1286">
      <formula>#REF!&lt;&gt;""</formula>
    </cfRule>
  </conditionalFormatting>
  <conditionalFormatting sqref="F210">
    <cfRule type="expression" dxfId="1300" priority="1263">
      <formula>#REF!&lt;&gt;""</formula>
    </cfRule>
    <cfRule type="expression" dxfId="1299" priority="1264">
      <formula>#REF!&lt;&gt;""</formula>
    </cfRule>
    <cfRule type="expression" dxfId="1298" priority="1265">
      <formula>#REF!&lt;&gt;""</formula>
    </cfRule>
    <cfRule type="expression" dxfId="1297" priority="1266">
      <formula>#REF!&lt;&gt;""</formula>
    </cfRule>
    <cfRule type="expression" dxfId="1296" priority="1267">
      <formula>#REF!&lt;&gt;""</formula>
    </cfRule>
    <cfRule type="expression" dxfId="1295" priority="1268">
      <formula>#REF!&lt;&gt;""</formula>
    </cfRule>
    <cfRule type="expression" dxfId="1294" priority="1269">
      <formula>#REF!&lt;&gt;""</formula>
    </cfRule>
    <cfRule type="expression" dxfId="1293" priority="1270">
      <formula>#REF!&lt;&gt;""</formula>
    </cfRule>
    <cfRule type="expression" dxfId="1292" priority="1271">
      <formula>#REF!&lt;&gt;""</formula>
    </cfRule>
    <cfRule type="expression" dxfId="1291" priority="1272">
      <formula>#REF!&lt;&gt;""</formula>
    </cfRule>
    <cfRule type="expression" dxfId="1290" priority="1273">
      <formula>#REF!&lt;&gt;""</formula>
    </cfRule>
    <cfRule type="expression" dxfId="1289" priority="1274">
      <formula>#REF!&lt;&gt;""</formula>
    </cfRule>
  </conditionalFormatting>
  <conditionalFormatting sqref="F211">
    <cfRule type="expression" dxfId="1288" priority="1251">
      <formula>#REF!&lt;&gt;""</formula>
    </cfRule>
    <cfRule type="expression" dxfId="1287" priority="1252">
      <formula>#REF!&lt;&gt;""</formula>
    </cfRule>
    <cfRule type="expression" dxfId="1286" priority="1253">
      <formula>#REF!&lt;&gt;""</formula>
    </cfRule>
    <cfRule type="expression" dxfId="1285" priority="1254">
      <formula>#REF!&lt;&gt;""</formula>
    </cfRule>
    <cfRule type="expression" dxfId="1284" priority="1255">
      <formula>#REF!&lt;&gt;""</formula>
    </cfRule>
    <cfRule type="expression" dxfId="1283" priority="1256">
      <formula>#REF!&lt;&gt;""</formula>
    </cfRule>
    <cfRule type="expression" dxfId="1282" priority="1257">
      <formula>#REF!&lt;&gt;""</formula>
    </cfRule>
    <cfRule type="expression" dxfId="1281" priority="1258">
      <formula>#REF!&lt;&gt;""</formula>
    </cfRule>
    <cfRule type="expression" dxfId="1280" priority="1259">
      <formula>#REF!&lt;&gt;""</formula>
    </cfRule>
    <cfRule type="expression" dxfId="1279" priority="1260">
      <formula>#REF!&lt;&gt;""</formula>
    </cfRule>
    <cfRule type="expression" dxfId="1278" priority="1261">
      <formula>#REF!&lt;&gt;""</formula>
    </cfRule>
    <cfRule type="expression" dxfId="1277" priority="1262">
      <formula>#REF!&lt;&gt;""</formula>
    </cfRule>
  </conditionalFormatting>
  <conditionalFormatting sqref="F212">
    <cfRule type="expression" dxfId="1276" priority="1239">
      <formula>#REF!&lt;&gt;""</formula>
    </cfRule>
    <cfRule type="expression" dxfId="1275" priority="1240">
      <formula>#REF!&lt;&gt;""</formula>
    </cfRule>
    <cfRule type="expression" dxfId="1274" priority="1241">
      <formula>#REF!&lt;&gt;""</formula>
    </cfRule>
    <cfRule type="expression" dxfId="1273" priority="1242">
      <formula>#REF!&lt;&gt;""</formula>
    </cfRule>
    <cfRule type="expression" dxfId="1272" priority="1243">
      <formula>#REF!&lt;&gt;""</formula>
    </cfRule>
    <cfRule type="expression" dxfId="1271" priority="1244">
      <formula>#REF!&lt;&gt;""</formula>
    </cfRule>
    <cfRule type="expression" dxfId="1270" priority="1245">
      <formula>#REF!&lt;&gt;""</formula>
    </cfRule>
    <cfRule type="expression" dxfId="1269" priority="1246">
      <formula>#REF!&lt;&gt;""</formula>
    </cfRule>
    <cfRule type="expression" dxfId="1268" priority="1247">
      <formula>#REF!&lt;&gt;""</formula>
    </cfRule>
    <cfRule type="expression" dxfId="1267" priority="1248">
      <formula>#REF!&lt;&gt;""</formula>
    </cfRule>
    <cfRule type="expression" dxfId="1266" priority="1249">
      <formula>#REF!&lt;&gt;""</formula>
    </cfRule>
    <cfRule type="expression" dxfId="1265" priority="1250">
      <formula>#REF!&lt;&gt;""</formula>
    </cfRule>
  </conditionalFormatting>
  <conditionalFormatting sqref="F213">
    <cfRule type="expression" dxfId="1264" priority="1227">
      <formula>#REF!&lt;&gt;""</formula>
    </cfRule>
    <cfRule type="expression" dxfId="1263" priority="1228">
      <formula>#REF!&lt;&gt;""</formula>
    </cfRule>
    <cfRule type="expression" dxfId="1262" priority="1229">
      <formula>#REF!&lt;&gt;""</formula>
    </cfRule>
    <cfRule type="expression" dxfId="1261" priority="1230">
      <formula>#REF!&lt;&gt;""</formula>
    </cfRule>
    <cfRule type="expression" dxfId="1260" priority="1231">
      <formula>#REF!&lt;&gt;""</formula>
    </cfRule>
    <cfRule type="expression" dxfId="1259" priority="1232">
      <formula>#REF!&lt;&gt;""</formula>
    </cfRule>
    <cfRule type="expression" dxfId="1258" priority="1233">
      <formula>#REF!&lt;&gt;""</formula>
    </cfRule>
    <cfRule type="expression" dxfId="1257" priority="1234">
      <formula>#REF!&lt;&gt;""</formula>
    </cfRule>
    <cfRule type="expression" dxfId="1256" priority="1235">
      <formula>#REF!&lt;&gt;""</formula>
    </cfRule>
    <cfRule type="expression" dxfId="1255" priority="1236">
      <formula>#REF!&lt;&gt;""</formula>
    </cfRule>
    <cfRule type="expression" dxfId="1254" priority="1237">
      <formula>#REF!&lt;&gt;""</formula>
    </cfRule>
    <cfRule type="expression" dxfId="1253" priority="1238">
      <formula>#REF!&lt;&gt;""</formula>
    </cfRule>
  </conditionalFormatting>
  <conditionalFormatting sqref="F214">
    <cfRule type="expression" dxfId="1252" priority="1215">
      <formula>#REF!&lt;&gt;""</formula>
    </cfRule>
    <cfRule type="expression" dxfId="1251" priority="1216">
      <formula>#REF!&lt;&gt;""</formula>
    </cfRule>
    <cfRule type="expression" dxfId="1250" priority="1217">
      <formula>#REF!&lt;&gt;""</formula>
    </cfRule>
    <cfRule type="expression" dxfId="1249" priority="1218">
      <formula>#REF!&lt;&gt;""</formula>
    </cfRule>
    <cfRule type="expression" dxfId="1248" priority="1219">
      <formula>#REF!&lt;&gt;""</formula>
    </cfRule>
    <cfRule type="expression" dxfId="1247" priority="1220">
      <formula>#REF!&lt;&gt;""</formula>
    </cfRule>
    <cfRule type="expression" dxfId="1246" priority="1221">
      <formula>#REF!&lt;&gt;""</formula>
    </cfRule>
    <cfRule type="expression" dxfId="1245" priority="1222">
      <formula>#REF!&lt;&gt;""</formula>
    </cfRule>
    <cfRule type="expression" dxfId="1244" priority="1223">
      <formula>#REF!&lt;&gt;""</formula>
    </cfRule>
    <cfRule type="expression" dxfId="1243" priority="1224">
      <formula>#REF!&lt;&gt;""</formula>
    </cfRule>
    <cfRule type="expression" dxfId="1242" priority="1225">
      <formula>#REF!&lt;&gt;""</formula>
    </cfRule>
    <cfRule type="expression" dxfId="1241" priority="1226">
      <formula>#REF!&lt;&gt;""</formula>
    </cfRule>
  </conditionalFormatting>
  <conditionalFormatting sqref="F215">
    <cfRule type="expression" dxfId="1240" priority="1203">
      <formula>#REF!&lt;&gt;""</formula>
    </cfRule>
    <cfRule type="expression" dxfId="1239" priority="1204">
      <formula>#REF!&lt;&gt;""</formula>
    </cfRule>
    <cfRule type="expression" dxfId="1238" priority="1205">
      <formula>#REF!&lt;&gt;""</formula>
    </cfRule>
    <cfRule type="expression" dxfId="1237" priority="1206">
      <formula>#REF!&lt;&gt;""</formula>
    </cfRule>
    <cfRule type="expression" dxfId="1236" priority="1207">
      <formula>#REF!&lt;&gt;""</formula>
    </cfRule>
    <cfRule type="expression" dxfId="1235" priority="1208">
      <formula>#REF!&lt;&gt;""</formula>
    </cfRule>
    <cfRule type="expression" dxfId="1234" priority="1209">
      <formula>#REF!&lt;&gt;""</formula>
    </cfRule>
    <cfRule type="expression" dxfId="1233" priority="1210">
      <formula>#REF!&lt;&gt;""</formula>
    </cfRule>
    <cfRule type="expression" dxfId="1232" priority="1211">
      <formula>#REF!&lt;&gt;""</formula>
    </cfRule>
    <cfRule type="expression" dxfId="1231" priority="1212">
      <formula>#REF!&lt;&gt;""</formula>
    </cfRule>
    <cfRule type="expression" dxfId="1230" priority="1213">
      <formula>#REF!&lt;&gt;""</formula>
    </cfRule>
    <cfRule type="expression" dxfId="1229" priority="1214">
      <formula>#REF!&lt;&gt;""</formula>
    </cfRule>
  </conditionalFormatting>
  <conditionalFormatting sqref="F229">
    <cfRule type="expression" dxfId="1228" priority="1191">
      <formula>#REF!&lt;&gt;""</formula>
    </cfRule>
    <cfRule type="expression" dxfId="1227" priority="1192">
      <formula>#REF!&lt;&gt;""</formula>
    </cfRule>
    <cfRule type="expression" dxfId="1226" priority="1193">
      <formula>#REF!&lt;&gt;""</formula>
    </cfRule>
    <cfRule type="expression" dxfId="1225" priority="1194">
      <formula>#REF!&lt;&gt;""</formula>
    </cfRule>
    <cfRule type="expression" dxfId="1224" priority="1195">
      <formula>#REF!&lt;&gt;""</formula>
    </cfRule>
    <cfRule type="expression" dxfId="1223" priority="1196">
      <formula>#REF!&lt;&gt;""</formula>
    </cfRule>
    <cfRule type="expression" dxfId="1222" priority="1197">
      <formula>#REF!&lt;&gt;""</formula>
    </cfRule>
    <cfRule type="expression" dxfId="1221" priority="1198">
      <formula>#REF!&lt;&gt;""</formula>
    </cfRule>
    <cfRule type="expression" dxfId="1220" priority="1199">
      <formula>#REF!&lt;&gt;""</formula>
    </cfRule>
    <cfRule type="expression" dxfId="1219" priority="1200">
      <formula>#REF!&lt;&gt;""</formula>
    </cfRule>
    <cfRule type="expression" dxfId="1218" priority="1201">
      <formula>#REF!&lt;&gt;""</formula>
    </cfRule>
    <cfRule type="expression" dxfId="1217" priority="1202">
      <formula>#REF!&lt;&gt;""</formula>
    </cfRule>
  </conditionalFormatting>
  <conditionalFormatting sqref="F230">
    <cfRule type="expression" dxfId="1216" priority="1179">
      <formula>#REF!&lt;&gt;""</formula>
    </cfRule>
    <cfRule type="expression" dxfId="1215" priority="1180">
      <formula>#REF!&lt;&gt;""</formula>
    </cfRule>
    <cfRule type="expression" dxfId="1214" priority="1181">
      <formula>#REF!&lt;&gt;""</formula>
    </cfRule>
    <cfRule type="expression" dxfId="1213" priority="1182">
      <formula>#REF!&lt;&gt;""</formula>
    </cfRule>
    <cfRule type="expression" dxfId="1212" priority="1183">
      <formula>#REF!&lt;&gt;""</formula>
    </cfRule>
    <cfRule type="expression" dxfId="1211" priority="1184">
      <formula>#REF!&lt;&gt;""</formula>
    </cfRule>
    <cfRule type="expression" dxfId="1210" priority="1185">
      <formula>#REF!&lt;&gt;""</formula>
    </cfRule>
    <cfRule type="expression" dxfId="1209" priority="1186">
      <formula>#REF!&lt;&gt;""</formula>
    </cfRule>
    <cfRule type="expression" dxfId="1208" priority="1187">
      <formula>#REF!&lt;&gt;""</formula>
    </cfRule>
    <cfRule type="expression" dxfId="1207" priority="1188">
      <formula>#REF!&lt;&gt;""</formula>
    </cfRule>
    <cfRule type="expression" dxfId="1206" priority="1189">
      <formula>#REF!&lt;&gt;""</formula>
    </cfRule>
    <cfRule type="expression" dxfId="1205" priority="1190">
      <formula>#REF!&lt;&gt;""</formula>
    </cfRule>
  </conditionalFormatting>
  <conditionalFormatting sqref="F231">
    <cfRule type="expression" dxfId="1204" priority="1167">
      <formula>#REF!&lt;&gt;""</formula>
    </cfRule>
    <cfRule type="expression" dxfId="1203" priority="1168">
      <formula>#REF!&lt;&gt;""</formula>
    </cfRule>
    <cfRule type="expression" dxfId="1202" priority="1169">
      <formula>#REF!&lt;&gt;""</formula>
    </cfRule>
    <cfRule type="expression" dxfId="1201" priority="1170">
      <formula>#REF!&lt;&gt;""</formula>
    </cfRule>
    <cfRule type="expression" dxfId="1200" priority="1171">
      <formula>#REF!&lt;&gt;""</formula>
    </cfRule>
    <cfRule type="expression" dxfId="1199" priority="1172">
      <formula>#REF!&lt;&gt;""</formula>
    </cfRule>
    <cfRule type="expression" dxfId="1198" priority="1173">
      <formula>#REF!&lt;&gt;""</formula>
    </cfRule>
    <cfRule type="expression" dxfId="1197" priority="1174">
      <formula>#REF!&lt;&gt;""</formula>
    </cfRule>
    <cfRule type="expression" dxfId="1196" priority="1175">
      <formula>#REF!&lt;&gt;""</formula>
    </cfRule>
    <cfRule type="expression" dxfId="1195" priority="1176">
      <formula>#REF!&lt;&gt;""</formula>
    </cfRule>
    <cfRule type="expression" dxfId="1194" priority="1177">
      <formula>#REF!&lt;&gt;""</formula>
    </cfRule>
    <cfRule type="expression" dxfId="1193" priority="1178">
      <formula>#REF!&lt;&gt;""</formula>
    </cfRule>
  </conditionalFormatting>
  <conditionalFormatting sqref="F232">
    <cfRule type="expression" dxfId="1192" priority="1155">
      <formula>#REF!&lt;&gt;""</formula>
    </cfRule>
    <cfRule type="expression" dxfId="1191" priority="1156">
      <formula>#REF!&lt;&gt;""</formula>
    </cfRule>
    <cfRule type="expression" dxfId="1190" priority="1157">
      <formula>#REF!&lt;&gt;""</formula>
    </cfRule>
    <cfRule type="expression" dxfId="1189" priority="1158">
      <formula>#REF!&lt;&gt;""</formula>
    </cfRule>
    <cfRule type="expression" dxfId="1188" priority="1159">
      <formula>#REF!&lt;&gt;""</formula>
    </cfRule>
    <cfRule type="expression" dxfId="1187" priority="1160">
      <formula>#REF!&lt;&gt;""</formula>
    </cfRule>
    <cfRule type="expression" dxfId="1186" priority="1161">
      <formula>#REF!&lt;&gt;""</formula>
    </cfRule>
    <cfRule type="expression" dxfId="1185" priority="1162">
      <formula>#REF!&lt;&gt;""</formula>
    </cfRule>
    <cfRule type="expression" dxfId="1184" priority="1163">
      <formula>#REF!&lt;&gt;""</formula>
    </cfRule>
    <cfRule type="expression" dxfId="1183" priority="1164">
      <formula>#REF!&lt;&gt;""</formula>
    </cfRule>
    <cfRule type="expression" dxfId="1182" priority="1165">
      <formula>#REF!&lt;&gt;""</formula>
    </cfRule>
    <cfRule type="expression" dxfId="1181" priority="1166">
      <formula>#REF!&lt;&gt;""</formula>
    </cfRule>
  </conditionalFormatting>
  <conditionalFormatting sqref="F233">
    <cfRule type="expression" dxfId="1180" priority="1143">
      <formula>#REF!&lt;&gt;""</formula>
    </cfRule>
    <cfRule type="expression" dxfId="1179" priority="1144">
      <formula>#REF!&lt;&gt;""</formula>
    </cfRule>
    <cfRule type="expression" dxfId="1178" priority="1145">
      <formula>#REF!&lt;&gt;""</formula>
    </cfRule>
    <cfRule type="expression" dxfId="1177" priority="1146">
      <formula>#REF!&lt;&gt;""</formula>
    </cfRule>
    <cfRule type="expression" dxfId="1176" priority="1147">
      <formula>#REF!&lt;&gt;""</formula>
    </cfRule>
    <cfRule type="expression" dxfId="1175" priority="1148">
      <formula>#REF!&lt;&gt;""</formula>
    </cfRule>
    <cfRule type="expression" dxfId="1174" priority="1149">
      <formula>#REF!&lt;&gt;""</formula>
    </cfRule>
    <cfRule type="expression" dxfId="1173" priority="1150">
      <formula>#REF!&lt;&gt;""</formula>
    </cfRule>
    <cfRule type="expression" dxfId="1172" priority="1151">
      <formula>#REF!&lt;&gt;""</formula>
    </cfRule>
    <cfRule type="expression" dxfId="1171" priority="1152">
      <formula>#REF!&lt;&gt;""</formula>
    </cfRule>
    <cfRule type="expression" dxfId="1170" priority="1153">
      <formula>#REF!&lt;&gt;""</formula>
    </cfRule>
    <cfRule type="expression" dxfId="1169" priority="1154">
      <formula>#REF!&lt;&gt;""</formula>
    </cfRule>
  </conditionalFormatting>
  <conditionalFormatting sqref="F234">
    <cfRule type="expression" dxfId="1168" priority="1131">
      <formula>#REF!&lt;&gt;""</formula>
    </cfRule>
    <cfRule type="expression" dxfId="1167" priority="1132">
      <formula>#REF!&lt;&gt;""</formula>
    </cfRule>
    <cfRule type="expression" dxfId="1166" priority="1133">
      <formula>#REF!&lt;&gt;""</formula>
    </cfRule>
    <cfRule type="expression" dxfId="1165" priority="1134">
      <formula>#REF!&lt;&gt;""</formula>
    </cfRule>
    <cfRule type="expression" dxfId="1164" priority="1135">
      <formula>#REF!&lt;&gt;""</formula>
    </cfRule>
    <cfRule type="expression" dxfId="1163" priority="1136">
      <formula>#REF!&lt;&gt;""</formula>
    </cfRule>
    <cfRule type="expression" dxfId="1162" priority="1137">
      <formula>#REF!&lt;&gt;""</formula>
    </cfRule>
    <cfRule type="expression" dxfId="1161" priority="1138">
      <formula>#REF!&lt;&gt;""</formula>
    </cfRule>
    <cfRule type="expression" dxfId="1160" priority="1139">
      <formula>#REF!&lt;&gt;""</formula>
    </cfRule>
    <cfRule type="expression" dxfId="1159" priority="1140">
      <formula>#REF!&lt;&gt;""</formula>
    </cfRule>
    <cfRule type="expression" dxfId="1158" priority="1141">
      <formula>#REF!&lt;&gt;""</formula>
    </cfRule>
    <cfRule type="expression" dxfId="1157" priority="1142">
      <formula>#REF!&lt;&gt;""</formula>
    </cfRule>
  </conditionalFormatting>
  <conditionalFormatting sqref="F235">
    <cfRule type="expression" dxfId="1156" priority="1119">
      <formula>#REF!&lt;&gt;""</formula>
    </cfRule>
    <cfRule type="expression" dxfId="1155" priority="1120">
      <formula>#REF!&lt;&gt;""</formula>
    </cfRule>
    <cfRule type="expression" dxfId="1154" priority="1121">
      <formula>#REF!&lt;&gt;""</formula>
    </cfRule>
    <cfRule type="expression" dxfId="1153" priority="1122">
      <formula>#REF!&lt;&gt;""</formula>
    </cfRule>
    <cfRule type="expression" dxfId="1152" priority="1123">
      <formula>#REF!&lt;&gt;""</formula>
    </cfRule>
    <cfRule type="expression" dxfId="1151" priority="1124">
      <formula>#REF!&lt;&gt;""</formula>
    </cfRule>
    <cfRule type="expression" dxfId="1150" priority="1125">
      <formula>#REF!&lt;&gt;""</formula>
    </cfRule>
    <cfRule type="expression" dxfId="1149" priority="1126">
      <formula>#REF!&lt;&gt;""</formula>
    </cfRule>
    <cfRule type="expression" dxfId="1148" priority="1127">
      <formula>#REF!&lt;&gt;""</formula>
    </cfRule>
    <cfRule type="expression" dxfId="1147" priority="1128">
      <formula>#REF!&lt;&gt;""</formula>
    </cfRule>
    <cfRule type="expression" dxfId="1146" priority="1129">
      <formula>#REF!&lt;&gt;""</formula>
    </cfRule>
    <cfRule type="expression" dxfId="1145" priority="1130">
      <formula>#REF!&lt;&gt;""</formula>
    </cfRule>
  </conditionalFormatting>
  <conditionalFormatting sqref="F236">
    <cfRule type="expression" dxfId="1144" priority="1107">
      <formula>#REF!&lt;&gt;""</formula>
    </cfRule>
    <cfRule type="expression" dxfId="1143" priority="1108">
      <formula>#REF!&lt;&gt;""</formula>
    </cfRule>
    <cfRule type="expression" dxfId="1142" priority="1109">
      <formula>#REF!&lt;&gt;""</formula>
    </cfRule>
    <cfRule type="expression" dxfId="1141" priority="1110">
      <formula>#REF!&lt;&gt;""</formula>
    </cfRule>
    <cfRule type="expression" dxfId="1140" priority="1111">
      <formula>#REF!&lt;&gt;""</formula>
    </cfRule>
    <cfRule type="expression" dxfId="1139" priority="1112">
      <formula>#REF!&lt;&gt;""</formula>
    </cfRule>
    <cfRule type="expression" dxfId="1138" priority="1113">
      <formula>#REF!&lt;&gt;""</formula>
    </cfRule>
    <cfRule type="expression" dxfId="1137" priority="1114">
      <formula>#REF!&lt;&gt;""</formula>
    </cfRule>
    <cfRule type="expression" dxfId="1136" priority="1115">
      <formula>#REF!&lt;&gt;""</formula>
    </cfRule>
    <cfRule type="expression" dxfId="1135" priority="1116">
      <formula>#REF!&lt;&gt;""</formula>
    </cfRule>
    <cfRule type="expression" dxfId="1134" priority="1117">
      <formula>#REF!&lt;&gt;""</formula>
    </cfRule>
    <cfRule type="expression" dxfId="1133" priority="1118">
      <formula>#REF!&lt;&gt;""</formula>
    </cfRule>
  </conditionalFormatting>
  <conditionalFormatting sqref="F237">
    <cfRule type="expression" dxfId="1132" priority="1095">
      <formula>#REF!&lt;&gt;""</formula>
    </cfRule>
    <cfRule type="expression" dxfId="1131" priority="1096">
      <formula>#REF!&lt;&gt;""</formula>
    </cfRule>
    <cfRule type="expression" dxfId="1130" priority="1097">
      <formula>#REF!&lt;&gt;""</formula>
    </cfRule>
    <cfRule type="expression" dxfId="1129" priority="1098">
      <formula>#REF!&lt;&gt;""</formula>
    </cfRule>
    <cfRule type="expression" dxfId="1128" priority="1099">
      <formula>#REF!&lt;&gt;""</formula>
    </cfRule>
    <cfRule type="expression" dxfId="1127" priority="1100">
      <formula>#REF!&lt;&gt;""</formula>
    </cfRule>
    <cfRule type="expression" dxfId="1126" priority="1101">
      <formula>#REF!&lt;&gt;""</formula>
    </cfRule>
    <cfRule type="expression" dxfId="1125" priority="1102">
      <formula>#REF!&lt;&gt;""</formula>
    </cfRule>
    <cfRule type="expression" dxfId="1124" priority="1103">
      <formula>#REF!&lt;&gt;""</formula>
    </cfRule>
    <cfRule type="expression" dxfId="1123" priority="1104">
      <formula>#REF!&lt;&gt;""</formula>
    </cfRule>
    <cfRule type="expression" dxfId="1122" priority="1105">
      <formula>#REF!&lt;&gt;""</formula>
    </cfRule>
    <cfRule type="expression" dxfId="1121" priority="1106">
      <formula>#REF!&lt;&gt;""</formula>
    </cfRule>
  </conditionalFormatting>
  <conditionalFormatting sqref="F238">
    <cfRule type="expression" dxfId="1120" priority="1083">
      <formula>#REF!&lt;&gt;""</formula>
    </cfRule>
    <cfRule type="expression" dxfId="1119" priority="1084">
      <formula>#REF!&lt;&gt;""</formula>
    </cfRule>
    <cfRule type="expression" dxfId="1118" priority="1085">
      <formula>#REF!&lt;&gt;""</formula>
    </cfRule>
    <cfRule type="expression" dxfId="1117" priority="1086">
      <formula>#REF!&lt;&gt;""</formula>
    </cfRule>
    <cfRule type="expression" dxfId="1116" priority="1087">
      <formula>#REF!&lt;&gt;""</formula>
    </cfRule>
    <cfRule type="expression" dxfId="1115" priority="1088">
      <formula>#REF!&lt;&gt;""</formula>
    </cfRule>
    <cfRule type="expression" dxfId="1114" priority="1089">
      <formula>#REF!&lt;&gt;""</formula>
    </cfRule>
    <cfRule type="expression" dxfId="1113" priority="1090">
      <formula>#REF!&lt;&gt;""</formula>
    </cfRule>
    <cfRule type="expression" dxfId="1112" priority="1091">
      <formula>#REF!&lt;&gt;""</formula>
    </cfRule>
    <cfRule type="expression" dxfId="1111" priority="1092">
      <formula>#REF!&lt;&gt;""</formula>
    </cfRule>
    <cfRule type="expression" dxfId="1110" priority="1093">
      <formula>#REF!&lt;&gt;""</formula>
    </cfRule>
    <cfRule type="expression" dxfId="1109" priority="1094">
      <formula>#REF!&lt;&gt;""</formula>
    </cfRule>
  </conditionalFormatting>
  <conditionalFormatting sqref="F239">
    <cfRule type="expression" dxfId="1108" priority="1071">
      <formula>#REF!&lt;&gt;""</formula>
    </cfRule>
    <cfRule type="expression" dxfId="1107" priority="1072">
      <formula>#REF!&lt;&gt;""</formula>
    </cfRule>
    <cfRule type="expression" dxfId="1106" priority="1073">
      <formula>#REF!&lt;&gt;""</formula>
    </cfRule>
    <cfRule type="expression" dxfId="1105" priority="1074">
      <formula>#REF!&lt;&gt;""</formula>
    </cfRule>
    <cfRule type="expression" dxfId="1104" priority="1075">
      <formula>#REF!&lt;&gt;""</formula>
    </cfRule>
    <cfRule type="expression" dxfId="1103" priority="1076">
      <formula>#REF!&lt;&gt;""</formula>
    </cfRule>
    <cfRule type="expression" dxfId="1102" priority="1077">
      <formula>#REF!&lt;&gt;""</formula>
    </cfRule>
    <cfRule type="expression" dxfId="1101" priority="1078">
      <formula>#REF!&lt;&gt;""</formula>
    </cfRule>
    <cfRule type="expression" dxfId="1100" priority="1079">
      <formula>#REF!&lt;&gt;""</formula>
    </cfRule>
    <cfRule type="expression" dxfId="1099" priority="1080">
      <formula>#REF!&lt;&gt;""</formula>
    </cfRule>
    <cfRule type="expression" dxfId="1098" priority="1081">
      <formula>#REF!&lt;&gt;""</formula>
    </cfRule>
    <cfRule type="expression" dxfId="1097" priority="1082">
      <formula>#REF!&lt;&gt;""</formula>
    </cfRule>
  </conditionalFormatting>
  <conditionalFormatting sqref="F240">
    <cfRule type="expression" dxfId="1096" priority="1059">
      <formula>#REF!&lt;&gt;""</formula>
    </cfRule>
    <cfRule type="expression" dxfId="1095" priority="1060">
      <formula>#REF!&lt;&gt;""</formula>
    </cfRule>
    <cfRule type="expression" dxfId="1094" priority="1061">
      <formula>#REF!&lt;&gt;""</formula>
    </cfRule>
    <cfRule type="expression" dxfId="1093" priority="1062">
      <formula>#REF!&lt;&gt;""</formula>
    </cfRule>
    <cfRule type="expression" dxfId="1092" priority="1063">
      <formula>#REF!&lt;&gt;""</formula>
    </cfRule>
    <cfRule type="expression" dxfId="1091" priority="1064">
      <formula>#REF!&lt;&gt;""</formula>
    </cfRule>
    <cfRule type="expression" dxfId="1090" priority="1065">
      <formula>#REF!&lt;&gt;""</formula>
    </cfRule>
    <cfRule type="expression" dxfId="1089" priority="1066">
      <formula>#REF!&lt;&gt;""</formula>
    </cfRule>
    <cfRule type="expression" dxfId="1088" priority="1067">
      <formula>#REF!&lt;&gt;""</formula>
    </cfRule>
    <cfRule type="expression" dxfId="1087" priority="1068">
      <formula>#REF!&lt;&gt;""</formula>
    </cfRule>
    <cfRule type="expression" dxfId="1086" priority="1069">
      <formula>#REF!&lt;&gt;""</formula>
    </cfRule>
    <cfRule type="expression" dxfId="1085" priority="1070">
      <formula>#REF!&lt;&gt;""</formula>
    </cfRule>
  </conditionalFormatting>
  <conditionalFormatting sqref="F241">
    <cfRule type="expression" dxfId="1084" priority="1047">
      <formula>#REF!&lt;&gt;""</formula>
    </cfRule>
    <cfRule type="expression" dxfId="1083" priority="1048">
      <formula>#REF!&lt;&gt;""</formula>
    </cfRule>
    <cfRule type="expression" dxfId="1082" priority="1049">
      <formula>#REF!&lt;&gt;""</formula>
    </cfRule>
    <cfRule type="expression" dxfId="1081" priority="1050">
      <formula>#REF!&lt;&gt;""</formula>
    </cfRule>
    <cfRule type="expression" dxfId="1080" priority="1051">
      <formula>#REF!&lt;&gt;""</formula>
    </cfRule>
    <cfRule type="expression" dxfId="1079" priority="1052">
      <formula>#REF!&lt;&gt;""</formula>
    </cfRule>
    <cfRule type="expression" dxfId="1078" priority="1053">
      <formula>#REF!&lt;&gt;""</formula>
    </cfRule>
    <cfRule type="expression" dxfId="1077" priority="1054">
      <formula>#REF!&lt;&gt;""</formula>
    </cfRule>
    <cfRule type="expression" dxfId="1076" priority="1055">
      <formula>#REF!&lt;&gt;""</formula>
    </cfRule>
    <cfRule type="expression" dxfId="1075" priority="1056">
      <formula>#REF!&lt;&gt;""</formula>
    </cfRule>
    <cfRule type="expression" dxfId="1074" priority="1057">
      <formula>#REF!&lt;&gt;""</formula>
    </cfRule>
    <cfRule type="expression" dxfId="1073" priority="1058">
      <formula>#REF!&lt;&gt;""</formula>
    </cfRule>
  </conditionalFormatting>
  <conditionalFormatting sqref="F242">
    <cfRule type="expression" dxfId="1072" priority="1035">
      <formula>#REF!&lt;&gt;""</formula>
    </cfRule>
    <cfRule type="expression" dxfId="1071" priority="1036">
      <formula>#REF!&lt;&gt;""</formula>
    </cfRule>
    <cfRule type="expression" dxfId="1070" priority="1037">
      <formula>#REF!&lt;&gt;""</formula>
    </cfRule>
    <cfRule type="expression" dxfId="1069" priority="1038">
      <formula>#REF!&lt;&gt;""</formula>
    </cfRule>
    <cfRule type="expression" dxfId="1068" priority="1039">
      <formula>#REF!&lt;&gt;""</formula>
    </cfRule>
    <cfRule type="expression" dxfId="1067" priority="1040">
      <formula>#REF!&lt;&gt;""</formula>
    </cfRule>
    <cfRule type="expression" dxfId="1066" priority="1041">
      <formula>#REF!&lt;&gt;""</formula>
    </cfRule>
    <cfRule type="expression" dxfId="1065" priority="1042">
      <formula>#REF!&lt;&gt;""</formula>
    </cfRule>
    <cfRule type="expression" dxfId="1064" priority="1043">
      <formula>#REF!&lt;&gt;""</formula>
    </cfRule>
    <cfRule type="expression" dxfId="1063" priority="1044">
      <formula>#REF!&lt;&gt;""</formula>
    </cfRule>
    <cfRule type="expression" dxfId="1062" priority="1045">
      <formula>#REF!&lt;&gt;""</formula>
    </cfRule>
    <cfRule type="expression" dxfId="1061" priority="1046">
      <formula>#REF!&lt;&gt;""</formula>
    </cfRule>
  </conditionalFormatting>
  <conditionalFormatting sqref="F243">
    <cfRule type="expression" dxfId="1060" priority="1023">
      <formula>#REF!&lt;&gt;""</formula>
    </cfRule>
    <cfRule type="expression" dxfId="1059" priority="1024">
      <formula>#REF!&lt;&gt;""</formula>
    </cfRule>
    <cfRule type="expression" dxfId="1058" priority="1025">
      <formula>#REF!&lt;&gt;""</formula>
    </cfRule>
    <cfRule type="expression" dxfId="1057" priority="1026">
      <formula>#REF!&lt;&gt;""</formula>
    </cfRule>
    <cfRule type="expression" dxfId="1056" priority="1027">
      <formula>#REF!&lt;&gt;""</formula>
    </cfRule>
    <cfRule type="expression" dxfId="1055" priority="1028">
      <formula>#REF!&lt;&gt;""</formula>
    </cfRule>
    <cfRule type="expression" dxfId="1054" priority="1029">
      <formula>#REF!&lt;&gt;""</formula>
    </cfRule>
    <cfRule type="expression" dxfId="1053" priority="1030">
      <formula>#REF!&lt;&gt;""</formula>
    </cfRule>
    <cfRule type="expression" dxfId="1052" priority="1031">
      <formula>#REF!&lt;&gt;""</formula>
    </cfRule>
    <cfRule type="expression" dxfId="1051" priority="1032">
      <formula>#REF!&lt;&gt;""</formula>
    </cfRule>
    <cfRule type="expression" dxfId="1050" priority="1033">
      <formula>#REF!&lt;&gt;""</formula>
    </cfRule>
    <cfRule type="expression" dxfId="1049" priority="1034">
      <formula>#REF!&lt;&gt;""</formula>
    </cfRule>
  </conditionalFormatting>
  <conditionalFormatting sqref="F244">
    <cfRule type="expression" dxfId="1048" priority="1011">
      <formula>#REF!&lt;&gt;""</formula>
    </cfRule>
    <cfRule type="expression" dxfId="1047" priority="1012">
      <formula>#REF!&lt;&gt;""</formula>
    </cfRule>
    <cfRule type="expression" dxfId="1046" priority="1013">
      <formula>#REF!&lt;&gt;""</formula>
    </cfRule>
    <cfRule type="expression" dxfId="1045" priority="1014">
      <formula>#REF!&lt;&gt;""</formula>
    </cfRule>
    <cfRule type="expression" dxfId="1044" priority="1015">
      <formula>#REF!&lt;&gt;""</formula>
    </cfRule>
    <cfRule type="expression" dxfId="1043" priority="1016">
      <formula>#REF!&lt;&gt;""</formula>
    </cfRule>
    <cfRule type="expression" dxfId="1042" priority="1017">
      <formula>#REF!&lt;&gt;""</formula>
    </cfRule>
    <cfRule type="expression" dxfId="1041" priority="1018">
      <formula>#REF!&lt;&gt;""</formula>
    </cfRule>
    <cfRule type="expression" dxfId="1040" priority="1019">
      <formula>#REF!&lt;&gt;""</formula>
    </cfRule>
    <cfRule type="expression" dxfId="1039" priority="1020">
      <formula>#REF!&lt;&gt;""</formula>
    </cfRule>
    <cfRule type="expression" dxfId="1038" priority="1021">
      <formula>#REF!&lt;&gt;""</formula>
    </cfRule>
    <cfRule type="expression" dxfId="1037" priority="1022">
      <formula>#REF!&lt;&gt;""</formula>
    </cfRule>
  </conditionalFormatting>
  <conditionalFormatting sqref="F245">
    <cfRule type="expression" dxfId="1036" priority="999">
      <formula>#REF!&lt;&gt;""</formula>
    </cfRule>
    <cfRule type="expression" dxfId="1035" priority="1000">
      <formula>#REF!&lt;&gt;""</formula>
    </cfRule>
    <cfRule type="expression" dxfId="1034" priority="1001">
      <formula>#REF!&lt;&gt;""</formula>
    </cfRule>
    <cfRule type="expression" dxfId="1033" priority="1002">
      <formula>#REF!&lt;&gt;""</formula>
    </cfRule>
    <cfRule type="expression" dxfId="1032" priority="1003">
      <formula>#REF!&lt;&gt;""</formula>
    </cfRule>
    <cfRule type="expression" dxfId="1031" priority="1004">
      <formula>#REF!&lt;&gt;""</formula>
    </cfRule>
    <cfRule type="expression" dxfId="1030" priority="1005">
      <formula>#REF!&lt;&gt;""</formula>
    </cfRule>
    <cfRule type="expression" dxfId="1029" priority="1006">
      <formula>#REF!&lt;&gt;""</formula>
    </cfRule>
    <cfRule type="expression" dxfId="1028" priority="1007">
      <formula>#REF!&lt;&gt;""</formula>
    </cfRule>
    <cfRule type="expression" dxfId="1027" priority="1008">
      <formula>#REF!&lt;&gt;""</formula>
    </cfRule>
    <cfRule type="expression" dxfId="1026" priority="1009">
      <formula>#REF!&lt;&gt;""</formula>
    </cfRule>
    <cfRule type="expression" dxfId="1025" priority="1010">
      <formula>#REF!&lt;&gt;""</formula>
    </cfRule>
  </conditionalFormatting>
  <conditionalFormatting sqref="F246">
    <cfRule type="expression" dxfId="1024" priority="987">
      <formula>#REF!&lt;&gt;""</formula>
    </cfRule>
    <cfRule type="expression" dxfId="1023" priority="988">
      <formula>#REF!&lt;&gt;""</formula>
    </cfRule>
    <cfRule type="expression" dxfId="1022" priority="989">
      <formula>#REF!&lt;&gt;""</formula>
    </cfRule>
    <cfRule type="expression" dxfId="1021" priority="990">
      <formula>#REF!&lt;&gt;""</formula>
    </cfRule>
    <cfRule type="expression" dxfId="1020" priority="991">
      <formula>#REF!&lt;&gt;""</formula>
    </cfRule>
    <cfRule type="expression" dxfId="1019" priority="992">
      <formula>#REF!&lt;&gt;""</formula>
    </cfRule>
    <cfRule type="expression" dxfId="1018" priority="993">
      <formula>#REF!&lt;&gt;""</formula>
    </cfRule>
    <cfRule type="expression" dxfId="1017" priority="994">
      <formula>#REF!&lt;&gt;""</formula>
    </cfRule>
    <cfRule type="expression" dxfId="1016" priority="995">
      <formula>#REF!&lt;&gt;""</formula>
    </cfRule>
    <cfRule type="expression" dxfId="1015" priority="996">
      <formula>#REF!&lt;&gt;""</formula>
    </cfRule>
    <cfRule type="expression" dxfId="1014" priority="997">
      <formula>#REF!&lt;&gt;""</formula>
    </cfRule>
    <cfRule type="expression" dxfId="1013" priority="998">
      <formula>#REF!&lt;&gt;""</formula>
    </cfRule>
  </conditionalFormatting>
  <conditionalFormatting sqref="F247">
    <cfRule type="expression" dxfId="1012" priority="975">
      <formula>#REF!&lt;&gt;""</formula>
    </cfRule>
    <cfRule type="expression" dxfId="1011" priority="976">
      <formula>#REF!&lt;&gt;""</formula>
    </cfRule>
    <cfRule type="expression" dxfId="1010" priority="977">
      <formula>#REF!&lt;&gt;""</formula>
    </cfRule>
    <cfRule type="expression" dxfId="1009" priority="978">
      <formula>#REF!&lt;&gt;""</formula>
    </cfRule>
    <cfRule type="expression" dxfId="1008" priority="979">
      <formula>#REF!&lt;&gt;""</formula>
    </cfRule>
    <cfRule type="expression" dxfId="1007" priority="980">
      <formula>#REF!&lt;&gt;""</formula>
    </cfRule>
    <cfRule type="expression" dxfId="1006" priority="981">
      <formula>#REF!&lt;&gt;""</formula>
    </cfRule>
    <cfRule type="expression" dxfId="1005" priority="982">
      <formula>#REF!&lt;&gt;""</formula>
    </cfRule>
    <cfRule type="expression" dxfId="1004" priority="983">
      <formula>#REF!&lt;&gt;""</formula>
    </cfRule>
    <cfRule type="expression" dxfId="1003" priority="984">
      <formula>#REF!&lt;&gt;""</formula>
    </cfRule>
    <cfRule type="expression" dxfId="1002" priority="985">
      <formula>#REF!&lt;&gt;""</formula>
    </cfRule>
    <cfRule type="expression" dxfId="1001" priority="986">
      <formula>#REF!&lt;&gt;""</formula>
    </cfRule>
  </conditionalFormatting>
  <conditionalFormatting sqref="F248">
    <cfRule type="expression" dxfId="1000" priority="963">
      <formula>#REF!&lt;&gt;""</formula>
    </cfRule>
    <cfRule type="expression" dxfId="999" priority="964">
      <formula>#REF!&lt;&gt;""</formula>
    </cfRule>
    <cfRule type="expression" dxfId="998" priority="965">
      <formula>#REF!&lt;&gt;""</formula>
    </cfRule>
    <cfRule type="expression" dxfId="997" priority="966">
      <formula>#REF!&lt;&gt;""</formula>
    </cfRule>
    <cfRule type="expression" dxfId="996" priority="967">
      <formula>#REF!&lt;&gt;""</formula>
    </cfRule>
    <cfRule type="expression" dxfId="995" priority="968">
      <formula>#REF!&lt;&gt;""</formula>
    </cfRule>
    <cfRule type="expression" dxfId="994" priority="969">
      <formula>#REF!&lt;&gt;""</formula>
    </cfRule>
    <cfRule type="expression" dxfId="993" priority="970">
      <formula>#REF!&lt;&gt;""</formula>
    </cfRule>
    <cfRule type="expression" dxfId="992" priority="971">
      <formula>#REF!&lt;&gt;""</formula>
    </cfRule>
    <cfRule type="expression" dxfId="991" priority="972">
      <formula>#REF!&lt;&gt;""</formula>
    </cfRule>
    <cfRule type="expression" dxfId="990" priority="973">
      <formula>#REF!&lt;&gt;""</formula>
    </cfRule>
    <cfRule type="expression" dxfId="989" priority="974">
      <formula>#REF!&lt;&gt;""</formula>
    </cfRule>
  </conditionalFormatting>
  <conditionalFormatting sqref="F249">
    <cfRule type="expression" dxfId="988" priority="951">
      <formula>#REF!&lt;&gt;""</formula>
    </cfRule>
    <cfRule type="expression" dxfId="987" priority="952">
      <formula>#REF!&lt;&gt;""</formula>
    </cfRule>
    <cfRule type="expression" dxfId="986" priority="953">
      <formula>#REF!&lt;&gt;""</formula>
    </cfRule>
    <cfRule type="expression" dxfId="985" priority="954">
      <formula>#REF!&lt;&gt;""</formula>
    </cfRule>
    <cfRule type="expression" dxfId="984" priority="955">
      <formula>#REF!&lt;&gt;""</formula>
    </cfRule>
    <cfRule type="expression" dxfId="983" priority="956">
      <formula>#REF!&lt;&gt;""</formula>
    </cfRule>
    <cfRule type="expression" dxfId="982" priority="957">
      <formula>#REF!&lt;&gt;""</formula>
    </cfRule>
    <cfRule type="expression" dxfId="981" priority="958">
      <formula>#REF!&lt;&gt;""</formula>
    </cfRule>
    <cfRule type="expression" dxfId="980" priority="959">
      <formula>#REF!&lt;&gt;""</formula>
    </cfRule>
    <cfRule type="expression" dxfId="979" priority="960">
      <formula>#REF!&lt;&gt;""</formula>
    </cfRule>
    <cfRule type="expression" dxfId="978" priority="961">
      <formula>#REF!&lt;&gt;""</formula>
    </cfRule>
    <cfRule type="expression" dxfId="977" priority="962">
      <formula>#REF!&lt;&gt;""</formula>
    </cfRule>
  </conditionalFormatting>
  <conditionalFormatting sqref="F250">
    <cfRule type="expression" dxfId="976" priority="939">
      <formula>#REF!&lt;&gt;""</formula>
    </cfRule>
    <cfRule type="expression" dxfId="975" priority="940">
      <formula>#REF!&lt;&gt;""</formula>
    </cfRule>
    <cfRule type="expression" dxfId="974" priority="941">
      <formula>#REF!&lt;&gt;""</formula>
    </cfRule>
    <cfRule type="expression" dxfId="973" priority="942">
      <formula>#REF!&lt;&gt;""</formula>
    </cfRule>
    <cfRule type="expression" dxfId="972" priority="943">
      <formula>#REF!&lt;&gt;""</formula>
    </cfRule>
    <cfRule type="expression" dxfId="971" priority="944">
      <formula>#REF!&lt;&gt;""</formula>
    </cfRule>
    <cfRule type="expression" dxfId="970" priority="945">
      <formula>#REF!&lt;&gt;""</formula>
    </cfRule>
    <cfRule type="expression" dxfId="969" priority="946">
      <formula>#REF!&lt;&gt;""</formula>
    </cfRule>
    <cfRule type="expression" dxfId="968" priority="947">
      <formula>#REF!&lt;&gt;""</formula>
    </cfRule>
    <cfRule type="expression" dxfId="967" priority="948">
      <formula>#REF!&lt;&gt;""</formula>
    </cfRule>
    <cfRule type="expression" dxfId="966" priority="949">
      <formula>#REF!&lt;&gt;""</formula>
    </cfRule>
    <cfRule type="expression" dxfId="965" priority="950">
      <formula>#REF!&lt;&gt;""</formula>
    </cfRule>
  </conditionalFormatting>
  <conditionalFormatting sqref="F251">
    <cfRule type="expression" dxfId="964" priority="927">
      <formula>#REF!&lt;&gt;""</formula>
    </cfRule>
    <cfRule type="expression" dxfId="963" priority="928">
      <formula>#REF!&lt;&gt;""</formula>
    </cfRule>
    <cfRule type="expression" dxfId="962" priority="929">
      <formula>#REF!&lt;&gt;""</formula>
    </cfRule>
    <cfRule type="expression" dxfId="961" priority="930">
      <formula>#REF!&lt;&gt;""</formula>
    </cfRule>
    <cfRule type="expression" dxfId="960" priority="931">
      <formula>#REF!&lt;&gt;""</formula>
    </cfRule>
    <cfRule type="expression" dxfId="959" priority="932">
      <formula>#REF!&lt;&gt;""</formula>
    </cfRule>
    <cfRule type="expression" dxfId="958" priority="933">
      <formula>#REF!&lt;&gt;""</formula>
    </cfRule>
    <cfRule type="expression" dxfId="957" priority="934">
      <formula>#REF!&lt;&gt;""</formula>
    </cfRule>
    <cfRule type="expression" dxfId="956" priority="935">
      <formula>#REF!&lt;&gt;""</formula>
    </cfRule>
    <cfRule type="expression" dxfId="955" priority="936">
      <formula>#REF!&lt;&gt;""</formula>
    </cfRule>
    <cfRule type="expression" dxfId="954" priority="937">
      <formula>#REF!&lt;&gt;""</formula>
    </cfRule>
    <cfRule type="expression" dxfId="953" priority="938">
      <formula>#REF!&lt;&gt;""</formula>
    </cfRule>
  </conditionalFormatting>
  <conditionalFormatting sqref="F252">
    <cfRule type="expression" dxfId="952" priority="915">
      <formula>#REF!&lt;&gt;""</formula>
    </cfRule>
    <cfRule type="expression" dxfId="951" priority="916">
      <formula>#REF!&lt;&gt;""</formula>
    </cfRule>
    <cfRule type="expression" dxfId="950" priority="917">
      <formula>#REF!&lt;&gt;""</formula>
    </cfRule>
    <cfRule type="expression" dxfId="949" priority="918">
      <formula>#REF!&lt;&gt;""</formula>
    </cfRule>
    <cfRule type="expression" dxfId="948" priority="919">
      <formula>#REF!&lt;&gt;""</formula>
    </cfRule>
    <cfRule type="expression" dxfId="947" priority="920">
      <formula>#REF!&lt;&gt;""</formula>
    </cfRule>
    <cfRule type="expression" dxfId="946" priority="921">
      <formula>#REF!&lt;&gt;""</formula>
    </cfRule>
    <cfRule type="expression" dxfId="945" priority="922">
      <formula>#REF!&lt;&gt;""</formula>
    </cfRule>
    <cfRule type="expression" dxfId="944" priority="923">
      <formula>#REF!&lt;&gt;""</formula>
    </cfRule>
    <cfRule type="expression" dxfId="943" priority="924">
      <formula>#REF!&lt;&gt;""</formula>
    </cfRule>
    <cfRule type="expression" dxfId="942" priority="925">
      <formula>#REF!&lt;&gt;""</formula>
    </cfRule>
    <cfRule type="expression" dxfId="941" priority="926">
      <formula>#REF!&lt;&gt;""</formula>
    </cfRule>
  </conditionalFormatting>
  <conditionalFormatting sqref="F253">
    <cfRule type="expression" dxfId="940" priority="903">
      <formula>#REF!&lt;&gt;""</formula>
    </cfRule>
    <cfRule type="expression" dxfId="939" priority="904">
      <formula>#REF!&lt;&gt;""</formula>
    </cfRule>
    <cfRule type="expression" dxfId="938" priority="905">
      <formula>#REF!&lt;&gt;""</formula>
    </cfRule>
    <cfRule type="expression" dxfId="937" priority="906">
      <formula>#REF!&lt;&gt;""</formula>
    </cfRule>
    <cfRule type="expression" dxfId="936" priority="907">
      <formula>#REF!&lt;&gt;""</formula>
    </cfRule>
    <cfRule type="expression" dxfId="935" priority="908">
      <formula>#REF!&lt;&gt;""</formula>
    </cfRule>
    <cfRule type="expression" dxfId="934" priority="909">
      <formula>#REF!&lt;&gt;""</formula>
    </cfRule>
    <cfRule type="expression" dxfId="933" priority="910">
      <formula>#REF!&lt;&gt;""</formula>
    </cfRule>
    <cfRule type="expression" dxfId="932" priority="911">
      <formula>#REF!&lt;&gt;""</formula>
    </cfRule>
    <cfRule type="expression" dxfId="931" priority="912">
      <formula>#REF!&lt;&gt;""</formula>
    </cfRule>
    <cfRule type="expression" dxfId="930" priority="913">
      <formula>#REF!&lt;&gt;""</formula>
    </cfRule>
    <cfRule type="expression" dxfId="929" priority="914">
      <formula>#REF!&lt;&gt;""</formula>
    </cfRule>
  </conditionalFormatting>
  <conditionalFormatting sqref="F254">
    <cfRule type="expression" dxfId="928" priority="891">
      <formula>#REF!&lt;&gt;""</formula>
    </cfRule>
    <cfRule type="expression" dxfId="927" priority="892">
      <formula>#REF!&lt;&gt;""</formula>
    </cfRule>
    <cfRule type="expression" dxfId="926" priority="893">
      <formula>#REF!&lt;&gt;""</formula>
    </cfRule>
    <cfRule type="expression" dxfId="925" priority="894">
      <formula>#REF!&lt;&gt;""</formula>
    </cfRule>
    <cfRule type="expression" dxfId="924" priority="895">
      <formula>#REF!&lt;&gt;""</formula>
    </cfRule>
    <cfRule type="expression" dxfId="923" priority="896">
      <formula>#REF!&lt;&gt;""</formula>
    </cfRule>
    <cfRule type="expression" dxfId="922" priority="897">
      <formula>#REF!&lt;&gt;""</formula>
    </cfRule>
    <cfRule type="expression" dxfId="921" priority="898">
      <formula>#REF!&lt;&gt;""</formula>
    </cfRule>
    <cfRule type="expression" dxfId="920" priority="899">
      <formula>#REF!&lt;&gt;""</formula>
    </cfRule>
    <cfRule type="expression" dxfId="919" priority="900">
      <formula>#REF!&lt;&gt;""</formula>
    </cfRule>
    <cfRule type="expression" dxfId="918" priority="901">
      <formula>#REF!&lt;&gt;""</formula>
    </cfRule>
    <cfRule type="expression" dxfId="917" priority="902">
      <formula>#REF!&lt;&gt;""</formula>
    </cfRule>
  </conditionalFormatting>
  <conditionalFormatting sqref="F255">
    <cfRule type="expression" dxfId="916" priority="879">
      <formula>#REF!&lt;&gt;""</formula>
    </cfRule>
    <cfRule type="expression" dxfId="915" priority="880">
      <formula>#REF!&lt;&gt;""</formula>
    </cfRule>
    <cfRule type="expression" dxfId="914" priority="881">
      <formula>#REF!&lt;&gt;""</formula>
    </cfRule>
    <cfRule type="expression" dxfId="913" priority="882">
      <formula>#REF!&lt;&gt;""</formula>
    </cfRule>
    <cfRule type="expression" dxfId="912" priority="883">
      <formula>#REF!&lt;&gt;""</formula>
    </cfRule>
    <cfRule type="expression" dxfId="911" priority="884">
      <formula>#REF!&lt;&gt;""</formula>
    </cfRule>
    <cfRule type="expression" dxfId="910" priority="885">
      <formula>#REF!&lt;&gt;""</formula>
    </cfRule>
    <cfRule type="expression" dxfId="909" priority="886">
      <formula>#REF!&lt;&gt;""</formula>
    </cfRule>
    <cfRule type="expression" dxfId="908" priority="887">
      <formula>#REF!&lt;&gt;""</formula>
    </cfRule>
    <cfRule type="expression" dxfId="907" priority="888">
      <formula>#REF!&lt;&gt;""</formula>
    </cfRule>
    <cfRule type="expression" dxfId="906" priority="889">
      <formula>#REF!&lt;&gt;""</formula>
    </cfRule>
    <cfRule type="expression" dxfId="905" priority="890">
      <formula>#REF!&lt;&gt;""</formula>
    </cfRule>
  </conditionalFormatting>
  <conditionalFormatting sqref="F256">
    <cfRule type="expression" dxfId="904" priority="867">
      <formula>#REF!&lt;&gt;""</formula>
    </cfRule>
    <cfRule type="expression" dxfId="903" priority="868">
      <formula>#REF!&lt;&gt;""</formula>
    </cfRule>
    <cfRule type="expression" dxfId="902" priority="869">
      <formula>#REF!&lt;&gt;""</formula>
    </cfRule>
    <cfRule type="expression" dxfId="901" priority="870">
      <formula>#REF!&lt;&gt;""</formula>
    </cfRule>
    <cfRule type="expression" dxfId="900" priority="871">
      <formula>#REF!&lt;&gt;""</formula>
    </cfRule>
    <cfRule type="expression" dxfId="899" priority="872">
      <formula>#REF!&lt;&gt;""</formula>
    </cfRule>
    <cfRule type="expression" dxfId="898" priority="873">
      <formula>#REF!&lt;&gt;""</formula>
    </cfRule>
    <cfRule type="expression" dxfId="897" priority="874">
      <formula>#REF!&lt;&gt;""</formula>
    </cfRule>
    <cfRule type="expression" dxfId="896" priority="875">
      <formula>#REF!&lt;&gt;""</formula>
    </cfRule>
    <cfRule type="expression" dxfId="895" priority="876">
      <formula>#REF!&lt;&gt;""</formula>
    </cfRule>
    <cfRule type="expression" dxfId="894" priority="877">
      <formula>#REF!&lt;&gt;""</formula>
    </cfRule>
    <cfRule type="expression" dxfId="893" priority="878">
      <formula>#REF!&lt;&gt;""</formula>
    </cfRule>
  </conditionalFormatting>
  <conditionalFormatting sqref="F257">
    <cfRule type="expression" dxfId="892" priority="855">
      <formula>#REF!&lt;&gt;""</formula>
    </cfRule>
    <cfRule type="expression" dxfId="891" priority="856">
      <formula>#REF!&lt;&gt;""</formula>
    </cfRule>
    <cfRule type="expression" dxfId="890" priority="857">
      <formula>#REF!&lt;&gt;""</formula>
    </cfRule>
    <cfRule type="expression" dxfId="889" priority="858">
      <formula>#REF!&lt;&gt;""</formula>
    </cfRule>
    <cfRule type="expression" dxfId="888" priority="859">
      <formula>#REF!&lt;&gt;""</formula>
    </cfRule>
    <cfRule type="expression" dxfId="887" priority="860">
      <formula>#REF!&lt;&gt;""</formula>
    </cfRule>
    <cfRule type="expression" dxfId="886" priority="861">
      <formula>#REF!&lt;&gt;""</formula>
    </cfRule>
    <cfRule type="expression" dxfId="885" priority="862">
      <formula>#REF!&lt;&gt;""</formula>
    </cfRule>
    <cfRule type="expression" dxfId="884" priority="863">
      <formula>#REF!&lt;&gt;""</formula>
    </cfRule>
    <cfRule type="expression" dxfId="883" priority="864">
      <formula>#REF!&lt;&gt;""</formula>
    </cfRule>
    <cfRule type="expression" dxfId="882" priority="865">
      <formula>#REF!&lt;&gt;""</formula>
    </cfRule>
    <cfRule type="expression" dxfId="881" priority="866">
      <formula>#REF!&lt;&gt;""</formula>
    </cfRule>
  </conditionalFormatting>
  <conditionalFormatting sqref="F258">
    <cfRule type="expression" dxfId="880" priority="843">
      <formula>#REF!&lt;&gt;""</formula>
    </cfRule>
    <cfRule type="expression" dxfId="879" priority="844">
      <formula>#REF!&lt;&gt;""</formula>
    </cfRule>
    <cfRule type="expression" dxfId="878" priority="845">
      <formula>#REF!&lt;&gt;""</formula>
    </cfRule>
    <cfRule type="expression" dxfId="877" priority="846">
      <formula>#REF!&lt;&gt;""</formula>
    </cfRule>
    <cfRule type="expression" dxfId="876" priority="847">
      <formula>#REF!&lt;&gt;""</formula>
    </cfRule>
    <cfRule type="expression" dxfId="875" priority="848">
      <formula>#REF!&lt;&gt;""</formula>
    </cfRule>
    <cfRule type="expression" dxfId="874" priority="849">
      <formula>#REF!&lt;&gt;""</formula>
    </cfRule>
    <cfRule type="expression" dxfId="873" priority="850">
      <formula>#REF!&lt;&gt;""</formula>
    </cfRule>
    <cfRule type="expression" dxfId="872" priority="851">
      <formula>#REF!&lt;&gt;""</formula>
    </cfRule>
    <cfRule type="expression" dxfId="871" priority="852">
      <formula>#REF!&lt;&gt;""</formula>
    </cfRule>
    <cfRule type="expression" dxfId="870" priority="853">
      <formula>#REF!&lt;&gt;""</formula>
    </cfRule>
    <cfRule type="expression" dxfId="869" priority="854">
      <formula>#REF!&lt;&gt;""</formula>
    </cfRule>
  </conditionalFormatting>
  <conditionalFormatting sqref="F259">
    <cfRule type="expression" dxfId="868" priority="831">
      <formula>#REF!&lt;&gt;""</formula>
    </cfRule>
    <cfRule type="expression" dxfId="867" priority="832">
      <formula>#REF!&lt;&gt;""</formula>
    </cfRule>
    <cfRule type="expression" dxfId="866" priority="833">
      <formula>#REF!&lt;&gt;""</formula>
    </cfRule>
    <cfRule type="expression" dxfId="865" priority="834">
      <formula>#REF!&lt;&gt;""</formula>
    </cfRule>
    <cfRule type="expression" dxfId="864" priority="835">
      <formula>#REF!&lt;&gt;""</formula>
    </cfRule>
    <cfRule type="expression" dxfId="863" priority="836">
      <formula>#REF!&lt;&gt;""</formula>
    </cfRule>
    <cfRule type="expression" dxfId="862" priority="837">
      <formula>#REF!&lt;&gt;""</formula>
    </cfRule>
    <cfRule type="expression" dxfId="861" priority="838">
      <formula>#REF!&lt;&gt;""</formula>
    </cfRule>
    <cfRule type="expression" dxfId="860" priority="839">
      <formula>#REF!&lt;&gt;""</formula>
    </cfRule>
    <cfRule type="expression" dxfId="859" priority="840">
      <formula>#REF!&lt;&gt;""</formula>
    </cfRule>
    <cfRule type="expression" dxfId="858" priority="841">
      <formula>#REF!&lt;&gt;""</formula>
    </cfRule>
    <cfRule type="expression" dxfId="857" priority="842">
      <formula>#REF!&lt;&gt;""</formula>
    </cfRule>
  </conditionalFormatting>
  <conditionalFormatting sqref="F260">
    <cfRule type="expression" dxfId="856" priority="819">
      <formula>#REF!&lt;&gt;""</formula>
    </cfRule>
    <cfRule type="expression" dxfId="855" priority="820">
      <formula>#REF!&lt;&gt;""</formula>
    </cfRule>
    <cfRule type="expression" dxfId="854" priority="821">
      <formula>#REF!&lt;&gt;""</formula>
    </cfRule>
    <cfRule type="expression" dxfId="853" priority="822">
      <formula>#REF!&lt;&gt;""</formula>
    </cfRule>
    <cfRule type="expression" dxfId="852" priority="823">
      <formula>#REF!&lt;&gt;""</formula>
    </cfRule>
    <cfRule type="expression" dxfId="851" priority="824">
      <formula>#REF!&lt;&gt;""</formula>
    </cfRule>
    <cfRule type="expression" dxfId="850" priority="825">
      <formula>#REF!&lt;&gt;""</formula>
    </cfRule>
    <cfRule type="expression" dxfId="849" priority="826">
      <formula>#REF!&lt;&gt;""</formula>
    </cfRule>
    <cfRule type="expression" dxfId="848" priority="827">
      <formula>#REF!&lt;&gt;""</formula>
    </cfRule>
    <cfRule type="expression" dxfId="847" priority="828">
      <formula>#REF!&lt;&gt;""</formula>
    </cfRule>
    <cfRule type="expression" dxfId="846" priority="829">
      <formula>#REF!&lt;&gt;""</formula>
    </cfRule>
    <cfRule type="expression" dxfId="845" priority="830">
      <formula>#REF!&lt;&gt;""</formula>
    </cfRule>
  </conditionalFormatting>
  <conditionalFormatting sqref="F261">
    <cfRule type="expression" dxfId="844" priority="807">
      <formula>#REF!&lt;&gt;""</formula>
    </cfRule>
    <cfRule type="expression" dxfId="843" priority="808">
      <formula>#REF!&lt;&gt;""</formula>
    </cfRule>
    <cfRule type="expression" dxfId="842" priority="809">
      <formula>#REF!&lt;&gt;""</formula>
    </cfRule>
    <cfRule type="expression" dxfId="841" priority="810">
      <formula>#REF!&lt;&gt;""</formula>
    </cfRule>
    <cfRule type="expression" dxfId="840" priority="811">
      <formula>#REF!&lt;&gt;""</formula>
    </cfRule>
    <cfRule type="expression" dxfId="839" priority="812">
      <formula>#REF!&lt;&gt;""</formula>
    </cfRule>
    <cfRule type="expression" dxfId="838" priority="813">
      <formula>#REF!&lt;&gt;""</formula>
    </cfRule>
    <cfRule type="expression" dxfId="837" priority="814">
      <formula>#REF!&lt;&gt;""</formula>
    </cfRule>
    <cfRule type="expression" dxfId="836" priority="815">
      <formula>#REF!&lt;&gt;""</formula>
    </cfRule>
    <cfRule type="expression" dxfId="835" priority="816">
      <formula>#REF!&lt;&gt;""</formula>
    </cfRule>
    <cfRule type="expression" dxfId="834" priority="817">
      <formula>#REF!&lt;&gt;""</formula>
    </cfRule>
    <cfRule type="expression" dxfId="833" priority="818">
      <formula>#REF!&lt;&gt;""</formula>
    </cfRule>
  </conditionalFormatting>
  <conditionalFormatting sqref="F262">
    <cfRule type="expression" dxfId="832" priority="795">
      <formula>#REF!&lt;&gt;""</formula>
    </cfRule>
    <cfRule type="expression" dxfId="831" priority="796">
      <formula>#REF!&lt;&gt;""</formula>
    </cfRule>
    <cfRule type="expression" dxfId="830" priority="797">
      <formula>#REF!&lt;&gt;""</formula>
    </cfRule>
    <cfRule type="expression" dxfId="829" priority="798">
      <formula>#REF!&lt;&gt;""</formula>
    </cfRule>
    <cfRule type="expression" dxfId="828" priority="799">
      <formula>#REF!&lt;&gt;""</formula>
    </cfRule>
    <cfRule type="expression" dxfId="827" priority="800">
      <formula>#REF!&lt;&gt;""</formula>
    </cfRule>
    <cfRule type="expression" dxfId="826" priority="801">
      <formula>#REF!&lt;&gt;""</formula>
    </cfRule>
    <cfRule type="expression" dxfId="825" priority="802">
      <formula>#REF!&lt;&gt;""</formula>
    </cfRule>
    <cfRule type="expression" dxfId="824" priority="803">
      <formula>#REF!&lt;&gt;""</formula>
    </cfRule>
    <cfRule type="expression" dxfId="823" priority="804">
      <formula>#REF!&lt;&gt;""</formula>
    </cfRule>
    <cfRule type="expression" dxfId="822" priority="805">
      <formula>#REF!&lt;&gt;""</formula>
    </cfRule>
    <cfRule type="expression" dxfId="821" priority="806">
      <formula>#REF!&lt;&gt;""</formula>
    </cfRule>
  </conditionalFormatting>
  <conditionalFormatting sqref="F263">
    <cfRule type="expression" dxfId="820" priority="783">
      <formula>#REF!&lt;&gt;""</formula>
    </cfRule>
    <cfRule type="expression" dxfId="819" priority="784">
      <formula>#REF!&lt;&gt;""</formula>
    </cfRule>
    <cfRule type="expression" dxfId="818" priority="785">
      <formula>#REF!&lt;&gt;""</formula>
    </cfRule>
    <cfRule type="expression" dxfId="817" priority="786">
      <formula>#REF!&lt;&gt;""</formula>
    </cfRule>
    <cfRule type="expression" dxfId="816" priority="787">
      <formula>#REF!&lt;&gt;""</formula>
    </cfRule>
    <cfRule type="expression" dxfId="815" priority="788">
      <formula>#REF!&lt;&gt;""</formula>
    </cfRule>
    <cfRule type="expression" dxfId="814" priority="789">
      <formula>#REF!&lt;&gt;""</formula>
    </cfRule>
    <cfRule type="expression" dxfId="813" priority="790">
      <formula>#REF!&lt;&gt;""</formula>
    </cfRule>
    <cfRule type="expression" dxfId="812" priority="791">
      <formula>#REF!&lt;&gt;""</formula>
    </cfRule>
    <cfRule type="expression" dxfId="811" priority="792">
      <formula>#REF!&lt;&gt;""</formula>
    </cfRule>
    <cfRule type="expression" dxfId="810" priority="793">
      <formula>#REF!&lt;&gt;""</formula>
    </cfRule>
    <cfRule type="expression" dxfId="809" priority="794">
      <formula>#REF!&lt;&gt;""</formula>
    </cfRule>
  </conditionalFormatting>
  <conditionalFormatting sqref="F264">
    <cfRule type="expression" dxfId="808" priority="771">
      <formula>#REF!&lt;&gt;""</formula>
    </cfRule>
    <cfRule type="expression" dxfId="807" priority="772">
      <formula>#REF!&lt;&gt;""</formula>
    </cfRule>
    <cfRule type="expression" dxfId="806" priority="773">
      <formula>#REF!&lt;&gt;""</formula>
    </cfRule>
    <cfRule type="expression" dxfId="805" priority="774">
      <formula>#REF!&lt;&gt;""</formula>
    </cfRule>
    <cfRule type="expression" dxfId="804" priority="775">
      <formula>#REF!&lt;&gt;""</formula>
    </cfRule>
    <cfRule type="expression" dxfId="803" priority="776">
      <formula>#REF!&lt;&gt;""</formula>
    </cfRule>
    <cfRule type="expression" dxfId="802" priority="777">
      <formula>#REF!&lt;&gt;""</formula>
    </cfRule>
    <cfRule type="expression" dxfId="801" priority="778">
      <formula>#REF!&lt;&gt;""</formula>
    </cfRule>
    <cfRule type="expression" dxfId="800" priority="779">
      <formula>#REF!&lt;&gt;""</formula>
    </cfRule>
    <cfRule type="expression" dxfId="799" priority="780">
      <formula>#REF!&lt;&gt;""</formula>
    </cfRule>
    <cfRule type="expression" dxfId="798" priority="781">
      <formula>#REF!&lt;&gt;""</formula>
    </cfRule>
    <cfRule type="expression" dxfId="797" priority="782">
      <formula>#REF!&lt;&gt;""</formula>
    </cfRule>
  </conditionalFormatting>
  <conditionalFormatting sqref="F265">
    <cfRule type="expression" dxfId="796" priority="759">
      <formula>#REF!&lt;&gt;""</formula>
    </cfRule>
    <cfRule type="expression" dxfId="795" priority="760">
      <formula>#REF!&lt;&gt;""</formula>
    </cfRule>
    <cfRule type="expression" dxfId="794" priority="761">
      <formula>#REF!&lt;&gt;""</formula>
    </cfRule>
    <cfRule type="expression" dxfId="793" priority="762">
      <formula>#REF!&lt;&gt;""</formula>
    </cfRule>
    <cfRule type="expression" dxfId="792" priority="763">
      <formula>#REF!&lt;&gt;""</formula>
    </cfRule>
    <cfRule type="expression" dxfId="791" priority="764">
      <formula>#REF!&lt;&gt;""</formula>
    </cfRule>
    <cfRule type="expression" dxfId="790" priority="765">
      <formula>#REF!&lt;&gt;""</formula>
    </cfRule>
    <cfRule type="expression" dxfId="789" priority="766">
      <formula>#REF!&lt;&gt;""</formula>
    </cfRule>
    <cfRule type="expression" dxfId="788" priority="767">
      <formula>#REF!&lt;&gt;""</formula>
    </cfRule>
    <cfRule type="expression" dxfId="787" priority="768">
      <formula>#REF!&lt;&gt;""</formula>
    </cfRule>
    <cfRule type="expression" dxfId="786" priority="769">
      <formula>#REF!&lt;&gt;""</formula>
    </cfRule>
    <cfRule type="expression" dxfId="785" priority="770">
      <formula>#REF!&lt;&gt;""</formula>
    </cfRule>
  </conditionalFormatting>
  <conditionalFormatting sqref="F266">
    <cfRule type="expression" dxfId="784" priority="747">
      <formula>#REF!&lt;&gt;""</formula>
    </cfRule>
    <cfRule type="expression" dxfId="783" priority="748">
      <formula>#REF!&lt;&gt;""</formula>
    </cfRule>
    <cfRule type="expression" dxfId="782" priority="749">
      <formula>#REF!&lt;&gt;""</formula>
    </cfRule>
    <cfRule type="expression" dxfId="781" priority="750">
      <formula>#REF!&lt;&gt;""</formula>
    </cfRule>
    <cfRule type="expression" dxfId="780" priority="751">
      <formula>#REF!&lt;&gt;""</formula>
    </cfRule>
    <cfRule type="expression" dxfId="779" priority="752">
      <formula>#REF!&lt;&gt;""</formula>
    </cfRule>
    <cfRule type="expression" dxfId="778" priority="753">
      <formula>#REF!&lt;&gt;""</formula>
    </cfRule>
    <cfRule type="expression" dxfId="777" priority="754">
      <formula>#REF!&lt;&gt;""</formula>
    </cfRule>
    <cfRule type="expression" dxfId="776" priority="755">
      <formula>#REF!&lt;&gt;""</formula>
    </cfRule>
    <cfRule type="expression" dxfId="775" priority="756">
      <formula>#REF!&lt;&gt;""</formula>
    </cfRule>
    <cfRule type="expression" dxfId="774" priority="757">
      <formula>#REF!&lt;&gt;""</formula>
    </cfRule>
    <cfRule type="expression" dxfId="773" priority="758">
      <formula>#REF!&lt;&gt;""</formula>
    </cfRule>
  </conditionalFormatting>
  <conditionalFormatting sqref="F267">
    <cfRule type="expression" dxfId="772" priority="735">
      <formula>#REF!&lt;&gt;""</formula>
    </cfRule>
    <cfRule type="expression" dxfId="771" priority="736">
      <formula>#REF!&lt;&gt;""</formula>
    </cfRule>
    <cfRule type="expression" dxfId="770" priority="737">
      <formula>#REF!&lt;&gt;""</formula>
    </cfRule>
    <cfRule type="expression" dxfId="769" priority="738">
      <formula>#REF!&lt;&gt;""</formula>
    </cfRule>
    <cfRule type="expression" dxfId="768" priority="739">
      <formula>#REF!&lt;&gt;""</formula>
    </cfRule>
    <cfRule type="expression" dxfId="767" priority="740">
      <formula>#REF!&lt;&gt;""</formula>
    </cfRule>
    <cfRule type="expression" dxfId="766" priority="741">
      <formula>#REF!&lt;&gt;""</formula>
    </cfRule>
    <cfRule type="expression" dxfId="765" priority="742">
      <formula>#REF!&lt;&gt;""</formula>
    </cfRule>
    <cfRule type="expression" dxfId="764" priority="743">
      <formula>#REF!&lt;&gt;""</formula>
    </cfRule>
    <cfRule type="expression" dxfId="763" priority="744">
      <formula>#REF!&lt;&gt;""</formula>
    </cfRule>
    <cfRule type="expression" dxfId="762" priority="745">
      <formula>#REF!&lt;&gt;""</formula>
    </cfRule>
    <cfRule type="expression" dxfId="761" priority="746">
      <formula>#REF!&lt;&gt;""</formula>
    </cfRule>
  </conditionalFormatting>
  <conditionalFormatting sqref="F268">
    <cfRule type="expression" dxfId="760" priority="723">
      <formula>#REF!&lt;&gt;""</formula>
    </cfRule>
    <cfRule type="expression" dxfId="759" priority="724">
      <formula>#REF!&lt;&gt;""</formula>
    </cfRule>
    <cfRule type="expression" dxfId="758" priority="725">
      <formula>#REF!&lt;&gt;""</formula>
    </cfRule>
    <cfRule type="expression" dxfId="757" priority="726">
      <formula>#REF!&lt;&gt;""</formula>
    </cfRule>
    <cfRule type="expression" dxfId="756" priority="727">
      <formula>#REF!&lt;&gt;""</formula>
    </cfRule>
    <cfRule type="expression" dxfId="755" priority="728">
      <formula>#REF!&lt;&gt;""</formula>
    </cfRule>
    <cfRule type="expression" dxfId="754" priority="729">
      <formula>#REF!&lt;&gt;""</formula>
    </cfRule>
    <cfRule type="expression" dxfId="753" priority="730">
      <formula>#REF!&lt;&gt;""</formula>
    </cfRule>
    <cfRule type="expression" dxfId="752" priority="731">
      <formula>#REF!&lt;&gt;""</formula>
    </cfRule>
    <cfRule type="expression" dxfId="751" priority="732">
      <formula>#REF!&lt;&gt;""</formula>
    </cfRule>
    <cfRule type="expression" dxfId="750" priority="733">
      <formula>#REF!&lt;&gt;""</formula>
    </cfRule>
    <cfRule type="expression" dxfId="749" priority="734">
      <formula>#REF!&lt;&gt;""</formula>
    </cfRule>
  </conditionalFormatting>
  <conditionalFormatting sqref="F269">
    <cfRule type="expression" dxfId="748" priority="711">
      <formula>#REF!&lt;&gt;""</formula>
    </cfRule>
    <cfRule type="expression" dxfId="747" priority="712">
      <formula>#REF!&lt;&gt;""</formula>
    </cfRule>
    <cfRule type="expression" dxfId="746" priority="713">
      <formula>#REF!&lt;&gt;""</formula>
    </cfRule>
    <cfRule type="expression" dxfId="745" priority="714">
      <formula>#REF!&lt;&gt;""</formula>
    </cfRule>
    <cfRule type="expression" dxfId="744" priority="715">
      <formula>#REF!&lt;&gt;""</formula>
    </cfRule>
    <cfRule type="expression" dxfId="743" priority="716">
      <formula>#REF!&lt;&gt;""</formula>
    </cfRule>
    <cfRule type="expression" dxfId="742" priority="717">
      <formula>#REF!&lt;&gt;""</formula>
    </cfRule>
    <cfRule type="expression" dxfId="741" priority="718">
      <formula>#REF!&lt;&gt;""</formula>
    </cfRule>
    <cfRule type="expression" dxfId="740" priority="719">
      <formula>#REF!&lt;&gt;""</formula>
    </cfRule>
    <cfRule type="expression" dxfId="739" priority="720">
      <formula>#REF!&lt;&gt;""</formula>
    </cfRule>
    <cfRule type="expression" dxfId="738" priority="721">
      <formula>#REF!&lt;&gt;""</formula>
    </cfRule>
    <cfRule type="expression" dxfId="737" priority="722">
      <formula>#REF!&lt;&gt;""</formula>
    </cfRule>
  </conditionalFormatting>
  <conditionalFormatting sqref="F270">
    <cfRule type="expression" dxfId="736" priority="699">
      <formula>#REF!&lt;&gt;""</formula>
    </cfRule>
    <cfRule type="expression" dxfId="735" priority="700">
      <formula>#REF!&lt;&gt;""</formula>
    </cfRule>
    <cfRule type="expression" dxfId="734" priority="701">
      <formula>#REF!&lt;&gt;""</formula>
    </cfRule>
    <cfRule type="expression" dxfId="733" priority="702">
      <formula>#REF!&lt;&gt;""</formula>
    </cfRule>
    <cfRule type="expression" dxfId="732" priority="703">
      <formula>#REF!&lt;&gt;""</formula>
    </cfRule>
    <cfRule type="expression" dxfId="731" priority="704">
      <formula>#REF!&lt;&gt;""</formula>
    </cfRule>
    <cfRule type="expression" dxfId="730" priority="705">
      <formula>#REF!&lt;&gt;""</formula>
    </cfRule>
    <cfRule type="expression" dxfId="729" priority="706">
      <formula>#REF!&lt;&gt;""</formula>
    </cfRule>
    <cfRule type="expression" dxfId="728" priority="707">
      <formula>#REF!&lt;&gt;""</formula>
    </cfRule>
    <cfRule type="expression" dxfId="727" priority="708">
      <formula>#REF!&lt;&gt;""</formula>
    </cfRule>
    <cfRule type="expression" dxfId="726" priority="709">
      <formula>#REF!&lt;&gt;""</formula>
    </cfRule>
    <cfRule type="expression" dxfId="725" priority="710">
      <formula>#REF!&lt;&gt;""</formula>
    </cfRule>
  </conditionalFormatting>
  <conditionalFormatting sqref="F271">
    <cfRule type="expression" dxfId="724" priority="687">
      <formula>#REF!&lt;&gt;""</formula>
    </cfRule>
    <cfRule type="expression" dxfId="723" priority="688">
      <formula>#REF!&lt;&gt;""</formula>
    </cfRule>
    <cfRule type="expression" dxfId="722" priority="689">
      <formula>#REF!&lt;&gt;""</formula>
    </cfRule>
    <cfRule type="expression" dxfId="721" priority="690">
      <formula>#REF!&lt;&gt;""</formula>
    </cfRule>
    <cfRule type="expression" dxfId="720" priority="691">
      <formula>#REF!&lt;&gt;""</formula>
    </cfRule>
    <cfRule type="expression" dxfId="719" priority="692">
      <formula>#REF!&lt;&gt;""</formula>
    </cfRule>
    <cfRule type="expression" dxfId="718" priority="693">
      <formula>#REF!&lt;&gt;""</formula>
    </cfRule>
    <cfRule type="expression" dxfId="717" priority="694">
      <formula>#REF!&lt;&gt;""</formula>
    </cfRule>
    <cfRule type="expression" dxfId="716" priority="695">
      <formula>#REF!&lt;&gt;""</formula>
    </cfRule>
    <cfRule type="expression" dxfId="715" priority="696">
      <formula>#REF!&lt;&gt;""</formula>
    </cfRule>
    <cfRule type="expression" dxfId="714" priority="697">
      <formula>#REF!&lt;&gt;""</formula>
    </cfRule>
    <cfRule type="expression" dxfId="713" priority="698">
      <formula>#REF!&lt;&gt;""</formula>
    </cfRule>
  </conditionalFormatting>
  <conditionalFormatting sqref="F272">
    <cfRule type="expression" dxfId="712" priority="675">
      <formula>#REF!&lt;&gt;""</formula>
    </cfRule>
    <cfRule type="expression" dxfId="711" priority="676">
      <formula>#REF!&lt;&gt;""</formula>
    </cfRule>
    <cfRule type="expression" dxfId="710" priority="677">
      <formula>#REF!&lt;&gt;""</formula>
    </cfRule>
    <cfRule type="expression" dxfId="709" priority="678">
      <formula>#REF!&lt;&gt;""</formula>
    </cfRule>
    <cfRule type="expression" dxfId="708" priority="679">
      <formula>#REF!&lt;&gt;""</formula>
    </cfRule>
    <cfRule type="expression" dxfId="707" priority="680">
      <formula>#REF!&lt;&gt;""</formula>
    </cfRule>
    <cfRule type="expression" dxfId="706" priority="681">
      <formula>#REF!&lt;&gt;""</formula>
    </cfRule>
    <cfRule type="expression" dxfId="705" priority="682">
      <formula>#REF!&lt;&gt;""</formula>
    </cfRule>
    <cfRule type="expression" dxfId="704" priority="683">
      <formula>#REF!&lt;&gt;""</formula>
    </cfRule>
    <cfRule type="expression" dxfId="703" priority="684">
      <formula>#REF!&lt;&gt;""</formula>
    </cfRule>
    <cfRule type="expression" dxfId="702" priority="685">
      <formula>#REF!&lt;&gt;""</formula>
    </cfRule>
    <cfRule type="expression" dxfId="701" priority="686">
      <formula>#REF!&lt;&gt;""</formula>
    </cfRule>
  </conditionalFormatting>
  <conditionalFormatting sqref="F273">
    <cfRule type="expression" dxfId="700" priority="663">
      <formula>#REF!&lt;&gt;""</formula>
    </cfRule>
    <cfRule type="expression" dxfId="699" priority="664">
      <formula>#REF!&lt;&gt;""</formula>
    </cfRule>
    <cfRule type="expression" dxfId="698" priority="665">
      <formula>#REF!&lt;&gt;""</formula>
    </cfRule>
    <cfRule type="expression" dxfId="697" priority="666">
      <formula>#REF!&lt;&gt;""</formula>
    </cfRule>
    <cfRule type="expression" dxfId="696" priority="667">
      <formula>#REF!&lt;&gt;""</formula>
    </cfRule>
    <cfRule type="expression" dxfId="695" priority="668">
      <formula>#REF!&lt;&gt;""</formula>
    </cfRule>
    <cfRule type="expression" dxfId="694" priority="669">
      <formula>#REF!&lt;&gt;""</formula>
    </cfRule>
    <cfRule type="expression" dxfId="693" priority="670">
      <formula>#REF!&lt;&gt;""</formula>
    </cfRule>
    <cfRule type="expression" dxfId="692" priority="671">
      <formula>#REF!&lt;&gt;""</formula>
    </cfRule>
    <cfRule type="expression" dxfId="691" priority="672">
      <formula>#REF!&lt;&gt;""</formula>
    </cfRule>
    <cfRule type="expression" dxfId="690" priority="673">
      <formula>#REF!&lt;&gt;""</formula>
    </cfRule>
    <cfRule type="expression" dxfId="689" priority="674">
      <formula>#REF!&lt;&gt;""</formula>
    </cfRule>
  </conditionalFormatting>
  <conditionalFormatting sqref="F274">
    <cfRule type="expression" dxfId="688" priority="651">
      <formula>#REF!&lt;&gt;""</formula>
    </cfRule>
    <cfRule type="expression" dxfId="687" priority="652">
      <formula>#REF!&lt;&gt;""</formula>
    </cfRule>
    <cfRule type="expression" dxfId="686" priority="653">
      <formula>#REF!&lt;&gt;""</formula>
    </cfRule>
    <cfRule type="expression" dxfId="685" priority="654">
      <formula>#REF!&lt;&gt;""</formula>
    </cfRule>
    <cfRule type="expression" dxfId="684" priority="655">
      <formula>#REF!&lt;&gt;""</formula>
    </cfRule>
    <cfRule type="expression" dxfId="683" priority="656">
      <formula>#REF!&lt;&gt;""</formula>
    </cfRule>
    <cfRule type="expression" dxfId="682" priority="657">
      <formula>#REF!&lt;&gt;""</formula>
    </cfRule>
    <cfRule type="expression" dxfId="681" priority="658">
      <formula>#REF!&lt;&gt;""</formula>
    </cfRule>
    <cfRule type="expression" dxfId="680" priority="659">
      <formula>#REF!&lt;&gt;""</formula>
    </cfRule>
    <cfRule type="expression" dxfId="679" priority="660">
      <formula>#REF!&lt;&gt;""</formula>
    </cfRule>
    <cfRule type="expression" dxfId="678" priority="661">
      <formula>#REF!&lt;&gt;""</formula>
    </cfRule>
    <cfRule type="expression" dxfId="677" priority="662">
      <formula>#REF!&lt;&gt;""</formula>
    </cfRule>
  </conditionalFormatting>
  <conditionalFormatting sqref="F275">
    <cfRule type="expression" dxfId="676" priority="639">
      <formula>#REF!&lt;&gt;""</formula>
    </cfRule>
    <cfRule type="expression" dxfId="675" priority="640">
      <formula>#REF!&lt;&gt;""</formula>
    </cfRule>
    <cfRule type="expression" dxfId="674" priority="641">
      <formula>#REF!&lt;&gt;""</formula>
    </cfRule>
    <cfRule type="expression" dxfId="673" priority="642">
      <formula>#REF!&lt;&gt;""</formula>
    </cfRule>
    <cfRule type="expression" dxfId="672" priority="643">
      <formula>#REF!&lt;&gt;""</formula>
    </cfRule>
    <cfRule type="expression" dxfId="671" priority="644">
      <formula>#REF!&lt;&gt;""</formula>
    </cfRule>
    <cfRule type="expression" dxfId="670" priority="645">
      <formula>#REF!&lt;&gt;""</formula>
    </cfRule>
    <cfRule type="expression" dxfId="669" priority="646">
      <formula>#REF!&lt;&gt;""</formula>
    </cfRule>
    <cfRule type="expression" dxfId="668" priority="647">
      <formula>#REF!&lt;&gt;""</formula>
    </cfRule>
    <cfRule type="expression" dxfId="667" priority="648">
      <formula>#REF!&lt;&gt;""</formula>
    </cfRule>
    <cfRule type="expression" dxfId="666" priority="649">
      <formula>#REF!&lt;&gt;""</formula>
    </cfRule>
    <cfRule type="expression" dxfId="665" priority="650">
      <formula>#REF!&lt;&gt;""</formula>
    </cfRule>
  </conditionalFormatting>
  <conditionalFormatting sqref="F276">
    <cfRule type="expression" dxfId="664" priority="627">
      <formula>#REF!&lt;&gt;""</formula>
    </cfRule>
    <cfRule type="expression" dxfId="663" priority="628">
      <formula>#REF!&lt;&gt;""</formula>
    </cfRule>
    <cfRule type="expression" dxfId="662" priority="629">
      <formula>#REF!&lt;&gt;""</formula>
    </cfRule>
    <cfRule type="expression" dxfId="661" priority="630">
      <formula>#REF!&lt;&gt;""</formula>
    </cfRule>
    <cfRule type="expression" dxfId="660" priority="631">
      <formula>#REF!&lt;&gt;""</formula>
    </cfRule>
    <cfRule type="expression" dxfId="659" priority="632">
      <formula>#REF!&lt;&gt;""</formula>
    </cfRule>
    <cfRule type="expression" dxfId="658" priority="633">
      <formula>#REF!&lt;&gt;""</formula>
    </cfRule>
    <cfRule type="expression" dxfId="657" priority="634">
      <formula>#REF!&lt;&gt;""</formula>
    </cfRule>
    <cfRule type="expression" dxfId="656" priority="635">
      <formula>#REF!&lt;&gt;""</formula>
    </cfRule>
    <cfRule type="expression" dxfId="655" priority="636">
      <formula>#REF!&lt;&gt;""</formula>
    </cfRule>
    <cfRule type="expression" dxfId="654" priority="637">
      <formula>#REF!&lt;&gt;""</formula>
    </cfRule>
    <cfRule type="expression" dxfId="653" priority="638">
      <formula>#REF!&lt;&gt;""</formula>
    </cfRule>
  </conditionalFormatting>
  <conditionalFormatting sqref="F277">
    <cfRule type="expression" dxfId="652" priority="615">
      <formula>#REF!&lt;&gt;""</formula>
    </cfRule>
    <cfRule type="expression" dxfId="651" priority="616">
      <formula>#REF!&lt;&gt;""</formula>
    </cfRule>
    <cfRule type="expression" dxfId="650" priority="617">
      <formula>#REF!&lt;&gt;""</formula>
    </cfRule>
    <cfRule type="expression" dxfId="649" priority="618">
      <formula>#REF!&lt;&gt;""</formula>
    </cfRule>
    <cfRule type="expression" dxfId="648" priority="619">
      <formula>#REF!&lt;&gt;""</formula>
    </cfRule>
    <cfRule type="expression" dxfId="647" priority="620">
      <formula>#REF!&lt;&gt;""</formula>
    </cfRule>
    <cfRule type="expression" dxfId="646" priority="621">
      <formula>#REF!&lt;&gt;""</formula>
    </cfRule>
    <cfRule type="expression" dxfId="645" priority="622">
      <formula>#REF!&lt;&gt;""</formula>
    </cfRule>
    <cfRule type="expression" dxfId="644" priority="623">
      <formula>#REF!&lt;&gt;""</formula>
    </cfRule>
    <cfRule type="expression" dxfId="643" priority="624">
      <formula>#REF!&lt;&gt;""</formula>
    </cfRule>
    <cfRule type="expression" dxfId="642" priority="625">
      <formula>#REF!&lt;&gt;""</formula>
    </cfRule>
    <cfRule type="expression" dxfId="641" priority="626">
      <formula>#REF!&lt;&gt;""</formula>
    </cfRule>
  </conditionalFormatting>
  <conditionalFormatting sqref="F278">
    <cfRule type="expression" dxfId="640" priority="603">
      <formula>#REF!&lt;&gt;""</formula>
    </cfRule>
    <cfRule type="expression" dxfId="639" priority="604">
      <formula>#REF!&lt;&gt;""</formula>
    </cfRule>
    <cfRule type="expression" dxfId="638" priority="605">
      <formula>#REF!&lt;&gt;""</formula>
    </cfRule>
    <cfRule type="expression" dxfId="637" priority="606">
      <formula>#REF!&lt;&gt;""</formula>
    </cfRule>
    <cfRule type="expression" dxfId="636" priority="607">
      <formula>#REF!&lt;&gt;""</formula>
    </cfRule>
    <cfRule type="expression" dxfId="635" priority="608">
      <formula>#REF!&lt;&gt;""</formula>
    </cfRule>
    <cfRule type="expression" dxfId="634" priority="609">
      <formula>#REF!&lt;&gt;""</formula>
    </cfRule>
    <cfRule type="expression" dxfId="633" priority="610">
      <formula>#REF!&lt;&gt;""</formula>
    </cfRule>
    <cfRule type="expression" dxfId="632" priority="611">
      <formula>#REF!&lt;&gt;""</formula>
    </cfRule>
    <cfRule type="expression" dxfId="631" priority="612">
      <formula>#REF!&lt;&gt;""</formula>
    </cfRule>
    <cfRule type="expression" dxfId="630" priority="613">
      <formula>#REF!&lt;&gt;""</formula>
    </cfRule>
    <cfRule type="expression" dxfId="629" priority="614">
      <formula>#REF!&lt;&gt;""</formula>
    </cfRule>
  </conditionalFormatting>
  <conditionalFormatting sqref="F300">
    <cfRule type="expression" dxfId="628" priority="495">
      <formula>#REF!&lt;&gt;""</formula>
    </cfRule>
    <cfRule type="expression" dxfId="627" priority="496">
      <formula>#REF!&lt;&gt;""</formula>
    </cfRule>
    <cfRule type="expression" dxfId="626" priority="497">
      <formula>#REF!&lt;&gt;""</formula>
    </cfRule>
    <cfRule type="expression" dxfId="625" priority="498">
      <formula>#REF!&lt;&gt;""</formula>
    </cfRule>
    <cfRule type="expression" dxfId="624" priority="499">
      <formula>#REF!&lt;&gt;""</formula>
    </cfRule>
    <cfRule type="expression" dxfId="623" priority="500">
      <formula>#REF!&lt;&gt;""</formula>
    </cfRule>
    <cfRule type="expression" dxfId="622" priority="501">
      <formula>#REF!&lt;&gt;""</formula>
    </cfRule>
    <cfRule type="expression" dxfId="621" priority="502">
      <formula>#REF!&lt;&gt;""</formula>
    </cfRule>
    <cfRule type="expression" dxfId="620" priority="503">
      <formula>#REF!&lt;&gt;""</formula>
    </cfRule>
    <cfRule type="expression" dxfId="619" priority="504">
      <formula>#REF!&lt;&gt;""</formula>
    </cfRule>
    <cfRule type="expression" dxfId="618" priority="505">
      <formula>#REF!&lt;&gt;""</formula>
    </cfRule>
    <cfRule type="expression" dxfId="617" priority="506">
      <formula>#REF!&lt;&gt;""</formula>
    </cfRule>
  </conditionalFormatting>
  <conditionalFormatting sqref="F313">
    <cfRule type="expression" dxfId="616" priority="339">
      <formula>#REF!&lt;&gt;""</formula>
    </cfRule>
    <cfRule type="expression" dxfId="615" priority="340">
      <formula>#REF!&lt;&gt;""</formula>
    </cfRule>
    <cfRule type="expression" dxfId="614" priority="341">
      <formula>#REF!&lt;&gt;""</formula>
    </cfRule>
    <cfRule type="expression" dxfId="613" priority="342">
      <formula>#REF!&lt;&gt;""</formula>
    </cfRule>
    <cfRule type="expression" dxfId="612" priority="343">
      <formula>#REF!&lt;&gt;""</formula>
    </cfRule>
    <cfRule type="expression" dxfId="611" priority="344">
      <formula>#REF!&lt;&gt;""</formula>
    </cfRule>
    <cfRule type="expression" dxfId="610" priority="345">
      <formula>#REF!&lt;&gt;""</formula>
    </cfRule>
    <cfRule type="expression" dxfId="609" priority="346">
      <formula>#REF!&lt;&gt;""</formula>
    </cfRule>
    <cfRule type="expression" dxfId="608" priority="347">
      <formula>#REF!&lt;&gt;""</formula>
    </cfRule>
    <cfRule type="expression" dxfId="607" priority="348">
      <formula>#REF!&lt;&gt;""</formula>
    </cfRule>
    <cfRule type="expression" dxfId="606" priority="349">
      <formula>#REF!&lt;&gt;""</formula>
    </cfRule>
    <cfRule type="expression" dxfId="605" priority="350">
      <formula>#REF!&lt;&gt;""</formula>
    </cfRule>
  </conditionalFormatting>
  <conditionalFormatting sqref="F326">
    <cfRule type="expression" dxfId="604" priority="183">
      <formula>#REF!&lt;&gt;""</formula>
    </cfRule>
    <cfRule type="expression" dxfId="603" priority="184">
      <formula>#REF!&lt;&gt;""</formula>
    </cfRule>
    <cfRule type="expression" dxfId="602" priority="185">
      <formula>#REF!&lt;&gt;""</formula>
    </cfRule>
    <cfRule type="expression" dxfId="601" priority="186">
      <formula>#REF!&lt;&gt;""</formula>
    </cfRule>
    <cfRule type="expression" dxfId="600" priority="187">
      <formula>#REF!&lt;&gt;""</formula>
    </cfRule>
    <cfRule type="expression" dxfId="599" priority="188">
      <formula>#REF!&lt;&gt;""</formula>
    </cfRule>
    <cfRule type="expression" dxfId="598" priority="189">
      <formula>#REF!&lt;&gt;""</formula>
    </cfRule>
    <cfRule type="expression" dxfId="597" priority="190">
      <formula>#REF!&lt;&gt;""</formula>
    </cfRule>
    <cfRule type="expression" dxfId="596" priority="191">
      <formula>#REF!&lt;&gt;""</formula>
    </cfRule>
    <cfRule type="expression" dxfId="595" priority="192">
      <formula>#REF!&lt;&gt;""</formula>
    </cfRule>
    <cfRule type="expression" dxfId="594" priority="193">
      <formula>#REF!&lt;&gt;""</formula>
    </cfRule>
    <cfRule type="expression" dxfId="593" priority="194">
      <formula>#REF!&lt;&gt;""</formula>
    </cfRule>
  </conditionalFormatting>
  <conditionalFormatting sqref="F339">
    <cfRule type="expression" dxfId="592" priority="27">
      <formula>#REF!&lt;&gt;""</formula>
    </cfRule>
    <cfRule type="expression" dxfId="591" priority="28">
      <formula>#REF!&lt;&gt;""</formula>
    </cfRule>
    <cfRule type="expression" dxfId="590" priority="29">
      <formula>#REF!&lt;&gt;""</formula>
    </cfRule>
    <cfRule type="expression" dxfId="589" priority="30">
      <formula>#REF!&lt;&gt;""</formula>
    </cfRule>
    <cfRule type="expression" dxfId="588" priority="31">
      <formula>#REF!&lt;&gt;""</formula>
    </cfRule>
    <cfRule type="expression" dxfId="587" priority="32">
      <formula>#REF!&lt;&gt;""</formula>
    </cfRule>
    <cfRule type="expression" dxfId="586" priority="33">
      <formula>#REF!&lt;&gt;""</formula>
    </cfRule>
    <cfRule type="expression" dxfId="585" priority="34">
      <formula>#REF!&lt;&gt;""</formula>
    </cfRule>
    <cfRule type="expression" dxfId="584" priority="35">
      <formula>#REF!&lt;&gt;""</formula>
    </cfRule>
    <cfRule type="expression" dxfId="583" priority="36">
      <formula>#REF!&lt;&gt;""</formula>
    </cfRule>
    <cfRule type="expression" dxfId="582" priority="37">
      <formula>#REF!&lt;&gt;""</formula>
    </cfRule>
    <cfRule type="expression" dxfId="581" priority="38">
      <formula>#REF!&lt;&gt;""</formula>
    </cfRule>
  </conditionalFormatting>
  <conditionalFormatting sqref="F342:G342 F216:G216">
    <cfRule type="expression" dxfId="580" priority="3013" stopIfTrue="1">
      <formula>AND($F216&lt;&gt;0,SUM(#REF!)&lt;&gt;0)</formula>
    </cfRule>
  </conditionalFormatting>
  <conditionalFormatting sqref="F341">
    <cfRule type="expression" dxfId="579" priority="3">
      <formula>#REF!&lt;&gt;""</formula>
    </cfRule>
    <cfRule type="expression" dxfId="578" priority="4">
      <formula>#REF!&lt;&gt;""</formula>
    </cfRule>
    <cfRule type="expression" dxfId="577" priority="5">
      <formula>#REF!&lt;&gt;""</formula>
    </cfRule>
    <cfRule type="expression" dxfId="576" priority="6">
      <formula>#REF!&lt;&gt;""</formula>
    </cfRule>
    <cfRule type="expression" dxfId="575" priority="7">
      <formula>#REF!&lt;&gt;""</formula>
    </cfRule>
    <cfRule type="expression" dxfId="574" priority="8">
      <formula>#REF!&lt;&gt;""</formula>
    </cfRule>
    <cfRule type="expression" dxfId="573" priority="9">
      <formula>#REF!&lt;&gt;""</formula>
    </cfRule>
    <cfRule type="expression" dxfId="572" priority="10">
      <formula>#REF!&lt;&gt;""</formula>
    </cfRule>
    <cfRule type="expression" dxfId="571" priority="11">
      <formula>#REF!&lt;&gt;""</formula>
    </cfRule>
    <cfRule type="expression" dxfId="570" priority="12">
      <formula>#REF!&lt;&gt;""</formula>
    </cfRule>
    <cfRule type="expression" dxfId="569" priority="13">
      <formula>#REF!&lt;&gt;""</formula>
    </cfRule>
    <cfRule type="expression" dxfId="568" priority="14">
      <formula>#REF!&lt;&gt;""</formula>
    </cfRule>
  </conditionalFormatting>
  <conditionalFormatting sqref="F292">
    <cfRule type="expression" dxfId="567" priority="591">
      <formula>#REF!&lt;&gt;""</formula>
    </cfRule>
    <cfRule type="expression" dxfId="566" priority="592">
      <formula>#REF!&lt;&gt;""</formula>
    </cfRule>
    <cfRule type="expression" dxfId="565" priority="593">
      <formula>#REF!&lt;&gt;""</formula>
    </cfRule>
    <cfRule type="expression" dxfId="564" priority="594">
      <formula>#REF!&lt;&gt;""</formula>
    </cfRule>
    <cfRule type="expression" dxfId="563" priority="595">
      <formula>#REF!&lt;&gt;""</formula>
    </cfRule>
    <cfRule type="expression" dxfId="562" priority="596">
      <formula>#REF!&lt;&gt;""</formula>
    </cfRule>
    <cfRule type="expression" dxfId="561" priority="597">
      <formula>#REF!&lt;&gt;""</formula>
    </cfRule>
    <cfRule type="expression" dxfId="560" priority="598">
      <formula>#REF!&lt;&gt;""</formula>
    </cfRule>
    <cfRule type="expression" dxfId="559" priority="599">
      <formula>#REF!&lt;&gt;""</formula>
    </cfRule>
    <cfRule type="expression" dxfId="558" priority="600">
      <formula>#REF!&lt;&gt;""</formula>
    </cfRule>
    <cfRule type="expression" dxfId="557" priority="601">
      <formula>#REF!&lt;&gt;""</formula>
    </cfRule>
    <cfRule type="expression" dxfId="556" priority="602">
      <formula>#REF!&lt;&gt;""</formula>
    </cfRule>
  </conditionalFormatting>
  <conditionalFormatting sqref="F293">
    <cfRule type="expression" dxfId="555" priority="579">
      <formula>#REF!&lt;&gt;""</formula>
    </cfRule>
    <cfRule type="expression" dxfId="554" priority="580">
      <formula>#REF!&lt;&gt;""</formula>
    </cfRule>
    <cfRule type="expression" dxfId="553" priority="581">
      <formula>#REF!&lt;&gt;""</formula>
    </cfRule>
    <cfRule type="expression" dxfId="552" priority="582">
      <formula>#REF!&lt;&gt;""</formula>
    </cfRule>
    <cfRule type="expression" dxfId="551" priority="583">
      <formula>#REF!&lt;&gt;""</formula>
    </cfRule>
    <cfRule type="expression" dxfId="550" priority="584">
      <formula>#REF!&lt;&gt;""</formula>
    </cfRule>
    <cfRule type="expression" dxfId="549" priority="585">
      <formula>#REF!&lt;&gt;""</formula>
    </cfRule>
    <cfRule type="expression" dxfId="548" priority="586">
      <formula>#REF!&lt;&gt;""</formula>
    </cfRule>
    <cfRule type="expression" dxfId="547" priority="587">
      <formula>#REF!&lt;&gt;""</formula>
    </cfRule>
    <cfRule type="expression" dxfId="546" priority="588">
      <formula>#REF!&lt;&gt;""</formula>
    </cfRule>
    <cfRule type="expression" dxfId="545" priority="589">
      <formula>#REF!&lt;&gt;""</formula>
    </cfRule>
    <cfRule type="expression" dxfId="544" priority="590">
      <formula>#REF!&lt;&gt;""</formula>
    </cfRule>
  </conditionalFormatting>
  <conditionalFormatting sqref="F294">
    <cfRule type="expression" dxfId="543" priority="567">
      <formula>#REF!&lt;&gt;""</formula>
    </cfRule>
    <cfRule type="expression" dxfId="542" priority="568">
      <formula>#REF!&lt;&gt;""</formula>
    </cfRule>
    <cfRule type="expression" dxfId="541" priority="569">
      <formula>#REF!&lt;&gt;""</formula>
    </cfRule>
    <cfRule type="expression" dxfId="540" priority="570">
      <formula>#REF!&lt;&gt;""</formula>
    </cfRule>
    <cfRule type="expression" dxfId="539" priority="571">
      <formula>#REF!&lt;&gt;""</formula>
    </cfRule>
    <cfRule type="expression" dxfId="538" priority="572">
      <formula>#REF!&lt;&gt;""</formula>
    </cfRule>
    <cfRule type="expression" dxfId="537" priority="573">
      <formula>#REF!&lt;&gt;""</formula>
    </cfRule>
    <cfRule type="expression" dxfId="536" priority="574">
      <formula>#REF!&lt;&gt;""</formula>
    </cfRule>
    <cfRule type="expression" dxfId="535" priority="575">
      <formula>#REF!&lt;&gt;""</formula>
    </cfRule>
    <cfRule type="expression" dxfId="534" priority="576">
      <formula>#REF!&lt;&gt;""</formula>
    </cfRule>
    <cfRule type="expression" dxfId="533" priority="577">
      <formula>#REF!&lt;&gt;""</formula>
    </cfRule>
    <cfRule type="expression" dxfId="532" priority="578">
      <formula>#REF!&lt;&gt;""</formula>
    </cfRule>
  </conditionalFormatting>
  <conditionalFormatting sqref="F295">
    <cfRule type="expression" dxfId="531" priority="555">
      <formula>#REF!&lt;&gt;""</formula>
    </cfRule>
    <cfRule type="expression" dxfId="530" priority="556">
      <formula>#REF!&lt;&gt;""</formula>
    </cfRule>
    <cfRule type="expression" dxfId="529" priority="557">
      <formula>#REF!&lt;&gt;""</formula>
    </cfRule>
    <cfRule type="expression" dxfId="528" priority="558">
      <formula>#REF!&lt;&gt;""</formula>
    </cfRule>
    <cfRule type="expression" dxfId="527" priority="559">
      <formula>#REF!&lt;&gt;""</formula>
    </cfRule>
    <cfRule type="expression" dxfId="526" priority="560">
      <formula>#REF!&lt;&gt;""</formula>
    </cfRule>
    <cfRule type="expression" dxfId="525" priority="561">
      <formula>#REF!&lt;&gt;""</formula>
    </cfRule>
    <cfRule type="expression" dxfId="524" priority="562">
      <formula>#REF!&lt;&gt;""</formula>
    </cfRule>
    <cfRule type="expression" dxfId="523" priority="563">
      <formula>#REF!&lt;&gt;""</formula>
    </cfRule>
    <cfRule type="expression" dxfId="522" priority="564">
      <formula>#REF!&lt;&gt;""</formula>
    </cfRule>
    <cfRule type="expression" dxfId="521" priority="565">
      <formula>#REF!&lt;&gt;""</formula>
    </cfRule>
    <cfRule type="expression" dxfId="520" priority="566">
      <formula>#REF!&lt;&gt;""</formula>
    </cfRule>
  </conditionalFormatting>
  <conditionalFormatting sqref="F296">
    <cfRule type="expression" dxfId="519" priority="543">
      <formula>#REF!&lt;&gt;""</formula>
    </cfRule>
    <cfRule type="expression" dxfId="518" priority="544">
      <formula>#REF!&lt;&gt;""</formula>
    </cfRule>
    <cfRule type="expression" dxfId="517" priority="545">
      <formula>#REF!&lt;&gt;""</formula>
    </cfRule>
    <cfRule type="expression" dxfId="516" priority="546">
      <formula>#REF!&lt;&gt;""</formula>
    </cfRule>
    <cfRule type="expression" dxfId="515" priority="547">
      <formula>#REF!&lt;&gt;""</formula>
    </cfRule>
    <cfRule type="expression" dxfId="514" priority="548">
      <formula>#REF!&lt;&gt;""</formula>
    </cfRule>
    <cfRule type="expression" dxfId="513" priority="549">
      <formula>#REF!&lt;&gt;""</formula>
    </cfRule>
    <cfRule type="expression" dxfId="512" priority="550">
      <formula>#REF!&lt;&gt;""</formula>
    </cfRule>
    <cfRule type="expression" dxfId="511" priority="551">
      <formula>#REF!&lt;&gt;""</formula>
    </cfRule>
    <cfRule type="expression" dxfId="510" priority="552">
      <formula>#REF!&lt;&gt;""</formula>
    </cfRule>
    <cfRule type="expression" dxfId="509" priority="553">
      <formula>#REF!&lt;&gt;""</formula>
    </cfRule>
    <cfRule type="expression" dxfId="508" priority="554">
      <formula>#REF!&lt;&gt;""</formula>
    </cfRule>
  </conditionalFormatting>
  <conditionalFormatting sqref="F297">
    <cfRule type="expression" dxfId="507" priority="531">
      <formula>#REF!&lt;&gt;""</formula>
    </cfRule>
    <cfRule type="expression" dxfId="506" priority="532">
      <formula>#REF!&lt;&gt;""</formula>
    </cfRule>
    <cfRule type="expression" dxfId="505" priority="533">
      <formula>#REF!&lt;&gt;""</formula>
    </cfRule>
    <cfRule type="expression" dxfId="504" priority="534">
      <formula>#REF!&lt;&gt;""</formula>
    </cfRule>
    <cfRule type="expression" dxfId="503" priority="535">
      <formula>#REF!&lt;&gt;""</formula>
    </cfRule>
    <cfRule type="expression" dxfId="502" priority="536">
      <formula>#REF!&lt;&gt;""</formula>
    </cfRule>
    <cfRule type="expression" dxfId="501" priority="537">
      <formula>#REF!&lt;&gt;""</formula>
    </cfRule>
    <cfRule type="expression" dxfId="500" priority="538">
      <formula>#REF!&lt;&gt;""</formula>
    </cfRule>
    <cfRule type="expression" dxfId="499" priority="539">
      <formula>#REF!&lt;&gt;""</formula>
    </cfRule>
    <cfRule type="expression" dxfId="498" priority="540">
      <formula>#REF!&lt;&gt;""</formula>
    </cfRule>
    <cfRule type="expression" dxfId="497" priority="541">
      <formula>#REF!&lt;&gt;""</formula>
    </cfRule>
    <cfRule type="expression" dxfId="496" priority="542">
      <formula>#REF!&lt;&gt;""</formula>
    </cfRule>
  </conditionalFormatting>
  <conditionalFormatting sqref="F298">
    <cfRule type="expression" dxfId="495" priority="519">
      <formula>#REF!&lt;&gt;""</formula>
    </cfRule>
    <cfRule type="expression" dxfId="494" priority="520">
      <formula>#REF!&lt;&gt;""</formula>
    </cfRule>
    <cfRule type="expression" dxfId="493" priority="521">
      <formula>#REF!&lt;&gt;""</formula>
    </cfRule>
    <cfRule type="expression" dxfId="492" priority="522">
      <formula>#REF!&lt;&gt;""</formula>
    </cfRule>
    <cfRule type="expression" dxfId="491" priority="523">
      <formula>#REF!&lt;&gt;""</formula>
    </cfRule>
    <cfRule type="expression" dxfId="490" priority="524">
      <formula>#REF!&lt;&gt;""</formula>
    </cfRule>
    <cfRule type="expression" dxfId="489" priority="525">
      <formula>#REF!&lt;&gt;""</formula>
    </cfRule>
    <cfRule type="expression" dxfId="488" priority="526">
      <formula>#REF!&lt;&gt;""</formula>
    </cfRule>
    <cfRule type="expression" dxfId="487" priority="527">
      <formula>#REF!&lt;&gt;""</formula>
    </cfRule>
    <cfRule type="expression" dxfId="486" priority="528">
      <formula>#REF!&lt;&gt;""</formula>
    </cfRule>
    <cfRule type="expression" dxfId="485" priority="529">
      <formula>#REF!&lt;&gt;""</formula>
    </cfRule>
    <cfRule type="expression" dxfId="484" priority="530">
      <formula>#REF!&lt;&gt;""</formula>
    </cfRule>
  </conditionalFormatting>
  <conditionalFormatting sqref="F299">
    <cfRule type="expression" dxfId="483" priority="507">
      <formula>#REF!&lt;&gt;""</formula>
    </cfRule>
    <cfRule type="expression" dxfId="482" priority="508">
      <formula>#REF!&lt;&gt;""</formula>
    </cfRule>
    <cfRule type="expression" dxfId="481" priority="509">
      <formula>#REF!&lt;&gt;""</formula>
    </cfRule>
    <cfRule type="expression" dxfId="480" priority="510">
      <formula>#REF!&lt;&gt;""</formula>
    </cfRule>
    <cfRule type="expression" dxfId="479" priority="511">
      <formula>#REF!&lt;&gt;""</formula>
    </cfRule>
    <cfRule type="expression" dxfId="478" priority="512">
      <formula>#REF!&lt;&gt;""</formula>
    </cfRule>
    <cfRule type="expression" dxfId="477" priority="513">
      <formula>#REF!&lt;&gt;""</formula>
    </cfRule>
    <cfRule type="expression" dxfId="476" priority="514">
      <formula>#REF!&lt;&gt;""</formula>
    </cfRule>
    <cfRule type="expression" dxfId="475" priority="515">
      <formula>#REF!&lt;&gt;""</formula>
    </cfRule>
    <cfRule type="expression" dxfId="474" priority="516">
      <formula>#REF!&lt;&gt;""</formula>
    </cfRule>
    <cfRule type="expression" dxfId="473" priority="517">
      <formula>#REF!&lt;&gt;""</formula>
    </cfRule>
    <cfRule type="expression" dxfId="472" priority="518">
      <formula>#REF!&lt;&gt;""</formula>
    </cfRule>
  </conditionalFormatting>
  <conditionalFormatting sqref="F301">
    <cfRule type="expression" dxfId="471" priority="483">
      <formula>#REF!&lt;&gt;""</formula>
    </cfRule>
    <cfRule type="expression" dxfId="470" priority="484">
      <formula>#REF!&lt;&gt;""</formula>
    </cfRule>
    <cfRule type="expression" dxfId="469" priority="485">
      <formula>#REF!&lt;&gt;""</formula>
    </cfRule>
    <cfRule type="expression" dxfId="468" priority="486">
      <formula>#REF!&lt;&gt;""</formula>
    </cfRule>
    <cfRule type="expression" dxfId="467" priority="487">
      <formula>#REF!&lt;&gt;""</formula>
    </cfRule>
    <cfRule type="expression" dxfId="466" priority="488">
      <formula>#REF!&lt;&gt;""</formula>
    </cfRule>
    <cfRule type="expression" dxfId="465" priority="489">
      <formula>#REF!&lt;&gt;""</formula>
    </cfRule>
    <cfRule type="expression" dxfId="464" priority="490">
      <formula>#REF!&lt;&gt;""</formula>
    </cfRule>
    <cfRule type="expression" dxfId="463" priority="491">
      <formula>#REF!&lt;&gt;""</formula>
    </cfRule>
    <cfRule type="expression" dxfId="462" priority="492">
      <formula>#REF!&lt;&gt;""</formula>
    </cfRule>
    <cfRule type="expression" dxfId="461" priority="493">
      <formula>#REF!&lt;&gt;""</formula>
    </cfRule>
    <cfRule type="expression" dxfId="460" priority="494">
      <formula>#REF!&lt;&gt;""</formula>
    </cfRule>
  </conditionalFormatting>
  <conditionalFormatting sqref="F302">
    <cfRule type="expression" dxfId="459" priority="471">
      <formula>#REF!&lt;&gt;""</formula>
    </cfRule>
    <cfRule type="expression" dxfId="458" priority="472">
      <formula>#REF!&lt;&gt;""</formula>
    </cfRule>
    <cfRule type="expression" dxfId="457" priority="473">
      <formula>#REF!&lt;&gt;""</formula>
    </cfRule>
    <cfRule type="expression" dxfId="456" priority="474">
      <formula>#REF!&lt;&gt;""</formula>
    </cfRule>
    <cfRule type="expression" dxfId="455" priority="475">
      <formula>#REF!&lt;&gt;""</formula>
    </cfRule>
    <cfRule type="expression" dxfId="454" priority="476">
      <formula>#REF!&lt;&gt;""</formula>
    </cfRule>
    <cfRule type="expression" dxfId="453" priority="477">
      <formula>#REF!&lt;&gt;""</formula>
    </cfRule>
    <cfRule type="expression" dxfId="452" priority="478">
      <formula>#REF!&lt;&gt;""</formula>
    </cfRule>
    <cfRule type="expression" dxfId="451" priority="479">
      <formula>#REF!&lt;&gt;""</formula>
    </cfRule>
    <cfRule type="expression" dxfId="450" priority="480">
      <formula>#REF!&lt;&gt;""</formula>
    </cfRule>
    <cfRule type="expression" dxfId="449" priority="481">
      <formula>#REF!&lt;&gt;""</formula>
    </cfRule>
    <cfRule type="expression" dxfId="448" priority="482">
      <formula>#REF!&lt;&gt;""</formula>
    </cfRule>
  </conditionalFormatting>
  <conditionalFormatting sqref="F303">
    <cfRule type="expression" dxfId="447" priority="459">
      <formula>#REF!&lt;&gt;""</formula>
    </cfRule>
    <cfRule type="expression" dxfId="446" priority="460">
      <formula>#REF!&lt;&gt;""</formula>
    </cfRule>
    <cfRule type="expression" dxfId="445" priority="461">
      <formula>#REF!&lt;&gt;""</formula>
    </cfRule>
    <cfRule type="expression" dxfId="444" priority="462">
      <formula>#REF!&lt;&gt;""</formula>
    </cfRule>
    <cfRule type="expression" dxfId="443" priority="463">
      <formula>#REF!&lt;&gt;""</formula>
    </cfRule>
    <cfRule type="expression" dxfId="442" priority="464">
      <formula>#REF!&lt;&gt;""</formula>
    </cfRule>
    <cfRule type="expression" dxfId="441" priority="465">
      <formula>#REF!&lt;&gt;""</formula>
    </cfRule>
    <cfRule type="expression" dxfId="440" priority="466">
      <formula>#REF!&lt;&gt;""</formula>
    </cfRule>
    <cfRule type="expression" dxfId="439" priority="467">
      <formula>#REF!&lt;&gt;""</formula>
    </cfRule>
    <cfRule type="expression" dxfId="438" priority="468">
      <formula>#REF!&lt;&gt;""</formula>
    </cfRule>
    <cfRule type="expression" dxfId="437" priority="469">
      <formula>#REF!&lt;&gt;""</formula>
    </cfRule>
    <cfRule type="expression" dxfId="436" priority="470">
      <formula>#REF!&lt;&gt;""</formula>
    </cfRule>
  </conditionalFormatting>
  <conditionalFormatting sqref="F304">
    <cfRule type="expression" dxfId="435" priority="447">
      <formula>#REF!&lt;&gt;""</formula>
    </cfRule>
    <cfRule type="expression" dxfId="434" priority="448">
      <formula>#REF!&lt;&gt;""</formula>
    </cfRule>
    <cfRule type="expression" dxfId="433" priority="449">
      <formula>#REF!&lt;&gt;""</formula>
    </cfRule>
    <cfRule type="expression" dxfId="432" priority="450">
      <formula>#REF!&lt;&gt;""</formula>
    </cfRule>
    <cfRule type="expression" dxfId="431" priority="451">
      <formula>#REF!&lt;&gt;""</formula>
    </cfRule>
    <cfRule type="expression" dxfId="430" priority="452">
      <formula>#REF!&lt;&gt;""</formula>
    </cfRule>
    <cfRule type="expression" dxfId="429" priority="453">
      <formula>#REF!&lt;&gt;""</formula>
    </cfRule>
    <cfRule type="expression" dxfId="428" priority="454">
      <formula>#REF!&lt;&gt;""</formula>
    </cfRule>
    <cfRule type="expression" dxfId="427" priority="455">
      <formula>#REF!&lt;&gt;""</formula>
    </cfRule>
    <cfRule type="expression" dxfId="426" priority="456">
      <formula>#REF!&lt;&gt;""</formula>
    </cfRule>
    <cfRule type="expression" dxfId="425" priority="457">
      <formula>#REF!&lt;&gt;""</formula>
    </cfRule>
    <cfRule type="expression" dxfId="424" priority="458">
      <formula>#REF!&lt;&gt;""</formula>
    </cfRule>
  </conditionalFormatting>
  <conditionalFormatting sqref="F305">
    <cfRule type="expression" dxfId="423" priority="435">
      <formula>#REF!&lt;&gt;""</formula>
    </cfRule>
    <cfRule type="expression" dxfId="422" priority="436">
      <formula>#REF!&lt;&gt;""</formula>
    </cfRule>
    <cfRule type="expression" dxfId="421" priority="437">
      <formula>#REF!&lt;&gt;""</formula>
    </cfRule>
    <cfRule type="expression" dxfId="420" priority="438">
      <formula>#REF!&lt;&gt;""</formula>
    </cfRule>
    <cfRule type="expression" dxfId="419" priority="439">
      <formula>#REF!&lt;&gt;""</formula>
    </cfRule>
    <cfRule type="expression" dxfId="418" priority="440">
      <formula>#REF!&lt;&gt;""</formula>
    </cfRule>
    <cfRule type="expression" dxfId="417" priority="441">
      <formula>#REF!&lt;&gt;""</formula>
    </cfRule>
    <cfRule type="expression" dxfId="416" priority="442">
      <formula>#REF!&lt;&gt;""</formula>
    </cfRule>
    <cfRule type="expression" dxfId="415" priority="443">
      <formula>#REF!&lt;&gt;""</formula>
    </cfRule>
    <cfRule type="expression" dxfId="414" priority="444">
      <formula>#REF!&lt;&gt;""</formula>
    </cfRule>
    <cfRule type="expression" dxfId="413" priority="445">
      <formula>#REF!&lt;&gt;""</formula>
    </cfRule>
    <cfRule type="expression" dxfId="412" priority="446">
      <formula>#REF!&lt;&gt;""</formula>
    </cfRule>
  </conditionalFormatting>
  <conditionalFormatting sqref="F306">
    <cfRule type="expression" dxfId="411" priority="423">
      <formula>#REF!&lt;&gt;""</formula>
    </cfRule>
    <cfRule type="expression" dxfId="410" priority="424">
      <formula>#REF!&lt;&gt;""</formula>
    </cfRule>
    <cfRule type="expression" dxfId="409" priority="425">
      <formula>#REF!&lt;&gt;""</formula>
    </cfRule>
    <cfRule type="expression" dxfId="408" priority="426">
      <formula>#REF!&lt;&gt;""</formula>
    </cfRule>
    <cfRule type="expression" dxfId="407" priority="427">
      <formula>#REF!&lt;&gt;""</formula>
    </cfRule>
    <cfRule type="expression" dxfId="406" priority="428">
      <formula>#REF!&lt;&gt;""</formula>
    </cfRule>
    <cfRule type="expression" dxfId="405" priority="429">
      <formula>#REF!&lt;&gt;""</formula>
    </cfRule>
    <cfRule type="expression" dxfId="404" priority="430">
      <formula>#REF!&lt;&gt;""</formula>
    </cfRule>
    <cfRule type="expression" dxfId="403" priority="431">
      <formula>#REF!&lt;&gt;""</formula>
    </cfRule>
    <cfRule type="expression" dxfId="402" priority="432">
      <formula>#REF!&lt;&gt;""</formula>
    </cfRule>
    <cfRule type="expression" dxfId="401" priority="433">
      <formula>#REF!&lt;&gt;""</formula>
    </cfRule>
    <cfRule type="expression" dxfId="400" priority="434">
      <formula>#REF!&lt;&gt;""</formula>
    </cfRule>
  </conditionalFormatting>
  <conditionalFormatting sqref="F307">
    <cfRule type="expression" dxfId="399" priority="411">
      <formula>#REF!&lt;&gt;""</formula>
    </cfRule>
    <cfRule type="expression" dxfId="398" priority="412">
      <formula>#REF!&lt;&gt;""</formula>
    </cfRule>
    <cfRule type="expression" dxfId="397" priority="413">
      <formula>#REF!&lt;&gt;""</formula>
    </cfRule>
    <cfRule type="expression" dxfId="396" priority="414">
      <formula>#REF!&lt;&gt;""</formula>
    </cfRule>
    <cfRule type="expression" dxfId="395" priority="415">
      <formula>#REF!&lt;&gt;""</formula>
    </cfRule>
    <cfRule type="expression" dxfId="394" priority="416">
      <formula>#REF!&lt;&gt;""</formula>
    </cfRule>
    <cfRule type="expression" dxfId="393" priority="417">
      <formula>#REF!&lt;&gt;""</formula>
    </cfRule>
    <cfRule type="expression" dxfId="392" priority="418">
      <formula>#REF!&lt;&gt;""</formula>
    </cfRule>
    <cfRule type="expression" dxfId="391" priority="419">
      <formula>#REF!&lt;&gt;""</formula>
    </cfRule>
    <cfRule type="expression" dxfId="390" priority="420">
      <formula>#REF!&lt;&gt;""</formula>
    </cfRule>
    <cfRule type="expression" dxfId="389" priority="421">
      <formula>#REF!&lt;&gt;""</formula>
    </cfRule>
    <cfRule type="expression" dxfId="388" priority="422">
      <formula>#REF!&lt;&gt;""</formula>
    </cfRule>
  </conditionalFormatting>
  <conditionalFormatting sqref="F308">
    <cfRule type="expression" dxfId="387" priority="399">
      <formula>#REF!&lt;&gt;""</formula>
    </cfRule>
    <cfRule type="expression" dxfId="386" priority="400">
      <formula>#REF!&lt;&gt;""</formula>
    </cfRule>
    <cfRule type="expression" dxfId="385" priority="401">
      <formula>#REF!&lt;&gt;""</formula>
    </cfRule>
    <cfRule type="expression" dxfId="384" priority="402">
      <formula>#REF!&lt;&gt;""</formula>
    </cfRule>
    <cfRule type="expression" dxfId="383" priority="403">
      <formula>#REF!&lt;&gt;""</formula>
    </cfRule>
    <cfRule type="expression" dxfId="382" priority="404">
      <formula>#REF!&lt;&gt;""</formula>
    </cfRule>
    <cfRule type="expression" dxfId="381" priority="405">
      <formula>#REF!&lt;&gt;""</formula>
    </cfRule>
    <cfRule type="expression" dxfId="380" priority="406">
      <formula>#REF!&lt;&gt;""</formula>
    </cfRule>
    <cfRule type="expression" dxfId="379" priority="407">
      <formula>#REF!&lt;&gt;""</formula>
    </cfRule>
    <cfRule type="expression" dxfId="378" priority="408">
      <formula>#REF!&lt;&gt;""</formula>
    </cfRule>
    <cfRule type="expression" dxfId="377" priority="409">
      <formula>#REF!&lt;&gt;""</formula>
    </cfRule>
    <cfRule type="expression" dxfId="376" priority="410">
      <formula>#REF!&lt;&gt;""</formula>
    </cfRule>
  </conditionalFormatting>
  <conditionalFormatting sqref="F309">
    <cfRule type="expression" dxfId="375" priority="387">
      <formula>#REF!&lt;&gt;""</formula>
    </cfRule>
    <cfRule type="expression" dxfId="374" priority="388">
      <formula>#REF!&lt;&gt;""</formula>
    </cfRule>
    <cfRule type="expression" dxfId="373" priority="389">
      <formula>#REF!&lt;&gt;""</formula>
    </cfRule>
    <cfRule type="expression" dxfId="372" priority="390">
      <formula>#REF!&lt;&gt;""</formula>
    </cfRule>
    <cfRule type="expression" dxfId="371" priority="391">
      <formula>#REF!&lt;&gt;""</formula>
    </cfRule>
    <cfRule type="expression" dxfId="370" priority="392">
      <formula>#REF!&lt;&gt;""</formula>
    </cfRule>
    <cfRule type="expression" dxfId="369" priority="393">
      <formula>#REF!&lt;&gt;""</formula>
    </cfRule>
    <cfRule type="expression" dxfId="368" priority="394">
      <formula>#REF!&lt;&gt;""</formula>
    </cfRule>
    <cfRule type="expression" dxfId="367" priority="395">
      <formula>#REF!&lt;&gt;""</formula>
    </cfRule>
    <cfRule type="expression" dxfId="366" priority="396">
      <formula>#REF!&lt;&gt;""</formula>
    </cfRule>
    <cfRule type="expression" dxfId="365" priority="397">
      <formula>#REF!&lt;&gt;""</formula>
    </cfRule>
    <cfRule type="expression" dxfId="364" priority="398">
      <formula>#REF!&lt;&gt;""</formula>
    </cfRule>
  </conditionalFormatting>
  <conditionalFormatting sqref="F310">
    <cfRule type="expression" dxfId="363" priority="375">
      <formula>#REF!&lt;&gt;""</formula>
    </cfRule>
    <cfRule type="expression" dxfId="362" priority="376">
      <formula>#REF!&lt;&gt;""</formula>
    </cfRule>
    <cfRule type="expression" dxfId="361" priority="377">
      <formula>#REF!&lt;&gt;""</formula>
    </cfRule>
    <cfRule type="expression" dxfId="360" priority="378">
      <formula>#REF!&lt;&gt;""</formula>
    </cfRule>
    <cfRule type="expression" dxfId="359" priority="379">
      <formula>#REF!&lt;&gt;""</formula>
    </cfRule>
    <cfRule type="expression" dxfId="358" priority="380">
      <formula>#REF!&lt;&gt;""</formula>
    </cfRule>
    <cfRule type="expression" dxfId="357" priority="381">
      <formula>#REF!&lt;&gt;""</formula>
    </cfRule>
    <cfRule type="expression" dxfId="356" priority="382">
      <formula>#REF!&lt;&gt;""</formula>
    </cfRule>
    <cfRule type="expression" dxfId="355" priority="383">
      <formula>#REF!&lt;&gt;""</formula>
    </cfRule>
    <cfRule type="expression" dxfId="354" priority="384">
      <formula>#REF!&lt;&gt;""</formula>
    </cfRule>
    <cfRule type="expression" dxfId="353" priority="385">
      <formula>#REF!&lt;&gt;""</formula>
    </cfRule>
    <cfRule type="expression" dxfId="352" priority="386">
      <formula>#REF!&lt;&gt;""</formula>
    </cfRule>
  </conditionalFormatting>
  <conditionalFormatting sqref="F311">
    <cfRule type="expression" dxfId="351" priority="363">
      <formula>#REF!&lt;&gt;""</formula>
    </cfRule>
    <cfRule type="expression" dxfId="350" priority="364">
      <formula>#REF!&lt;&gt;""</formula>
    </cfRule>
    <cfRule type="expression" dxfId="349" priority="365">
      <formula>#REF!&lt;&gt;""</formula>
    </cfRule>
    <cfRule type="expression" dxfId="348" priority="366">
      <formula>#REF!&lt;&gt;""</formula>
    </cfRule>
    <cfRule type="expression" dxfId="347" priority="367">
      <formula>#REF!&lt;&gt;""</formula>
    </cfRule>
    <cfRule type="expression" dxfId="346" priority="368">
      <formula>#REF!&lt;&gt;""</formula>
    </cfRule>
    <cfRule type="expression" dxfId="345" priority="369">
      <formula>#REF!&lt;&gt;""</formula>
    </cfRule>
    <cfRule type="expression" dxfId="344" priority="370">
      <formula>#REF!&lt;&gt;""</formula>
    </cfRule>
    <cfRule type="expression" dxfId="343" priority="371">
      <formula>#REF!&lt;&gt;""</formula>
    </cfRule>
    <cfRule type="expression" dxfId="342" priority="372">
      <formula>#REF!&lt;&gt;""</formula>
    </cfRule>
    <cfRule type="expression" dxfId="341" priority="373">
      <formula>#REF!&lt;&gt;""</formula>
    </cfRule>
    <cfRule type="expression" dxfId="340" priority="374">
      <formula>#REF!&lt;&gt;""</formula>
    </cfRule>
  </conditionalFormatting>
  <conditionalFormatting sqref="F312">
    <cfRule type="expression" dxfId="339" priority="351">
      <formula>#REF!&lt;&gt;""</formula>
    </cfRule>
    <cfRule type="expression" dxfId="338" priority="352">
      <formula>#REF!&lt;&gt;""</formula>
    </cfRule>
    <cfRule type="expression" dxfId="337" priority="353">
      <formula>#REF!&lt;&gt;""</formula>
    </cfRule>
    <cfRule type="expression" dxfId="336" priority="354">
      <formula>#REF!&lt;&gt;""</formula>
    </cfRule>
    <cfRule type="expression" dxfId="335" priority="355">
      <formula>#REF!&lt;&gt;""</formula>
    </cfRule>
    <cfRule type="expression" dxfId="334" priority="356">
      <formula>#REF!&lt;&gt;""</formula>
    </cfRule>
    <cfRule type="expression" dxfId="333" priority="357">
      <formula>#REF!&lt;&gt;""</formula>
    </cfRule>
    <cfRule type="expression" dxfId="332" priority="358">
      <formula>#REF!&lt;&gt;""</formula>
    </cfRule>
    <cfRule type="expression" dxfId="331" priority="359">
      <formula>#REF!&lt;&gt;""</formula>
    </cfRule>
    <cfRule type="expression" dxfId="330" priority="360">
      <formula>#REF!&lt;&gt;""</formula>
    </cfRule>
    <cfRule type="expression" dxfId="329" priority="361">
      <formula>#REF!&lt;&gt;""</formula>
    </cfRule>
    <cfRule type="expression" dxfId="328" priority="362">
      <formula>#REF!&lt;&gt;""</formula>
    </cfRule>
  </conditionalFormatting>
  <conditionalFormatting sqref="F314">
    <cfRule type="expression" dxfId="327" priority="327">
      <formula>#REF!&lt;&gt;""</formula>
    </cfRule>
    <cfRule type="expression" dxfId="326" priority="328">
      <formula>#REF!&lt;&gt;""</formula>
    </cfRule>
    <cfRule type="expression" dxfId="325" priority="329">
      <formula>#REF!&lt;&gt;""</formula>
    </cfRule>
    <cfRule type="expression" dxfId="324" priority="330">
      <formula>#REF!&lt;&gt;""</formula>
    </cfRule>
    <cfRule type="expression" dxfId="323" priority="331">
      <formula>#REF!&lt;&gt;""</formula>
    </cfRule>
    <cfRule type="expression" dxfId="322" priority="332">
      <formula>#REF!&lt;&gt;""</formula>
    </cfRule>
    <cfRule type="expression" dxfId="321" priority="333">
      <formula>#REF!&lt;&gt;""</formula>
    </cfRule>
    <cfRule type="expression" dxfId="320" priority="334">
      <formula>#REF!&lt;&gt;""</formula>
    </cfRule>
    <cfRule type="expression" dxfId="319" priority="335">
      <formula>#REF!&lt;&gt;""</formula>
    </cfRule>
    <cfRule type="expression" dxfId="318" priority="336">
      <formula>#REF!&lt;&gt;""</formula>
    </cfRule>
    <cfRule type="expression" dxfId="317" priority="337">
      <formula>#REF!&lt;&gt;""</formula>
    </cfRule>
    <cfRule type="expression" dxfId="316" priority="338">
      <formula>#REF!&lt;&gt;""</formula>
    </cfRule>
  </conditionalFormatting>
  <conditionalFormatting sqref="F315">
    <cfRule type="expression" dxfId="315" priority="315">
      <formula>#REF!&lt;&gt;""</formula>
    </cfRule>
    <cfRule type="expression" dxfId="314" priority="316">
      <formula>#REF!&lt;&gt;""</formula>
    </cfRule>
    <cfRule type="expression" dxfId="313" priority="317">
      <formula>#REF!&lt;&gt;""</formula>
    </cfRule>
    <cfRule type="expression" dxfId="312" priority="318">
      <formula>#REF!&lt;&gt;""</formula>
    </cfRule>
    <cfRule type="expression" dxfId="311" priority="319">
      <formula>#REF!&lt;&gt;""</formula>
    </cfRule>
    <cfRule type="expression" dxfId="310" priority="320">
      <formula>#REF!&lt;&gt;""</formula>
    </cfRule>
    <cfRule type="expression" dxfId="309" priority="321">
      <formula>#REF!&lt;&gt;""</formula>
    </cfRule>
    <cfRule type="expression" dxfId="308" priority="322">
      <formula>#REF!&lt;&gt;""</formula>
    </cfRule>
    <cfRule type="expression" dxfId="307" priority="323">
      <formula>#REF!&lt;&gt;""</formula>
    </cfRule>
    <cfRule type="expression" dxfId="306" priority="324">
      <formula>#REF!&lt;&gt;""</formula>
    </cfRule>
    <cfRule type="expression" dxfId="305" priority="325">
      <formula>#REF!&lt;&gt;""</formula>
    </cfRule>
    <cfRule type="expression" dxfId="304" priority="326">
      <formula>#REF!&lt;&gt;""</formula>
    </cfRule>
  </conditionalFormatting>
  <conditionalFormatting sqref="F316">
    <cfRule type="expression" dxfId="303" priority="303">
      <formula>#REF!&lt;&gt;""</formula>
    </cfRule>
    <cfRule type="expression" dxfId="302" priority="304">
      <formula>#REF!&lt;&gt;""</formula>
    </cfRule>
    <cfRule type="expression" dxfId="301" priority="305">
      <formula>#REF!&lt;&gt;""</formula>
    </cfRule>
    <cfRule type="expression" dxfId="300" priority="306">
      <formula>#REF!&lt;&gt;""</formula>
    </cfRule>
    <cfRule type="expression" dxfId="299" priority="307">
      <formula>#REF!&lt;&gt;""</formula>
    </cfRule>
    <cfRule type="expression" dxfId="298" priority="308">
      <formula>#REF!&lt;&gt;""</formula>
    </cfRule>
    <cfRule type="expression" dxfId="297" priority="309">
      <formula>#REF!&lt;&gt;""</formula>
    </cfRule>
    <cfRule type="expression" dxfId="296" priority="310">
      <formula>#REF!&lt;&gt;""</formula>
    </cfRule>
    <cfRule type="expression" dxfId="295" priority="311">
      <formula>#REF!&lt;&gt;""</formula>
    </cfRule>
    <cfRule type="expression" dxfId="294" priority="312">
      <formula>#REF!&lt;&gt;""</formula>
    </cfRule>
    <cfRule type="expression" dxfId="293" priority="313">
      <formula>#REF!&lt;&gt;""</formula>
    </cfRule>
    <cfRule type="expression" dxfId="292" priority="314">
      <formula>#REF!&lt;&gt;""</formula>
    </cfRule>
  </conditionalFormatting>
  <conditionalFormatting sqref="F317">
    <cfRule type="expression" dxfId="291" priority="291">
      <formula>#REF!&lt;&gt;""</formula>
    </cfRule>
    <cfRule type="expression" dxfId="290" priority="292">
      <formula>#REF!&lt;&gt;""</formula>
    </cfRule>
    <cfRule type="expression" dxfId="289" priority="293">
      <formula>#REF!&lt;&gt;""</formula>
    </cfRule>
    <cfRule type="expression" dxfId="288" priority="294">
      <formula>#REF!&lt;&gt;""</formula>
    </cfRule>
    <cfRule type="expression" dxfId="287" priority="295">
      <formula>#REF!&lt;&gt;""</formula>
    </cfRule>
    <cfRule type="expression" dxfId="286" priority="296">
      <formula>#REF!&lt;&gt;""</formula>
    </cfRule>
    <cfRule type="expression" dxfId="285" priority="297">
      <formula>#REF!&lt;&gt;""</formula>
    </cfRule>
    <cfRule type="expression" dxfId="284" priority="298">
      <formula>#REF!&lt;&gt;""</formula>
    </cfRule>
    <cfRule type="expression" dxfId="283" priority="299">
      <formula>#REF!&lt;&gt;""</formula>
    </cfRule>
    <cfRule type="expression" dxfId="282" priority="300">
      <formula>#REF!&lt;&gt;""</formula>
    </cfRule>
    <cfRule type="expression" dxfId="281" priority="301">
      <formula>#REF!&lt;&gt;""</formula>
    </cfRule>
    <cfRule type="expression" dxfId="280" priority="302">
      <formula>#REF!&lt;&gt;""</formula>
    </cfRule>
  </conditionalFormatting>
  <conditionalFormatting sqref="F318">
    <cfRule type="expression" dxfId="279" priority="279">
      <formula>#REF!&lt;&gt;""</formula>
    </cfRule>
    <cfRule type="expression" dxfId="278" priority="280">
      <formula>#REF!&lt;&gt;""</formula>
    </cfRule>
    <cfRule type="expression" dxfId="277" priority="281">
      <formula>#REF!&lt;&gt;""</formula>
    </cfRule>
    <cfRule type="expression" dxfId="276" priority="282">
      <formula>#REF!&lt;&gt;""</formula>
    </cfRule>
    <cfRule type="expression" dxfId="275" priority="283">
      <formula>#REF!&lt;&gt;""</formula>
    </cfRule>
    <cfRule type="expression" dxfId="274" priority="284">
      <formula>#REF!&lt;&gt;""</formula>
    </cfRule>
    <cfRule type="expression" dxfId="273" priority="285">
      <formula>#REF!&lt;&gt;""</formula>
    </cfRule>
    <cfRule type="expression" dxfId="272" priority="286">
      <formula>#REF!&lt;&gt;""</formula>
    </cfRule>
    <cfRule type="expression" dxfId="271" priority="287">
      <formula>#REF!&lt;&gt;""</formula>
    </cfRule>
    <cfRule type="expression" dxfId="270" priority="288">
      <formula>#REF!&lt;&gt;""</formula>
    </cfRule>
    <cfRule type="expression" dxfId="269" priority="289">
      <formula>#REF!&lt;&gt;""</formula>
    </cfRule>
    <cfRule type="expression" dxfId="268" priority="290">
      <formula>#REF!&lt;&gt;""</formula>
    </cfRule>
  </conditionalFormatting>
  <conditionalFormatting sqref="F319">
    <cfRule type="expression" dxfId="267" priority="267">
      <formula>#REF!&lt;&gt;""</formula>
    </cfRule>
    <cfRule type="expression" dxfId="266" priority="268">
      <formula>#REF!&lt;&gt;""</formula>
    </cfRule>
    <cfRule type="expression" dxfId="265" priority="269">
      <formula>#REF!&lt;&gt;""</formula>
    </cfRule>
    <cfRule type="expression" dxfId="264" priority="270">
      <formula>#REF!&lt;&gt;""</formula>
    </cfRule>
    <cfRule type="expression" dxfId="263" priority="271">
      <formula>#REF!&lt;&gt;""</formula>
    </cfRule>
    <cfRule type="expression" dxfId="262" priority="272">
      <formula>#REF!&lt;&gt;""</formula>
    </cfRule>
    <cfRule type="expression" dxfId="261" priority="273">
      <formula>#REF!&lt;&gt;""</formula>
    </cfRule>
    <cfRule type="expression" dxfId="260" priority="274">
      <formula>#REF!&lt;&gt;""</formula>
    </cfRule>
    <cfRule type="expression" dxfId="259" priority="275">
      <formula>#REF!&lt;&gt;""</formula>
    </cfRule>
    <cfRule type="expression" dxfId="258" priority="276">
      <formula>#REF!&lt;&gt;""</formula>
    </cfRule>
    <cfRule type="expression" dxfId="257" priority="277">
      <formula>#REF!&lt;&gt;""</formula>
    </cfRule>
    <cfRule type="expression" dxfId="256" priority="278">
      <formula>#REF!&lt;&gt;""</formula>
    </cfRule>
  </conditionalFormatting>
  <conditionalFormatting sqref="F320">
    <cfRule type="expression" dxfId="255" priority="255">
      <formula>#REF!&lt;&gt;""</formula>
    </cfRule>
    <cfRule type="expression" dxfId="254" priority="256">
      <formula>#REF!&lt;&gt;""</formula>
    </cfRule>
    <cfRule type="expression" dxfId="253" priority="257">
      <formula>#REF!&lt;&gt;""</formula>
    </cfRule>
    <cfRule type="expression" dxfId="252" priority="258">
      <formula>#REF!&lt;&gt;""</formula>
    </cfRule>
    <cfRule type="expression" dxfId="251" priority="259">
      <formula>#REF!&lt;&gt;""</formula>
    </cfRule>
    <cfRule type="expression" dxfId="250" priority="260">
      <formula>#REF!&lt;&gt;""</formula>
    </cfRule>
    <cfRule type="expression" dxfId="249" priority="261">
      <formula>#REF!&lt;&gt;""</formula>
    </cfRule>
    <cfRule type="expression" dxfId="248" priority="262">
      <formula>#REF!&lt;&gt;""</formula>
    </cfRule>
    <cfRule type="expression" dxfId="247" priority="263">
      <formula>#REF!&lt;&gt;""</formula>
    </cfRule>
    <cfRule type="expression" dxfId="246" priority="264">
      <formula>#REF!&lt;&gt;""</formula>
    </cfRule>
    <cfRule type="expression" dxfId="245" priority="265">
      <formula>#REF!&lt;&gt;""</formula>
    </cfRule>
    <cfRule type="expression" dxfId="244" priority="266">
      <formula>#REF!&lt;&gt;""</formula>
    </cfRule>
  </conditionalFormatting>
  <conditionalFormatting sqref="F321">
    <cfRule type="expression" dxfId="243" priority="243">
      <formula>#REF!&lt;&gt;""</formula>
    </cfRule>
    <cfRule type="expression" dxfId="242" priority="244">
      <formula>#REF!&lt;&gt;""</formula>
    </cfRule>
    <cfRule type="expression" dxfId="241" priority="245">
      <formula>#REF!&lt;&gt;""</formula>
    </cfRule>
    <cfRule type="expression" dxfId="240" priority="246">
      <formula>#REF!&lt;&gt;""</formula>
    </cfRule>
    <cfRule type="expression" dxfId="239" priority="247">
      <formula>#REF!&lt;&gt;""</formula>
    </cfRule>
    <cfRule type="expression" dxfId="238" priority="248">
      <formula>#REF!&lt;&gt;""</formula>
    </cfRule>
    <cfRule type="expression" dxfId="237" priority="249">
      <formula>#REF!&lt;&gt;""</formula>
    </cfRule>
    <cfRule type="expression" dxfId="236" priority="250">
      <formula>#REF!&lt;&gt;""</formula>
    </cfRule>
    <cfRule type="expression" dxfId="235" priority="251">
      <formula>#REF!&lt;&gt;""</formula>
    </cfRule>
    <cfRule type="expression" dxfId="234" priority="252">
      <formula>#REF!&lt;&gt;""</formula>
    </cfRule>
    <cfRule type="expression" dxfId="233" priority="253">
      <formula>#REF!&lt;&gt;""</formula>
    </cfRule>
    <cfRule type="expression" dxfId="232" priority="254">
      <formula>#REF!&lt;&gt;""</formula>
    </cfRule>
  </conditionalFormatting>
  <conditionalFormatting sqref="F322">
    <cfRule type="expression" dxfId="231" priority="231">
      <formula>#REF!&lt;&gt;""</formula>
    </cfRule>
    <cfRule type="expression" dxfId="230" priority="232">
      <formula>#REF!&lt;&gt;""</formula>
    </cfRule>
    <cfRule type="expression" dxfId="229" priority="233">
      <formula>#REF!&lt;&gt;""</formula>
    </cfRule>
    <cfRule type="expression" dxfId="228" priority="234">
      <formula>#REF!&lt;&gt;""</formula>
    </cfRule>
    <cfRule type="expression" dxfId="227" priority="235">
      <formula>#REF!&lt;&gt;""</formula>
    </cfRule>
    <cfRule type="expression" dxfId="226" priority="236">
      <formula>#REF!&lt;&gt;""</formula>
    </cfRule>
    <cfRule type="expression" dxfId="225" priority="237">
      <formula>#REF!&lt;&gt;""</formula>
    </cfRule>
    <cfRule type="expression" dxfId="224" priority="238">
      <formula>#REF!&lt;&gt;""</formula>
    </cfRule>
    <cfRule type="expression" dxfId="223" priority="239">
      <formula>#REF!&lt;&gt;""</formula>
    </cfRule>
    <cfRule type="expression" dxfId="222" priority="240">
      <formula>#REF!&lt;&gt;""</formula>
    </cfRule>
    <cfRule type="expression" dxfId="221" priority="241">
      <formula>#REF!&lt;&gt;""</formula>
    </cfRule>
    <cfRule type="expression" dxfId="220" priority="242">
      <formula>#REF!&lt;&gt;""</formula>
    </cfRule>
  </conditionalFormatting>
  <conditionalFormatting sqref="F323">
    <cfRule type="expression" dxfId="219" priority="219">
      <formula>#REF!&lt;&gt;""</formula>
    </cfRule>
    <cfRule type="expression" dxfId="218" priority="220">
      <formula>#REF!&lt;&gt;""</formula>
    </cfRule>
    <cfRule type="expression" dxfId="217" priority="221">
      <formula>#REF!&lt;&gt;""</formula>
    </cfRule>
    <cfRule type="expression" dxfId="216" priority="222">
      <formula>#REF!&lt;&gt;""</formula>
    </cfRule>
    <cfRule type="expression" dxfId="215" priority="223">
      <formula>#REF!&lt;&gt;""</formula>
    </cfRule>
    <cfRule type="expression" dxfId="214" priority="224">
      <formula>#REF!&lt;&gt;""</formula>
    </cfRule>
    <cfRule type="expression" dxfId="213" priority="225">
      <formula>#REF!&lt;&gt;""</formula>
    </cfRule>
    <cfRule type="expression" dxfId="212" priority="226">
      <formula>#REF!&lt;&gt;""</formula>
    </cfRule>
    <cfRule type="expression" dxfId="211" priority="227">
      <formula>#REF!&lt;&gt;""</formula>
    </cfRule>
    <cfRule type="expression" dxfId="210" priority="228">
      <formula>#REF!&lt;&gt;""</formula>
    </cfRule>
    <cfRule type="expression" dxfId="209" priority="229">
      <formula>#REF!&lt;&gt;""</formula>
    </cfRule>
    <cfRule type="expression" dxfId="208" priority="230">
      <formula>#REF!&lt;&gt;""</formula>
    </cfRule>
  </conditionalFormatting>
  <conditionalFormatting sqref="F324">
    <cfRule type="expression" dxfId="207" priority="207">
      <formula>#REF!&lt;&gt;""</formula>
    </cfRule>
    <cfRule type="expression" dxfId="206" priority="208">
      <formula>#REF!&lt;&gt;""</formula>
    </cfRule>
    <cfRule type="expression" dxfId="205" priority="209">
      <formula>#REF!&lt;&gt;""</formula>
    </cfRule>
    <cfRule type="expression" dxfId="204" priority="210">
      <formula>#REF!&lt;&gt;""</formula>
    </cfRule>
    <cfRule type="expression" dxfId="203" priority="211">
      <formula>#REF!&lt;&gt;""</formula>
    </cfRule>
    <cfRule type="expression" dxfId="202" priority="212">
      <formula>#REF!&lt;&gt;""</formula>
    </cfRule>
    <cfRule type="expression" dxfId="201" priority="213">
      <formula>#REF!&lt;&gt;""</formula>
    </cfRule>
    <cfRule type="expression" dxfId="200" priority="214">
      <formula>#REF!&lt;&gt;""</formula>
    </cfRule>
    <cfRule type="expression" dxfId="199" priority="215">
      <formula>#REF!&lt;&gt;""</formula>
    </cfRule>
    <cfRule type="expression" dxfId="198" priority="216">
      <formula>#REF!&lt;&gt;""</formula>
    </cfRule>
    <cfRule type="expression" dxfId="197" priority="217">
      <formula>#REF!&lt;&gt;""</formula>
    </cfRule>
    <cfRule type="expression" dxfId="196" priority="218">
      <formula>#REF!&lt;&gt;""</formula>
    </cfRule>
  </conditionalFormatting>
  <conditionalFormatting sqref="F325">
    <cfRule type="expression" dxfId="195" priority="195">
      <formula>#REF!&lt;&gt;""</formula>
    </cfRule>
    <cfRule type="expression" dxfId="194" priority="196">
      <formula>#REF!&lt;&gt;""</formula>
    </cfRule>
    <cfRule type="expression" dxfId="193" priority="197">
      <formula>#REF!&lt;&gt;""</formula>
    </cfRule>
    <cfRule type="expression" dxfId="192" priority="198">
      <formula>#REF!&lt;&gt;""</formula>
    </cfRule>
    <cfRule type="expression" dxfId="191" priority="199">
      <formula>#REF!&lt;&gt;""</formula>
    </cfRule>
    <cfRule type="expression" dxfId="190" priority="200">
      <formula>#REF!&lt;&gt;""</formula>
    </cfRule>
    <cfRule type="expression" dxfId="189" priority="201">
      <formula>#REF!&lt;&gt;""</formula>
    </cfRule>
    <cfRule type="expression" dxfId="188" priority="202">
      <formula>#REF!&lt;&gt;""</formula>
    </cfRule>
    <cfRule type="expression" dxfId="187" priority="203">
      <formula>#REF!&lt;&gt;""</formula>
    </cfRule>
    <cfRule type="expression" dxfId="186" priority="204">
      <formula>#REF!&lt;&gt;""</formula>
    </cfRule>
    <cfRule type="expression" dxfId="185" priority="205">
      <formula>#REF!&lt;&gt;""</formula>
    </cfRule>
    <cfRule type="expression" dxfId="184" priority="206">
      <formula>#REF!&lt;&gt;""</formula>
    </cfRule>
  </conditionalFormatting>
  <conditionalFormatting sqref="F327">
    <cfRule type="expression" dxfId="183" priority="171">
      <formula>#REF!&lt;&gt;""</formula>
    </cfRule>
    <cfRule type="expression" dxfId="182" priority="172">
      <formula>#REF!&lt;&gt;""</formula>
    </cfRule>
    <cfRule type="expression" dxfId="181" priority="173">
      <formula>#REF!&lt;&gt;""</formula>
    </cfRule>
    <cfRule type="expression" dxfId="180" priority="174">
      <formula>#REF!&lt;&gt;""</formula>
    </cfRule>
    <cfRule type="expression" dxfId="179" priority="175">
      <formula>#REF!&lt;&gt;""</formula>
    </cfRule>
    <cfRule type="expression" dxfId="178" priority="176">
      <formula>#REF!&lt;&gt;""</formula>
    </cfRule>
    <cfRule type="expression" dxfId="177" priority="177">
      <formula>#REF!&lt;&gt;""</formula>
    </cfRule>
    <cfRule type="expression" dxfId="176" priority="178">
      <formula>#REF!&lt;&gt;""</formula>
    </cfRule>
    <cfRule type="expression" dxfId="175" priority="179">
      <formula>#REF!&lt;&gt;""</formula>
    </cfRule>
    <cfRule type="expression" dxfId="174" priority="180">
      <formula>#REF!&lt;&gt;""</formula>
    </cfRule>
    <cfRule type="expression" dxfId="173" priority="181">
      <formula>#REF!&lt;&gt;""</formula>
    </cfRule>
    <cfRule type="expression" dxfId="172" priority="182">
      <formula>#REF!&lt;&gt;""</formula>
    </cfRule>
  </conditionalFormatting>
  <conditionalFormatting sqref="F328">
    <cfRule type="expression" dxfId="171" priority="159">
      <formula>#REF!&lt;&gt;""</formula>
    </cfRule>
    <cfRule type="expression" dxfId="170" priority="160">
      <formula>#REF!&lt;&gt;""</formula>
    </cfRule>
    <cfRule type="expression" dxfId="169" priority="161">
      <formula>#REF!&lt;&gt;""</formula>
    </cfRule>
    <cfRule type="expression" dxfId="168" priority="162">
      <formula>#REF!&lt;&gt;""</formula>
    </cfRule>
    <cfRule type="expression" dxfId="167" priority="163">
      <formula>#REF!&lt;&gt;""</formula>
    </cfRule>
    <cfRule type="expression" dxfId="166" priority="164">
      <formula>#REF!&lt;&gt;""</formula>
    </cfRule>
    <cfRule type="expression" dxfId="165" priority="165">
      <formula>#REF!&lt;&gt;""</formula>
    </cfRule>
    <cfRule type="expression" dxfId="164" priority="166">
      <formula>#REF!&lt;&gt;""</formula>
    </cfRule>
    <cfRule type="expression" dxfId="163" priority="167">
      <formula>#REF!&lt;&gt;""</formula>
    </cfRule>
    <cfRule type="expression" dxfId="162" priority="168">
      <formula>#REF!&lt;&gt;""</formula>
    </cfRule>
    <cfRule type="expression" dxfId="161" priority="169">
      <formula>#REF!&lt;&gt;""</formula>
    </cfRule>
    <cfRule type="expression" dxfId="160" priority="170">
      <formula>#REF!&lt;&gt;""</formula>
    </cfRule>
  </conditionalFormatting>
  <conditionalFormatting sqref="F329">
    <cfRule type="expression" dxfId="159" priority="147">
      <formula>#REF!&lt;&gt;""</formula>
    </cfRule>
    <cfRule type="expression" dxfId="158" priority="148">
      <formula>#REF!&lt;&gt;""</formula>
    </cfRule>
    <cfRule type="expression" dxfId="157" priority="149">
      <formula>#REF!&lt;&gt;""</formula>
    </cfRule>
    <cfRule type="expression" dxfId="156" priority="150">
      <formula>#REF!&lt;&gt;""</formula>
    </cfRule>
    <cfRule type="expression" dxfId="155" priority="151">
      <formula>#REF!&lt;&gt;""</formula>
    </cfRule>
    <cfRule type="expression" dxfId="154" priority="152">
      <formula>#REF!&lt;&gt;""</formula>
    </cfRule>
    <cfRule type="expression" dxfId="153" priority="153">
      <formula>#REF!&lt;&gt;""</formula>
    </cfRule>
    <cfRule type="expression" dxfId="152" priority="154">
      <formula>#REF!&lt;&gt;""</formula>
    </cfRule>
    <cfRule type="expression" dxfId="151" priority="155">
      <formula>#REF!&lt;&gt;""</formula>
    </cfRule>
    <cfRule type="expression" dxfId="150" priority="156">
      <formula>#REF!&lt;&gt;""</formula>
    </cfRule>
    <cfRule type="expression" dxfId="149" priority="157">
      <formula>#REF!&lt;&gt;""</formula>
    </cfRule>
    <cfRule type="expression" dxfId="148" priority="158">
      <formula>#REF!&lt;&gt;""</formula>
    </cfRule>
  </conditionalFormatting>
  <conditionalFormatting sqref="F330">
    <cfRule type="expression" dxfId="147" priority="135">
      <formula>#REF!&lt;&gt;""</formula>
    </cfRule>
    <cfRule type="expression" dxfId="146" priority="136">
      <formula>#REF!&lt;&gt;""</formula>
    </cfRule>
    <cfRule type="expression" dxfId="145" priority="137">
      <formula>#REF!&lt;&gt;""</formula>
    </cfRule>
    <cfRule type="expression" dxfId="144" priority="138">
      <formula>#REF!&lt;&gt;""</formula>
    </cfRule>
    <cfRule type="expression" dxfId="143" priority="139">
      <formula>#REF!&lt;&gt;""</formula>
    </cfRule>
    <cfRule type="expression" dxfId="142" priority="140">
      <formula>#REF!&lt;&gt;""</formula>
    </cfRule>
    <cfRule type="expression" dxfId="141" priority="141">
      <formula>#REF!&lt;&gt;""</formula>
    </cfRule>
    <cfRule type="expression" dxfId="140" priority="142">
      <formula>#REF!&lt;&gt;""</formula>
    </cfRule>
    <cfRule type="expression" dxfId="139" priority="143">
      <formula>#REF!&lt;&gt;""</formula>
    </cfRule>
    <cfRule type="expression" dxfId="138" priority="144">
      <formula>#REF!&lt;&gt;""</formula>
    </cfRule>
    <cfRule type="expression" dxfId="137" priority="145">
      <formula>#REF!&lt;&gt;""</formula>
    </cfRule>
    <cfRule type="expression" dxfId="136" priority="146">
      <formula>#REF!&lt;&gt;""</formula>
    </cfRule>
  </conditionalFormatting>
  <conditionalFormatting sqref="F331">
    <cfRule type="expression" dxfId="135" priority="123">
      <formula>#REF!&lt;&gt;""</formula>
    </cfRule>
    <cfRule type="expression" dxfId="134" priority="124">
      <formula>#REF!&lt;&gt;""</formula>
    </cfRule>
    <cfRule type="expression" dxfId="133" priority="125">
      <formula>#REF!&lt;&gt;""</formula>
    </cfRule>
    <cfRule type="expression" dxfId="132" priority="126">
      <formula>#REF!&lt;&gt;""</formula>
    </cfRule>
    <cfRule type="expression" dxfId="131" priority="127">
      <formula>#REF!&lt;&gt;""</formula>
    </cfRule>
    <cfRule type="expression" dxfId="130" priority="128">
      <formula>#REF!&lt;&gt;""</formula>
    </cfRule>
    <cfRule type="expression" dxfId="129" priority="129">
      <formula>#REF!&lt;&gt;""</formula>
    </cfRule>
    <cfRule type="expression" dxfId="128" priority="130">
      <formula>#REF!&lt;&gt;""</formula>
    </cfRule>
    <cfRule type="expression" dxfId="127" priority="131">
      <formula>#REF!&lt;&gt;""</formula>
    </cfRule>
    <cfRule type="expression" dxfId="126" priority="132">
      <formula>#REF!&lt;&gt;""</formula>
    </cfRule>
    <cfRule type="expression" dxfId="125" priority="133">
      <formula>#REF!&lt;&gt;""</formula>
    </cfRule>
    <cfRule type="expression" dxfId="124" priority="134">
      <formula>#REF!&lt;&gt;""</formula>
    </cfRule>
  </conditionalFormatting>
  <conditionalFormatting sqref="F332">
    <cfRule type="expression" dxfId="123" priority="111">
      <formula>#REF!&lt;&gt;""</formula>
    </cfRule>
    <cfRule type="expression" dxfId="122" priority="112">
      <formula>#REF!&lt;&gt;""</formula>
    </cfRule>
    <cfRule type="expression" dxfId="121" priority="113">
      <formula>#REF!&lt;&gt;""</formula>
    </cfRule>
    <cfRule type="expression" dxfId="120" priority="114">
      <formula>#REF!&lt;&gt;""</formula>
    </cfRule>
    <cfRule type="expression" dxfId="119" priority="115">
      <formula>#REF!&lt;&gt;""</formula>
    </cfRule>
    <cfRule type="expression" dxfId="118" priority="116">
      <formula>#REF!&lt;&gt;""</formula>
    </cfRule>
    <cfRule type="expression" dxfId="117" priority="117">
      <formula>#REF!&lt;&gt;""</formula>
    </cfRule>
    <cfRule type="expression" dxfId="116" priority="118">
      <formula>#REF!&lt;&gt;""</formula>
    </cfRule>
    <cfRule type="expression" dxfId="115" priority="119">
      <formula>#REF!&lt;&gt;""</formula>
    </cfRule>
    <cfRule type="expression" dxfId="114" priority="120">
      <formula>#REF!&lt;&gt;""</formula>
    </cfRule>
    <cfRule type="expression" dxfId="113" priority="121">
      <formula>#REF!&lt;&gt;""</formula>
    </cfRule>
    <cfRule type="expression" dxfId="112" priority="122">
      <formula>#REF!&lt;&gt;""</formula>
    </cfRule>
  </conditionalFormatting>
  <conditionalFormatting sqref="F333">
    <cfRule type="expression" dxfId="111" priority="99">
      <formula>#REF!&lt;&gt;""</formula>
    </cfRule>
    <cfRule type="expression" dxfId="110" priority="100">
      <formula>#REF!&lt;&gt;""</formula>
    </cfRule>
    <cfRule type="expression" dxfId="109" priority="101">
      <formula>#REF!&lt;&gt;""</formula>
    </cfRule>
    <cfRule type="expression" dxfId="108" priority="102">
      <formula>#REF!&lt;&gt;""</formula>
    </cfRule>
    <cfRule type="expression" dxfId="107" priority="103">
      <formula>#REF!&lt;&gt;""</formula>
    </cfRule>
    <cfRule type="expression" dxfId="106" priority="104">
      <formula>#REF!&lt;&gt;""</formula>
    </cfRule>
    <cfRule type="expression" dxfId="105" priority="105">
      <formula>#REF!&lt;&gt;""</formula>
    </cfRule>
    <cfRule type="expression" dxfId="104" priority="106">
      <formula>#REF!&lt;&gt;""</formula>
    </cfRule>
    <cfRule type="expression" dxfId="103" priority="107">
      <formula>#REF!&lt;&gt;""</formula>
    </cfRule>
    <cfRule type="expression" dxfId="102" priority="108">
      <formula>#REF!&lt;&gt;""</formula>
    </cfRule>
    <cfRule type="expression" dxfId="101" priority="109">
      <formula>#REF!&lt;&gt;""</formula>
    </cfRule>
    <cfRule type="expression" dxfId="100" priority="110">
      <formula>#REF!&lt;&gt;""</formula>
    </cfRule>
  </conditionalFormatting>
  <conditionalFormatting sqref="F334">
    <cfRule type="expression" dxfId="99" priority="87">
      <formula>#REF!&lt;&gt;""</formula>
    </cfRule>
    <cfRule type="expression" dxfId="98" priority="88">
      <formula>#REF!&lt;&gt;""</formula>
    </cfRule>
    <cfRule type="expression" dxfId="97" priority="89">
      <formula>#REF!&lt;&gt;""</formula>
    </cfRule>
    <cfRule type="expression" dxfId="96" priority="90">
      <formula>#REF!&lt;&gt;""</formula>
    </cfRule>
    <cfRule type="expression" dxfId="95" priority="91">
      <formula>#REF!&lt;&gt;""</formula>
    </cfRule>
    <cfRule type="expression" dxfId="94" priority="92">
      <formula>#REF!&lt;&gt;""</formula>
    </cfRule>
    <cfRule type="expression" dxfId="93" priority="93">
      <formula>#REF!&lt;&gt;""</formula>
    </cfRule>
    <cfRule type="expression" dxfId="92" priority="94">
      <formula>#REF!&lt;&gt;""</formula>
    </cfRule>
    <cfRule type="expression" dxfId="91" priority="95">
      <formula>#REF!&lt;&gt;""</formula>
    </cfRule>
    <cfRule type="expression" dxfId="90" priority="96">
      <formula>#REF!&lt;&gt;""</formula>
    </cfRule>
    <cfRule type="expression" dxfId="89" priority="97">
      <formula>#REF!&lt;&gt;""</formula>
    </cfRule>
    <cfRule type="expression" dxfId="88" priority="98">
      <formula>#REF!&lt;&gt;""</formula>
    </cfRule>
  </conditionalFormatting>
  <conditionalFormatting sqref="F335">
    <cfRule type="expression" dxfId="87" priority="75">
      <formula>#REF!&lt;&gt;""</formula>
    </cfRule>
    <cfRule type="expression" dxfId="86" priority="76">
      <formula>#REF!&lt;&gt;""</formula>
    </cfRule>
    <cfRule type="expression" dxfId="85" priority="77">
      <formula>#REF!&lt;&gt;""</formula>
    </cfRule>
    <cfRule type="expression" dxfId="84" priority="78">
      <formula>#REF!&lt;&gt;""</formula>
    </cfRule>
    <cfRule type="expression" dxfId="83" priority="79">
      <formula>#REF!&lt;&gt;""</formula>
    </cfRule>
    <cfRule type="expression" dxfId="82" priority="80">
      <formula>#REF!&lt;&gt;""</formula>
    </cfRule>
    <cfRule type="expression" dxfId="81" priority="81">
      <formula>#REF!&lt;&gt;""</formula>
    </cfRule>
    <cfRule type="expression" dxfId="80" priority="82">
      <formula>#REF!&lt;&gt;""</formula>
    </cfRule>
    <cfRule type="expression" dxfId="79" priority="83">
      <formula>#REF!&lt;&gt;""</formula>
    </cfRule>
    <cfRule type="expression" dxfId="78" priority="84">
      <formula>#REF!&lt;&gt;""</formula>
    </cfRule>
    <cfRule type="expression" dxfId="77" priority="85">
      <formula>#REF!&lt;&gt;""</formula>
    </cfRule>
    <cfRule type="expression" dxfId="76" priority="86">
      <formula>#REF!&lt;&gt;""</formula>
    </cfRule>
  </conditionalFormatting>
  <conditionalFormatting sqref="F336">
    <cfRule type="expression" dxfId="75" priority="63">
      <formula>#REF!&lt;&gt;""</formula>
    </cfRule>
    <cfRule type="expression" dxfId="74" priority="64">
      <formula>#REF!&lt;&gt;""</formula>
    </cfRule>
    <cfRule type="expression" dxfId="73" priority="65">
      <formula>#REF!&lt;&gt;""</formula>
    </cfRule>
    <cfRule type="expression" dxfId="72" priority="66">
      <formula>#REF!&lt;&gt;""</formula>
    </cfRule>
    <cfRule type="expression" dxfId="71" priority="67">
      <formula>#REF!&lt;&gt;""</formula>
    </cfRule>
    <cfRule type="expression" dxfId="70" priority="68">
      <formula>#REF!&lt;&gt;""</formula>
    </cfRule>
    <cfRule type="expression" dxfId="69" priority="69">
      <formula>#REF!&lt;&gt;""</formula>
    </cfRule>
    <cfRule type="expression" dxfId="68" priority="70">
      <formula>#REF!&lt;&gt;""</formula>
    </cfRule>
    <cfRule type="expression" dxfId="67" priority="71">
      <formula>#REF!&lt;&gt;""</formula>
    </cfRule>
    <cfRule type="expression" dxfId="66" priority="72">
      <formula>#REF!&lt;&gt;""</formula>
    </cfRule>
    <cfRule type="expression" dxfId="65" priority="73">
      <formula>#REF!&lt;&gt;""</formula>
    </cfRule>
    <cfRule type="expression" dxfId="64" priority="74">
      <formula>#REF!&lt;&gt;""</formula>
    </cfRule>
  </conditionalFormatting>
  <conditionalFormatting sqref="F337">
    <cfRule type="expression" dxfId="63" priority="51">
      <formula>#REF!&lt;&gt;""</formula>
    </cfRule>
    <cfRule type="expression" dxfId="62" priority="52">
      <formula>#REF!&lt;&gt;""</formula>
    </cfRule>
    <cfRule type="expression" dxfId="61" priority="53">
      <formula>#REF!&lt;&gt;""</formula>
    </cfRule>
    <cfRule type="expression" dxfId="60" priority="54">
      <formula>#REF!&lt;&gt;""</formula>
    </cfRule>
    <cfRule type="expression" dxfId="59" priority="55">
      <formula>#REF!&lt;&gt;""</formula>
    </cfRule>
    <cfRule type="expression" dxfId="58" priority="56">
      <formula>#REF!&lt;&gt;""</formula>
    </cfRule>
    <cfRule type="expression" dxfId="57" priority="57">
      <formula>#REF!&lt;&gt;""</formula>
    </cfRule>
    <cfRule type="expression" dxfId="56" priority="58">
      <formula>#REF!&lt;&gt;""</formula>
    </cfRule>
    <cfRule type="expression" dxfId="55" priority="59">
      <formula>#REF!&lt;&gt;""</formula>
    </cfRule>
    <cfRule type="expression" dxfId="54" priority="60">
      <formula>#REF!&lt;&gt;""</formula>
    </cfRule>
    <cfRule type="expression" dxfId="53" priority="61">
      <formula>#REF!&lt;&gt;""</formula>
    </cfRule>
    <cfRule type="expression" dxfId="52" priority="62">
      <formula>#REF!&lt;&gt;""</formula>
    </cfRule>
  </conditionalFormatting>
  <conditionalFormatting sqref="F338">
    <cfRule type="expression" dxfId="51" priority="39">
      <formula>#REF!&lt;&gt;""</formula>
    </cfRule>
    <cfRule type="expression" dxfId="50" priority="40">
      <formula>#REF!&lt;&gt;""</formula>
    </cfRule>
    <cfRule type="expression" dxfId="49" priority="41">
      <formula>#REF!&lt;&gt;""</formula>
    </cfRule>
    <cfRule type="expression" dxfId="48" priority="42">
      <formula>#REF!&lt;&gt;""</formula>
    </cfRule>
    <cfRule type="expression" dxfId="47" priority="43">
      <formula>#REF!&lt;&gt;""</formula>
    </cfRule>
    <cfRule type="expression" dxfId="46" priority="44">
      <formula>#REF!&lt;&gt;""</formula>
    </cfRule>
    <cfRule type="expression" dxfId="45" priority="45">
      <formula>#REF!&lt;&gt;""</formula>
    </cfRule>
    <cfRule type="expression" dxfId="44" priority="46">
      <formula>#REF!&lt;&gt;""</formula>
    </cfRule>
    <cfRule type="expression" dxfId="43" priority="47">
      <formula>#REF!&lt;&gt;""</formula>
    </cfRule>
    <cfRule type="expression" dxfId="42" priority="48">
      <formula>#REF!&lt;&gt;""</formula>
    </cfRule>
    <cfRule type="expression" dxfId="41" priority="49">
      <formula>#REF!&lt;&gt;""</formula>
    </cfRule>
    <cfRule type="expression" dxfId="40" priority="50">
      <formula>#REF!&lt;&gt;""</formula>
    </cfRule>
  </conditionalFormatting>
  <conditionalFormatting sqref="F340">
    <cfRule type="expression" dxfId="39" priority="15">
      <formula>#REF!&lt;&gt;""</formula>
    </cfRule>
    <cfRule type="expression" dxfId="38" priority="16">
      <formula>#REF!&lt;&gt;""</formula>
    </cfRule>
    <cfRule type="expression" dxfId="37" priority="17">
      <formula>#REF!&lt;&gt;""</formula>
    </cfRule>
    <cfRule type="expression" dxfId="36" priority="18">
      <formula>#REF!&lt;&gt;""</formula>
    </cfRule>
    <cfRule type="expression" dxfId="35" priority="19">
      <formula>#REF!&lt;&gt;""</formula>
    </cfRule>
    <cfRule type="expression" dxfId="34" priority="20">
      <formula>#REF!&lt;&gt;""</formula>
    </cfRule>
    <cfRule type="expression" dxfId="33" priority="21">
      <formula>#REF!&lt;&gt;""</formula>
    </cfRule>
    <cfRule type="expression" dxfId="32" priority="22">
      <formula>#REF!&lt;&gt;""</formula>
    </cfRule>
    <cfRule type="expression" dxfId="31" priority="23">
      <formula>#REF!&lt;&gt;""</formula>
    </cfRule>
    <cfRule type="expression" dxfId="30" priority="24">
      <formula>#REF!&lt;&gt;""</formula>
    </cfRule>
    <cfRule type="expression" dxfId="29" priority="25">
      <formula>#REF!&lt;&gt;""</formula>
    </cfRule>
    <cfRule type="expression" dxfId="28" priority="26">
      <formula>#REF!&lt;&gt;""</formula>
    </cfRule>
  </conditionalFormatting>
  <conditionalFormatting sqref="G292:G341">
    <cfRule type="expression" dxfId="27" priority="2" stopIfTrue="1">
      <formula>$H292&lt;&gt;"kg/t.km"</formula>
    </cfRule>
  </conditionalFormatting>
  <conditionalFormatting sqref="G229:G278">
    <cfRule type="expression" dxfId="26" priority="3014" stopIfTrue="1">
      <formula>#REF!&lt;&gt;"kg/t.km"</formula>
    </cfRule>
  </conditionalFormatting>
  <conditionalFormatting sqref="E153">
    <cfRule type="expression" dxfId="25" priority="3015" stopIfTrue="1">
      <formula>AND($E153&lt;&gt;0,SUM(#REF!)&lt;&gt;0)</formula>
    </cfRule>
  </conditionalFormatting>
  <conditionalFormatting sqref="F102:F152">
    <cfRule type="expression" dxfId="24" priority="1" stopIfTrue="1">
      <formula>$G102&lt;&gt;"kg/t.km"</formula>
    </cfRule>
  </conditionalFormatting>
  <dataValidations count="1">
    <dataValidation showInputMessage="1" showErrorMessage="1" errorTitle="Qual o ano da frota?" error="Escolha o ano da frota." sqref="G292:K341 G229:K278 H166:H215 G103:G152 E103:E152 F102:F152"/>
  </dataValidations>
  <pageMargins left="0.25" right="0.25" top="0.25" bottom="0.5" header="0.5" footer="0.25"/>
  <pageSetup orientation="portrait" r:id="rId1"/>
  <headerFooter alignWithMargins="0">
    <oddFooter>&amp;L&amp;"Arial,Italic"&amp;9EPA Climate Leaders Simplified GHG Emissions Calculator (Direct 2.0)&amp;R&amp;"Arial,Italic"&amp;9&amp;P of &amp;N</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'Fatores de Emissão'!$E$184</xm:f>
          </x14:formula1>
          <xm:sqref>D166:E215</xm:sqref>
        </x14:dataValidation>
        <x14:dataValidation type="list" allowBlank="1" showInputMessage="1" showErrorMessage="1">
          <x14:formula1>
            <xm:f>'Fatores de Emissão'!$E$193:$E$201</xm:f>
          </x14:formula1>
          <xm:sqref>D229:E278</xm:sqref>
        </x14:dataValidation>
        <x14:dataValidation type="list" allowBlank="1" showInputMessage="1" showErrorMessage="1">
          <x14:formula1>
            <xm:f>'Fatores de Emissão'!$D$217:$D$219</xm:f>
          </x14:formula1>
          <xm:sqref>D292:E341</xm:sqref>
        </x14:dataValidation>
        <x14:dataValidation type="list" showInputMessage="1" showErrorMessage="1">
          <x14:formula1>
            <xm:f>'Fatores de Emissão'!$E$117:$E$173</xm:f>
          </x14:formula1>
          <xm:sqref>D103:D152</xm:sqref>
        </x14:dataValidation>
        <x14:dataValidation type="list" allowBlank="1" showInputMessage="1" showErrorMessage="1">
          <x14:formula1>
            <xm:f>Listas!$I$3:$I$9</xm:f>
          </x14:formula1>
          <xm:sqref>D44:E93</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outlinePr summaryBelow="0" summaryRight="0"/>
  </sheetPr>
  <dimension ref="A1:AI267"/>
  <sheetViews>
    <sheetView showGridLines="0" topLeftCell="A9" zoomScale="70" zoomScaleNormal="70" workbookViewId="0"/>
  </sheetViews>
  <sheetFormatPr defaultColWidth="9.140625" defaultRowHeight="15" customHeight="1" zeroHeight="1" outlineLevelRow="1" x14ac:dyDescent="0.2"/>
  <cols>
    <col min="1" max="1" width="5.7109375" style="195" customWidth="1"/>
    <col min="2" max="2" width="37.85546875" style="195" customWidth="1"/>
    <col min="3" max="10" width="16.85546875" style="195" customWidth="1"/>
    <col min="11" max="11" width="10.7109375" style="195" customWidth="1"/>
    <col min="12" max="12" width="16.85546875" style="195" customWidth="1"/>
    <col min="13" max="26" width="11.28515625" style="195" customWidth="1"/>
    <col min="27" max="27" width="19" style="195" customWidth="1"/>
    <col min="28" max="32" width="11.28515625" style="195" customWidth="1"/>
    <col min="33" max="16384" width="9.140625" style="195"/>
  </cols>
  <sheetData>
    <row r="1" spans="2:12" ht="15" customHeight="1" x14ac:dyDescent="0.2"/>
    <row r="2" spans="2:12" ht="15" customHeight="1" x14ac:dyDescent="0.2"/>
    <row r="3" spans="2:12" ht="15" customHeight="1" x14ac:dyDescent="0.2"/>
    <row r="4" spans="2:12" ht="15" customHeight="1" x14ac:dyDescent="0.2"/>
    <row r="5" spans="2:12" ht="15" customHeight="1" x14ac:dyDescent="0.2"/>
    <row r="6" spans="2:12" ht="15" customHeight="1" x14ac:dyDescent="0.2"/>
    <row r="7" spans="2:12" ht="15" customHeight="1" x14ac:dyDescent="0.2"/>
    <row r="8" spans="2:12" ht="15" customHeight="1" x14ac:dyDescent="0.2"/>
    <row r="9" spans="2:12" ht="15" customHeight="1" x14ac:dyDescent="0.2"/>
    <row r="10" spans="2:12" ht="15" customHeight="1" x14ac:dyDescent="0.2"/>
    <row r="11" spans="2:12" ht="15" customHeight="1" x14ac:dyDescent="0.3">
      <c r="B11" s="208" t="s">
        <v>1503</v>
      </c>
    </row>
    <row r="12" spans="2:12" ht="15" customHeight="1" x14ac:dyDescent="0.2"/>
    <row r="13" spans="2:12" ht="15" customHeight="1" x14ac:dyDescent="0.25">
      <c r="B13" s="523" t="s">
        <v>4</v>
      </c>
    </row>
    <row r="14" spans="2:12" s="237" customFormat="1" ht="15" customHeight="1" x14ac:dyDescent="0.25">
      <c r="B14" s="1397" t="s">
        <v>2054</v>
      </c>
      <c r="C14" s="1397"/>
      <c r="D14" s="1397"/>
      <c r="E14" s="1397"/>
      <c r="F14" s="1397"/>
      <c r="G14" s="1397"/>
      <c r="H14" s="1397"/>
      <c r="I14" s="1397"/>
      <c r="J14" s="1397"/>
      <c r="L14" s="945"/>
    </row>
    <row r="15" spans="2:12" s="237" customFormat="1" ht="15" customHeight="1" x14ac:dyDescent="0.25">
      <c r="B15" s="1397"/>
      <c r="C15" s="1397"/>
      <c r="D15" s="1397"/>
      <c r="E15" s="1397"/>
      <c r="F15" s="1397"/>
      <c r="G15" s="1397"/>
      <c r="H15" s="1397"/>
      <c r="I15" s="1397"/>
      <c r="J15" s="1397"/>
    </row>
    <row r="16" spans="2:12" s="237" customFormat="1" ht="15" customHeight="1" x14ac:dyDescent="0.25">
      <c r="B16" s="1397" t="s">
        <v>341</v>
      </c>
      <c r="C16" s="1397"/>
      <c r="D16" s="1397"/>
      <c r="E16" s="1397"/>
      <c r="F16" s="1397"/>
      <c r="G16" s="1397"/>
      <c r="H16" s="1397"/>
      <c r="I16" s="1397"/>
      <c r="J16" s="1397"/>
    </row>
    <row r="17" spans="2:35" s="237" customFormat="1" ht="15" customHeight="1" x14ac:dyDescent="0.25">
      <c r="B17" s="1399" t="s">
        <v>2206</v>
      </c>
      <c r="C17" s="1399"/>
      <c r="D17" s="1399"/>
      <c r="E17" s="1399"/>
      <c r="F17" s="1399"/>
      <c r="G17" s="1399"/>
      <c r="H17" s="1399"/>
      <c r="I17" s="1399"/>
      <c r="J17" s="1399"/>
    </row>
    <row r="18" spans="2:35" s="237" customFormat="1" ht="15" customHeight="1" x14ac:dyDescent="0.25">
      <c r="B18" s="1399"/>
      <c r="C18" s="1399"/>
      <c r="D18" s="1399"/>
      <c r="E18" s="1399"/>
      <c r="F18" s="1399"/>
      <c r="G18" s="1399"/>
      <c r="H18" s="1399"/>
      <c r="I18" s="1399"/>
      <c r="J18" s="1399"/>
    </row>
    <row r="19" spans="2:35" s="237" customFormat="1" ht="20.100000000000001" customHeight="1" x14ac:dyDescent="0.25">
      <c r="B19" s="1400" t="s">
        <v>2207</v>
      </c>
      <c r="C19" s="1400"/>
      <c r="D19" s="1400"/>
      <c r="E19" s="1400"/>
      <c r="F19" s="1400"/>
      <c r="G19" s="1400"/>
      <c r="H19" s="1400"/>
      <c r="I19" s="1400"/>
      <c r="J19" s="1400"/>
    </row>
    <row r="20" spans="2:35" s="237" customFormat="1" ht="15" customHeight="1" x14ac:dyDescent="0.25">
      <c r="B20" s="1307" t="s">
        <v>2208</v>
      </c>
      <c r="C20" s="1398"/>
      <c r="D20" s="1398"/>
      <c r="E20" s="1398"/>
      <c r="F20" s="1398"/>
      <c r="G20" s="1398"/>
      <c r="H20" s="1398"/>
      <c r="I20" s="1398"/>
      <c r="J20" s="1398"/>
    </row>
    <row r="21" spans="2:35" s="237" customFormat="1" ht="15" customHeight="1" x14ac:dyDescent="0.25">
      <c r="B21" s="918"/>
      <c r="C21" s="946"/>
      <c r="D21" s="946"/>
      <c r="E21" s="946"/>
      <c r="F21" s="946"/>
      <c r="G21" s="946"/>
      <c r="H21" s="946"/>
      <c r="I21" s="946"/>
      <c r="J21" s="946"/>
    </row>
    <row r="22" spans="2:35" s="237" customFormat="1" ht="15" customHeight="1" x14ac:dyDescent="0.25">
      <c r="C22" s="1391" t="s">
        <v>310</v>
      </c>
      <c r="D22" s="1401"/>
      <c r="E22" s="1391" t="s">
        <v>311</v>
      </c>
      <c r="F22" s="1401"/>
      <c r="G22" s="1391" t="s">
        <v>312</v>
      </c>
      <c r="H22" s="1392"/>
      <c r="I22" s="1391" t="s">
        <v>313</v>
      </c>
      <c r="J22" s="1392"/>
      <c r="AB22" s="1257" t="s">
        <v>313</v>
      </c>
      <c r="AC22" s="1259"/>
      <c r="AD22" s="1257" t="s">
        <v>314</v>
      </c>
      <c r="AE22" s="1259"/>
      <c r="AF22" s="1257" t="s">
        <v>315</v>
      </c>
      <c r="AG22" s="1259"/>
      <c r="AH22" s="1257" t="s">
        <v>318</v>
      </c>
      <c r="AI22" s="1259"/>
    </row>
    <row r="23" spans="2:35" s="947" customFormat="1" ht="45" customHeight="1" x14ac:dyDescent="0.25">
      <c r="C23" s="1393" t="s">
        <v>332</v>
      </c>
      <c r="D23" s="1395"/>
      <c r="E23" s="1393" t="s">
        <v>326</v>
      </c>
      <c r="F23" s="1394"/>
      <c r="G23" s="1393" t="s">
        <v>1506</v>
      </c>
      <c r="H23" s="1394"/>
      <c r="I23" s="1393" t="s">
        <v>1494</v>
      </c>
      <c r="J23" s="1394"/>
      <c r="AA23" s="237"/>
      <c r="AB23" s="1393" t="s">
        <v>345</v>
      </c>
      <c r="AC23" s="1394"/>
      <c r="AD23" s="1393" t="s">
        <v>342</v>
      </c>
      <c r="AE23" s="1396"/>
      <c r="AF23" s="1393" t="s">
        <v>284</v>
      </c>
      <c r="AG23" s="1394"/>
      <c r="AH23" s="1393" t="s">
        <v>344</v>
      </c>
      <c r="AI23" s="1396"/>
    </row>
    <row r="24" spans="2:35" s="947" customFormat="1" ht="15" customHeight="1" x14ac:dyDescent="0.25">
      <c r="B24" s="948"/>
      <c r="C24" s="949" t="s">
        <v>331</v>
      </c>
      <c r="D24" s="949" t="s">
        <v>1487</v>
      </c>
      <c r="E24" s="949" t="s">
        <v>331</v>
      </c>
      <c r="F24" s="949" t="s">
        <v>1487</v>
      </c>
      <c r="G24" s="949" t="s">
        <v>331</v>
      </c>
      <c r="H24" s="949" t="s">
        <v>1487</v>
      </c>
      <c r="I24" s="949" t="s">
        <v>331</v>
      </c>
      <c r="J24" s="949" t="s">
        <v>1487</v>
      </c>
      <c r="AA24" s="237"/>
      <c r="AB24" s="949" t="s">
        <v>331</v>
      </c>
      <c r="AC24" s="949" t="s">
        <v>1487</v>
      </c>
      <c r="AD24" s="949" t="s">
        <v>331</v>
      </c>
      <c r="AE24" s="949" t="s">
        <v>1487</v>
      </c>
      <c r="AF24" s="949" t="s">
        <v>331</v>
      </c>
      <c r="AG24" s="949" t="s">
        <v>1487</v>
      </c>
      <c r="AH24" s="949" t="s">
        <v>331</v>
      </c>
      <c r="AI24" s="949" t="s">
        <v>1487</v>
      </c>
    </row>
    <row r="25" spans="2:35" s="237" customFormat="1" ht="15" customHeight="1" x14ac:dyDescent="0.25">
      <c r="B25" s="596" t="s">
        <v>1488</v>
      </c>
      <c r="C25" s="1198"/>
      <c r="D25" s="1140">
        <f>ROUND(C25,6)*gwp_CO2</f>
        <v>0</v>
      </c>
      <c r="E25" s="1198"/>
      <c r="F25" s="1140">
        <f>ROUND(E25,6)*gwp_CO2</f>
        <v>0</v>
      </c>
      <c r="G25" s="1158">
        <f>'Combustão estacionária'!P147/1000+'Combustão móvel'!R87</f>
        <v>0</v>
      </c>
      <c r="H25" s="1140">
        <f>ROUND(G25,6)*gwp_CO2</f>
        <v>0</v>
      </c>
      <c r="I25" s="1158">
        <f>total_TeD_up_rod_opcao2_CO2+total_TeD_up_rod_opcao3_CO2+total_TeD_up_ferro_CO2+total_TeD_up_hidro_CO2+total_TeD_up_aero_CO2</f>
        <v>0</v>
      </c>
      <c r="J25" s="1140">
        <f>ROUND(I25,6)*gwp_CO2</f>
        <v>0</v>
      </c>
      <c r="AA25" s="596" t="s">
        <v>1488</v>
      </c>
      <c r="AB25" s="951" t="e">
        <f>SUM(total_TeD_up_rod_opcao1_CO2,total_TeD_up_rod_opcao2_CO2,total_TeD_up_rod_opcao3_CO2,total_TeD_up_ferro_CO2,total_TeD_up_hidro_CO2,total_TeD_up_aero_CO2)</f>
        <v>#REF!</v>
      </c>
      <c r="AC25" s="951" t="e">
        <f>AB25*gwp_CO2</f>
        <v>#REF!</v>
      </c>
      <c r="AD25" s="951" t="e">
        <f>total_RS_incin_CO2_E3</f>
        <v>#REF!</v>
      </c>
      <c r="AE25" s="951" t="e">
        <f>AD25*gwp_CO2</f>
        <v>#REF!</v>
      </c>
      <c r="AF25" s="952" t="e">
        <f>SUM(total_VN_aviao_CO2_E3,total_VN_automov_CO2_E3,total_VN_ônibus_CO2_E3,total_VN_trem_CO2_E3)/1000</f>
        <v>#REF!</v>
      </c>
      <c r="AG25" s="952" t="e">
        <f>AF25*gwp_CO2</f>
        <v>#REF!</v>
      </c>
      <c r="AH25" s="951" t="e">
        <f>SUM(total_TeD_down_rod_opcao1_CO2,total_TeD_down_rod_opcao2_CO2,total_TeD_down_rod_opcao3_CO2,total_TeD_down_ferro_CO2,total_TeD_down_hidro_CO2,total_TeD_down_aero_CO2)</f>
        <v>#REF!</v>
      </c>
      <c r="AI25" s="952" t="e">
        <f>AH25*gwp_CO2</f>
        <v>#REF!</v>
      </c>
    </row>
    <row r="26" spans="2:35" s="237" customFormat="1" ht="15" customHeight="1" x14ac:dyDescent="0.25">
      <c r="B26" s="596" t="s">
        <v>1489</v>
      </c>
      <c r="C26" s="1198"/>
      <c r="D26" s="1140">
        <f>ROUND(C26,6)*gwp_CH4</f>
        <v>0</v>
      </c>
      <c r="E26" s="1139"/>
      <c r="F26" s="1140">
        <f>ROUND(E26,6)*gwp_CH4</f>
        <v>0</v>
      </c>
      <c r="G26" s="1158"/>
      <c r="H26" s="1140">
        <f>ROUND(G26,6)*gwp_CH4</f>
        <v>0</v>
      </c>
      <c r="I26" s="1158">
        <f>total_TeD_up_aero_CH4+total_TeD_up_hidro_CH4+total_TeD_up_ferro_CH4+total_TeD_up_rod_opcao3_CH4+total_TeD_up_rod_opcao2_CH4</f>
        <v>0</v>
      </c>
      <c r="J26" s="1140">
        <f>ROUND(I26,6)*gwp_CH4</f>
        <v>0</v>
      </c>
      <c r="AA26" s="596" t="s">
        <v>1489</v>
      </c>
      <c r="AB26" s="951" t="e">
        <f>SUM(total_TeD_up_rod_opcao1_CH4,total_TeD_up_rod_opcao2_CH4,total_TeD_up_rod_opcao3_CH4,total_TeD_up_ferro_CH4,total_TeD_up_hidro_CH4,total_TeD_up_aero_CH4)</f>
        <v>#REF!</v>
      </c>
      <c r="AC26" s="951" t="e">
        <f>AB26*gwp_CH4</f>
        <v>#REF!</v>
      </c>
      <c r="AD26" s="951" t="e">
        <f>SUM(total_RS_aterro_CH4_E3,total_RS_compost_CH4_E3,total_RS_incin_CH4_E3,total_EFL_CH4_E3)</f>
        <v>#REF!</v>
      </c>
      <c r="AE26" s="951" t="e">
        <f>AD26*gwp_CH4</f>
        <v>#REF!</v>
      </c>
      <c r="AF26" s="952" t="e">
        <f>SUM(total_VN_aviao_CH4_E3,total_VN_automov_CH4_E3,total_VN_ônibus_CH4_E3,total_VN_trem_CH4_E3)/1000</f>
        <v>#REF!</v>
      </c>
      <c r="AG26" s="952" t="e">
        <f>AF26*gwp_CH4</f>
        <v>#REF!</v>
      </c>
      <c r="AH26" s="951" t="e">
        <f>SUM(total_TeD_down_rod_opcao1_CH4,total_TeD_down_rod_opcao2_CH4,total_TeD_down_rod_opcao3_CH4,total_TeD_down_ferro_CH4,total_TeD_down_hidro_CH4,total_TeD_down_aero_CH4)</f>
        <v>#REF!</v>
      </c>
      <c r="AI26" s="952" t="e">
        <f>AH26*gwp_CH4</f>
        <v>#REF!</v>
      </c>
    </row>
    <row r="27" spans="2:35" s="237" customFormat="1" ht="15" customHeight="1" x14ac:dyDescent="0.25">
      <c r="B27" s="596" t="s">
        <v>1490</v>
      </c>
      <c r="C27" s="1198"/>
      <c r="D27" s="1140">
        <f>ROUND(C27,6)*gwp_N2O</f>
        <v>0</v>
      </c>
      <c r="E27" s="1139"/>
      <c r="F27" s="1140">
        <f>ROUND(E27,6)*gwp_N2O</f>
        <v>0</v>
      </c>
      <c r="G27" s="1158"/>
      <c r="H27" s="1140">
        <f>ROUND(G27,6)*gwp_N2O</f>
        <v>0</v>
      </c>
      <c r="I27" s="1158">
        <f>total_TeD_up_rod_opcao2_N2O+total_TeD_up_rod_opcao3_N2O+total_TeD_up_ferro_N2O+total_TeD_up_hidro_N2O+total_TeD_up_aero_N2O</f>
        <v>0</v>
      </c>
      <c r="J27" s="1140">
        <f>ROUND(I27,6)*gwp_N2O</f>
        <v>0</v>
      </c>
      <c r="AA27" s="596" t="s">
        <v>1490</v>
      </c>
      <c r="AB27" s="951" t="e">
        <f>SUM(total_TeD_up_rod_opcao1_N2O,total_TeD_up_rod_opcao2_N2O,total_TeD_up_rod_opcao3_N2O,total_TeD_up_ferro_N2O,total_TeD_up_hidro_N2O,total_TeD_up_aero_N2O)</f>
        <v>#REF!</v>
      </c>
      <c r="AC27" s="951" t="e">
        <f>AB27*gwp_N2O</f>
        <v>#REF!</v>
      </c>
      <c r="AD27" s="951">
        <f>IF(ISERROR(SUM(total_RS_compost_N2O_E3,total_RS_incin_N2O_E3,total_EFL_N2O_E3)),0,SUM(total_RS_compost_N2O_E3,total_RS_incin_N2O_E3,total_EFL_N2O_E3))</f>
        <v>0</v>
      </c>
      <c r="AE27" s="951">
        <f>AD27*gwp_N2O</f>
        <v>0</v>
      </c>
      <c r="AF27" s="952" t="e">
        <f>SUM(total_VN_aviao_N2O_E3,total_VN_automov_N2O_E3,total_VN_ônibus_N2O_E3,total_VN_trem_N2O_E3)/1000</f>
        <v>#REF!</v>
      </c>
      <c r="AG27" s="952" t="e">
        <f>AF27*gwp_N2O</f>
        <v>#REF!</v>
      </c>
      <c r="AH27" s="951" t="e">
        <f>SUM(total_TeD_down_rod_opcao1_N2O,total_TeD_down_rod_opcao2_N2O,total_TeD_down_rod_opcao3_N2O,total_TeD_down_ferro_N2O,total_TeD_down_hidro_N2O,total_TeD_down_aero_N2O)</f>
        <v>#REF!</v>
      </c>
      <c r="AI27" s="952" t="e">
        <f>AH27*gwp_N2O</f>
        <v>#REF!</v>
      </c>
    </row>
    <row r="28" spans="2:35" s="237" customFormat="1" ht="15" customHeight="1" x14ac:dyDescent="0.25">
      <c r="B28" s="596" t="s">
        <v>224</v>
      </c>
      <c r="C28" s="1141">
        <f t="shared" ref="C28" si="0">SUM(C29:C47)</f>
        <v>0</v>
      </c>
      <c r="D28" s="1141">
        <f>SUM(D29:D47)</f>
        <v>0</v>
      </c>
      <c r="E28" s="1141">
        <f t="shared" ref="E28" si="1">SUM(E29:E47)</f>
        <v>0</v>
      </c>
      <c r="F28" s="1141">
        <f t="shared" ref="F28:G28" si="2">SUM(F29:F47)</f>
        <v>0</v>
      </c>
      <c r="G28" s="1141">
        <f t="shared" si="2"/>
        <v>0</v>
      </c>
      <c r="H28" s="1141">
        <f t="shared" ref="H28:I28" si="3">SUM(H29:H47)</f>
        <v>0</v>
      </c>
      <c r="I28" s="1142">
        <f t="shared" si="3"/>
        <v>0</v>
      </c>
      <c r="J28" s="1141">
        <f t="shared" ref="J28" si="4">SUM(J29:J47)</f>
        <v>0</v>
      </c>
      <c r="AA28" s="596" t="s">
        <v>224</v>
      </c>
      <c r="AB28" s="954"/>
      <c r="AC28" s="954"/>
      <c r="AD28" s="954"/>
      <c r="AE28" s="954"/>
      <c r="AF28" s="954"/>
      <c r="AG28" s="954"/>
      <c r="AH28" s="954"/>
      <c r="AI28" s="954"/>
    </row>
    <row r="29" spans="2:35" s="237" customFormat="1" ht="16.5" customHeight="1" outlineLevel="1" x14ac:dyDescent="0.25">
      <c r="B29" s="596" t="s">
        <v>85</v>
      </c>
      <c r="C29" s="1198"/>
      <c r="D29" s="1141">
        <f>ROUND(C29,6)*'Fatores de Emissão'!$E$238</f>
        <v>0</v>
      </c>
      <c r="E29" s="1198"/>
      <c r="F29" s="1141">
        <f>ROUND(E29,6)*'Fatores de Emissão'!$E$238</f>
        <v>0</v>
      </c>
      <c r="G29" s="1158"/>
      <c r="H29" s="1141">
        <f>ROUND(G29,6)*'Fatores de Emissão'!$E$238</f>
        <v>0</v>
      </c>
      <c r="I29" s="1142"/>
      <c r="J29" s="1141">
        <f>ROUND(I29,6)*'Fatores de Emissão'!$E$238</f>
        <v>0</v>
      </c>
      <c r="AA29" s="596" t="s">
        <v>85</v>
      </c>
      <c r="AB29" s="954"/>
      <c r="AC29" s="954"/>
      <c r="AD29" s="954"/>
      <c r="AE29" s="954"/>
      <c r="AF29" s="954"/>
      <c r="AG29" s="954"/>
      <c r="AH29" s="954"/>
      <c r="AI29" s="954"/>
    </row>
    <row r="30" spans="2:35" s="237" customFormat="1" ht="16.5" customHeight="1" outlineLevel="1" x14ac:dyDescent="0.25">
      <c r="B30" s="596" t="s">
        <v>86</v>
      </c>
      <c r="C30" s="1198"/>
      <c r="D30" s="1141">
        <f>ROUND(C30,6)*'Fatores de Emissão'!$E$239</f>
        <v>0</v>
      </c>
      <c r="E30" s="1198"/>
      <c r="F30" s="1141">
        <f>ROUND(E30,6)*'Fatores de Emissão'!$E$239</f>
        <v>0</v>
      </c>
      <c r="G30" s="1158"/>
      <c r="H30" s="1141">
        <f>ROUND(G30,6)*'Fatores de Emissão'!$E$239</f>
        <v>0</v>
      </c>
      <c r="I30" s="1142"/>
      <c r="J30" s="1141">
        <f>ROUND(I30,6)*'Fatores de Emissão'!$E$239</f>
        <v>0</v>
      </c>
      <c r="AA30" s="596" t="s">
        <v>86</v>
      </c>
      <c r="AB30" s="954"/>
      <c r="AC30" s="954"/>
      <c r="AD30" s="954"/>
      <c r="AE30" s="954"/>
      <c r="AF30" s="954"/>
      <c r="AG30" s="954"/>
      <c r="AH30" s="954"/>
      <c r="AI30" s="954"/>
    </row>
    <row r="31" spans="2:35" s="237" customFormat="1" ht="16.5" customHeight="1" outlineLevel="1" x14ac:dyDescent="0.25">
      <c r="B31" s="596" t="s">
        <v>285</v>
      </c>
      <c r="C31" s="1198"/>
      <c r="D31" s="1141">
        <f>ROUND(C31,6)*'Fatores de Emissão'!$E$240</f>
        <v>0</v>
      </c>
      <c r="E31" s="1198"/>
      <c r="F31" s="1141">
        <f>ROUND(E31,6)*'Fatores de Emissão'!$E$240</f>
        <v>0</v>
      </c>
      <c r="G31" s="1158"/>
      <c r="H31" s="1141">
        <f>ROUND(G31,6)*'Fatores de Emissão'!$E$240</f>
        <v>0</v>
      </c>
      <c r="I31" s="1142"/>
      <c r="J31" s="1141">
        <f>ROUND(I31,6)*'Fatores de Emissão'!$E$240</f>
        <v>0</v>
      </c>
      <c r="AA31" s="596" t="s">
        <v>285</v>
      </c>
      <c r="AB31" s="954"/>
      <c r="AC31" s="954"/>
      <c r="AD31" s="954"/>
      <c r="AE31" s="954"/>
      <c r="AF31" s="954"/>
      <c r="AG31" s="954"/>
      <c r="AH31" s="954"/>
      <c r="AI31" s="954"/>
    </row>
    <row r="32" spans="2:35" s="237" customFormat="1" ht="16.5" customHeight="1" outlineLevel="1" x14ac:dyDescent="0.25">
      <c r="B32" s="596" t="s">
        <v>87</v>
      </c>
      <c r="C32" s="1198"/>
      <c r="D32" s="1141">
        <f>ROUND(C32,6)*'Fatores de Emissão'!$E$241</f>
        <v>0</v>
      </c>
      <c r="E32" s="1198"/>
      <c r="F32" s="1141">
        <f>ROUND(E32,6)*'Fatores de Emissão'!$E$241</f>
        <v>0</v>
      </c>
      <c r="G32" s="1158"/>
      <c r="H32" s="1141">
        <f>ROUND(G32,6)*'Fatores de Emissão'!$E$241</f>
        <v>0</v>
      </c>
      <c r="I32" s="1142"/>
      <c r="J32" s="1141">
        <f>ROUND(I32,6)*'Fatores de Emissão'!$E$241</f>
        <v>0</v>
      </c>
      <c r="AA32" s="596" t="s">
        <v>87</v>
      </c>
      <c r="AB32" s="954"/>
      <c r="AC32" s="954"/>
      <c r="AD32" s="954"/>
      <c r="AE32" s="954"/>
      <c r="AF32" s="954"/>
      <c r="AG32" s="954"/>
      <c r="AH32" s="954"/>
      <c r="AI32" s="954"/>
    </row>
    <row r="33" spans="1:35" s="237" customFormat="1" ht="16.5" customHeight="1" outlineLevel="1" x14ac:dyDescent="0.25">
      <c r="B33" s="596" t="s">
        <v>287</v>
      </c>
      <c r="C33" s="1198"/>
      <c r="D33" s="1141">
        <f>ROUND(C33,6)*'Fatores de Emissão'!$E$242</f>
        <v>0</v>
      </c>
      <c r="E33" s="1198"/>
      <c r="F33" s="1141">
        <f>ROUND(E33,6)*'Fatores de Emissão'!$E$242</f>
        <v>0</v>
      </c>
      <c r="G33" s="1158"/>
      <c r="H33" s="1141">
        <f>ROUND(G33,6)*'Fatores de Emissão'!$E$242</f>
        <v>0</v>
      </c>
      <c r="I33" s="1142"/>
      <c r="J33" s="1141">
        <f>ROUND(I33,6)*'Fatores de Emissão'!$E$242</f>
        <v>0</v>
      </c>
      <c r="AA33" s="596" t="s">
        <v>287</v>
      </c>
      <c r="AB33" s="954"/>
      <c r="AC33" s="954"/>
      <c r="AD33" s="954"/>
      <c r="AE33" s="954"/>
      <c r="AF33" s="954"/>
      <c r="AG33" s="954"/>
      <c r="AH33" s="954"/>
      <c r="AI33" s="954"/>
    </row>
    <row r="34" spans="1:35" s="237" customFormat="1" ht="16.5" customHeight="1" outlineLevel="1" x14ac:dyDescent="0.25">
      <c r="B34" s="596" t="s">
        <v>88</v>
      </c>
      <c r="C34" s="1198"/>
      <c r="D34" s="1141">
        <f>ROUND(C34,6)*'Fatores de Emissão'!$E$243</f>
        <v>0</v>
      </c>
      <c r="E34" s="1198"/>
      <c r="F34" s="1141">
        <f>ROUND(E34,6)*'Fatores de Emissão'!$E$243</f>
        <v>0</v>
      </c>
      <c r="G34" s="1158"/>
      <c r="H34" s="1141">
        <f>ROUND(G34,6)*'Fatores de Emissão'!$E$243</f>
        <v>0</v>
      </c>
      <c r="I34" s="1142"/>
      <c r="J34" s="1141">
        <f>ROUND(I34,6)*'Fatores de Emissão'!$E$243</f>
        <v>0</v>
      </c>
      <c r="AA34" s="596" t="s">
        <v>88</v>
      </c>
      <c r="AB34" s="954"/>
      <c r="AC34" s="954"/>
      <c r="AD34" s="954"/>
      <c r="AE34" s="954"/>
      <c r="AF34" s="954"/>
      <c r="AG34" s="954"/>
      <c r="AH34" s="954"/>
      <c r="AI34" s="954"/>
    </row>
    <row r="35" spans="1:35" s="237" customFormat="1" ht="16.5" customHeight="1" outlineLevel="1" x14ac:dyDescent="0.25">
      <c r="B35" s="596" t="s">
        <v>288</v>
      </c>
      <c r="C35" s="1198"/>
      <c r="D35" s="1141">
        <f>ROUND(C35,6)*'Fatores de Emissão'!$E$244</f>
        <v>0</v>
      </c>
      <c r="E35" s="1198"/>
      <c r="F35" s="1141">
        <f>ROUND(E35,6)*'Fatores de Emissão'!$E$244</f>
        <v>0</v>
      </c>
      <c r="G35" s="1158"/>
      <c r="H35" s="1141">
        <f>ROUND(G35,6)*'Fatores de Emissão'!$E$244</f>
        <v>0</v>
      </c>
      <c r="I35" s="1142"/>
      <c r="J35" s="1141">
        <f>ROUND(I35,6)*'Fatores de Emissão'!$E$244</f>
        <v>0</v>
      </c>
      <c r="AA35" s="596" t="s">
        <v>288</v>
      </c>
      <c r="AB35" s="954"/>
      <c r="AC35" s="954"/>
      <c r="AD35" s="954"/>
      <c r="AE35" s="954"/>
      <c r="AF35" s="954"/>
      <c r="AG35" s="954"/>
      <c r="AH35" s="954"/>
      <c r="AI35" s="954"/>
    </row>
    <row r="36" spans="1:35" s="237" customFormat="1" ht="16.5" customHeight="1" outlineLevel="1" x14ac:dyDescent="0.25">
      <c r="B36" s="596" t="s">
        <v>107</v>
      </c>
      <c r="C36" s="1198"/>
      <c r="D36" s="1141">
        <f>ROUND(C36,6)*'Fatores de Emissão'!$E$245</f>
        <v>0</v>
      </c>
      <c r="E36" s="1198"/>
      <c r="F36" s="1141">
        <f>ROUND(E36,6)*'Fatores de Emissão'!$E$245</f>
        <v>0</v>
      </c>
      <c r="G36" s="1158"/>
      <c r="H36" s="1141">
        <f>ROUND(G36,6)*'Fatores de Emissão'!$E$245</f>
        <v>0</v>
      </c>
      <c r="I36" s="1142"/>
      <c r="J36" s="1141">
        <f>ROUND(I36,6)*'Fatores de Emissão'!$E$245</f>
        <v>0</v>
      </c>
      <c r="AA36" s="596" t="s">
        <v>107</v>
      </c>
      <c r="AB36" s="954"/>
      <c r="AC36" s="954"/>
      <c r="AD36" s="954"/>
      <c r="AE36" s="954"/>
      <c r="AF36" s="954"/>
      <c r="AG36" s="954"/>
      <c r="AH36" s="954"/>
      <c r="AI36" s="954"/>
    </row>
    <row r="37" spans="1:35" s="237" customFormat="1" ht="16.5" customHeight="1" outlineLevel="1" x14ac:dyDescent="0.25">
      <c r="B37" s="596" t="s">
        <v>289</v>
      </c>
      <c r="C37" s="1198"/>
      <c r="D37" s="1141">
        <f>ROUND(C37,6)*'Fatores de Emissão'!$E$246</f>
        <v>0</v>
      </c>
      <c r="E37" s="1198"/>
      <c r="F37" s="1141">
        <f>ROUND(E37,6)*'Fatores de Emissão'!$E$246</f>
        <v>0</v>
      </c>
      <c r="G37" s="1158"/>
      <c r="H37" s="1141">
        <f>ROUND(G37,6)*'Fatores de Emissão'!$E$246</f>
        <v>0</v>
      </c>
      <c r="I37" s="1142"/>
      <c r="J37" s="1141">
        <f>ROUND(I37,6)*'Fatores de Emissão'!$E$246</f>
        <v>0</v>
      </c>
      <c r="AA37" s="596" t="s">
        <v>289</v>
      </c>
      <c r="AB37" s="954"/>
      <c r="AC37" s="954"/>
      <c r="AD37" s="954"/>
      <c r="AE37" s="954"/>
      <c r="AF37" s="954"/>
      <c r="AG37" s="954"/>
      <c r="AH37" s="954"/>
      <c r="AI37" s="954"/>
    </row>
    <row r="38" spans="1:35" s="237" customFormat="1" ht="16.5" customHeight="1" outlineLevel="1" x14ac:dyDescent="0.25">
      <c r="B38" s="596" t="s">
        <v>108</v>
      </c>
      <c r="C38" s="1198"/>
      <c r="D38" s="1141">
        <f>ROUND(C38,6)*'Fatores de Emissão'!$E$247</f>
        <v>0</v>
      </c>
      <c r="E38" s="1198"/>
      <c r="F38" s="1141">
        <f>ROUND(E38,6)*'Fatores de Emissão'!$E$247</f>
        <v>0</v>
      </c>
      <c r="G38" s="1158"/>
      <c r="H38" s="1141">
        <f>ROUND(G38,6)*'Fatores de Emissão'!$E$247</f>
        <v>0</v>
      </c>
      <c r="I38" s="1142"/>
      <c r="J38" s="1141">
        <f>ROUND(I38,6)*'Fatores de Emissão'!$E$247</f>
        <v>0</v>
      </c>
      <c r="AA38" s="596" t="s">
        <v>108</v>
      </c>
      <c r="AB38" s="954"/>
      <c r="AC38" s="954"/>
      <c r="AD38" s="954"/>
      <c r="AE38" s="954"/>
      <c r="AF38" s="954"/>
      <c r="AG38" s="954"/>
      <c r="AH38" s="954"/>
      <c r="AI38" s="954"/>
    </row>
    <row r="39" spans="1:35" s="237" customFormat="1" ht="16.5" customHeight="1" outlineLevel="1" x14ac:dyDescent="0.25">
      <c r="B39" s="596" t="s">
        <v>290</v>
      </c>
      <c r="C39" s="1198"/>
      <c r="D39" s="1141">
        <f>ROUND(C39,6)*'Fatores de Emissão'!$E$248</f>
        <v>0</v>
      </c>
      <c r="E39" s="1198"/>
      <c r="F39" s="1141">
        <f>ROUND(E39,6)*'Fatores de Emissão'!$E$248</f>
        <v>0</v>
      </c>
      <c r="G39" s="1158"/>
      <c r="H39" s="1141">
        <f>ROUND(G39,6)*'Fatores de Emissão'!$E$248</f>
        <v>0</v>
      </c>
      <c r="I39" s="1142"/>
      <c r="J39" s="1141">
        <f>ROUND(I39,6)*'Fatores de Emissão'!$E$248</f>
        <v>0</v>
      </c>
      <c r="AA39" s="596" t="s">
        <v>290</v>
      </c>
      <c r="AB39" s="954"/>
      <c r="AC39" s="954"/>
      <c r="AD39" s="954"/>
      <c r="AE39" s="954"/>
      <c r="AF39" s="954"/>
      <c r="AG39" s="954"/>
      <c r="AH39" s="954"/>
      <c r="AI39" s="954"/>
    </row>
    <row r="40" spans="1:35" s="237" customFormat="1" ht="16.5" customHeight="1" outlineLevel="1" x14ac:dyDescent="0.25">
      <c r="B40" s="596" t="s">
        <v>291</v>
      </c>
      <c r="C40" s="1198"/>
      <c r="D40" s="1141">
        <f>ROUND(C40,6)*'Fatores de Emissão'!$E$249</f>
        <v>0</v>
      </c>
      <c r="E40" s="1198"/>
      <c r="F40" s="1141">
        <f>ROUND(E40,6)*'Fatores de Emissão'!$E$249</f>
        <v>0</v>
      </c>
      <c r="G40" s="1158"/>
      <c r="H40" s="1141">
        <f>ROUND(G40,6)*'Fatores de Emissão'!$E$249</f>
        <v>0</v>
      </c>
      <c r="I40" s="1142"/>
      <c r="J40" s="1141">
        <f>ROUND(I40,6)*'Fatores de Emissão'!$E$249</f>
        <v>0</v>
      </c>
      <c r="AA40" s="596" t="s">
        <v>291</v>
      </c>
      <c r="AB40" s="954"/>
      <c r="AC40" s="954"/>
      <c r="AD40" s="954"/>
      <c r="AE40" s="954"/>
      <c r="AF40" s="954"/>
      <c r="AG40" s="954"/>
      <c r="AH40" s="954"/>
      <c r="AI40" s="954"/>
    </row>
    <row r="41" spans="1:35" s="237" customFormat="1" ht="16.5" customHeight="1" outlineLevel="1" x14ac:dyDescent="0.25">
      <c r="B41" s="596" t="s">
        <v>292</v>
      </c>
      <c r="C41" s="1198"/>
      <c r="D41" s="1141">
        <f>ROUND(C41,6)*'Fatores de Emissão'!$E$250</f>
        <v>0</v>
      </c>
      <c r="E41" s="1198"/>
      <c r="F41" s="1141">
        <f>ROUND(E41,6)*'Fatores de Emissão'!$E$250</f>
        <v>0</v>
      </c>
      <c r="G41" s="1158"/>
      <c r="H41" s="1141">
        <f>ROUND(G41,6)*'Fatores de Emissão'!$E$250</f>
        <v>0</v>
      </c>
      <c r="I41" s="1142"/>
      <c r="J41" s="1141">
        <f>ROUND(I41,6)*'Fatores de Emissão'!$E$250</f>
        <v>0</v>
      </c>
      <c r="AA41" s="596" t="s">
        <v>292</v>
      </c>
      <c r="AB41" s="954"/>
      <c r="AC41" s="954"/>
      <c r="AD41" s="954"/>
      <c r="AE41" s="954"/>
      <c r="AF41" s="954"/>
      <c r="AG41" s="954"/>
      <c r="AH41" s="954"/>
      <c r="AI41" s="954"/>
    </row>
    <row r="42" spans="1:35" s="237" customFormat="1" ht="16.5" customHeight="1" outlineLevel="1" x14ac:dyDescent="0.25">
      <c r="B42" s="596" t="s">
        <v>293</v>
      </c>
      <c r="C42" s="1198"/>
      <c r="D42" s="1141">
        <f>ROUND(C42,6)*'Fatores de Emissão'!$E$251</f>
        <v>0</v>
      </c>
      <c r="E42" s="1198"/>
      <c r="F42" s="1141">
        <f>ROUND(E42,6)*'Fatores de Emissão'!$E$251</f>
        <v>0</v>
      </c>
      <c r="G42" s="1158"/>
      <c r="H42" s="1141">
        <f>ROUND(G42,6)*'Fatores de Emissão'!$E$251</f>
        <v>0</v>
      </c>
      <c r="I42" s="1142"/>
      <c r="J42" s="1141">
        <f>ROUND(I42,6)*'Fatores de Emissão'!$E$251</f>
        <v>0</v>
      </c>
      <c r="AA42" s="596" t="s">
        <v>293</v>
      </c>
      <c r="AB42" s="954"/>
      <c r="AC42" s="954"/>
      <c r="AD42" s="954"/>
      <c r="AE42" s="954"/>
      <c r="AF42" s="954"/>
      <c r="AG42" s="954"/>
      <c r="AH42" s="954"/>
      <c r="AI42" s="954"/>
    </row>
    <row r="43" spans="1:35" s="237" customFormat="1" ht="16.5" customHeight="1" outlineLevel="1" x14ac:dyDescent="0.25">
      <c r="B43" s="596" t="s">
        <v>109</v>
      </c>
      <c r="C43" s="1198"/>
      <c r="D43" s="1141">
        <f>ROUND(C43,6)*'Fatores de Emissão'!$E$252</f>
        <v>0</v>
      </c>
      <c r="E43" s="1198"/>
      <c r="F43" s="1141">
        <f>ROUND(E43,6)*'Fatores de Emissão'!$E$252</f>
        <v>0</v>
      </c>
      <c r="G43" s="1158"/>
      <c r="H43" s="1141">
        <f>ROUND(G43,6)*'Fatores de Emissão'!$E$252</f>
        <v>0</v>
      </c>
      <c r="I43" s="1142"/>
      <c r="J43" s="1141">
        <f>ROUND(I43,6)*'Fatores de Emissão'!$E$252</f>
        <v>0</v>
      </c>
      <c r="AA43" s="596" t="s">
        <v>109</v>
      </c>
      <c r="AB43" s="954"/>
      <c r="AC43" s="954"/>
      <c r="AD43" s="954"/>
      <c r="AE43" s="954"/>
      <c r="AF43" s="954"/>
      <c r="AG43" s="954"/>
      <c r="AH43" s="954"/>
      <c r="AI43" s="954"/>
    </row>
    <row r="44" spans="1:35" s="237" customFormat="1" ht="16.5" customHeight="1" outlineLevel="1" x14ac:dyDescent="0.25">
      <c r="B44" s="596" t="s">
        <v>294</v>
      </c>
      <c r="C44" s="1198"/>
      <c r="D44" s="1141">
        <f>ROUND(C44,6)*'Fatores de Emissão'!$E$253</f>
        <v>0</v>
      </c>
      <c r="E44" s="1198"/>
      <c r="F44" s="1141">
        <f>ROUND(E44,6)*'Fatores de Emissão'!$E$253</f>
        <v>0</v>
      </c>
      <c r="G44" s="1158"/>
      <c r="H44" s="1141">
        <f>ROUND(G44,6)*'Fatores de Emissão'!$E$253</f>
        <v>0</v>
      </c>
      <c r="I44" s="1142"/>
      <c r="J44" s="1141">
        <f>ROUND(I44,6)*'Fatores de Emissão'!$E$253</f>
        <v>0</v>
      </c>
      <c r="AA44" s="596" t="s">
        <v>294</v>
      </c>
      <c r="AB44" s="954"/>
      <c r="AC44" s="954"/>
      <c r="AD44" s="954"/>
      <c r="AE44" s="954"/>
      <c r="AF44" s="954"/>
      <c r="AG44" s="954"/>
      <c r="AH44" s="954"/>
      <c r="AI44" s="954"/>
    </row>
    <row r="45" spans="1:35" s="237" customFormat="1" ht="16.5" customHeight="1" outlineLevel="1" x14ac:dyDescent="0.25">
      <c r="B45" s="596" t="s">
        <v>295</v>
      </c>
      <c r="C45" s="1198"/>
      <c r="D45" s="1141">
        <f>ROUND(C45,6)*'Fatores de Emissão'!$E$254</f>
        <v>0</v>
      </c>
      <c r="E45" s="1198"/>
      <c r="F45" s="1141">
        <f>ROUND(E45,6)*'Fatores de Emissão'!$E$254</f>
        <v>0</v>
      </c>
      <c r="G45" s="1158"/>
      <c r="H45" s="1141">
        <f>ROUND(G45,6)*'Fatores de Emissão'!$E$254</f>
        <v>0</v>
      </c>
      <c r="I45" s="1142"/>
      <c r="J45" s="1141">
        <f>ROUND(I45,6)*'Fatores de Emissão'!$E$254</f>
        <v>0</v>
      </c>
      <c r="AA45" s="596" t="s">
        <v>295</v>
      </c>
      <c r="AB45" s="954"/>
      <c r="AC45" s="954"/>
      <c r="AD45" s="954"/>
      <c r="AE45" s="954"/>
      <c r="AF45" s="954"/>
      <c r="AG45" s="954"/>
      <c r="AH45" s="954"/>
      <c r="AI45" s="954"/>
    </row>
    <row r="46" spans="1:35" s="237" customFormat="1" ht="16.5" customHeight="1" outlineLevel="1" x14ac:dyDescent="0.25">
      <c r="B46" s="596" t="s">
        <v>296</v>
      </c>
      <c r="C46" s="1198"/>
      <c r="D46" s="1141">
        <f>ROUND(C46,6)*'Fatores de Emissão'!$E$255</f>
        <v>0</v>
      </c>
      <c r="E46" s="1198"/>
      <c r="F46" s="1141">
        <f>ROUND(E46,6)*'Fatores de Emissão'!$E$255</f>
        <v>0</v>
      </c>
      <c r="G46" s="1158"/>
      <c r="H46" s="1141">
        <f>ROUND(G46,6)*'Fatores de Emissão'!$E$255</f>
        <v>0</v>
      </c>
      <c r="I46" s="1142"/>
      <c r="J46" s="1141">
        <f>ROUND(I46,6)*'Fatores de Emissão'!$E$255</f>
        <v>0</v>
      </c>
      <c r="AA46" s="596" t="s">
        <v>296</v>
      </c>
      <c r="AB46" s="954"/>
      <c r="AC46" s="954"/>
      <c r="AD46" s="954"/>
      <c r="AE46" s="954"/>
      <c r="AF46" s="954"/>
      <c r="AG46" s="954"/>
      <c r="AH46" s="954"/>
      <c r="AI46" s="954"/>
    </row>
    <row r="47" spans="1:35" s="237" customFormat="1" ht="16.5" customHeight="1" outlineLevel="1" x14ac:dyDescent="0.25">
      <c r="B47" s="596" t="s">
        <v>286</v>
      </c>
      <c r="C47" s="1198"/>
      <c r="D47" s="1141">
        <f>ROUND(C47,6)*'Fatores de Emissão'!$E$256</f>
        <v>0</v>
      </c>
      <c r="E47" s="1198"/>
      <c r="F47" s="1141">
        <f>ROUND(E47,6)*'Fatores de Emissão'!$E$256</f>
        <v>0</v>
      </c>
      <c r="G47" s="1158"/>
      <c r="H47" s="1141">
        <f>ROUND(G47,6)*'Fatores de Emissão'!$E$256</f>
        <v>0</v>
      </c>
      <c r="I47" s="1142"/>
      <c r="J47" s="1141">
        <f>ROUND(I47,6)*'Fatores de Emissão'!$E$256</f>
        <v>0</v>
      </c>
      <c r="AA47" s="596" t="s">
        <v>286</v>
      </c>
      <c r="AB47" s="954"/>
      <c r="AC47" s="954"/>
      <c r="AD47" s="954"/>
      <c r="AE47" s="954"/>
      <c r="AF47" s="954"/>
      <c r="AG47" s="954"/>
      <c r="AH47" s="954"/>
      <c r="AI47" s="954"/>
    </row>
    <row r="48" spans="1:35" s="622" customFormat="1" ht="15" customHeight="1" x14ac:dyDescent="0.25">
      <c r="A48" s="237"/>
      <c r="B48" s="596" t="s">
        <v>225</v>
      </c>
      <c r="C48" s="1141">
        <f>SUM(C49:C58)</f>
        <v>0</v>
      </c>
      <c r="D48" s="1141">
        <f t="shared" ref="D48" si="5">SUM(D49:D58)</f>
        <v>0</v>
      </c>
      <c r="E48" s="1141">
        <f t="shared" ref="E48" si="6">SUM(E49:E58)</f>
        <v>0</v>
      </c>
      <c r="F48" s="1141">
        <f t="shared" ref="F48:G48" si="7">SUM(F49:F58)</f>
        <v>0</v>
      </c>
      <c r="G48" s="1158">
        <f t="shared" si="7"/>
        <v>0</v>
      </c>
      <c r="H48" s="1141">
        <f t="shared" ref="H48:I48" si="8">SUM(H49:H58)</f>
        <v>0</v>
      </c>
      <c r="I48" s="1142">
        <f t="shared" si="8"/>
        <v>0</v>
      </c>
      <c r="J48" s="1141">
        <f t="shared" ref="J48" si="9">SUM(J49:J58)</f>
        <v>0</v>
      </c>
      <c r="AA48" s="596" t="s">
        <v>225</v>
      </c>
      <c r="AB48" s="954"/>
      <c r="AC48" s="954"/>
      <c r="AD48" s="954"/>
      <c r="AE48" s="954"/>
      <c r="AF48" s="954"/>
      <c r="AG48" s="954"/>
      <c r="AH48" s="954"/>
      <c r="AI48" s="954"/>
    </row>
    <row r="49" spans="1:35" s="622" customFormat="1" ht="16.5" customHeight="1" outlineLevel="1" x14ac:dyDescent="0.25">
      <c r="A49" s="237"/>
      <c r="B49" s="596" t="s">
        <v>458</v>
      </c>
      <c r="C49" s="1198"/>
      <c r="D49" s="1141">
        <f>ROUND(C49,6)*'Fatores de Emissão'!$E$259</f>
        <v>0</v>
      </c>
      <c r="E49" s="1198"/>
      <c r="F49" s="1141">
        <f>ROUND(E49,6)*'Fatores de Emissão'!$E$259</f>
        <v>0</v>
      </c>
      <c r="G49" s="1158"/>
      <c r="H49" s="1141">
        <f>ROUND(G49,6)*'Fatores de Emissão'!$E$259</f>
        <v>0</v>
      </c>
      <c r="I49" s="1142"/>
      <c r="J49" s="1141">
        <f>ROUND(I49,6)*'Fatores de Emissão'!$E$259</f>
        <v>0</v>
      </c>
      <c r="AA49" s="596" t="s">
        <v>458</v>
      </c>
      <c r="AB49" s="954"/>
      <c r="AC49" s="954"/>
      <c r="AD49" s="954"/>
      <c r="AE49" s="954"/>
      <c r="AF49" s="954"/>
      <c r="AG49" s="954"/>
      <c r="AH49" s="954"/>
      <c r="AI49" s="954"/>
    </row>
    <row r="50" spans="1:35" s="622" customFormat="1" ht="16.5" customHeight="1" outlineLevel="1" x14ac:dyDescent="0.25">
      <c r="A50" s="237"/>
      <c r="B50" s="596" t="s">
        <v>459</v>
      </c>
      <c r="C50" s="1198"/>
      <c r="D50" s="1141">
        <f>ROUND(C50,6)*'Fatores de Emissão'!$E$260</f>
        <v>0</v>
      </c>
      <c r="E50" s="1198"/>
      <c r="F50" s="1141">
        <f>ROUND(E50,6)*'Fatores de Emissão'!$E$260</f>
        <v>0</v>
      </c>
      <c r="G50" s="1158"/>
      <c r="H50" s="1141">
        <f>ROUND(G50,6)*'Fatores de Emissão'!$E$260</f>
        <v>0</v>
      </c>
      <c r="I50" s="1142"/>
      <c r="J50" s="1141">
        <f>ROUND(I50,6)*'Fatores de Emissão'!$E$260</f>
        <v>0</v>
      </c>
      <c r="AA50" s="596" t="s">
        <v>459</v>
      </c>
      <c r="AB50" s="954"/>
      <c r="AC50" s="954"/>
      <c r="AD50" s="954"/>
      <c r="AE50" s="954"/>
      <c r="AF50" s="954"/>
      <c r="AG50" s="954"/>
      <c r="AH50" s="954"/>
      <c r="AI50" s="954"/>
    </row>
    <row r="51" spans="1:35" s="622" customFormat="1" ht="16.5" customHeight="1" outlineLevel="1" x14ac:dyDescent="0.25">
      <c r="A51" s="237"/>
      <c r="B51" s="596" t="s">
        <v>460</v>
      </c>
      <c r="C51" s="1198"/>
      <c r="D51" s="1141">
        <f>ROUND(C51,6)*'Fatores de Emissão'!$E$261</f>
        <v>0</v>
      </c>
      <c r="E51" s="1198"/>
      <c r="F51" s="1141">
        <f>ROUND(E51,6)*'Fatores de Emissão'!$E$261</f>
        <v>0</v>
      </c>
      <c r="G51" s="1158"/>
      <c r="H51" s="1141">
        <f>ROUND(G51,6)*'Fatores de Emissão'!$E$261</f>
        <v>0</v>
      </c>
      <c r="I51" s="1142"/>
      <c r="J51" s="1141">
        <f>ROUND(I51,6)*'Fatores de Emissão'!$E$261</f>
        <v>0</v>
      </c>
      <c r="AA51" s="596" t="s">
        <v>460</v>
      </c>
      <c r="AB51" s="954"/>
      <c r="AC51" s="954"/>
      <c r="AD51" s="954"/>
      <c r="AE51" s="954"/>
      <c r="AF51" s="954"/>
      <c r="AG51" s="954"/>
      <c r="AH51" s="954"/>
      <c r="AI51" s="954"/>
    </row>
    <row r="52" spans="1:35" s="622" customFormat="1" ht="16.5" customHeight="1" outlineLevel="1" x14ac:dyDescent="0.25">
      <c r="A52" s="237"/>
      <c r="B52" s="596" t="s">
        <v>461</v>
      </c>
      <c r="C52" s="1198"/>
      <c r="D52" s="1141">
        <f>ROUND(C52,6)*'Fatores de Emissão'!$E$262</f>
        <v>0</v>
      </c>
      <c r="E52" s="1198"/>
      <c r="F52" s="1141">
        <f>ROUND(E52,6)*'Fatores de Emissão'!$E$262</f>
        <v>0</v>
      </c>
      <c r="G52" s="1158"/>
      <c r="H52" s="1141">
        <f>ROUND(G52,6)*'Fatores de Emissão'!$E$262</f>
        <v>0</v>
      </c>
      <c r="I52" s="1142"/>
      <c r="J52" s="1141">
        <f>ROUND(I52,6)*'Fatores de Emissão'!$E$262</f>
        <v>0</v>
      </c>
      <c r="AA52" s="596" t="s">
        <v>461</v>
      </c>
      <c r="AB52" s="954"/>
      <c r="AC52" s="954"/>
      <c r="AD52" s="954"/>
      <c r="AE52" s="954"/>
      <c r="AF52" s="954"/>
      <c r="AG52" s="954"/>
      <c r="AH52" s="954"/>
      <c r="AI52" s="954"/>
    </row>
    <row r="53" spans="1:35" s="622" customFormat="1" ht="16.5" customHeight="1" outlineLevel="1" x14ac:dyDescent="0.25">
      <c r="A53" s="237"/>
      <c r="B53" s="596" t="s">
        <v>462</v>
      </c>
      <c r="C53" s="1198"/>
      <c r="D53" s="1141">
        <f>ROUND(C53,6)*'Fatores de Emissão'!$E$263</f>
        <v>0</v>
      </c>
      <c r="E53" s="1198"/>
      <c r="F53" s="1141">
        <f>ROUND(E53,6)*'Fatores de Emissão'!$E$263</f>
        <v>0</v>
      </c>
      <c r="G53" s="1158"/>
      <c r="H53" s="1141">
        <f>ROUND(G53,6)*'Fatores de Emissão'!$E$263</f>
        <v>0</v>
      </c>
      <c r="I53" s="1142"/>
      <c r="J53" s="1141">
        <f>ROUND(I53,6)*'Fatores de Emissão'!$E$263</f>
        <v>0</v>
      </c>
      <c r="AA53" s="596" t="s">
        <v>462</v>
      </c>
      <c r="AB53" s="954"/>
      <c r="AC53" s="954"/>
      <c r="AD53" s="954"/>
      <c r="AE53" s="954"/>
      <c r="AF53" s="954"/>
      <c r="AG53" s="954"/>
      <c r="AH53" s="954"/>
      <c r="AI53" s="954"/>
    </row>
    <row r="54" spans="1:35" s="622" customFormat="1" ht="16.5" customHeight="1" outlineLevel="1" x14ac:dyDescent="0.25">
      <c r="A54" s="237"/>
      <c r="B54" s="596" t="s">
        <v>463</v>
      </c>
      <c r="C54" s="1198"/>
      <c r="D54" s="1141">
        <f>ROUND(C54,6)*'Fatores de Emissão'!$E$264</f>
        <v>0</v>
      </c>
      <c r="E54" s="1198"/>
      <c r="F54" s="1141">
        <f>ROUND(E54,6)*'Fatores de Emissão'!$E$264</f>
        <v>0</v>
      </c>
      <c r="G54" s="1158"/>
      <c r="H54" s="1141">
        <f>ROUND(G54,6)*'Fatores de Emissão'!$E$264</f>
        <v>0</v>
      </c>
      <c r="I54" s="1142"/>
      <c r="J54" s="1141">
        <f>ROUND(I54,6)*'Fatores de Emissão'!$E$264</f>
        <v>0</v>
      </c>
      <c r="AA54" s="596" t="s">
        <v>463</v>
      </c>
      <c r="AB54" s="954"/>
      <c r="AC54" s="954"/>
      <c r="AD54" s="954"/>
      <c r="AE54" s="954"/>
      <c r="AF54" s="954"/>
      <c r="AG54" s="954"/>
      <c r="AH54" s="954"/>
      <c r="AI54" s="954"/>
    </row>
    <row r="55" spans="1:35" s="622" customFormat="1" ht="16.5" customHeight="1" outlineLevel="1" x14ac:dyDescent="0.25">
      <c r="A55" s="237"/>
      <c r="B55" s="596" t="s">
        <v>464</v>
      </c>
      <c r="C55" s="1198"/>
      <c r="D55" s="1141">
        <f>ROUND(C55,6)*'Fatores de Emissão'!$E$265</f>
        <v>0</v>
      </c>
      <c r="E55" s="1198"/>
      <c r="F55" s="1141">
        <f>ROUND(E55,6)*'Fatores de Emissão'!$E$265</f>
        <v>0</v>
      </c>
      <c r="G55" s="1158"/>
      <c r="H55" s="1141">
        <f>ROUND(G55,6)*'Fatores de Emissão'!$E$265</f>
        <v>0</v>
      </c>
      <c r="I55" s="1142"/>
      <c r="J55" s="1141">
        <f>ROUND(I55,6)*'Fatores de Emissão'!$E$265</f>
        <v>0</v>
      </c>
      <c r="AA55" s="596" t="s">
        <v>464</v>
      </c>
      <c r="AB55" s="954"/>
      <c r="AC55" s="954"/>
      <c r="AD55" s="954"/>
      <c r="AE55" s="954"/>
      <c r="AF55" s="954"/>
      <c r="AG55" s="954"/>
      <c r="AH55" s="954"/>
      <c r="AI55" s="954"/>
    </row>
    <row r="56" spans="1:35" s="622" customFormat="1" ht="16.5" customHeight="1" outlineLevel="1" x14ac:dyDescent="0.25">
      <c r="A56" s="237"/>
      <c r="B56" s="596" t="s">
        <v>465</v>
      </c>
      <c r="C56" s="1198"/>
      <c r="D56" s="1141">
        <f>ROUND(C56,6)*'Fatores de Emissão'!$E$266</f>
        <v>0</v>
      </c>
      <c r="E56" s="1198"/>
      <c r="F56" s="1141">
        <f>ROUND(E56,6)*'Fatores de Emissão'!$E$266</f>
        <v>0</v>
      </c>
      <c r="G56" s="1158"/>
      <c r="H56" s="1141">
        <f>ROUND(G56,6)*'Fatores de Emissão'!$E$266</f>
        <v>0</v>
      </c>
      <c r="I56" s="1142"/>
      <c r="J56" s="1141">
        <f>ROUND(I56,6)*'Fatores de Emissão'!$E$266</f>
        <v>0</v>
      </c>
      <c r="AA56" s="596" t="s">
        <v>465</v>
      </c>
      <c r="AB56" s="954"/>
      <c r="AC56" s="954"/>
      <c r="AD56" s="954"/>
      <c r="AE56" s="954"/>
      <c r="AF56" s="954"/>
      <c r="AG56" s="954"/>
      <c r="AH56" s="954"/>
      <c r="AI56" s="954"/>
    </row>
    <row r="57" spans="1:35" s="622" customFormat="1" ht="16.5" customHeight="1" outlineLevel="1" x14ac:dyDescent="0.25">
      <c r="A57" s="237"/>
      <c r="B57" s="596" t="s">
        <v>466</v>
      </c>
      <c r="C57" s="1198"/>
      <c r="D57" s="1141">
        <f>ROUND(C57,6)*'Fatores de Emissão'!$E$267</f>
        <v>0</v>
      </c>
      <c r="E57" s="1198"/>
      <c r="F57" s="1141">
        <f>ROUND(E57,6)*'Fatores de Emissão'!$E$267</f>
        <v>0</v>
      </c>
      <c r="G57" s="1158"/>
      <c r="H57" s="1141">
        <f>ROUND(G57,6)*'Fatores de Emissão'!$E$267</f>
        <v>0</v>
      </c>
      <c r="I57" s="1142"/>
      <c r="J57" s="1141">
        <f>ROUND(I57,6)*'Fatores de Emissão'!$E$267</f>
        <v>0</v>
      </c>
      <c r="AA57" s="596" t="s">
        <v>466</v>
      </c>
      <c r="AB57" s="954"/>
      <c r="AC57" s="954"/>
      <c r="AD57" s="954"/>
      <c r="AE57" s="954"/>
      <c r="AF57" s="954"/>
      <c r="AG57" s="954"/>
      <c r="AH57" s="954"/>
      <c r="AI57" s="954"/>
    </row>
    <row r="58" spans="1:35" s="622" customFormat="1" ht="16.5" customHeight="1" outlineLevel="1" x14ac:dyDescent="0.25">
      <c r="A58" s="237"/>
      <c r="B58" s="596" t="s">
        <v>467</v>
      </c>
      <c r="C58" s="1198"/>
      <c r="D58" s="1141">
        <f>ROUND(C58,6)*'Fatores de Emissão'!$E$268</f>
        <v>0</v>
      </c>
      <c r="E58" s="1198"/>
      <c r="F58" s="1141">
        <f>ROUND(E58,6)*'Fatores de Emissão'!$E$268</f>
        <v>0</v>
      </c>
      <c r="G58" s="1158"/>
      <c r="H58" s="1141">
        <f>ROUND(G58,6)*'Fatores de Emissão'!$E$268</f>
        <v>0</v>
      </c>
      <c r="I58" s="1142"/>
      <c r="J58" s="1141">
        <f>ROUND(I58,6)*'Fatores de Emissão'!$E$268</f>
        <v>0</v>
      </c>
      <c r="AA58" s="596" t="s">
        <v>467</v>
      </c>
      <c r="AB58" s="954"/>
      <c r="AC58" s="954"/>
      <c r="AD58" s="954"/>
      <c r="AE58" s="954"/>
      <c r="AF58" s="954"/>
      <c r="AG58" s="954"/>
      <c r="AH58" s="954"/>
      <c r="AI58" s="954"/>
    </row>
    <row r="59" spans="1:35" s="955" customFormat="1" ht="15" customHeight="1" x14ac:dyDescent="0.25">
      <c r="A59" s="237"/>
      <c r="B59" s="596" t="s">
        <v>1491</v>
      </c>
      <c r="C59" s="1198"/>
      <c r="D59" s="1140">
        <f>ROUND(C59,6)*gwp_SF6</f>
        <v>0</v>
      </c>
      <c r="E59" s="1198"/>
      <c r="F59" s="1140">
        <f>ROUND(E59,6)*gwp_SF6</f>
        <v>0</v>
      </c>
      <c r="G59" s="1158"/>
      <c r="H59" s="1140">
        <f>ROUND(G59,6)*gwp_SF6</f>
        <v>0</v>
      </c>
      <c r="I59" s="1142"/>
      <c r="J59" s="1140">
        <f>ROUND(I59,6)*gwp_SF6</f>
        <v>0</v>
      </c>
      <c r="AA59" s="596" t="s">
        <v>1491</v>
      </c>
      <c r="AB59" s="954"/>
      <c r="AC59" s="954"/>
      <c r="AD59" s="954"/>
      <c r="AE59" s="954"/>
      <c r="AF59" s="954"/>
      <c r="AG59" s="954"/>
      <c r="AH59" s="954"/>
      <c r="AI59" s="954"/>
    </row>
    <row r="60" spans="1:35" s="955" customFormat="1" ht="15" customHeight="1" x14ac:dyDescent="0.25">
      <c r="A60" s="237"/>
      <c r="B60" s="596" t="s">
        <v>1492</v>
      </c>
      <c r="C60" s="1198"/>
      <c r="D60" s="1140">
        <f>ROUND(C60,6)*gwp_NF3</f>
        <v>0</v>
      </c>
      <c r="E60" s="1198"/>
      <c r="F60" s="1140">
        <f>ROUND(E60,6)*gwp_NF3</f>
        <v>0</v>
      </c>
      <c r="G60" s="1158"/>
      <c r="H60" s="1140">
        <f>ROUND(G60,6)*gwp_NF3</f>
        <v>0</v>
      </c>
      <c r="I60" s="1142"/>
      <c r="J60" s="1140">
        <f>ROUND(I60,6)*gwp_NF3</f>
        <v>0</v>
      </c>
      <c r="AA60" s="596" t="s">
        <v>1492</v>
      </c>
      <c r="AB60" s="954"/>
      <c r="AC60" s="956"/>
      <c r="AD60" s="954"/>
      <c r="AE60" s="956"/>
      <c r="AF60" s="954"/>
      <c r="AG60" s="954"/>
      <c r="AH60" s="954"/>
      <c r="AI60" s="954"/>
    </row>
    <row r="61" spans="1:35" s="955" customFormat="1" ht="15" customHeight="1" x14ac:dyDescent="0.25">
      <c r="A61" s="237"/>
      <c r="B61" s="596" t="s">
        <v>1493</v>
      </c>
      <c r="C61" s="1142"/>
      <c r="D61" s="1140">
        <f>SUM(D25:D60)-total_HFC_CO2e_Cat1-total_PFC_CO2e_Cat1</f>
        <v>0</v>
      </c>
      <c r="E61" s="1142"/>
      <c r="F61" s="1140">
        <f>SUM(F25:F60)-total_HFC_CO2e_Cat2-total_PFC_CO2e_Cat2</f>
        <v>0</v>
      </c>
      <c r="G61" s="1142"/>
      <c r="H61" s="1140">
        <f>SUM(H25:H60)-total_HFC_CO2e_Cat3-total_PFC_CO2e_Cat3</f>
        <v>0</v>
      </c>
      <c r="I61" s="1142"/>
      <c r="J61" s="1140">
        <f>SUM(J25:J60)-total_HFC_CO2e_Cat4_op-total_PFC_CO2e_Cat4_op</f>
        <v>0</v>
      </c>
      <c r="AA61" s="596" t="s">
        <v>1493</v>
      </c>
      <c r="AB61" s="954"/>
      <c r="AC61" s="951" t="e">
        <f>SUM(AC25:AC60)</f>
        <v>#REF!</v>
      </c>
      <c r="AD61" s="954"/>
      <c r="AE61" s="951" t="e">
        <f>SUM(AE25:AE60)</f>
        <v>#REF!</v>
      </c>
      <c r="AF61" s="954"/>
      <c r="AG61" s="952" t="e">
        <f>SUM(AG25:AG60)</f>
        <v>#REF!</v>
      </c>
      <c r="AH61" s="954"/>
      <c r="AI61" s="952" t="e">
        <f>SUM(AI25:AI60)</f>
        <v>#REF!</v>
      </c>
    </row>
    <row r="62" spans="1:35" s="237" customFormat="1" ht="15" customHeight="1" x14ac:dyDescent="0.25"/>
    <row r="63" spans="1:35" s="622" customFormat="1" ht="15" customHeight="1" x14ac:dyDescent="0.25">
      <c r="A63" s="237"/>
      <c r="B63" s="957" t="s">
        <v>1502</v>
      </c>
      <c r="C63" s="958"/>
      <c r="D63" s="952">
        <f>ROUND(C63,6)*gwp_CO2</f>
        <v>0</v>
      </c>
      <c r="E63" s="958"/>
      <c r="F63" s="952">
        <f>ROUND(E63,6)*gwp_CO2</f>
        <v>0</v>
      </c>
      <c r="G63" s="1166"/>
      <c r="H63" s="952">
        <f>ROUND(G63,6)*gwp_CO2</f>
        <v>0</v>
      </c>
      <c r="I63" s="1166">
        <f>total_TeD_up_CO2bio</f>
        <v>0</v>
      </c>
      <c r="J63" s="952">
        <f>ROUND(I63,6)*gwp_CO2</f>
        <v>0</v>
      </c>
      <c r="AA63" s="957" t="s">
        <v>1354</v>
      </c>
      <c r="AB63" s="952">
        <f>total_TeD_up_CO2bio</f>
        <v>0</v>
      </c>
      <c r="AC63" s="952">
        <f>AB63*gwp_CO2</f>
        <v>0</v>
      </c>
      <c r="AD63" s="952" t="e">
        <f>SUM(total_RS_biomassa_E3,total_EFL_biomassa_E3)</f>
        <v>#REF!</v>
      </c>
      <c r="AE63" s="952" t="e">
        <f>AD63*gwp_CO2</f>
        <v>#REF!</v>
      </c>
      <c r="AF63" s="952" t="e">
        <f>total_VN_biomassa</f>
        <v>#REF!</v>
      </c>
      <c r="AG63" s="952" t="e">
        <f>$AF$63*gwp_CO2</f>
        <v>#REF!</v>
      </c>
      <c r="AH63" s="952" t="e">
        <f>total_TeD_down_CO2bio</f>
        <v>#REF!</v>
      </c>
      <c r="AI63" s="952" t="e">
        <f>$AH$63*gwp_CO2</f>
        <v>#REF!</v>
      </c>
    </row>
    <row r="64" spans="1:35" s="237" customFormat="1" ht="15" customHeight="1" x14ac:dyDescent="0.25"/>
    <row r="65" spans="1:22" s="622" customFormat="1" ht="15" customHeight="1" x14ac:dyDescent="0.25">
      <c r="A65" s="237"/>
      <c r="M65" s="959"/>
      <c r="N65" s="959"/>
      <c r="O65" s="959"/>
      <c r="P65" s="959"/>
      <c r="Q65" s="959"/>
      <c r="R65" s="959"/>
      <c r="S65" s="959"/>
      <c r="T65" s="959"/>
      <c r="U65" s="959"/>
      <c r="V65" s="959"/>
    </row>
    <row r="66" spans="1:22" s="955" customFormat="1" ht="15" customHeight="1" x14ac:dyDescent="0.25">
      <c r="A66" s="237"/>
      <c r="B66" s="237"/>
      <c r="C66" s="1391" t="s">
        <v>314</v>
      </c>
      <c r="D66" s="1392"/>
      <c r="E66" s="1391" t="s">
        <v>315</v>
      </c>
      <c r="F66" s="1392"/>
      <c r="G66" s="1391" t="s">
        <v>316</v>
      </c>
      <c r="H66" s="1392"/>
      <c r="I66" s="1391" t="s">
        <v>317</v>
      </c>
      <c r="J66" s="1392"/>
    </row>
    <row r="67" spans="1:22" s="955" customFormat="1" ht="45" customHeight="1" x14ac:dyDescent="0.25">
      <c r="A67" s="237"/>
      <c r="B67" s="947"/>
      <c r="C67" s="1393" t="s">
        <v>342</v>
      </c>
      <c r="D67" s="1394"/>
      <c r="E67" s="1393" t="s">
        <v>2142</v>
      </c>
      <c r="F67" s="1394"/>
      <c r="G67" s="1395" t="s">
        <v>337</v>
      </c>
      <c r="H67" s="1395"/>
      <c r="I67" s="1393" t="s">
        <v>2154</v>
      </c>
      <c r="J67" s="1394"/>
    </row>
    <row r="68" spans="1:22" s="955" customFormat="1" ht="15" customHeight="1" x14ac:dyDescent="0.25">
      <c r="A68" s="237"/>
      <c r="B68" s="947"/>
      <c r="C68" s="949" t="s">
        <v>331</v>
      </c>
      <c r="D68" s="949" t="s">
        <v>1487</v>
      </c>
      <c r="E68" s="949" t="s">
        <v>331</v>
      </c>
      <c r="F68" s="949" t="s">
        <v>1487</v>
      </c>
      <c r="G68" s="949" t="s">
        <v>331</v>
      </c>
      <c r="H68" s="949" t="s">
        <v>1487</v>
      </c>
      <c r="I68" s="949" t="s">
        <v>331</v>
      </c>
      <c r="J68" s="949" t="s">
        <v>1487</v>
      </c>
    </row>
    <row r="69" spans="1:22" s="955" customFormat="1" ht="15" customHeight="1" x14ac:dyDescent="0.25">
      <c r="A69" s="237"/>
      <c r="B69" s="596" t="s">
        <v>1488</v>
      </c>
      <c r="C69" s="1199">
        <f>'Resíduos sólidos da operação'!total_RS_incin_CO2</f>
        <v>0</v>
      </c>
      <c r="D69" s="951">
        <f>ROUND(C69,6)*gwp_CO2</f>
        <v>0</v>
      </c>
      <c r="E69" s="1158">
        <f>'Viagens a negócios'!total_CM_rod_opcao2_CO2+'Viagens a negócios'!total_CM_rod_opcao3_CO2+'Viagens a negócios'!total_CM_ferro_CO2+'Viagens a negócios'!total_CM_hidro_CO2+'Viagens a negócios'!total_CM_aero_CO2</f>
        <v>0.59952084000000005</v>
      </c>
      <c r="F69" s="951">
        <f>ROUND(E69,6)*gwp_CO2</f>
        <v>0.59952099999999997</v>
      </c>
      <c r="G69" s="1158">
        <f>'Permuta casa-trabalho'!total_CM_rod_opcao2_CO2+'Permuta casa-trabalho'!total_CM_rod_opcao3_CO2+'Permuta casa-trabalho'!total_CM_ferro_CO2+'Permuta casa-trabalho'!total_CM_hidro_CO2</f>
        <v>0</v>
      </c>
      <c r="H69" s="951">
        <f>ROUND(G69,6)*gwp_CO2</f>
        <v>0</v>
      </c>
      <c r="I69" s="950"/>
      <c r="J69" s="951">
        <f>ROUND(I69,6)*gwp_CO2</f>
        <v>0</v>
      </c>
    </row>
    <row r="70" spans="1:22" s="955" customFormat="1" ht="15" customHeight="1" x14ac:dyDescent="0.25">
      <c r="A70" s="237"/>
      <c r="B70" s="596" t="s">
        <v>1489</v>
      </c>
      <c r="C70" s="1165">
        <f>'Resíduos sólidos da operação'!total_RS_aterro_CH4+'Resíduos sólidos da operação'!total_RS_compost_CH4+'Resíduos sólidos da operação'!total_RS_incin_CH4+'Efluentes gerados na operação'!total_EFL_CH4</f>
        <v>0</v>
      </c>
      <c r="D70" s="951">
        <f>ROUND(C70,6)*gwp_CH4</f>
        <v>0</v>
      </c>
      <c r="E70" s="1158">
        <f>'Viagens a negócios'!total_CM_rod_opcao2_N2O+'Viagens a negócios'!total_CM_rod_opcao3_CH4+'Viagens a negócios'!total_CM_ferro_CH4+'Viagens a negócios'!total_CM_hidro_CH4+'Viagens a negócios'!total_CM_aero_CH4</f>
        <v>1.14E-8</v>
      </c>
      <c r="F70" s="951">
        <f>ROUND(E70,6)*gwp_CH4</f>
        <v>0</v>
      </c>
      <c r="G70" s="1158">
        <f>'Permuta casa-trabalho'!total_CM_rod_opcao2_N2O+'Permuta casa-trabalho'!total_CM_rod_opcao3_CH4+'Permuta casa-trabalho'!total_CM_ferro_CH4+'Permuta casa-trabalho'!total_CM_hidro_CH4</f>
        <v>0</v>
      </c>
      <c r="H70" s="951">
        <f>ROUND(G70,6)*gwp_CH4</f>
        <v>0</v>
      </c>
      <c r="I70" s="950"/>
      <c r="J70" s="951">
        <f>ROUND(I70,6)*gwp_CH4</f>
        <v>0</v>
      </c>
    </row>
    <row r="71" spans="1:22" s="955" customFormat="1" ht="15" customHeight="1" x14ac:dyDescent="0.25">
      <c r="A71" s="237"/>
      <c r="B71" s="596" t="s">
        <v>1490</v>
      </c>
      <c r="C71" s="1165">
        <f>'Resíduos sólidos da operação'!total_RS_compost_N2O+'Resíduos sólidos da operação'!total_RS_incin_N2O+'Efluentes gerados na operação'!total_EFL_N2O</f>
        <v>0</v>
      </c>
      <c r="D71" s="951">
        <f>ROUND(C71,6)*gwp_N2O</f>
        <v>0</v>
      </c>
      <c r="E71" s="1158">
        <f>'Viagens a negócios'!total_CM_rod_opcao2_CO2e+'Viagens a negócios'!total_CM_rod_opcao3_N2O+'Viagens a negócios'!total_CM_ferro_N2O+'Viagens a negócios'!total_CM_hidro_N2O+'Viagens a negócios'!total_CM_aero_N2O</f>
        <v>8.3999999999999991E-9</v>
      </c>
      <c r="F71" s="951">
        <f>ROUND(E71,6)*gwp_N2O</f>
        <v>0</v>
      </c>
      <c r="G71" s="1158">
        <f>'Permuta casa-trabalho'!total_CM_rod_opcao2_CO2e+'Permuta casa-trabalho'!total_CM_rod_opcao3_N2O+'Permuta casa-trabalho'!total_CM_ferro_N2O+'Permuta casa-trabalho'!total_CM_hidro_N2O</f>
        <v>0</v>
      </c>
      <c r="H71" s="951">
        <f>ROUND(G71,6)*gwp_N2O</f>
        <v>0</v>
      </c>
      <c r="I71" s="950"/>
      <c r="J71" s="951">
        <f>ROUND(I71,6)*gwp_N2O</f>
        <v>0</v>
      </c>
    </row>
    <row r="72" spans="1:22" s="955" customFormat="1" ht="15" customHeight="1" x14ac:dyDescent="0.25">
      <c r="A72" s="237"/>
      <c r="B72" s="596" t="s">
        <v>224</v>
      </c>
      <c r="C72" s="954">
        <f t="shared" ref="C72:E72" si="10">SUM(C73:C91)</f>
        <v>0</v>
      </c>
      <c r="D72" s="953">
        <f t="shared" si="10"/>
        <v>0</v>
      </c>
      <c r="E72" s="954">
        <f t="shared" si="10"/>
        <v>0</v>
      </c>
      <c r="F72" s="953">
        <f t="shared" ref="F72:J72" si="11">SUM(F73:F91)</f>
        <v>0</v>
      </c>
      <c r="G72" s="1197">
        <f t="shared" si="11"/>
        <v>0</v>
      </c>
      <c r="H72" s="953">
        <f t="shared" si="11"/>
        <v>0</v>
      </c>
      <c r="I72" s="953">
        <f t="shared" si="11"/>
        <v>0</v>
      </c>
      <c r="J72" s="953">
        <f t="shared" si="11"/>
        <v>0</v>
      </c>
    </row>
    <row r="73" spans="1:22" s="955" customFormat="1" ht="15" customHeight="1" outlineLevel="1" x14ac:dyDescent="0.25">
      <c r="A73" s="237"/>
      <c r="B73" s="596" t="s">
        <v>85</v>
      </c>
      <c r="C73" s="954"/>
      <c r="D73" s="953">
        <f>ROUND(C73,6)*'Fatores de Emissão'!$E$238</f>
        <v>0</v>
      </c>
      <c r="E73" s="954"/>
      <c r="F73" s="953">
        <f>ROUND(E73,6)*'Fatores de Emissão'!$E$238</f>
        <v>0</v>
      </c>
      <c r="G73" s="1197"/>
      <c r="H73" s="953">
        <f>ROUND(G73,6)*'Fatores de Emissão'!$E$238</f>
        <v>0</v>
      </c>
      <c r="I73" s="950"/>
      <c r="J73" s="953">
        <f>ROUND(I73,6)*'Fatores de Emissão'!$E$238</f>
        <v>0</v>
      </c>
    </row>
    <row r="74" spans="1:22" s="955" customFormat="1" ht="15" customHeight="1" outlineLevel="1" x14ac:dyDescent="0.25">
      <c r="A74" s="237"/>
      <c r="B74" s="596" t="s">
        <v>86</v>
      </c>
      <c r="C74" s="954"/>
      <c r="D74" s="953">
        <f>ROUND(C74,6)*'Fatores de Emissão'!$E$239</f>
        <v>0</v>
      </c>
      <c r="E74" s="954"/>
      <c r="F74" s="953">
        <f>ROUND(E74,6)*'Fatores de Emissão'!$E$239</f>
        <v>0</v>
      </c>
      <c r="G74" s="1197"/>
      <c r="H74" s="953">
        <f>ROUND(G74,6)*'Fatores de Emissão'!$E$239</f>
        <v>0</v>
      </c>
      <c r="I74" s="950"/>
      <c r="J74" s="953">
        <f>ROUND(I74,6)*'Fatores de Emissão'!$E$239</f>
        <v>0</v>
      </c>
    </row>
    <row r="75" spans="1:22" s="955" customFormat="1" ht="15" customHeight="1" outlineLevel="1" x14ac:dyDescent="0.25">
      <c r="A75" s="237"/>
      <c r="B75" s="596" t="s">
        <v>285</v>
      </c>
      <c r="C75" s="954"/>
      <c r="D75" s="953">
        <f>ROUND(C75,6)*'Fatores de Emissão'!$E$240</f>
        <v>0</v>
      </c>
      <c r="E75" s="954"/>
      <c r="F75" s="953">
        <f>ROUND(E75,6)*'Fatores de Emissão'!$E$240</f>
        <v>0</v>
      </c>
      <c r="G75" s="1197"/>
      <c r="H75" s="953">
        <f>ROUND(G75,6)*'Fatores de Emissão'!$E$240</f>
        <v>0</v>
      </c>
      <c r="I75" s="950"/>
      <c r="J75" s="953">
        <f>ROUND(I75,6)*'Fatores de Emissão'!$E$240</f>
        <v>0</v>
      </c>
    </row>
    <row r="76" spans="1:22" s="955" customFormat="1" ht="15" customHeight="1" outlineLevel="1" x14ac:dyDescent="0.25">
      <c r="A76" s="237"/>
      <c r="B76" s="596" t="s">
        <v>87</v>
      </c>
      <c r="C76" s="954"/>
      <c r="D76" s="953">
        <f>ROUND(C76,6)*'Fatores de Emissão'!$E$241</f>
        <v>0</v>
      </c>
      <c r="E76" s="954"/>
      <c r="F76" s="953">
        <f>ROUND(E76,6)*'Fatores de Emissão'!$E$241</f>
        <v>0</v>
      </c>
      <c r="G76" s="1197"/>
      <c r="H76" s="953">
        <f>ROUND(G76,6)*'Fatores de Emissão'!$E$241</f>
        <v>0</v>
      </c>
      <c r="I76" s="950"/>
      <c r="J76" s="953">
        <f>ROUND(I76,6)*'Fatores de Emissão'!$E$241</f>
        <v>0</v>
      </c>
    </row>
    <row r="77" spans="1:22" s="955" customFormat="1" ht="15" customHeight="1" outlineLevel="1" x14ac:dyDescent="0.25">
      <c r="A77" s="237"/>
      <c r="B77" s="596" t="s">
        <v>287</v>
      </c>
      <c r="C77" s="954"/>
      <c r="D77" s="953">
        <f>ROUND(C77,6)*'Fatores de Emissão'!$E$242</f>
        <v>0</v>
      </c>
      <c r="E77" s="954"/>
      <c r="F77" s="953">
        <f>ROUND(E77,6)*'Fatores de Emissão'!$E$242</f>
        <v>0</v>
      </c>
      <c r="G77" s="1197"/>
      <c r="H77" s="953">
        <f>ROUND(G77,6)*'Fatores de Emissão'!$E$242</f>
        <v>0</v>
      </c>
      <c r="I77" s="950"/>
      <c r="J77" s="953">
        <f>ROUND(I77,6)*'Fatores de Emissão'!$E$242</f>
        <v>0</v>
      </c>
    </row>
    <row r="78" spans="1:22" s="955" customFormat="1" ht="15" customHeight="1" outlineLevel="1" x14ac:dyDescent="0.25">
      <c r="A78" s="237"/>
      <c r="B78" s="596" t="s">
        <v>88</v>
      </c>
      <c r="C78" s="954"/>
      <c r="D78" s="953">
        <f>ROUND(C78,6)*'Fatores de Emissão'!$E$243</f>
        <v>0</v>
      </c>
      <c r="E78" s="954"/>
      <c r="F78" s="953">
        <f>ROUND(E78,6)*'Fatores de Emissão'!$E$243</f>
        <v>0</v>
      </c>
      <c r="G78" s="1197"/>
      <c r="H78" s="953">
        <f>ROUND(G78,6)*'Fatores de Emissão'!$E$243</f>
        <v>0</v>
      </c>
      <c r="I78" s="950"/>
      <c r="J78" s="953">
        <f>ROUND(I78,6)*'Fatores de Emissão'!$E$243</f>
        <v>0</v>
      </c>
    </row>
    <row r="79" spans="1:22" s="955" customFormat="1" ht="15" customHeight="1" outlineLevel="1" x14ac:dyDescent="0.25">
      <c r="A79" s="237"/>
      <c r="B79" s="596" t="s">
        <v>288</v>
      </c>
      <c r="C79" s="954"/>
      <c r="D79" s="953">
        <f>ROUND(C79,6)*'Fatores de Emissão'!$E$244</f>
        <v>0</v>
      </c>
      <c r="E79" s="954"/>
      <c r="F79" s="953">
        <f>ROUND(E79,6)*'Fatores de Emissão'!$E$244</f>
        <v>0</v>
      </c>
      <c r="G79" s="1197"/>
      <c r="H79" s="953">
        <f>ROUND(G79,6)*'Fatores de Emissão'!$E$244</f>
        <v>0</v>
      </c>
      <c r="I79" s="950"/>
      <c r="J79" s="953">
        <f>ROUND(I79,6)*'Fatores de Emissão'!$E$244</f>
        <v>0</v>
      </c>
    </row>
    <row r="80" spans="1:22" s="955" customFormat="1" ht="15" customHeight="1" outlineLevel="1" x14ac:dyDescent="0.25">
      <c r="A80" s="237"/>
      <c r="B80" s="596" t="s">
        <v>107</v>
      </c>
      <c r="C80" s="954"/>
      <c r="D80" s="953">
        <f>ROUND(C80,6)*'Fatores de Emissão'!$E$245</f>
        <v>0</v>
      </c>
      <c r="E80" s="954"/>
      <c r="F80" s="953">
        <f>ROUND(E80,6)*'Fatores de Emissão'!$E$245</f>
        <v>0</v>
      </c>
      <c r="G80" s="1197"/>
      <c r="H80" s="953">
        <f>ROUND(G80,6)*'Fatores de Emissão'!$E$245</f>
        <v>0</v>
      </c>
      <c r="I80" s="950"/>
      <c r="J80" s="953">
        <f>ROUND(I80,6)*'Fatores de Emissão'!$E$245</f>
        <v>0</v>
      </c>
    </row>
    <row r="81" spans="1:10" s="955" customFormat="1" ht="15" customHeight="1" outlineLevel="1" x14ac:dyDescent="0.25">
      <c r="A81" s="237"/>
      <c r="B81" s="596" t="s">
        <v>289</v>
      </c>
      <c r="C81" s="954"/>
      <c r="D81" s="953">
        <f>ROUND(C81,6)*'Fatores de Emissão'!$E$246</f>
        <v>0</v>
      </c>
      <c r="E81" s="954"/>
      <c r="F81" s="953">
        <f>ROUND(E81,6)*'Fatores de Emissão'!$E$246</f>
        <v>0</v>
      </c>
      <c r="G81" s="1197"/>
      <c r="H81" s="953">
        <f>ROUND(G81,6)*'Fatores de Emissão'!$E$246</f>
        <v>0</v>
      </c>
      <c r="I81" s="950"/>
      <c r="J81" s="953">
        <f>ROUND(I81,6)*'Fatores de Emissão'!$E$246</f>
        <v>0</v>
      </c>
    </row>
    <row r="82" spans="1:10" s="955" customFormat="1" ht="15" customHeight="1" outlineLevel="1" x14ac:dyDescent="0.25">
      <c r="A82" s="237"/>
      <c r="B82" s="596" t="s">
        <v>108</v>
      </c>
      <c r="C82" s="954"/>
      <c r="D82" s="953">
        <f>ROUND(C82,6)*'Fatores de Emissão'!$E$247</f>
        <v>0</v>
      </c>
      <c r="E82" s="954"/>
      <c r="F82" s="953">
        <f>ROUND(E82,6)*'Fatores de Emissão'!$E$247</f>
        <v>0</v>
      </c>
      <c r="G82" s="1197"/>
      <c r="H82" s="953">
        <f>ROUND(G82,6)*'Fatores de Emissão'!$E$247</f>
        <v>0</v>
      </c>
      <c r="I82" s="950"/>
      <c r="J82" s="953">
        <f>ROUND(I82,6)*'Fatores de Emissão'!$E$247</f>
        <v>0</v>
      </c>
    </row>
    <row r="83" spans="1:10" s="955" customFormat="1" ht="15" customHeight="1" outlineLevel="1" x14ac:dyDescent="0.25">
      <c r="A83" s="237"/>
      <c r="B83" s="596" t="s">
        <v>290</v>
      </c>
      <c r="C83" s="954"/>
      <c r="D83" s="953">
        <f>ROUND(C83,6)*'Fatores de Emissão'!$E$248</f>
        <v>0</v>
      </c>
      <c r="E83" s="954"/>
      <c r="F83" s="953">
        <f>ROUND(E83,6)*'Fatores de Emissão'!$E$248</f>
        <v>0</v>
      </c>
      <c r="G83" s="1197"/>
      <c r="H83" s="953">
        <f>ROUND(G83,6)*'Fatores de Emissão'!$E$248</f>
        <v>0</v>
      </c>
      <c r="I83" s="950"/>
      <c r="J83" s="953">
        <f>ROUND(I83,6)*'Fatores de Emissão'!$E$248</f>
        <v>0</v>
      </c>
    </row>
    <row r="84" spans="1:10" s="955" customFormat="1" ht="15" customHeight="1" outlineLevel="1" x14ac:dyDescent="0.25">
      <c r="A84" s="237"/>
      <c r="B84" s="596" t="s">
        <v>291</v>
      </c>
      <c r="C84" s="954"/>
      <c r="D84" s="953">
        <f>ROUND(C84,6)*'Fatores de Emissão'!$E$249</f>
        <v>0</v>
      </c>
      <c r="E84" s="954"/>
      <c r="F84" s="953">
        <f>ROUND(E84,6)*'Fatores de Emissão'!$E$249</f>
        <v>0</v>
      </c>
      <c r="G84" s="1197"/>
      <c r="H84" s="953">
        <f>ROUND(G84,6)*'Fatores de Emissão'!$E$249</f>
        <v>0</v>
      </c>
      <c r="I84" s="950"/>
      <c r="J84" s="953">
        <f>ROUND(I84,6)*'Fatores de Emissão'!$E$249</f>
        <v>0</v>
      </c>
    </row>
    <row r="85" spans="1:10" s="955" customFormat="1" ht="15" customHeight="1" outlineLevel="1" x14ac:dyDescent="0.25">
      <c r="A85" s="237"/>
      <c r="B85" s="596" t="s">
        <v>292</v>
      </c>
      <c r="C85" s="954"/>
      <c r="D85" s="953">
        <f>ROUND(C85,6)*'Fatores de Emissão'!$E$250</f>
        <v>0</v>
      </c>
      <c r="E85" s="954"/>
      <c r="F85" s="953">
        <f>ROUND(E85,6)*'Fatores de Emissão'!$E$250</f>
        <v>0</v>
      </c>
      <c r="G85" s="1197"/>
      <c r="H85" s="953">
        <f>ROUND(G85,6)*'Fatores de Emissão'!$E$250</f>
        <v>0</v>
      </c>
      <c r="I85" s="950"/>
      <c r="J85" s="953">
        <f>ROUND(I85,6)*'Fatores de Emissão'!$E$250</f>
        <v>0</v>
      </c>
    </row>
    <row r="86" spans="1:10" s="955" customFormat="1" ht="15" customHeight="1" outlineLevel="1" x14ac:dyDescent="0.25">
      <c r="A86" s="237"/>
      <c r="B86" s="596" t="s">
        <v>293</v>
      </c>
      <c r="C86" s="954"/>
      <c r="D86" s="953">
        <f>ROUND(C86,6)*'Fatores de Emissão'!$E$251</f>
        <v>0</v>
      </c>
      <c r="E86" s="954"/>
      <c r="F86" s="953">
        <f>ROUND(E86,6)*'Fatores de Emissão'!$E$251</f>
        <v>0</v>
      </c>
      <c r="G86" s="1197"/>
      <c r="H86" s="953">
        <f>ROUND(G86,6)*'Fatores de Emissão'!$E$251</f>
        <v>0</v>
      </c>
      <c r="I86" s="950"/>
      <c r="J86" s="953">
        <f>ROUND(I86,6)*'Fatores de Emissão'!$E$251</f>
        <v>0</v>
      </c>
    </row>
    <row r="87" spans="1:10" s="955" customFormat="1" ht="15" customHeight="1" outlineLevel="1" x14ac:dyDescent="0.25">
      <c r="A87" s="237"/>
      <c r="B87" s="596" t="s">
        <v>109</v>
      </c>
      <c r="C87" s="954"/>
      <c r="D87" s="953">
        <f>ROUND(C87,6)*'Fatores de Emissão'!$E$252</f>
        <v>0</v>
      </c>
      <c r="E87" s="954"/>
      <c r="F87" s="953">
        <f>ROUND(E87,6)*'Fatores de Emissão'!$E$252</f>
        <v>0</v>
      </c>
      <c r="G87" s="1197"/>
      <c r="H87" s="953">
        <f>ROUND(G87,6)*'Fatores de Emissão'!$E$252</f>
        <v>0</v>
      </c>
      <c r="I87" s="950"/>
      <c r="J87" s="953">
        <f>ROUND(I87,6)*'Fatores de Emissão'!$E$252</f>
        <v>0</v>
      </c>
    </row>
    <row r="88" spans="1:10" s="955" customFormat="1" ht="15" customHeight="1" outlineLevel="1" x14ac:dyDescent="0.25">
      <c r="A88" s="237"/>
      <c r="B88" s="596" t="s">
        <v>294</v>
      </c>
      <c r="C88" s="954"/>
      <c r="D88" s="953">
        <f>ROUND(C88,6)*'Fatores de Emissão'!$E$253</f>
        <v>0</v>
      </c>
      <c r="E88" s="954"/>
      <c r="F88" s="953">
        <f>ROUND(E88,6)*'Fatores de Emissão'!$E$253</f>
        <v>0</v>
      </c>
      <c r="G88" s="1197"/>
      <c r="H88" s="953">
        <f>ROUND(G88,6)*'Fatores de Emissão'!$E$253</f>
        <v>0</v>
      </c>
      <c r="I88" s="950"/>
      <c r="J88" s="953">
        <f>ROUND(I88,6)*'Fatores de Emissão'!$E$253</f>
        <v>0</v>
      </c>
    </row>
    <row r="89" spans="1:10" s="955" customFormat="1" ht="15" customHeight="1" outlineLevel="1" x14ac:dyDescent="0.25">
      <c r="A89" s="237"/>
      <c r="B89" s="596" t="s">
        <v>295</v>
      </c>
      <c r="C89" s="954"/>
      <c r="D89" s="953">
        <f>ROUND(C89,6)*'Fatores de Emissão'!$E$254</f>
        <v>0</v>
      </c>
      <c r="E89" s="954"/>
      <c r="F89" s="953">
        <f>ROUND(E89,6)*'Fatores de Emissão'!$E$254</f>
        <v>0</v>
      </c>
      <c r="G89" s="1197"/>
      <c r="H89" s="953">
        <f>ROUND(G89,6)*'Fatores de Emissão'!$E$254</f>
        <v>0</v>
      </c>
      <c r="I89" s="950"/>
      <c r="J89" s="953">
        <f>ROUND(I89,6)*'Fatores de Emissão'!$E$254</f>
        <v>0</v>
      </c>
    </row>
    <row r="90" spans="1:10" s="955" customFormat="1" ht="15" customHeight="1" outlineLevel="1" x14ac:dyDescent="0.25">
      <c r="A90" s="237"/>
      <c r="B90" s="596" t="s">
        <v>296</v>
      </c>
      <c r="C90" s="954"/>
      <c r="D90" s="953">
        <f>ROUND(C90,6)*'Fatores de Emissão'!$E$255</f>
        <v>0</v>
      </c>
      <c r="E90" s="954"/>
      <c r="F90" s="953">
        <f>ROUND(E90,6)*'Fatores de Emissão'!$E$255</f>
        <v>0</v>
      </c>
      <c r="G90" s="1197"/>
      <c r="H90" s="953">
        <f>ROUND(G90,6)*'Fatores de Emissão'!$E$255</f>
        <v>0</v>
      </c>
      <c r="I90" s="950"/>
      <c r="J90" s="953">
        <f>ROUND(I90,6)*'Fatores de Emissão'!$E$255</f>
        <v>0</v>
      </c>
    </row>
    <row r="91" spans="1:10" s="955" customFormat="1" ht="15" customHeight="1" outlineLevel="1" x14ac:dyDescent="0.25">
      <c r="A91" s="237"/>
      <c r="B91" s="596" t="s">
        <v>286</v>
      </c>
      <c r="C91" s="954"/>
      <c r="D91" s="953">
        <f>ROUND(C91,6)*'Fatores de Emissão'!$E$256</f>
        <v>0</v>
      </c>
      <c r="E91" s="954"/>
      <c r="F91" s="953">
        <f>ROUND(E91,6)*'Fatores de Emissão'!$E$256</f>
        <v>0</v>
      </c>
      <c r="G91" s="1197"/>
      <c r="H91" s="953">
        <f>ROUND(G91,6)*'Fatores de Emissão'!$E$256</f>
        <v>0</v>
      </c>
      <c r="I91" s="950"/>
      <c r="J91" s="953">
        <f>ROUND(I91,6)*'Fatores de Emissão'!$E$256</f>
        <v>0</v>
      </c>
    </row>
    <row r="92" spans="1:10" s="955" customFormat="1" ht="15" customHeight="1" x14ac:dyDescent="0.25">
      <c r="A92" s="237"/>
      <c r="B92" s="596" t="s">
        <v>225</v>
      </c>
      <c r="C92" s="954">
        <f t="shared" ref="C92:E92" si="12">SUM(C93:C102)</f>
        <v>0</v>
      </c>
      <c r="D92" s="953">
        <f t="shared" si="12"/>
        <v>0</v>
      </c>
      <c r="E92" s="954">
        <f t="shared" si="12"/>
        <v>0</v>
      </c>
      <c r="F92" s="953">
        <f t="shared" ref="F92:G92" si="13">SUM(F93:F102)</f>
        <v>0</v>
      </c>
      <c r="G92" s="1197">
        <f t="shared" si="13"/>
        <v>0</v>
      </c>
      <c r="H92" s="953">
        <f t="shared" ref="H92:I92" si="14">SUM(H93:H102)</f>
        <v>0</v>
      </c>
      <c r="I92" s="953">
        <f t="shared" si="14"/>
        <v>0</v>
      </c>
      <c r="J92" s="953">
        <f t="shared" ref="J92" si="15">SUM(J93:J102)</f>
        <v>0</v>
      </c>
    </row>
    <row r="93" spans="1:10" s="955" customFormat="1" ht="15" customHeight="1" outlineLevel="1" x14ac:dyDescent="0.25">
      <c r="A93" s="237"/>
      <c r="B93" s="596" t="s">
        <v>458</v>
      </c>
      <c r="C93" s="954"/>
      <c r="D93" s="953">
        <f>ROUND(C93,6)*'Fatores de Emissão'!$E$259</f>
        <v>0</v>
      </c>
      <c r="E93" s="954"/>
      <c r="F93" s="953">
        <f>ROUND(E93,6)*'Fatores de Emissão'!$E$259</f>
        <v>0</v>
      </c>
      <c r="G93" s="1197"/>
      <c r="H93" s="953">
        <f>ROUND(G93,6)*'Fatores de Emissão'!$E$259</f>
        <v>0</v>
      </c>
      <c r="I93" s="950"/>
      <c r="J93" s="953">
        <f>ROUND(I93,6)*'Fatores de Emissão'!$E$259</f>
        <v>0</v>
      </c>
    </row>
    <row r="94" spans="1:10" s="955" customFormat="1" ht="15" customHeight="1" outlineLevel="1" x14ac:dyDescent="0.25">
      <c r="A94" s="237"/>
      <c r="B94" s="596" t="s">
        <v>459</v>
      </c>
      <c r="C94" s="954"/>
      <c r="D94" s="953">
        <f>ROUND(C94,6)*'Fatores de Emissão'!$E$260</f>
        <v>0</v>
      </c>
      <c r="E94" s="954"/>
      <c r="F94" s="953">
        <f>ROUND(E94,6)*'Fatores de Emissão'!$E$260</f>
        <v>0</v>
      </c>
      <c r="G94" s="1197"/>
      <c r="H94" s="953">
        <f>ROUND(G94,6)*'Fatores de Emissão'!$E$260</f>
        <v>0</v>
      </c>
      <c r="I94" s="950"/>
      <c r="J94" s="953">
        <f>ROUND(I94,6)*'Fatores de Emissão'!$E$260</f>
        <v>0</v>
      </c>
    </row>
    <row r="95" spans="1:10" s="955" customFormat="1" ht="15" customHeight="1" outlineLevel="1" x14ac:dyDescent="0.25">
      <c r="A95" s="237"/>
      <c r="B95" s="596" t="s">
        <v>460</v>
      </c>
      <c r="C95" s="954"/>
      <c r="D95" s="953">
        <f>ROUND(C95,6)*'Fatores de Emissão'!$E$261</f>
        <v>0</v>
      </c>
      <c r="E95" s="954"/>
      <c r="F95" s="953">
        <f>ROUND(E95,6)*'Fatores de Emissão'!$E$261</f>
        <v>0</v>
      </c>
      <c r="G95" s="1197"/>
      <c r="H95" s="953">
        <f>ROUND(G95,6)*'Fatores de Emissão'!$E$261</f>
        <v>0</v>
      </c>
      <c r="I95" s="950"/>
      <c r="J95" s="953">
        <f>ROUND(I95,6)*'Fatores de Emissão'!$E$261</f>
        <v>0</v>
      </c>
    </row>
    <row r="96" spans="1:10" s="955" customFormat="1" ht="15" customHeight="1" outlineLevel="1" x14ac:dyDescent="0.25">
      <c r="A96" s="237"/>
      <c r="B96" s="596" t="s">
        <v>461</v>
      </c>
      <c r="C96" s="954"/>
      <c r="D96" s="953">
        <f>ROUND(C96,6)*'Fatores de Emissão'!$E$262</f>
        <v>0</v>
      </c>
      <c r="E96" s="954"/>
      <c r="F96" s="953">
        <f>ROUND(E96,6)*'Fatores de Emissão'!$E$262</f>
        <v>0</v>
      </c>
      <c r="G96" s="1197"/>
      <c r="H96" s="953">
        <f>ROUND(G96,6)*'Fatores de Emissão'!$E$262</f>
        <v>0</v>
      </c>
      <c r="I96" s="950"/>
      <c r="J96" s="953">
        <f>ROUND(I96,6)*'Fatores de Emissão'!$E$262</f>
        <v>0</v>
      </c>
    </row>
    <row r="97" spans="1:13" s="955" customFormat="1" ht="15" customHeight="1" outlineLevel="1" x14ac:dyDescent="0.25">
      <c r="A97" s="237"/>
      <c r="B97" s="596" t="s">
        <v>462</v>
      </c>
      <c r="C97" s="954"/>
      <c r="D97" s="953">
        <f>ROUND(C97,6)*'Fatores de Emissão'!$E$263</f>
        <v>0</v>
      </c>
      <c r="E97" s="954"/>
      <c r="F97" s="953">
        <f>ROUND(E97,6)*'Fatores de Emissão'!$E$263</f>
        <v>0</v>
      </c>
      <c r="G97" s="1197"/>
      <c r="H97" s="953">
        <f>ROUND(G97,6)*'Fatores de Emissão'!$E$263</f>
        <v>0</v>
      </c>
      <c r="I97" s="950"/>
      <c r="J97" s="953">
        <f>ROUND(I97,6)*'Fatores de Emissão'!$E$263</f>
        <v>0</v>
      </c>
    </row>
    <row r="98" spans="1:13" s="955" customFormat="1" ht="15" customHeight="1" outlineLevel="1" x14ac:dyDescent="0.25">
      <c r="A98" s="237"/>
      <c r="B98" s="596" t="s">
        <v>463</v>
      </c>
      <c r="C98" s="954"/>
      <c r="D98" s="953">
        <f>ROUND(C98,6)*'Fatores de Emissão'!$E$264</f>
        <v>0</v>
      </c>
      <c r="E98" s="954"/>
      <c r="F98" s="953">
        <f>ROUND(E98,6)*'Fatores de Emissão'!$E$264</f>
        <v>0</v>
      </c>
      <c r="G98" s="1197"/>
      <c r="H98" s="953">
        <f>ROUND(G98,6)*'Fatores de Emissão'!$E$264</f>
        <v>0</v>
      </c>
      <c r="I98" s="950"/>
      <c r="J98" s="953">
        <f>ROUND(I98,6)*'Fatores de Emissão'!$E$264</f>
        <v>0</v>
      </c>
    </row>
    <row r="99" spans="1:13" s="955" customFormat="1" ht="15" customHeight="1" outlineLevel="1" x14ac:dyDescent="0.25">
      <c r="A99" s="237"/>
      <c r="B99" s="596" t="s">
        <v>464</v>
      </c>
      <c r="C99" s="954"/>
      <c r="D99" s="953">
        <f>ROUND(C99,6)*'Fatores de Emissão'!$E$265</f>
        <v>0</v>
      </c>
      <c r="E99" s="954"/>
      <c r="F99" s="953">
        <f>ROUND(E99,6)*'Fatores de Emissão'!$E$265</f>
        <v>0</v>
      </c>
      <c r="G99" s="1197"/>
      <c r="H99" s="953">
        <f>ROUND(G99,6)*'Fatores de Emissão'!$E$265</f>
        <v>0</v>
      </c>
      <c r="I99" s="950"/>
      <c r="J99" s="953">
        <f>ROUND(I99,6)*'Fatores de Emissão'!$E$265</f>
        <v>0</v>
      </c>
    </row>
    <row r="100" spans="1:13" s="955" customFormat="1" ht="15" customHeight="1" outlineLevel="1" x14ac:dyDescent="0.25">
      <c r="A100" s="237"/>
      <c r="B100" s="596" t="s">
        <v>465</v>
      </c>
      <c r="C100" s="954"/>
      <c r="D100" s="953">
        <f>ROUND(C100,6)*'Fatores de Emissão'!$E$266</f>
        <v>0</v>
      </c>
      <c r="E100" s="954"/>
      <c r="F100" s="953">
        <f>ROUND(E100,6)*'Fatores de Emissão'!$E$266</f>
        <v>0</v>
      </c>
      <c r="G100" s="1197"/>
      <c r="H100" s="953">
        <f>ROUND(G100,6)*'Fatores de Emissão'!$E$266</f>
        <v>0</v>
      </c>
      <c r="I100" s="950"/>
      <c r="J100" s="953">
        <f>ROUND(I100,6)*'Fatores de Emissão'!$E$266</f>
        <v>0</v>
      </c>
    </row>
    <row r="101" spans="1:13" s="955" customFormat="1" ht="15" customHeight="1" outlineLevel="1" x14ac:dyDescent="0.25">
      <c r="A101" s="237"/>
      <c r="B101" s="596" t="s">
        <v>466</v>
      </c>
      <c r="C101" s="954"/>
      <c r="D101" s="953">
        <f>ROUND(C101,6)*'Fatores de Emissão'!$E$267</f>
        <v>0</v>
      </c>
      <c r="E101" s="954"/>
      <c r="F101" s="953">
        <f>ROUND(E101,6)*'Fatores de Emissão'!$E$267</f>
        <v>0</v>
      </c>
      <c r="G101" s="1197"/>
      <c r="H101" s="953">
        <f>ROUND(G101,6)*'Fatores de Emissão'!$E$267</f>
        <v>0</v>
      </c>
      <c r="I101" s="950"/>
      <c r="J101" s="953">
        <f>ROUND(I101,6)*'Fatores de Emissão'!$E$267</f>
        <v>0</v>
      </c>
    </row>
    <row r="102" spans="1:13" s="955" customFormat="1" ht="15" customHeight="1" outlineLevel="1" x14ac:dyDescent="0.25">
      <c r="A102" s="237"/>
      <c r="B102" s="596" t="s">
        <v>467</v>
      </c>
      <c r="C102" s="954"/>
      <c r="D102" s="953">
        <f>ROUND(C102,6)*'Fatores de Emissão'!$E$268</f>
        <v>0</v>
      </c>
      <c r="E102" s="954"/>
      <c r="F102" s="953">
        <f>ROUND(E102,6)*'Fatores de Emissão'!$E$268</f>
        <v>0</v>
      </c>
      <c r="G102" s="1197"/>
      <c r="H102" s="953">
        <f>ROUND(G102,6)*'Fatores de Emissão'!$E$268</f>
        <v>0</v>
      </c>
      <c r="I102" s="950"/>
      <c r="J102" s="953">
        <f>ROUND(I102,6)*'Fatores de Emissão'!$E$268</f>
        <v>0</v>
      </c>
    </row>
    <row r="103" spans="1:13" s="955" customFormat="1" ht="15" customHeight="1" x14ac:dyDescent="0.25">
      <c r="A103" s="237"/>
      <c r="B103" s="596" t="s">
        <v>1491</v>
      </c>
      <c r="C103" s="954"/>
      <c r="D103" s="951">
        <f>ROUND(C103,6)*gwp_SF6</f>
        <v>0</v>
      </c>
      <c r="E103" s="954"/>
      <c r="F103" s="951">
        <f>ROUND(E103,6)*gwp_SF6</f>
        <v>0</v>
      </c>
      <c r="G103" s="1197"/>
      <c r="H103" s="951">
        <f>ROUND(G103,6)*gwp_SF6</f>
        <v>0</v>
      </c>
      <c r="I103" s="950"/>
      <c r="J103" s="951">
        <f>ROUND(I103,6)*gwp_SF6</f>
        <v>0</v>
      </c>
    </row>
    <row r="104" spans="1:13" s="955" customFormat="1" ht="15" customHeight="1" x14ac:dyDescent="0.25">
      <c r="A104" s="237"/>
      <c r="B104" s="596" t="s">
        <v>1492</v>
      </c>
      <c r="C104" s="954"/>
      <c r="D104" s="951">
        <f>ROUND(C104,6)*gwp_NF3</f>
        <v>0</v>
      </c>
      <c r="E104" s="954"/>
      <c r="F104" s="951">
        <f>ROUND(E104,6)*gwp_NF3</f>
        <v>0</v>
      </c>
      <c r="G104" s="1197"/>
      <c r="H104" s="951">
        <f>ROUND(G104,6)*gwp_NF3</f>
        <v>0</v>
      </c>
      <c r="I104" s="950"/>
      <c r="J104" s="951">
        <f>ROUND(I104,6)*gwp_NF3</f>
        <v>0</v>
      </c>
    </row>
    <row r="105" spans="1:13" s="955" customFormat="1" ht="15" customHeight="1" x14ac:dyDescent="0.25">
      <c r="A105" s="237"/>
      <c r="B105" s="596" t="s">
        <v>1493</v>
      </c>
      <c r="C105" s="954"/>
      <c r="D105" s="951">
        <f>SUM(D69:D104)-total_HFC_CO2e_Cat5_op-total_PFC_CO2e_Cat5_op</f>
        <v>0</v>
      </c>
      <c r="E105" s="954"/>
      <c r="F105" s="951">
        <f>SUM(F69:F104)-total_HFC_CO2e_Cat6_op-total_PFC_CO2e_Cat6_op</f>
        <v>0.59952099999999997</v>
      </c>
      <c r="G105" s="1142"/>
      <c r="H105" s="951">
        <f>SUM(H69:H104)-total_HFC_CO2e_Cat7-total_PFC_CO2e_Cat7</f>
        <v>0</v>
      </c>
      <c r="I105" s="954"/>
      <c r="J105" s="951">
        <f>SUM(J69:J104)-total_HFC_CO2e_Cat8-total_PFC_CO2e_Cat8</f>
        <v>0</v>
      </c>
    </row>
    <row r="106" spans="1:13" s="237" customFormat="1" ht="15" customHeight="1" x14ac:dyDescent="0.25">
      <c r="G106" s="1170"/>
    </row>
    <row r="107" spans="1:13" s="955" customFormat="1" ht="15" customHeight="1" x14ac:dyDescent="0.25">
      <c r="A107" s="237"/>
      <c r="B107" s="957" t="s">
        <v>1502</v>
      </c>
      <c r="C107" s="1166">
        <f>'Resíduos sólidos da operação'!total_RS_biomassa+'Efluentes gerados na operação'!total_EFL_biomassa</f>
        <v>0</v>
      </c>
      <c r="D107" s="952">
        <f>ROUND(C107,6)*gwp_CO2</f>
        <v>0</v>
      </c>
      <c r="E107" s="1167">
        <f>'Viagens a negócios'!total_CM_biomassa</f>
        <v>0</v>
      </c>
      <c r="F107" s="952">
        <f>ROUND(E107,6)*gwp_CO2</f>
        <v>0</v>
      </c>
      <c r="G107" s="1167">
        <f>'Permuta casa-trabalho'!total_CM_biomassa</f>
        <v>0</v>
      </c>
      <c r="H107" s="952">
        <f>ROUND(G107,6)*gwp_CO2</f>
        <v>0</v>
      </c>
      <c r="I107" s="958"/>
      <c r="J107" s="952">
        <f>ROUND(I107,6)*gwp_CO2</f>
        <v>0</v>
      </c>
    </row>
    <row r="108" spans="1:13" s="237" customFormat="1" ht="15" customHeight="1" x14ac:dyDescent="0.25"/>
    <row r="109" spans="1:13" s="955" customFormat="1" ht="15" customHeight="1" x14ac:dyDescent="0.25">
      <c r="A109" s="237"/>
      <c r="B109" s="237"/>
      <c r="C109" s="237"/>
      <c r="D109" s="237"/>
      <c r="E109" s="237"/>
      <c r="F109" s="237"/>
      <c r="G109" s="237"/>
      <c r="H109" s="237"/>
      <c r="I109" s="237"/>
      <c r="J109" s="237"/>
      <c r="K109" s="237"/>
      <c r="L109" s="237"/>
      <c r="M109" s="237"/>
    </row>
    <row r="110" spans="1:13" s="955" customFormat="1" ht="15" customHeight="1" x14ac:dyDescent="0.25">
      <c r="A110" s="237"/>
      <c r="B110" s="237"/>
      <c r="C110" s="1391" t="s">
        <v>318</v>
      </c>
      <c r="D110" s="1392"/>
      <c r="E110" s="1391" t="s">
        <v>319</v>
      </c>
      <c r="F110" s="1392"/>
      <c r="G110" s="1391" t="s">
        <v>320</v>
      </c>
      <c r="H110" s="1392"/>
      <c r="I110" s="1391" t="s">
        <v>321</v>
      </c>
      <c r="J110" s="1392"/>
      <c r="M110" s="237"/>
    </row>
    <row r="111" spans="1:13" s="955" customFormat="1" ht="45" customHeight="1" x14ac:dyDescent="0.25">
      <c r="A111" s="237"/>
      <c r="B111" s="237"/>
      <c r="C111" s="1393" t="s">
        <v>2218</v>
      </c>
      <c r="D111" s="1394"/>
      <c r="E111" s="1393" t="s">
        <v>327</v>
      </c>
      <c r="F111" s="1394"/>
      <c r="G111" s="1393" t="s">
        <v>343</v>
      </c>
      <c r="H111" s="1395"/>
      <c r="I111" s="1393" t="s">
        <v>328</v>
      </c>
      <c r="J111" s="1394"/>
      <c r="M111" s="237"/>
    </row>
    <row r="112" spans="1:13" s="955" customFormat="1" ht="15" customHeight="1" x14ac:dyDescent="0.25">
      <c r="A112" s="237"/>
      <c r="B112" s="947"/>
      <c r="C112" s="949" t="s">
        <v>331</v>
      </c>
      <c r="D112" s="949" t="s">
        <v>1487</v>
      </c>
      <c r="E112" s="949" t="s">
        <v>331</v>
      </c>
      <c r="F112" s="949" t="s">
        <v>1487</v>
      </c>
      <c r="G112" s="960" t="s">
        <v>331</v>
      </c>
      <c r="H112" s="960" t="s">
        <v>1487</v>
      </c>
      <c r="I112" s="960" t="s">
        <v>331</v>
      </c>
      <c r="J112" s="960" t="s">
        <v>1487</v>
      </c>
      <c r="M112" s="237"/>
    </row>
    <row r="113" spans="1:13" s="955" customFormat="1" ht="15" customHeight="1" x14ac:dyDescent="0.25">
      <c r="A113" s="237"/>
      <c r="B113" s="596" t="s">
        <v>1488</v>
      </c>
      <c r="C113" s="1165">
        <f>'Transp&amp;Distribuição(Downstream)'!total_TeD_up_rod_opcao2_CO2+'Transp&amp;Distribuição(Downstream)'!total_TeD_up_rod_opcao3_CO2+'Transp&amp;Distribuição(Downstream)'!total_TeD_up_ferro_CO2+'Transp&amp;Distribuição(Downstream)'!total_TeD_up_hidro_CO2+'Transp&amp;Distribuição(Downstream)'!total_TeD_up_aero_CO2</f>
        <v>0</v>
      </c>
      <c r="D113" s="951">
        <f>ROUND(C113,6)*gwp_CO2</f>
        <v>0</v>
      </c>
      <c r="E113" s="950"/>
      <c r="F113" s="951">
        <f>ROUND(E113,6)*gwp_CO2</f>
        <v>0</v>
      </c>
      <c r="G113" s="950"/>
      <c r="H113" s="951">
        <f>ROUND(G113,6)*gwp_CO2</f>
        <v>0</v>
      </c>
      <c r="I113" s="950"/>
      <c r="J113" s="951">
        <f>ROUND(I113,6)*gwp_CO2</f>
        <v>0</v>
      </c>
      <c r="M113" s="237"/>
    </row>
    <row r="114" spans="1:13" s="955" customFormat="1" ht="15" customHeight="1" x14ac:dyDescent="0.25">
      <c r="A114" s="237"/>
      <c r="B114" s="596" t="s">
        <v>1489</v>
      </c>
      <c r="C114" s="1165">
        <f>'Transp&amp;Distribuição(Downstream)'!total_TeD_up_rod_opcao2_CH4+'Transp&amp;Distribuição(Downstream)'!total_TeD_up_rod_opcao3_CH4+'Transp&amp;Distribuição(Downstream)'!total_TeD_up_ferro_CH4+'Transp&amp;Distribuição(Downstream)'!total_TeD_up_hidro_CH4+'Transp&amp;Distribuição(Downstream)'!total_TeD_up_aero_CH4</f>
        <v>0</v>
      </c>
      <c r="D114" s="951">
        <f>ROUND(C114,6)*gwp_CH4</f>
        <v>0</v>
      </c>
      <c r="E114" s="950"/>
      <c r="F114" s="951">
        <f>ROUND(E114,6)*gwp_CH4</f>
        <v>0</v>
      </c>
      <c r="G114" s="950"/>
      <c r="H114" s="951">
        <f>ROUND(G114,6)*gwp_CH4</f>
        <v>0</v>
      </c>
      <c r="I114" s="950"/>
      <c r="J114" s="951">
        <f>ROUND(I114,6)*gwp_CH4</f>
        <v>0</v>
      </c>
      <c r="M114" s="237"/>
    </row>
    <row r="115" spans="1:13" s="955" customFormat="1" ht="15" customHeight="1" x14ac:dyDescent="0.25">
      <c r="A115" s="237"/>
      <c r="B115" s="596" t="s">
        <v>1490</v>
      </c>
      <c r="C115" s="1165">
        <f>'Transp&amp;Distribuição(Downstream)'!total_TeD_up_rod_opcao2_N2O+'Transp&amp;Distribuição(Downstream)'!total_TeD_up_rod_opcao3_N2O+'Transp&amp;Distribuição(Downstream)'!total_TeD_up_ferro_N2O+'Transp&amp;Distribuição(Downstream)'!total_TeD_up_hidro_N2O+'Transp&amp;Distribuição(Downstream)'!total_TeD_up_aero_N2O</f>
        <v>0</v>
      </c>
      <c r="D115" s="951">
        <f>ROUND(C115,6)*gwp_N2O</f>
        <v>0</v>
      </c>
      <c r="E115" s="950"/>
      <c r="F115" s="951">
        <f>ROUND(E115,6)*gwp_N2O</f>
        <v>0</v>
      </c>
      <c r="G115" s="950"/>
      <c r="H115" s="951">
        <f>ROUND(G115,6)*gwp_N2O</f>
        <v>0</v>
      </c>
      <c r="I115" s="950"/>
      <c r="J115" s="951">
        <f>ROUND(I115,6)*gwp_N2O</f>
        <v>0</v>
      </c>
      <c r="M115" s="237"/>
    </row>
    <row r="116" spans="1:13" s="955" customFormat="1" ht="15" customHeight="1" x14ac:dyDescent="0.25">
      <c r="A116" s="237"/>
      <c r="B116" s="596" t="s">
        <v>224</v>
      </c>
      <c r="C116" s="954">
        <f t="shared" ref="C116" si="16">SUM(C117:C135)</f>
        <v>0</v>
      </c>
      <c r="D116" s="953">
        <f t="shared" ref="D116:E116" si="17">SUM(D117:D135)</f>
        <v>0</v>
      </c>
      <c r="E116" s="953">
        <f t="shared" si="17"/>
        <v>0</v>
      </c>
      <c r="F116" s="953">
        <f t="shared" ref="F116:G116" si="18">SUM(F117:F135)</f>
        <v>0</v>
      </c>
      <c r="G116" s="953">
        <f t="shared" si="18"/>
        <v>0</v>
      </c>
      <c r="H116" s="953">
        <f t="shared" ref="H116:I116" si="19">SUM(H117:H135)</f>
        <v>0</v>
      </c>
      <c r="I116" s="953">
        <f t="shared" si="19"/>
        <v>0</v>
      </c>
      <c r="J116" s="953">
        <f t="shared" ref="J116" si="20">SUM(J117:J135)</f>
        <v>0</v>
      </c>
      <c r="M116" s="237"/>
    </row>
    <row r="117" spans="1:13" s="955" customFormat="1" ht="15" customHeight="1" outlineLevel="1" x14ac:dyDescent="0.25">
      <c r="A117" s="237"/>
      <c r="B117" s="596" t="s">
        <v>85</v>
      </c>
      <c r="C117" s="954"/>
      <c r="D117" s="953">
        <f>ROUND(C117,6)*'Fatores de Emissão'!$E$238</f>
        <v>0</v>
      </c>
      <c r="E117" s="950"/>
      <c r="F117" s="953">
        <f>ROUND(E117,6)*'Fatores de Emissão'!$E$238</f>
        <v>0</v>
      </c>
      <c r="G117" s="950"/>
      <c r="H117" s="953">
        <f>ROUND(G117,6)*'Fatores de Emissão'!$E$238</f>
        <v>0</v>
      </c>
      <c r="I117" s="950"/>
      <c r="J117" s="953">
        <f>ROUND(I117,6)*'Fatores de Emissão'!$E$238</f>
        <v>0</v>
      </c>
      <c r="M117" s="237"/>
    </row>
    <row r="118" spans="1:13" s="955" customFormat="1" ht="15" customHeight="1" outlineLevel="1" x14ac:dyDescent="0.25">
      <c r="A118" s="237"/>
      <c r="B118" s="596" t="s">
        <v>86</v>
      </c>
      <c r="C118" s="954"/>
      <c r="D118" s="953">
        <f>ROUND(C118,6)*'Fatores de Emissão'!$E$239</f>
        <v>0</v>
      </c>
      <c r="E118" s="950"/>
      <c r="F118" s="953">
        <f>ROUND(E118,6)*'Fatores de Emissão'!$E$239</f>
        <v>0</v>
      </c>
      <c r="G118" s="950"/>
      <c r="H118" s="953">
        <f>ROUND(G118,6)*'Fatores de Emissão'!$E$239</f>
        <v>0</v>
      </c>
      <c r="I118" s="950"/>
      <c r="J118" s="953">
        <f>ROUND(I118,6)*'Fatores de Emissão'!$E$239</f>
        <v>0</v>
      </c>
      <c r="M118" s="237"/>
    </row>
    <row r="119" spans="1:13" s="955" customFormat="1" ht="15" customHeight="1" outlineLevel="1" x14ac:dyDescent="0.25">
      <c r="A119" s="237"/>
      <c r="B119" s="596" t="s">
        <v>285</v>
      </c>
      <c r="C119" s="954"/>
      <c r="D119" s="953">
        <f>ROUND(C119,6)*'Fatores de Emissão'!$E$240</f>
        <v>0</v>
      </c>
      <c r="E119" s="950"/>
      <c r="F119" s="953">
        <f>ROUND(E119,6)*'Fatores de Emissão'!$E$240</f>
        <v>0</v>
      </c>
      <c r="G119" s="950"/>
      <c r="H119" s="953">
        <f>ROUND(G119,6)*'Fatores de Emissão'!$E$240</f>
        <v>0</v>
      </c>
      <c r="I119" s="950"/>
      <c r="J119" s="953">
        <f>ROUND(I119,6)*'Fatores de Emissão'!$E$240</f>
        <v>0</v>
      </c>
      <c r="M119" s="237"/>
    </row>
    <row r="120" spans="1:13" s="955" customFormat="1" ht="15" customHeight="1" outlineLevel="1" x14ac:dyDescent="0.25">
      <c r="A120" s="237"/>
      <c r="B120" s="596" t="s">
        <v>87</v>
      </c>
      <c r="C120" s="954"/>
      <c r="D120" s="953">
        <f>ROUND(C120,6)*'Fatores de Emissão'!$E$241</f>
        <v>0</v>
      </c>
      <c r="E120" s="950"/>
      <c r="F120" s="953">
        <f>ROUND(E120,6)*'Fatores de Emissão'!$E$241</f>
        <v>0</v>
      </c>
      <c r="G120" s="950"/>
      <c r="H120" s="953">
        <f>ROUND(G120,6)*'Fatores de Emissão'!$E$241</f>
        <v>0</v>
      </c>
      <c r="I120" s="950"/>
      <c r="J120" s="953">
        <f>ROUND(I120,6)*'Fatores de Emissão'!$E$241</f>
        <v>0</v>
      </c>
      <c r="M120" s="237"/>
    </row>
    <row r="121" spans="1:13" s="955" customFormat="1" ht="15" customHeight="1" outlineLevel="1" x14ac:dyDescent="0.25">
      <c r="A121" s="237"/>
      <c r="B121" s="596" t="s">
        <v>287</v>
      </c>
      <c r="C121" s="954"/>
      <c r="D121" s="953">
        <f>ROUND(C121,6)*'Fatores de Emissão'!$E$242</f>
        <v>0</v>
      </c>
      <c r="E121" s="950"/>
      <c r="F121" s="953">
        <f>ROUND(E121,6)*'Fatores de Emissão'!$E$242</f>
        <v>0</v>
      </c>
      <c r="G121" s="950"/>
      <c r="H121" s="953">
        <f>ROUND(G121,6)*'Fatores de Emissão'!$E$242</f>
        <v>0</v>
      </c>
      <c r="I121" s="950"/>
      <c r="J121" s="953">
        <f>ROUND(I121,6)*'Fatores de Emissão'!$E$242</f>
        <v>0</v>
      </c>
      <c r="M121" s="237"/>
    </row>
    <row r="122" spans="1:13" s="955" customFormat="1" ht="15" customHeight="1" outlineLevel="1" x14ac:dyDescent="0.25">
      <c r="A122" s="237"/>
      <c r="B122" s="596" t="s">
        <v>88</v>
      </c>
      <c r="C122" s="954"/>
      <c r="D122" s="953">
        <f>ROUND(C122,6)*'Fatores de Emissão'!$E$243</f>
        <v>0</v>
      </c>
      <c r="E122" s="950"/>
      <c r="F122" s="953">
        <f>ROUND(E122,6)*'Fatores de Emissão'!$E$243</f>
        <v>0</v>
      </c>
      <c r="G122" s="950"/>
      <c r="H122" s="953">
        <f>ROUND(G122,6)*'Fatores de Emissão'!$E$243</f>
        <v>0</v>
      </c>
      <c r="I122" s="950"/>
      <c r="J122" s="953">
        <f>ROUND(I122,6)*'Fatores de Emissão'!$E$243</f>
        <v>0</v>
      </c>
      <c r="M122" s="237"/>
    </row>
    <row r="123" spans="1:13" s="955" customFormat="1" ht="15" customHeight="1" outlineLevel="1" x14ac:dyDescent="0.25">
      <c r="A123" s="237"/>
      <c r="B123" s="596" t="s">
        <v>288</v>
      </c>
      <c r="C123" s="954"/>
      <c r="D123" s="953">
        <f>ROUND(C123,6)*'Fatores de Emissão'!$E$244</f>
        <v>0</v>
      </c>
      <c r="E123" s="950"/>
      <c r="F123" s="953">
        <f>ROUND(E123,6)*'Fatores de Emissão'!$E$244</f>
        <v>0</v>
      </c>
      <c r="G123" s="950"/>
      <c r="H123" s="953">
        <f>ROUND(G123,6)*'Fatores de Emissão'!$E$244</f>
        <v>0</v>
      </c>
      <c r="I123" s="950"/>
      <c r="J123" s="953">
        <f>ROUND(I123,6)*'Fatores de Emissão'!$E$244</f>
        <v>0</v>
      </c>
      <c r="M123" s="237"/>
    </row>
    <row r="124" spans="1:13" s="955" customFormat="1" ht="15" customHeight="1" outlineLevel="1" x14ac:dyDescent="0.25">
      <c r="A124" s="237"/>
      <c r="B124" s="596" t="s">
        <v>107</v>
      </c>
      <c r="C124" s="954"/>
      <c r="D124" s="953">
        <f>ROUND(C124,6)*'Fatores de Emissão'!$E$245</f>
        <v>0</v>
      </c>
      <c r="E124" s="950"/>
      <c r="F124" s="953">
        <f>ROUND(E124,6)*'Fatores de Emissão'!$E$245</f>
        <v>0</v>
      </c>
      <c r="G124" s="950"/>
      <c r="H124" s="953">
        <f>ROUND(G124,6)*'Fatores de Emissão'!$E$245</f>
        <v>0</v>
      </c>
      <c r="I124" s="950"/>
      <c r="J124" s="953">
        <f>ROUND(I124,6)*'Fatores de Emissão'!$E$245</f>
        <v>0</v>
      </c>
      <c r="M124" s="237"/>
    </row>
    <row r="125" spans="1:13" s="955" customFormat="1" ht="15" customHeight="1" outlineLevel="1" x14ac:dyDescent="0.25">
      <c r="A125" s="237"/>
      <c r="B125" s="596" t="s">
        <v>289</v>
      </c>
      <c r="C125" s="954"/>
      <c r="D125" s="953">
        <f>ROUND(C125,6)*'Fatores de Emissão'!$E$246</f>
        <v>0</v>
      </c>
      <c r="E125" s="950"/>
      <c r="F125" s="953">
        <f>ROUND(E125,6)*'Fatores de Emissão'!$E$246</f>
        <v>0</v>
      </c>
      <c r="G125" s="950"/>
      <c r="H125" s="953">
        <f>ROUND(G125,6)*'Fatores de Emissão'!$E$246</f>
        <v>0</v>
      </c>
      <c r="I125" s="950"/>
      <c r="J125" s="953">
        <f>ROUND(I125,6)*'Fatores de Emissão'!$E$246</f>
        <v>0</v>
      </c>
      <c r="M125" s="237"/>
    </row>
    <row r="126" spans="1:13" s="955" customFormat="1" ht="15" customHeight="1" outlineLevel="1" x14ac:dyDescent="0.25">
      <c r="A126" s="237"/>
      <c r="B126" s="596" t="s">
        <v>108</v>
      </c>
      <c r="C126" s="954"/>
      <c r="D126" s="953">
        <f>ROUND(C126,6)*'Fatores de Emissão'!$E$247</f>
        <v>0</v>
      </c>
      <c r="E126" s="950"/>
      <c r="F126" s="953">
        <f>ROUND(E126,6)*'Fatores de Emissão'!$E$247</f>
        <v>0</v>
      </c>
      <c r="G126" s="950"/>
      <c r="H126" s="953">
        <f>ROUND(G126,6)*'Fatores de Emissão'!$E$247</f>
        <v>0</v>
      </c>
      <c r="I126" s="950"/>
      <c r="J126" s="953">
        <f>ROUND(I126,6)*'Fatores de Emissão'!$E$247</f>
        <v>0</v>
      </c>
      <c r="M126" s="237"/>
    </row>
    <row r="127" spans="1:13" s="955" customFormat="1" ht="15" customHeight="1" outlineLevel="1" x14ac:dyDescent="0.25">
      <c r="A127" s="237"/>
      <c r="B127" s="596" t="s">
        <v>290</v>
      </c>
      <c r="C127" s="954"/>
      <c r="D127" s="953">
        <f>ROUND(C127,6)*'Fatores de Emissão'!$E$248</f>
        <v>0</v>
      </c>
      <c r="E127" s="950"/>
      <c r="F127" s="953">
        <f>ROUND(E127,6)*'Fatores de Emissão'!$E$248</f>
        <v>0</v>
      </c>
      <c r="G127" s="950"/>
      <c r="H127" s="953">
        <f>ROUND(G127,6)*'Fatores de Emissão'!$E$248</f>
        <v>0</v>
      </c>
      <c r="I127" s="950"/>
      <c r="J127" s="953">
        <f>ROUND(I127,6)*'Fatores de Emissão'!$E$248</f>
        <v>0</v>
      </c>
      <c r="M127" s="237"/>
    </row>
    <row r="128" spans="1:13" s="955" customFormat="1" ht="15" customHeight="1" outlineLevel="1" x14ac:dyDescent="0.25">
      <c r="A128" s="237"/>
      <c r="B128" s="596" t="s">
        <v>291</v>
      </c>
      <c r="C128" s="954"/>
      <c r="D128" s="953">
        <f>ROUND(C128,6)*'Fatores de Emissão'!$E$249</f>
        <v>0</v>
      </c>
      <c r="E128" s="950"/>
      <c r="F128" s="953">
        <f>ROUND(E128,6)*'Fatores de Emissão'!$E$249</f>
        <v>0</v>
      </c>
      <c r="G128" s="950"/>
      <c r="H128" s="953">
        <f>ROUND(G128,6)*'Fatores de Emissão'!$E$249</f>
        <v>0</v>
      </c>
      <c r="I128" s="950"/>
      <c r="J128" s="953">
        <f>ROUND(I128,6)*'Fatores de Emissão'!$E$249</f>
        <v>0</v>
      </c>
      <c r="M128" s="237"/>
    </row>
    <row r="129" spans="1:13" s="955" customFormat="1" ht="15" customHeight="1" outlineLevel="1" x14ac:dyDescent="0.25">
      <c r="A129" s="237"/>
      <c r="B129" s="596" t="s">
        <v>292</v>
      </c>
      <c r="C129" s="954"/>
      <c r="D129" s="953">
        <f>ROUND(C129,6)*'Fatores de Emissão'!$E$250</f>
        <v>0</v>
      </c>
      <c r="E129" s="950"/>
      <c r="F129" s="953">
        <f>ROUND(E129,6)*'Fatores de Emissão'!$E$250</f>
        <v>0</v>
      </c>
      <c r="G129" s="950"/>
      <c r="H129" s="953">
        <f>ROUND(G129,6)*'Fatores de Emissão'!$E$250</f>
        <v>0</v>
      </c>
      <c r="I129" s="950"/>
      <c r="J129" s="953">
        <f>ROUND(I129,6)*'Fatores de Emissão'!$E$250</f>
        <v>0</v>
      </c>
      <c r="M129" s="237"/>
    </row>
    <row r="130" spans="1:13" s="955" customFormat="1" ht="15" customHeight="1" outlineLevel="1" x14ac:dyDescent="0.25">
      <c r="A130" s="237"/>
      <c r="B130" s="596" t="s">
        <v>293</v>
      </c>
      <c r="C130" s="954"/>
      <c r="D130" s="953">
        <f>ROUND(C130,6)*'Fatores de Emissão'!$E$251</f>
        <v>0</v>
      </c>
      <c r="E130" s="950"/>
      <c r="F130" s="953">
        <f>ROUND(E130,6)*'Fatores de Emissão'!$E$251</f>
        <v>0</v>
      </c>
      <c r="G130" s="950"/>
      <c r="H130" s="953">
        <f>ROUND(G130,6)*'Fatores de Emissão'!$E$251</f>
        <v>0</v>
      </c>
      <c r="I130" s="950"/>
      <c r="J130" s="953">
        <f>ROUND(I130,6)*'Fatores de Emissão'!$E$251</f>
        <v>0</v>
      </c>
      <c r="M130" s="237"/>
    </row>
    <row r="131" spans="1:13" s="955" customFormat="1" ht="15" customHeight="1" outlineLevel="1" x14ac:dyDescent="0.25">
      <c r="A131" s="237"/>
      <c r="B131" s="596" t="s">
        <v>109</v>
      </c>
      <c r="C131" s="954"/>
      <c r="D131" s="953">
        <f>ROUND(C131,6)*'Fatores de Emissão'!$E$252</f>
        <v>0</v>
      </c>
      <c r="E131" s="950"/>
      <c r="F131" s="953">
        <f>ROUND(E131,6)*'Fatores de Emissão'!$E$252</f>
        <v>0</v>
      </c>
      <c r="G131" s="950"/>
      <c r="H131" s="953">
        <f>ROUND(G131,6)*'Fatores de Emissão'!$E$252</f>
        <v>0</v>
      </c>
      <c r="I131" s="950"/>
      <c r="J131" s="953">
        <f>ROUND(I131,6)*'Fatores de Emissão'!$E$252</f>
        <v>0</v>
      </c>
      <c r="M131" s="237"/>
    </row>
    <row r="132" spans="1:13" s="955" customFormat="1" ht="15" customHeight="1" outlineLevel="1" x14ac:dyDescent="0.25">
      <c r="A132" s="237"/>
      <c r="B132" s="596" t="s">
        <v>294</v>
      </c>
      <c r="C132" s="954"/>
      <c r="D132" s="953">
        <f>ROUND(C132,6)*'Fatores de Emissão'!$E$253</f>
        <v>0</v>
      </c>
      <c r="E132" s="950"/>
      <c r="F132" s="953">
        <f>ROUND(E132,6)*'Fatores de Emissão'!$E$253</f>
        <v>0</v>
      </c>
      <c r="G132" s="950"/>
      <c r="H132" s="953">
        <f>ROUND(G132,6)*'Fatores de Emissão'!$E$253</f>
        <v>0</v>
      </c>
      <c r="I132" s="950"/>
      <c r="J132" s="953">
        <f>ROUND(I132,6)*'Fatores de Emissão'!$E$253</f>
        <v>0</v>
      </c>
      <c r="M132" s="237"/>
    </row>
    <row r="133" spans="1:13" s="955" customFormat="1" ht="15" customHeight="1" outlineLevel="1" x14ac:dyDescent="0.25">
      <c r="A133" s="237"/>
      <c r="B133" s="596" t="s">
        <v>295</v>
      </c>
      <c r="C133" s="954"/>
      <c r="D133" s="953">
        <f>ROUND(C133,6)*'Fatores de Emissão'!$E$254</f>
        <v>0</v>
      </c>
      <c r="E133" s="950"/>
      <c r="F133" s="953">
        <f>ROUND(E133,6)*'Fatores de Emissão'!$E$254</f>
        <v>0</v>
      </c>
      <c r="G133" s="950"/>
      <c r="H133" s="953">
        <f>ROUND(G133,6)*'Fatores de Emissão'!$E$254</f>
        <v>0</v>
      </c>
      <c r="I133" s="950"/>
      <c r="J133" s="953">
        <f>ROUND(I133,6)*'Fatores de Emissão'!$E$254</f>
        <v>0</v>
      </c>
      <c r="M133" s="237"/>
    </row>
    <row r="134" spans="1:13" s="955" customFormat="1" ht="15" customHeight="1" outlineLevel="1" x14ac:dyDescent="0.25">
      <c r="A134" s="237"/>
      <c r="B134" s="596" t="s">
        <v>296</v>
      </c>
      <c r="C134" s="954"/>
      <c r="D134" s="953">
        <f>ROUND(C134,6)*'Fatores de Emissão'!$E$255</f>
        <v>0</v>
      </c>
      <c r="E134" s="950"/>
      <c r="F134" s="953">
        <f>ROUND(E134,6)*'Fatores de Emissão'!$E$255</f>
        <v>0</v>
      </c>
      <c r="G134" s="950"/>
      <c r="H134" s="953">
        <f>ROUND(G134,6)*'Fatores de Emissão'!$E$255</f>
        <v>0</v>
      </c>
      <c r="I134" s="950"/>
      <c r="J134" s="953">
        <f>ROUND(I134,6)*'Fatores de Emissão'!$E$255</f>
        <v>0</v>
      </c>
      <c r="M134" s="237"/>
    </row>
    <row r="135" spans="1:13" s="955" customFormat="1" ht="15" customHeight="1" outlineLevel="1" x14ac:dyDescent="0.25">
      <c r="A135" s="237"/>
      <c r="B135" s="596" t="s">
        <v>286</v>
      </c>
      <c r="C135" s="954"/>
      <c r="D135" s="953">
        <f>ROUND(C135,6)*'Fatores de Emissão'!$E$256</f>
        <v>0</v>
      </c>
      <c r="E135" s="950"/>
      <c r="F135" s="953">
        <f>ROUND(E135,6)*'Fatores de Emissão'!$E$256</f>
        <v>0</v>
      </c>
      <c r="G135" s="950"/>
      <c r="H135" s="953">
        <f>ROUND(G135,6)*'Fatores de Emissão'!$E$256</f>
        <v>0</v>
      </c>
      <c r="I135" s="950"/>
      <c r="J135" s="953">
        <f>ROUND(I135,6)*'Fatores de Emissão'!$E$256</f>
        <v>0</v>
      </c>
      <c r="M135" s="237"/>
    </row>
    <row r="136" spans="1:13" s="955" customFormat="1" ht="15" customHeight="1" x14ac:dyDescent="0.25">
      <c r="A136" s="237"/>
      <c r="B136" s="596" t="s">
        <v>225</v>
      </c>
      <c r="C136" s="954">
        <f t="shared" ref="C136" si="21">SUM(C137:C146)</f>
        <v>0</v>
      </c>
      <c r="D136" s="953">
        <f t="shared" ref="D136:E136" si="22">SUM(D137:D146)</f>
        <v>0</v>
      </c>
      <c r="E136" s="953">
        <f t="shared" si="22"/>
        <v>0</v>
      </c>
      <c r="F136" s="953">
        <f t="shared" ref="F136:G136" si="23">SUM(F137:F146)</f>
        <v>0</v>
      </c>
      <c r="G136" s="953">
        <f t="shared" si="23"/>
        <v>0</v>
      </c>
      <c r="H136" s="953">
        <f t="shared" ref="H136:I136" si="24">SUM(H137:H146)</f>
        <v>0</v>
      </c>
      <c r="I136" s="953">
        <f t="shared" si="24"/>
        <v>0</v>
      </c>
      <c r="J136" s="953">
        <f t="shared" ref="J136" si="25">SUM(J137:J146)</f>
        <v>0</v>
      </c>
      <c r="M136" s="237"/>
    </row>
    <row r="137" spans="1:13" s="955" customFormat="1" ht="15" customHeight="1" outlineLevel="1" x14ac:dyDescent="0.25">
      <c r="A137" s="237"/>
      <c r="B137" s="596" t="s">
        <v>458</v>
      </c>
      <c r="C137" s="954"/>
      <c r="D137" s="953">
        <f>ROUND(C137,6)*'Fatores de Emissão'!$E$259</f>
        <v>0</v>
      </c>
      <c r="E137" s="950"/>
      <c r="F137" s="953">
        <f>ROUND(E137,6)*'Fatores de Emissão'!$E$259</f>
        <v>0</v>
      </c>
      <c r="G137" s="950"/>
      <c r="H137" s="953">
        <f>ROUND(G137,6)*'Fatores de Emissão'!$E$259</f>
        <v>0</v>
      </c>
      <c r="I137" s="950"/>
      <c r="J137" s="953">
        <f>ROUND(I137,6)*'Fatores de Emissão'!$E$259</f>
        <v>0</v>
      </c>
      <c r="M137" s="237"/>
    </row>
    <row r="138" spans="1:13" s="955" customFormat="1" ht="15" customHeight="1" outlineLevel="1" x14ac:dyDescent="0.25">
      <c r="A138" s="237"/>
      <c r="B138" s="596" t="s">
        <v>459</v>
      </c>
      <c r="C138" s="954"/>
      <c r="D138" s="953">
        <f>ROUND(C138,6)*'Fatores de Emissão'!$E$260</f>
        <v>0</v>
      </c>
      <c r="E138" s="950"/>
      <c r="F138" s="953">
        <f>ROUND(E138,6)*'Fatores de Emissão'!$E$260</f>
        <v>0</v>
      </c>
      <c r="G138" s="950"/>
      <c r="H138" s="953">
        <f>ROUND(G138,6)*'Fatores de Emissão'!$E$260</f>
        <v>0</v>
      </c>
      <c r="I138" s="950"/>
      <c r="J138" s="953">
        <f>ROUND(I138,6)*'Fatores de Emissão'!$E$260</f>
        <v>0</v>
      </c>
      <c r="M138" s="237"/>
    </row>
    <row r="139" spans="1:13" s="955" customFormat="1" ht="15" customHeight="1" outlineLevel="1" x14ac:dyDescent="0.25">
      <c r="A139" s="237"/>
      <c r="B139" s="596" t="s">
        <v>460</v>
      </c>
      <c r="C139" s="954"/>
      <c r="D139" s="953">
        <f>ROUND(C139,6)*'Fatores de Emissão'!$E$261</f>
        <v>0</v>
      </c>
      <c r="E139" s="950"/>
      <c r="F139" s="953">
        <f>ROUND(E139,6)*'Fatores de Emissão'!$E$261</f>
        <v>0</v>
      </c>
      <c r="G139" s="950"/>
      <c r="H139" s="953">
        <f>ROUND(G139,6)*'Fatores de Emissão'!$E$261</f>
        <v>0</v>
      </c>
      <c r="I139" s="950"/>
      <c r="J139" s="953">
        <f>ROUND(I139,6)*'Fatores de Emissão'!$E$261</f>
        <v>0</v>
      </c>
      <c r="M139" s="237"/>
    </row>
    <row r="140" spans="1:13" s="955" customFormat="1" ht="15" customHeight="1" outlineLevel="1" x14ac:dyDescent="0.25">
      <c r="A140" s="237"/>
      <c r="B140" s="596" t="s">
        <v>461</v>
      </c>
      <c r="C140" s="954"/>
      <c r="D140" s="953">
        <f>ROUND(C140,6)*'Fatores de Emissão'!$E$262</f>
        <v>0</v>
      </c>
      <c r="E140" s="950"/>
      <c r="F140" s="953">
        <f>ROUND(E140,6)*'Fatores de Emissão'!$E$262</f>
        <v>0</v>
      </c>
      <c r="G140" s="950"/>
      <c r="H140" s="953">
        <f>ROUND(G140,6)*'Fatores de Emissão'!$E$262</f>
        <v>0</v>
      </c>
      <c r="I140" s="950"/>
      <c r="J140" s="953">
        <f>ROUND(I140,6)*'Fatores de Emissão'!$E$262</f>
        <v>0</v>
      </c>
      <c r="M140" s="237"/>
    </row>
    <row r="141" spans="1:13" s="955" customFormat="1" ht="15" customHeight="1" outlineLevel="1" x14ac:dyDescent="0.25">
      <c r="A141" s="237"/>
      <c r="B141" s="596" t="s">
        <v>462</v>
      </c>
      <c r="C141" s="954"/>
      <c r="D141" s="953">
        <f>ROUND(C141,6)*'Fatores de Emissão'!$E$263</f>
        <v>0</v>
      </c>
      <c r="E141" s="950"/>
      <c r="F141" s="953">
        <f>ROUND(E141,6)*'Fatores de Emissão'!$E$263</f>
        <v>0</v>
      </c>
      <c r="G141" s="950"/>
      <c r="H141" s="953">
        <f>ROUND(G141,6)*'Fatores de Emissão'!$E$263</f>
        <v>0</v>
      </c>
      <c r="I141" s="950"/>
      <c r="J141" s="953">
        <f>ROUND(I141,6)*'Fatores de Emissão'!$E$263</f>
        <v>0</v>
      </c>
      <c r="M141" s="237"/>
    </row>
    <row r="142" spans="1:13" s="955" customFormat="1" ht="15" customHeight="1" outlineLevel="1" x14ac:dyDescent="0.25">
      <c r="A142" s="237"/>
      <c r="B142" s="596" t="s">
        <v>463</v>
      </c>
      <c r="C142" s="954"/>
      <c r="D142" s="953">
        <f>ROUND(C142,6)*'Fatores de Emissão'!$E$264</f>
        <v>0</v>
      </c>
      <c r="E142" s="950"/>
      <c r="F142" s="953">
        <f>ROUND(E142,6)*'Fatores de Emissão'!$E$264</f>
        <v>0</v>
      </c>
      <c r="G142" s="950"/>
      <c r="H142" s="953">
        <f>ROUND(G142,6)*'Fatores de Emissão'!$E$264</f>
        <v>0</v>
      </c>
      <c r="I142" s="950"/>
      <c r="J142" s="953">
        <f>ROUND(I142,6)*'Fatores de Emissão'!$E$264</f>
        <v>0</v>
      </c>
      <c r="M142" s="237"/>
    </row>
    <row r="143" spans="1:13" s="955" customFormat="1" ht="15" customHeight="1" outlineLevel="1" x14ac:dyDescent="0.25">
      <c r="A143" s="237"/>
      <c r="B143" s="596" t="s">
        <v>464</v>
      </c>
      <c r="C143" s="954"/>
      <c r="D143" s="953">
        <f>ROUND(C143,6)*'Fatores de Emissão'!$E$265</f>
        <v>0</v>
      </c>
      <c r="E143" s="950"/>
      <c r="F143" s="953">
        <f>ROUND(E143,6)*'Fatores de Emissão'!$E$265</f>
        <v>0</v>
      </c>
      <c r="G143" s="950"/>
      <c r="H143" s="953">
        <f>ROUND(G143,6)*'Fatores de Emissão'!$E$265</f>
        <v>0</v>
      </c>
      <c r="I143" s="950"/>
      <c r="J143" s="953">
        <f>ROUND(I143,6)*'Fatores de Emissão'!$E$265</f>
        <v>0</v>
      </c>
      <c r="M143" s="237"/>
    </row>
    <row r="144" spans="1:13" s="955" customFormat="1" ht="15" customHeight="1" outlineLevel="1" x14ac:dyDescent="0.25">
      <c r="A144" s="237"/>
      <c r="B144" s="596" t="s">
        <v>465</v>
      </c>
      <c r="C144" s="954"/>
      <c r="D144" s="953">
        <f>ROUND(C144,6)*'Fatores de Emissão'!$E$266</f>
        <v>0</v>
      </c>
      <c r="E144" s="950"/>
      <c r="F144" s="953">
        <f>ROUND(E144,6)*'Fatores de Emissão'!$E$266</f>
        <v>0</v>
      </c>
      <c r="G144" s="950"/>
      <c r="H144" s="953">
        <f>ROUND(G144,6)*'Fatores de Emissão'!$E$266</f>
        <v>0</v>
      </c>
      <c r="I144" s="950"/>
      <c r="J144" s="953">
        <f>ROUND(I144,6)*'Fatores de Emissão'!$E$266</f>
        <v>0</v>
      </c>
      <c r="M144" s="237"/>
    </row>
    <row r="145" spans="1:13" s="955" customFormat="1" ht="15" customHeight="1" outlineLevel="1" x14ac:dyDescent="0.25">
      <c r="A145" s="237"/>
      <c r="B145" s="596" t="s">
        <v>466</v>
      </c>
      <c r="C145" s="954"/>
      <c r="D145" s="953">
        <f>ROUND(C145,6)*'Fatores de Emissão'!$E$267</f>
        <v>0</v>
      </c>
      <c r="E145" s="950"/>
      <c r="F145" s="953">
        <f>ROUND(E145,6)*'Fatores de Emissão'!$E$267</f>
        <v>0</v>
      </c>
      <c r="G145" s="950"/>
      <c r="H145" s="953">
        <f>ROUND(G145,6)*'Fatores de Emissão'!$E$267</f>
        <v>0</v>
      </c>
      <c r="I145" s="950"/>
      <c r="J145" s="953">
        <f>ROUND(I145,6)*'Fatores de Emissão'!$E$267</f>
        <v>0</v>
      </c>
      <c r="M145" s="237"/>
    </row>
    <row r="146" spans="1:13" s="955" customFormat="1" ht="15" customHeight="1" outlineLevel="1" x14ac:dyDescent="0.25">
      <c r="A146" s="237"/>
      <c r="B146" s="596" t="s">
        <v>467</v>
      </c>
      <c r="C146" s="954"/>
      <c r="D146" s="953">
        <f>ROUND(C146,6)*'Fatores de Emissão'!$E$268</f>
        <v>0</v>
      </c>
      <c r="E146" s="950"/>
      <c r="F146" s="953">
        <f>ROUND(E146,6)*'Fatores de Emissão'!$E$268</f>
        <v>0</v>
      </c>
      <c r="G146" s="950"/>
      <c r="H146" s="953">
        <f>ROUND(G146,6)*'Fatores de Emissão'!$E$268</f>
        <v>0</v>
      </c>
      <c r="I146" s="950"/>
      <c r="J146" s="953">
        <f>ROUND(I146,6)*'Fatores de Emissão'!$E$268</f>
        <v>0</v>
      </c>
      <c r="M146" s="237"/>
    </row>
    <row r="147" spans="1:13" s="955" customFormat="1" ht="15" customHeight="1" x14ac:dyDescent="0.25">
      <c r="A147" s="237"/>
      <c r="B147" s="596" t="s">
        <v>1491</v>
      </c>
      <c r="C147" s="954"/>
      <c r="D147" s="951">
        <f>ROUND(C147,6)*gwp_SF6</f>
        <v>0</v>
      </c>
      <c r="E147" s="950"/>
      <c r="F147" s="951">
        <f>ROUND(E147,6)*gwp_SF6</f>
        <v>0</v>
      </c>
      <c r="G147" s="950"/>
      <c r="H147" s="951">
        <f>ROUND(G147,6)*gwp_SF6</f>
        <v>0</v>
      </c>
      <c r="I147" s="950"/>
      <c r="J147" s="951">
        <f>ROUND(I147,6)*gwp_SF6</f>
        <v>0</v>
      </c>
      <c r="M147" s="237"/>
    </row>
    <row r="148" spans="1:13" s="955" customFormat="1" ht="15" customHeight="1" x14ac:dyDescent="0.25">
      <c r="A148" s="237"/>
      <c r="B148" s="596" t="s">
        <v>1492</v>
      </c>
      <c r="C148" s="954"/>
      <c r="D148" s="951">
        <f>ROUND(C148,6)*gwp_NF3</f>
        <v>0</v>
      </c>
      <c r="E148" s="950"/>
      <c r="F148" s="951">
        <f>ROUND(E148,6)*gwp_NF3</f>
        <v>0</v>
      </c>
      <c r="G148" s="950"/>
      <c r="H148" s="951">
        <f>ROUND(G148,6)*gwp_NF3</f>
        <v>0</v>
      </c>
      <c r="I148" s="950"/>
      <c r="J148" s="951">
        <f>ROUND(I148,6)*gwp_NF3</f>
        <v>0</v>
      </c>
      <c r="M148" s="237"/>
    </row>
    <row r="149" spans="1:13" s="955" customFormat="1" ht="15" customHeight="1" x14ac:dyDescent="0.25">
      <c r="A149" s="237"/>
      <c r="B149" s="596" t="s">
        <v>1493</v>
      </c>
      <c r="C149" s="954"/>
      <c r="D149" s="951">
        <f>SUM(D113:D148)-total_HFC_CO2e_Cat9_op-total_PFC_CO2e_Cat9_op</f>
        <v>0</v>
      </c>
      <c r="E149" s="954"/>
      <c r="F149" s="951">
        <f>SUM(F113:F148)-total_HFC_CO2e_Cat10-total_PFC_CO2e_Cat10</f>
        <v>0</v>
      </c>
      <c r="G149" s="954"/>
      <c r="H149" s="951">
        <f>SUM(H113:H148)-total_HFC_CO2e_Cat11-total_PFC_CO2e_Cat11</f>
        <v>0</v>
      </c>
      <c r="I149" s="954"/>
      <c r="J149" s="951">
        <f>SUM(J113:J148)-total_HFC_CO2e_Cat12-total_PFC_CO2e_Cat12</f>
        <v>0</v>
      </c>
      <c r="M149" s="237"/>
    </row>
    <row r="150" spans="1:13" s="237" customFormat="1" ht="15" customHeight="1" x14ac:dyDescent="0.25"/>
    <row r="151" spans="1:13" s="955" customFormat="1" ht="15" customHeight="1" x14ac:dyDescent="0.25">
      <c r="A151" s="237"/>
      <c r="B151" s="957" t="s">
        <v>1502</v>
      </c>
      <c r="C151" s="1166">
        <f>'Transp&amp;Distribuição(Downstream)'!total_TeD_up_CO2bio</f>
        <v>0</v>
      </c>
      <c r="D151" s="952">
        <f>ROUND(C151,6)*gwp_CO2</f>
        <v>0</v>
      </c>
      <c r="E151" s="958"/>
      <c r="F151" s="952">
        <f>ROUND(E151,6)*gwp_CO2</f>
        <v>0</v>
      </c>
      <c r="G151" s="958"/>
      <c r="H151" s="952">
        <f>ROUND(G151,6)*gwp_CO2</f>
        <v>0</v>
      </c>
      <c r="I151" s="958"/>
      <c r="J151" s="952">
        <f>ROUND(I151,6)*gwp_CO2</f>
        <v>0</v>
      </c>
      <c r="M151" s="237"/>
    </row>
    <row r="152" spans="1:13" s="955" customFormat="1" ht="15" customHeight="1" x14ac:dyDescent="0.25">
      <c r="A152" s="237"/>
      <c r="B152" s="237"/>
      <c r="C152" s="237"/>
      <c r="D152" s="237"/>
      <c r="E152" s="237"/>
      <c r="F152" s="237"/>
      <c r="G152" s="237"/>
      <c r="H152" s="237"/>
      <c r="I152" s="237"/>
      <c r="J152" s="237"/>
      <c r="K152" s="237"/>
      <c r="L152" s="237"/>
      <c r="M152" s="237"/>
    </row>
    <row r="153" spans="1:13" s="955" customFormat="1" ht="15" customHeight="1" x14ac:dyDescent="0.25">
      <c r="A153" s="237"/>
      <c r="B153" s="237"/>
      <c r="C153" s="237"/>
      <c r="D153" s="237"/>
      <c r="E153" s="237"/>
      <c r="F153" s="237"/>
      <c r="G153" s="237"/>
      <c r="H153" s="237"/>
      <c r="I153" s="237"/>
      <c r="J153" s="237"/>
      <c r="K153" s="237"/>
      <c r="L153" s="237"/>
      <c r="M153" s="237"/>
    </row>
    <row r="154" spans="1:13" s="955" customFormat="1" ht="15" customHeight="1" x14ac:dyDescent="0.25">
      <c r="A154" s="237"/>
      <c r="B154" s="237"/>
      <c r="C154" s="1391" t="s">
        <v>322</v>
      </c>
      <c r="D154" s="1392"/>
      <c r="E154" s="1391" t="s">
        <v>323</v>
      </c>
      <c r="F154" s="1392"/>
      <c r="G154" s="1391" t="s">
        <v>324</v>
      </c>
      <c r="H154" s="1392"/>
      <c r="I154" s="237"/>
      <c r="J154" s="237"/>
      <c r="K154" s="237"/>
    </row>
    <row r="155" spans="1:13" s="955" customFormat="1" ht="45" customHeight="1" x14ac:dyDescent="0.25">
      <c r="A155" s="237"/>
      <c r="B155" s="237"/>
      <c r="C155" s="1393" t="s">
        <v>2155</v>
      </c>
      <c r="D155" s="1394"/>
      <c r="E155" s="1395" t="s">
        <v>2219</v>
      </c>
      <c r="F155" s="1394"/>
      <c r="G155" s="1395" t="s">
        <v>329</v>
      </c>
      <c r="H155" s="1394"/>
      <c r="I155" s="237"/>
      <c r="J155" s="237"/>
      <c r="K155" s="237"/>
    </row>
    <row r="156" spans="1:13" s="955" customFormat="1" ht="15" customHeight="1" x14ac:dyDescent="0.25">
      <c r="A156" s="237"/>
      <c r="B156" s="947"/>
      <c r="C156" s="960" t="s">
        <v>331</v>
      </c>
      <c r="D156" s="960" t="s">
        <v>1487</v>
      </c>
      <c r="E156" s="960" t="s">
        <v>331</v>
      </c>
      <c r="F156" s="960" t="s">
        <v>1487</v>
      </c>
      <c r="G156" s="960" t="s">
        <v>331</v>
      </c>
      <c r="H156" s="960" t="s">
        <v>1487</v>
      </c>
      <c r="I156" s="237"/>
      <c r="J156" s="237"/>
      <c r="K156" s="237"/>
    </row>
    <row r="157" spans="1:13" s="955" customFormat="1" ht="15" customHeight="1" x14ac:dyDescent="0.25">
      <c r="A157" s="237"/>
      <c r="B157" s="596" t="s">
        <v>1488</v>
      </c>
      <c r="C157" s="950"/>
      <c r="D157" s="951">
        <f>ROUND(C157,6)*gwp_CO2</f>
        <v>0</v>
      </c>
      <c r="E157" s="950"/>
      <c r="F157" s="951">
        <f>ROUND(E157,6)*gwp_CO2</f>
        <v>0</v>
      </c>
      <c r="G157" s="950"/>
      <c r="H157" s="951">
        <f>ROUND(G157,6)*gwp_CO2</f>
        <v>0</v>
      </c>
      <c r="I157" s="237"/>
      <c r="J157" s="237"/>
      <c r="K157" s="237"/>
    </row>
    <row r="158" spans="1:13" s="955" customFormat="1" ht="15" customHeight="1" x14ac:dyDescent="0.25">
      <c r="A158" s="237"/>
      <c r="B158" s="596" t="s">
        <v>1489</v>
      </c>
      <c r="C158" s="950"/>
      <c r="D158" s="951">
        <f>ROUND(C158,6)*gwp_CH4</f>
        <v>0</v>
      </c>
      <c r="E158" s="950"/>
      <c r="F158" s="951">
        <f>ROUND(E158,6)*gwp_CH4</f>
        <v>0</v>
      </c>
      <c r="G158" s="950"/>
      <c r="H158" s="951">
        <f>ROUND(G158,6)*gwp_CH4</f>
        <v>0</v>
      </c>
      <c r="I158" s="237"/>
      <c r="J158" s="237"/>
      <c r="K158" s="237"/>
    </row>
    <row r="159" spans="1:13" s="955" customFormat="1" ht="15" customHeight="1" x14ac:dyDescent="0.25">
      <c r="A159" s="237"/>
      <c r="B159" s="596" t="s">
        <v>1490</v>
      </c>
      <c r="C159" s="950"/>
      <c r="D159" s="951">
        <f>ROUND(C159,6)*gwp_N2O</f>
        <v>0</v>
      </c>
      <c r="E159" s="950"/>
      <c r="F159" s="951">
        <f>ROUND(E159,6)*gwp_N2O</f>
        <v>0</v>
      </c>
      <c r="G159" s="950"/>
      <c r="H159" s="951">
        <f>ROUND(G159,6)*gwp_N2O</f>
        <v>0</v>
      </c>
      <c r="I159" s="237"/>
      <c r="J159" s="237"/>
      <c r="K159" s="237"/>
    </row>
    <row r="160" spans="1:13" s="955" customFormat="1" ht="15" customHeight="1" x14ac:dyDescent="0.25">
      <c r="A160" s="237"/>
      <c r="B160" s="596" t="s">
        <v>224</v>
      </c>
      <c r="C160" s="953">
        <f t="shared" ref="C160" si="26">SUM(C161:C179)</f>
        <v>0</v>
      </c>
      <c r="D160" s="953">
        <f t="shared" ref="D160:E160" si="27">SUM(D161:D179)</f>
        <v>0</v>
      </c>
      <c r="E160" s="953">
        <f t="shared" si="27"/>
        <v>0</v>
      </c>
      <c r="F160" s="953">
        <f t="shared" ref="F160:G160" si="28">SUM(F161:F179)</f>
        <v>0</v>
      </c>
      <c r="G160" s="953">
        <f t="shared" si="28"/>
        <v>0</v>
      </c>
      <c r="H160" s="953">
        <f t="shared" ref="H160" si="29">SUM(H161:H179)</f>
        <v>0</v>
      </c>
      <c r="I160" s="237"/>
      <c r="J160" s="237"/>
      <c r="K160" s="237"/>
    </row>
    <row r="161" spans="1:11" s="955" customFormat="1" ht="15" customHeight="1" outlineLevel="1" x14ac:dyDescent="0.25">
      <c r="A161" s="237"/>
      <c r="B161" s="596" t="s">
        <v>85</v>
      </c>
      <c r="C161" s="950"/>
      <c r="D161" s="953">
        <f>ROUND(C161,6)*'Fatores de Emissão'!$E$238</f>
        <v>0</v>
      </c>
      <c r="E161" s="950"/>
      <c r="F161" s="953">
        <f>ROUND(E161,6)*'Fatores de Emissão'!$E$238</f>
        <v>0</v>
      </c>
      <c r="G161" s="950"/>
      <c r="H161" s="953">
        <f>ROUND(G161,6)*'Fatores de Emissão'!$E$238</f>
        <v>0</v>
      </c>
      <c r="I161" s="237"/>
      <c r="J161" s="237"/>
      <c r="K161" s="237"/>
    </row>
    <row r="162" spans="1:11" s="955" customFormat="1" ht="15" customHeight="1" outlineLevel="1" x14ac:dyDescent="0.25">
      <c r="A162" s="237"/>
      <c r="B162" s="596" t="s">
        <v>86</v>
      </c>
      <c r="C162" s="950"/>
      <c r="D162" s="953">
        <f>ROUND(C162,6)*'Fatores de Emissão'!$E$239</f>
        <v>0</v>
      </c>
      <c r="E162" s="950"/>
      <c r="F162" s="953">
        <f>ROUND(E162,6)*'Fatores de Emissão'!$E$239</f>
        <v>0</v>
      </c>
      <c r="G162" s="950"/>
      <c r="H162" s="953">
        <f>ROUND(G162,6)*'Fatores de Emissão'!$E$239</f>
        <v>0</v>
      </c>
      <c r="I162" s="237"/>
      <c r="J162" s="237"/>
      <c r="K162" s="237"/>
    </row>
    <row r="163" spans="1:11" s="955" customFormat="1" ht="15" customHeight="1" outlineLevel="1" x14ac:dyDescent="0.25">
      <c r="A163" s="237"/>
      <c r="B163" s="596" t="s">
        <v>285</v>
      </c>
      <c r="C163" s="950"/>
      <c r="D163" s="953">
        <f>ROUND(C163,6)*'Fatores de Emissão'!$E$240</f>
        <v>0</v>
      </c>
      <c r="E163" s="950"/>
      <c r="F163" s="953">
        <f>ROUND(E163,6)*'Fatores de Emissão'!$E$240</f>
        <v>0</v>
      </c>
      <c r="G163" s="950"/>
      <c r="H163" s="953">
        <f>ROUND(G163,6)*'Fatores de Emissão'!$E$240</f>
        <v>0</v>
      </c>
      <c r="I163" s="237"/>
      <c r="J163" s="237"/>
      <c r="K163" s="237"/>
    </row>
    <row r="164" spans="1:11" s="955" customFormat="1" ht="15" customHeight="1" outlineLevel="1" x14ac:dyDescent="0.25">
      <c r="A164" s="237"/>
      <c r="B164" s="596" t="s">
        <v>87</v>
      </c>
      <c r="C164" s="950"/>
      <c r="D164" s="953">
        <f>ROUND(C164,6)*'Fatores de Emissão'!$E$241</f>
        <v>0</v>
      </c>
      <c r="E164" s="950"/>
      <c r="F164" s="953">
        <f>ROUND(E164,6)*'Fatores de Emissão'!$E$241</f>
        <v>0</v>
      </c>
      <c r="G164" s="950"/>
      <c r="H164" s="953">
        <f>ROUND(G164,6)*'Fatores de Emissão'!$E$241</f>
        <v>0</v>
      </c>
      <c r="I164" s="237"/>
      <c r="J164" s="237"/>
      <c r="K164" s="237"/>
    </row>
    <row r="165" spans="1:11" s="955" customFormat="1" ht="15" customHeight="1" outlineLevel="1" x14ac:dyDescent="0.25">
      <c r="A165" s="237"/>
      <c r="B165" s="596" t="s">
        <v>287</v>
      </c>
      <c r="C165" s="950"/>
      <c r="D165" s="953">
        <f>ROUND(C165,6)*'Fatores de Emissão'!$E$242</f>
        <v>0</v>
      </c>
      <c r="E165" s="950"/>
      <c r="F165" s="953">
        <f>ROUND(E165,6)*'Fatores de Emissão'!$E$242</f>
        <v>0</v>
      </c>
      <c r="G165" s="950"/>
      <c r="H165" s="953">
        <f>ROUND(G165,6)*'Fatores de Emissão'!$E$242</f>
        <v>0</v>
      </c>
      <c r="I165" s="237"/>
      <c r="J165" s="237"/>
      <c r="K165" s="237"/>
    </row>
    <row r="166" spans="1:11" s="955" customFormat="1" ht="15" customHeight="1" outlineLevel="1" x14ac:dyDescent="0.25">
      <c r="A166" s="237"/>
      <c r="B166" s="596" t="s">
        <v>88</v>
      </c>
      <c r="C166" s="950"/>
      <c r="D166" s="953">
        <f>ROUND(C166,6)*'Fatores de Emissão'!$E$243</f>
        <v>0</v>
      </c>
      <c r="E166" s="950"/>
      <c r="F166" s="953">
        <f>ROUND(E166,6)*'Fatores de Emissão'!$E$243</f>
        <v>0</v>
      </c>
      <c r="G166" s="950"/>
      <c r="H166" s="953">
        <f>ROUND(G166,6)*'Fatores de Emissão'!$E$243</f>
        <v>0</v>
      </c>
      <c r="I166" s="237"/>
      <c r="J166" s="237"/>
      <c r="K166" s="237"/>
    </row>
    <row r="167" spans="1:11" s="955" customFormat="1" ht="15" customHeight="1" outlineLevel="1" x14ac:dyDescent="0.25">
      <c r="A167" s="237"/>
      <c r="B167" s="596" t="s">
        <v>288</v>
      </c>
      <c r="C167" s="950"/>
      <c r="D167" s="953">
        <f>ROUND(C167,6)*'Fatores de Emissão'!$E$244</f>
        <v>0</v>
      </c>
      <c r="E167" s="950"/>
      <c r="F167" s="953">
        <f>ROUND(E167,6)*'Fatores de Emissão'!$E$244</f>
        <v>0</v>
      </c>
      <c r="G167" s="950"/>
      <c r="H167" s="953">
        <f>ROUND(G167,6)*'Fatores de Emissão'!$E$244</f>
        <v>0</v>
      </c>
      <c r="I167" s="237"/>
      <c r="J167" s="237"/>
      <c r="K167" s="237"/>
    </row>
    <row r="168" spans="1:11" s="955" customFormat="1" ht="15" customHeight="1" outlineLevel="1" x14ac:dyDescent="0.25">
      <c r="A168" s="237"/>
      <c r="B168" s="596" t="s">
        <v>107</v>
      </c>
      <c r="C168" s="950"/>
      <c r="D168" s="953">
        <f>ROUND(C168,6)*'Fatores de Emissão'!$E$245</f>
        <v>0</v>
      </c>
      <c r="E168" s="950"/>
      <c r="F168" s="953">
        <f>ROUND(E168,6)*'Fatores de Emissão'!$E$245</f>
        <v>0</v>
      </c>
      <c r="G168" s="950"/>
      <c r="H168" s="953">
        <f>ROUND(G168,6)*'Fatores de Emissão'!$E$245</f>
        <v>0</v>
      </c>
      <c r="I168" s="237"/>
      <c r="J168" s="237"/>
      <c r="K168" s="237"/>
    </row>
    <row r="169" spans="1:11" s="955" customFormat="1" ht="15" customHeight="1" outlineLevel="1" x14ac:dyDescent="0.25">
      <c r="A169" s="237"/>
      <c r="B169" s="596" t="s">
        <v>289</v>
      </c>
      <c r="C169" s="950"/>
      <c r="D169" s="953">
        <f>ROUND(C169,6)*'Fatores de Emissão'!$E$246</f>
        <v>0</v>
      </c>
      <c r="E169" s="950"/>
      <c r="F169" s="953">
        <f>ROUND(E169,6)*'Fatores de Emissão'!$E$246</f>
        <v>0</v>
      </c>
      <c r="G169" s="950"/>
      <c r="H169" s="953">
        <f>ROUND(G169,6)*'Fatores de Emissão'!$E$246</f>
        <v>0</v>
      </c>
      <c r="I169" s="237"/>
      <c r="J169" s="237"/>
      <c r="K169" s="237"/>
    </row>
    <row r="170" spans="1:11" s="955" customFormat="1" ht="15" customHeight="1" outlineLevel="1" x14ac:dyDescent="0.25">
      <c r="A170" s="237"/>
      <c r="B170" s="596" t="s">
        <v>108</v>
      </c>
      <c r="C170" s="950"/>
      <c r="D170" s="953">
        <f>ROUND(C170,6)*'Fatores de Emissão'!$E$247</f>
        <v>0</v>
      </c>
      <c r="E170" s="950"/>
      <c r="F170" s="953">
        <f>ROUND(E170,6)*'Fatores de Emissão'!$E$247</f>
        <v>0</v>
      </c>
      <c r="G170" s="950"/>
      <c r="H170" s="953">
        <f>ROUND(G170,6)*'Fatores de Emissão'!$E$247</f>
        <v>0</v>
      </c>
      <c r="I170" s="237"/>
      <c r="J170" s="237"/>
      <c r="K170" s="237"/>
    </row>
    <row r="171" spans="1:11" s="955" customFormat="1" ht="15" customHeight="1" outlineLevel="1" x14ac:dyDescent="0.25">
      <c r="A171" s="237"/>
      <c r="B171" s="596" t="s">
        <v>290</v>
      </c>
      <c r="C171" s="950"/>
      <c r="D171" s="953">
        <f>ROUND(C171,6)*'Fatores de Emissão'!$E$248</f>
        <v>0</v>
      </c>
      <c r="E171" s="950"/>
      <c r="F171" s="953">
        <f>ROUND(E171,6)*'Fatores de Emissão'!$E$248</f>
        <v>0</v>
      </c>
      <c r="G171" s="950"/>
      <c r="H171" s="953">
        <f>ROUND(G171,6)*'Fatores de Emissão'!$E$248</f>
        <v>0</v>
      </c>
      <c r="I171" s="237"/>
      <c r="J171" s="237"/>
      <c r="K171" s="237"/>
    </row>
    <row r="172" spans="1:11" s="955" customFormat="1" ht="15" customHeight="1" outlineLevel="1" x14ac:dyDescent="0.25">
      <c r="A172" s="237"/>
      <c r="B172" s="596" t="s">
        <v>291</v>
      </c>
      <c r="C172" s="950"/>
      <c r="D172" s="953">
        <f>ROUND(C172,6)*'Fatores de Emissão'!$E$249</f>
        <v>0</v>
      </c>
      <c r="E172" s="950"/>
      <c r="F172" s="953">
        <f>ROUND(E172,6)*'Fatores de Emissão'!$E$249</f>
        <v>0</v>
      </c>
      <c r="G172" s="950"/>
      <c r="H172" s="953">
        <f>ROUND(G172,6)*'Fatores de Emissão'!$E$249</f>
        <v>0</v>
      </c>
      <c r="I172" s="237"/>
      <c r="J172" s="237"/>
      <c r="K172" s="237"/>
    </row>
    <row r="173" spans="1:11" s="955" customFormat="1" ht="15" customHeight="1" outlineLevel="1" x14ac:dyDescent="0.25">
      <c r="A173" s="237"/>
      <c r="B173" s="596" t="s">
        <v>292</v>
      </c>
      <c r="C173" s="950"/>
      <c r="D173" s="953">
        <f>ROUND(C173,6)*'Fatores de Emissão'!$E$250</f>
        <v>0</v>
      </c>
      <c r="E173" s="950"/>
      <c r="F173" s="953">
        <f>ROUND(E173,6)*'Fatores de Emissão'!$E$250</f>
        <v>0</v>
      </c>
      <c r="G173" s="950"/>
      <c r="H173" s="953">
        <f>ROUND(G173,6)*'Fatores de Emissão'!$E$250</f>
        <v>0</v>
      </c>
      <c r="I173" s="237"/>
      <c r="J173" s="237"/>
      <c r="K173" s="237"/>
    </row>
    <row r="174" spans="1:11" s="955" customFormat="1" ht="15" customHeight="1" outlineLevel="1" x14ac:dyDescent="0.25">
      <c r="A174" s="237"/>
      <c r="B174" s="596" t="s">
        <v>293</v>
      </c>
      <c r="C174" s="950"/>
      <c r="D174" s="953">
        <f>ROUND(C174,6)*'Fatores de Emissão'!$E$251</f>
        <v>0</v>
      </c>
      <c r="E174" s="950"/>
      <c r="F174" s="953">
        <f>ROUND(E174,6)*'Fatores de Emissão'!$E$251</f>
        <v>0</v>
      </c>
      <c r="G174" s="950"/>
      <c r="H174" s="953">
        <f>ROUND(G174,6)*'Fatores de Emissão'!$E$251</f>
        <v>0</v>
      </c>
      <c r="I174" s="237"/>
      <c r="J174" s="237"/>
      <c r="K174" s="237"/>
    </row>
    <row r="175" spans="1:11" s="955" customFormat="1" ht="15" customHeight="1" outlineLevel="1" x14ac:dyDescent="0.25">
      <c r="A175" s="237"/>
      <c r="B175" s="596" t="s">
        <v>109</v>
      </c>
      <c r="C175" s="950"/>
      <c r="D175" s="953">
        <f>ROUND(C175,6)*'Fatores de Emissão'!$E$252</f>
        <v>0</v>
      </c>
      <c r="E175" s="950"/>
      <c r="F175" s="953">
        <f>ROUND(E175,6)*'Fatores de Emissão'!$E$252</f>
        <v>0</v>
      </c>
      <c r="G175" s="950"/>
      <c r="H175" s="953">
        <f>ROUND(G175,6)*'Fatores de Emissão'!$E$252</f>
        <v>0</v>
      </c>
      <c r="I175" s="237"/>
      <c r="J175" s="237"/>
      <c r="K175" s="237"/>
    </row>
    <row r="176" spans="1:11" s="955" customFormat="1" ht="15" customHeight="1" outlineLevel="1" x14ac:dyDescent="0.25">
      <c r="A176" s="237"/>
      <c r="B176" s="596" t="s">
        <v>294</v>
      </c>
      <c r="C176" s="950"/>
      <c r="D176" s="953">
        <f>ROUND(C176,6)*'Fatores de Emissão'!$E$253</f>
        <v>0</v>
      </c>
      <c r="E176" s="950"/>
      <c r="F176" s="953">
        <f>ROUND(E176,6)*'Fatores de Emissão'!$E$253</f>
        <v>0</v>
      </c>
      <c r="G176" s="950"/>
      <c r="H176" s="953">
        <f>ROUND(G176,6)*'Fatores de Emissão'!$E$253</f>
        <v>0</v>
      </c>
      <c r="I176" s="237"/>
      <c r="J176" s="237"/>
      <c r="K176" s="237"/>
    </row>
    <row r="177" spans="1:11" s="955" customFormat="1" ht="15" customHeight="1" outlineLevel="1" x14ac:dyDescent="0.25">
      <c r="A177" s="237"/>
      <c r="B177" s="596" t="s">
        <v>295</v>
      </c>
      <c r="C177" s="950"/>
      <c r="D177" s="953">
        <f>ROUND(C177,6)*'Fatores de Emissão'!$E$254</f>
        <v>0</v>
      </c>
      <c r="E177" s="950"/>
      <c r="F177" s="953">
        <f>ROUND(E177,6)*'Fatores de Emissão'!$E$254</f>
        <v>0</v>
      </c>
      <c r="G177" s="950"/>
      <c r="H177" s="953">
        <f>ROUND(G177,6)*'Fatores de Emissão'!$E$254</f>
        <v>0</v>
      </c>
      <c r="I177" s="237"/>
      <c r="J177" s="237"/>
      <c r="K177" s="237"/>
    </row>
    <row r="178" spans="1:11" s="955" customFormat="1" ht="15" customHeight="1" outlineLevel="1" x14ac:dyDescent="0.25">
      <c r="A178" s="237"/>
      <c r="B178" s="596" t="s">
        <v>296</v>
      </c>
      <c r="C178" s="950"/>
      <c r="D178" s="953">
        <f>ROUND(C178,6)*'Fatores de Emissão'!$E$255</f>
        <v>0</v>
      </c>
      <c r="E178" s="950"/>
      <c r="F178" s="953">
        <f>ROUND(E178,6)*'Fatores de Emissão'!$E$255</f>
        <v>0</v>
      </c>
      <c r="G178" s="950"/>
      <c r="H178" s="953">
        <f>ROUND(G178,6)*'Fatores de Emissão'!$E$255</f>
        <v>0</v>
      </c>
      <c r="I178" s="237"/>
      <c r="J178" s="237"/>
      <c r="K178" s="237"/>
    </row>
    <row r="179" spans="1:11" s="955" customFormat="1" ht="15" customHeight="1" outlineLevel="1" x14ac:dyDescent="0.25">
      <c r="A179" s="237"/>
      <c r="B179" s="596" t="s">
        <v>286</v>
      </c>
      <c r="C179" s="950"/>
      <c r="D179" s="953">
        <f>ROUND(C179,6)*'Fatores de Emissão'!$E$256</f>
        <v>0</v>
      </c>
      <c r="E179" s="950"/>
      <c r="F179" s="953">
        <f>ROUND(E179,6)*'Fatores de Emissão'!$E$256</f>
        <v>0</v>
      </c>
      <c r="G179" s="950"/>
      <c r="H179" s="953">
        <f>ROUND(G179,6)*'Fatores de Emissão'!$E$256</f>
        <v>0</v>
      </c>
      <c r="I179" s="237"/>
      <c r="J179" s="237"/>
      <c r="K179" s="237"/>
    </row>
    <row r="180" spans="1:11" s="955" customFormat="1" ht="15" customHeight="1" x14ac:dyDescent="0.25">
      <c r="A180" s="237"/>
      <c r="B180" s="596" t="s">
        <v>225</v>
      </c>
      <c r="C180" s="953">
        <f t="shared" ref="C180" si="30">SUM(C181:C190)</f>
        <v>0</v>
      </c>
      <c r="D180" s="953">
        <f t="shared" ref="D180:E180" si="31">SUM(D181:D190)</f>
        <v>0</v>
      </c>
      <c r="E180" s="953">
        <f t="shared" si="31"/>
        <v>0</v>
      </c>
      <c r="F180" s="953">
        <f t="shared" ref="F180:G180" si="32">SUM(F181:F190)</f>
        <v>0</v>
      </c>
      <c r="G180" s="953">
        <f t="shared" si="32"/>
        <v>0</v>
      </c>
      <c r="H180" s="953">
        <f t="shared" ref="H180" si="33">SUM(H181:H190)</f>
        <v>0</v>
      </c>
      <c r="I180" s="237"/>
      <c r="J180" s="237"/>
      <c r="K180" s="237"/>
    </row>
    <row r="181" spans="1:11" s="955" customFormat="1" ht="15" customHeight="1" outlineLevel="1" x14ac:dyDescent="0.25">
      <c r="A181" s="237"/>
      <c r="B181" s="596" t="s">
        <v>458</v>
      </c>
      <c r="C181" s="950"/>
      <c r="D181" s="953">
        <f>ROUND(C181,6)*'Fatores de Emissão'!$E$259</f>
        <v>0</v>
      </c>
      <c r="E181" s="950"/>
      <c r="F181" s="953">
        <f>ROUND(E181,6)*'Fatores de Emissão'!$E$259</f>
        <v>0</v>
      </c>
      <c r="G181" s="950"/>
      <c r="H181" s="953">
        <f>ROUND(G181,6)*'Fatores de Emissão'!$E$259</f>
        <v>0</v>
      </c>
      <c r="I181" s="237"/>
      <c r="J181" s="237"/>
      <c r="K181" s="237"/>
    </row>
    <row r="182" spans="1:11" s="955" customFormat="1" ht="15" customHeight="1" outlineLevel="1" x14ac:dyDescent="0.25">
      <c r="A182" s="237"/>
      <c r="B182" s="596" t="s">
        <v>459</v>
      </c>
      <c r="C182" s="950"/>
      <c r="D182" s="953">
        <f>ROUND(C182,6)*'Fatores de Emissão'!$E$260</f>
        <v>0</v>
      </c>
      <c r="E182" s="950"/>
      <c r="F182" s="953">
        <f>ROUND(E182,6)*'Fatores de Emissão'!$E$260</f>
        <v>0</v>
      </c>
      <c r="G182" s="950"/>
      <c r="H182" s="953">
        <f>ROUND(G182,6)*'Fatores de Emissão'!$E$260</f>
        <v>0</v>
      </c>
      <c r="I182" s="237"/>
      <c r="J182" s="237"/>
      <c r="K182" s="237"/>
    </row>
    <row r="183" spans="1:11" s="955" customFormat="1" ht="15" customHeight="1" outlineLevel="1" x14ac:dyDescent="0.25">
      <c r="A183" s="237"/>
      <c r="B183" s="596" t="s">
        <v>460</v>
      </c>
      <c r="C183" s="950"/>
      <c r="D183" s="953">
        <f>ROUND(C183,6)*'Fatores de Emissão'!$E$261</f>
        <v>0</v>
      </c>
      <c r="E183" s="950"/>
      <c r="F183" s="953">
        <f>ROUND(E183,6)*'Fatores de Emissão'!$E$261</f>
        <v>0</v>
      </c>
      <c r="G183" s="950"/>
      <c r="H183" s="953">
        <f>ROUND(G183,6)*'Fatores de Emissão'!$E$261</f>
        <v>0</v>
      </c>
      <c r="I183" s="237"/>
      <c r="J183" s="237"/>
      <c r="K183" s="237"/>
    </row>
    <row r="184" spans="1:11" s="955" customFormat="1" ht="15" customHeight="1" outlineLevel="1" x14ac:dyDescent="0.25">
      <c r="A184" s="237"/>
      <c r="B184" s="596" t="s">
        <v>461</v>
      </c>
      <c r="C184" s="950"/>
      <c r="D184" s="953">
        <f>ROUND(C184,6)*'Fatores de Emissão'!$E$262</f>
        <v>0</v>
      </c>
      <c r="E184" s="950"/>
      <c r="F184" s="953">
        <f>ROUND(E184,6)*'Fatores de Emissão'!$E$262</f>
        <v>0</v>
      </c>
      <c r="G184" s="950"/>
      <c r="H184" s="953">
        <f>ROUND(G184,6)*'Fatores de Emissão'!$E$262</f>
        <v>0</v>
      </c>
      <c r="I184" s="237"/>
      <c r="J184" s="237"/>
      <c r="K184" s="237"/>
    </row>
    <row r="185" spans="1:11" s="955" customFormat="1" ht="15" customHeight="1" outlineLevel="1" x14ac:dyDescent="0.25">
      <c r="A185" s="237"/>
      <c r="B185" s="596" t="s">
        <v>462</v>
      </c>
      <c r="C185" s="950"/>
      <c r="D185" s="953">
        <f>ROUND(C185,6)*'Fatores de Emissão'!$E$263</f>
        <v>0</v>
      </c>
      <c r="E185" s="950"/>
      <c r="F185" s="953">
        <f>ROUND(E185,6)*'Fatores de Emissão'!$E$263</f>
        <v>0</v>
      </c>
      <c r="G185" s="950"/>
      <c r="H185" s="953">
        <f>ROUND(G185,6)*'Fatores de Emissão'!$E$263</f>
        <v>0</v>
      </c>
      <c r="I185" s="237"/>
      <c r="J185" s="237"/>
      <c r="K185" s="237"/>
    </row>
    <row r="186" spans="1:11" s="955" customFormat="1" ht="15" customHeight="1" outlineLevel="1" x14ac:dyDescent="0.25">
      <c r="A186" s="237"/>
      <c r="B186" s="596" t="s">
        <v>463</v>
      </c>
      <c r="C186" s="950"/>
      <c r="D186" s="953">
        <f>ROUND(C186,6)*'Fatores de Emissão'!$E$264</f>
        <v>0</v>
      </c>
      <c r="E186" s="950"/>
      <c r="F186" s="953">
        <f>ROUND(E186,6)*'Fatores de Emissão'!$E$264</f>
        <v>0</v>
      </c>
      <c r="G186" s="950"/>
      <c r="H186" s="953">
        <f>ROUND(G186,6)*'Fatores de Emissão'!$E$264</f>
        <v>0</v>
      </c>
      <c r="I186" s="237"/>
      <c r="J186" s="237"/>
      <c r="K186" s="237"/>
    </row>
    <row r="187" spans="1:11" s="955" customFormat="1" ht="15" customHeight="1" outlineLevel="1" x14ac:dyDescent="0.25">
      <c r="A187" s="237"/>
      <c r="B187" s="596" t="s">
        <v>464</v>
      </c>
      <c r="C187" s="950"/>
      <c r="D187" s="953">
        <f>ROUND(C187,6)*'Fatores de Emissão'!$E$265</f>
        <v>0</v>
      </c>
      <c r="E187" s="950"/>
      <c r="F187" s="953">
        <f>ROUND(E187,6)*'Fatores de Emissão'!$E$265</f>
        <v>0</v>
      </c>
      <c r="G187" s="950"/>
      <c r="H187" s="953">
        <f>ROUND(G187,6)*'Fatores de Emissão'!$E$265</f>
        <v>0</v>
      </c>
      <c r="I187" s="237"/>
      <c r="J187" s="237"/>
      <c r="K187" s="237"/>
    </row>
    <row r="188" spans="1:11" s="955" customFormat="1" ht="15" customHeight="1" outlineLevel="1" x14ac:dyDescent="0.25">
      <c r="A188" s="237"/>
      <c r="B188" s="596" t="s">
        <v>465</v>
      </c>
      <c r="C188" s="950"/>
      <c r="D188" s="953">
        <f>ROUND(C188,6)*'Fatores de Emissão'!$E$266</f>
        <v>0</v>
      </c>
      <c r="E188" s="950"/>
      <c r="F188" s="953">
        <f>ROUND(E188,6)*'Fatores de Emissão'!$E$266</f>
        <v>0</v>
      </c>
      <c r="G188" s="950"/>
      <c r="H188" s="953">
        <f>ROUND(G188,6)*'Fatores de Emissão'!$E$266</f>
        <v>0</v>
      </c>
      <c r="I188" s="237"/>
      <c r="J188" s="237"/>
      <c r="K188" s="237"/>
    </row>
    <row r="189" spans="1:11" s="955" customFormat="1" ht="15" customHeight="1" outlineLevel="1" x14ac:dyDescent="0.25">
      <c r="A189" s="237"/>
      <c r="B189" s="596" t="s">
        <v>466</v>
      </c>
      <c r="C189" s="950"/>
      <c r="D189" s="953">
        <f>ROUND(C189,6)*'Fatores de Emissão'!$E$267</f>
        <v>0</v>
      </c>
      <c r="E189" s="950"/>
      <c r="F189" s="953">
        <f>ROUND(E189,6)*'Fatores de Emissão'!$E$267</f>
        <v>0</v>
      </c>
      <c r="G189" s="950"/>
      <c r="H189" s="953">
        <f>ROUND(G189,6)*'Fatores de Emissão'!$E$267</f>
        <v>0</v>
      </c>
      <c r="I189" s="237"/>
      <c r="J189" s="237"/>
      <c r="K189" s="237"/>
    </row>
    <row r="190" spans="1:11" s="955" customFormat="1" ht="15" customHeight="1" outlineLevel="1" x14ac:dyDescent="0.25">
      <c r="A190" s="237"/>
      <c r="B190" s="596" t="s">
        <v>467</v>
      </c>
      <c r="C190" s="950"/>
      <c r="D190" s="953">
        <f>ROUND(C190,6)*'Fatores de Emissão'!$E$268</f>
        <v>0</v>
      </c>
      <c r="E190" s="950"/>
      <c r="F190" s="953">
        <f>ROUND(E190,6)*'Fatores de Emissão'!$E$268</f>
        <v>0</v>
      </c>
      <c r="G190" s="950"/>
      <c r="H190" s="953">
        <f>ROUND(G190,6)*'Fatores de Emissão'!$E$268</f>
        <v>0</v>
      </c>
      <c r="I190" s="237"/>
      <c r="J190" s="237"/>
      <c r="K190" s="237"/>
    </row>
    <row r="191" spans="1:11" s="955" customFormat="1" ht="15" customHeight="1" x14ac:dyDescent="0.25">
      <c r="A191" s="237"/>
      <c r="B191" s="596" t="s">
        <v>1491</v>
      </c>
      <c r="C191" s="950"/>
      <c r="D191" s="951">
        <f>ROUND(C191,6)*gwp_SF6</f>
        <v>0</v>
      </c>
      <c r="E191" s="950"/>
      <c r="F191" s="951">
        <f>ROUND(E191,6)*gwp_SF6</f>
        <v>0</v>
      </c>
      <c r="G191" s="950"/>
      <c r="H191" s="951">
        <f>ROUND(G191,6)*gwp_SF6</f>
        <v>0</v>
      </c>
      <c r="I191" s="237"/>
      <c r="J191" s="237"/>
      <c r="K191" s="237"/>
    </row>
    <row r="192" spans="1:11" s="955" customFormat="1" ht="15" customHeight="1" x14ac:dyDescent="0.25">
      <c r="A192" s="237"/>
      <c r="B192" s="596" t="s">
        <v>1492</v>
      </c>
      <c r="C192" s="950"/>
      <c r="D192" s="951">
        <f>ROUND(C192,6)*gwp_NF3</f>
        <v>0</v>
      </c>
      <c r="E192" s="950"/>
      <c r="F192" s="951">
        <f>ROUND(E192,6)*gwp_NF3</f>
        <v>0</v>
      </c>
      <c r="G192" s="950"/>
      <c r="H192" s="951">
        <f>ROUND(G192,6)*gwp_NF3</f>
        <v>0</v>
      </c>
      <c r="I192" s="237"/>
      <c r="J192" s="237"/>
      <c r="K192" s="237"/>
    </row>
    <row r="193" spans="1:11" s="955" customFormat="1" ht="15" customHeight="1" x14ac:dyDescent="0.25">
      <c r="A193" s="237"/>
      <c r="B193" s="596" t="s">
        <v>1493</v>
      </c>
      <c r="C193" s="954"/>
      <c r="D193" s="951">
        <f>SUM(D157:D192)-total_HFC_CO2e_Cat13-total_PFC_CO2e_Cat13</f>
        <v>0</v>
      </c>
      <c r="E193" s="954"/>
      <c r="F193" s="951">
        <f>SUM(F157:F192)-total_HFC_CO2e_Cat14-total_PFC_CO2e_Cat14</f>
        <v>0</v>
      </c>
      <c r="G193" s="954"/>
      <c r="H193" s="951">
        <f>SUM(H157:H192)-total_HFC_CO2e_Cat15-total_PFC_CO2e_Cat15</f>
        <v>0</v>
      </c>
      <c r="I193" s="237"/>
      <c r="J193" s="237"/>
      <c r="K193" s="237"/>
    </row>
    <row r="194" spans="1:11" s="955" customFormat="1" ht="15" customHeight="1" x14ac:dyDescent="0.25">
      <c r="A194" s="237"/>
      <c r="B194" s="237"/>
      <c r="C194" s="237"/>
      <c r="D194" s="237"/>
      <c r="E194" s="237"/>
      <c r="F194" s="237"/>
      <c r="G194" s="237"/>
      <c r="H194" s="237"/>
      <c r="I194" s="237"/>
      <c r="J194" s="237"/>
      <c r="K194" s="237"/>
    </row>
    <row r="195" spans="1:11" s="955" customFormat="1" ht="15" customHeight="1" x14ac:dyDescent="0.25">
      <c r="A195" s="237"/>
      <c r="B195" s="957" t="s">
        <v>1502</v>
      </c>
      <c r="C195" s="958"/>
      <c r="D195" s="952">
        <f>ROUND(C195,6)*gwp_CO2</f>
        <v>0</v>
      </c>
      <c r="E195" s="958"/>
      <c r="F195" s="952">
        <f>ROUND(E195,6)*gwp_CO2</f>
        <v>0</v>
      </c>
      <c r="G195" s="958"/>
      <c r="H195" s="952">
        <f>ROUND(G195,6)*gwp_CO2</f>
        <v>0</v>
      </c>
      <c r="I195" s="237"/>
      <c r="J195" s="237"/>
      <c r="K195" s="237"/>
    </row>
    <row r="196" spans="1:11" s="962" customFormat="1" ht="15" customHeight="1" thickBot="1" x14ac:dyDescent="0.3">
      <c r="A196" s="237"/>
      <c r="B196" s="961"/>
    </row>
    <row r="197" spans="1:11" s="213" customFormat="1" ht="30.75" customHeight="1" thickBot="1" x14ac:dyDescent="0.3">
      <c r="A197" s="212"/>
      <c r="B197" s="963" t="s">
        <v>1407</v>
      </c>
      <c r="C197" s="964"/>
      <c r="D197" s="964"/>
      <c r="E197" s="964"/>
      <c r="F197" s="964"/>
      <c r="G197" s="965"/>
      <c r="H197" s="966"/>
      <c r="I197" s="136">
        <f>total_Cat1_CO2e+total_Cat2_CO2e+total_Cat3_CO2e+total_Cat4_op_CO2e+total_Cat5_op_CO2e+total_Cat6_op_CO2e+total_Cat7_CO2e+total_Cat8_CO2e+total_Cat9_op_CO2e+total_Cat10_CO2e+total_Cat11_CO2e+total_Cat12_CO2e+total_Cat13_CO2e+total_Cat14_CO2e+total_Cat15_CO2e</f>
        <v>0.59952099999999997</v>
      </c>
    </row>
    <row r="198" spans="1:11" s="212" customFormat="1" ht="4.5" customHeight="1" thickBot="1" x14ac:dyDescent="0.3">
      <c r="B198" s="909"/>
    </row>
    <row r="199" spans="1:11" s="212" customFormat="1" ht="30" customHeight="1" thickBot="1" x14ac:dyDescent="0.3">
      <c r="B199" s="410" t="s">
        <v>1504</v>
      </c>
      <c r="C199" s="944"/>
      <c r="D199" s="944"/>
      <c r="E199" s="944"/>
      <c r="F199" s="944"/>
      <c r="G199" s="944"/>
      <c r="H199" s="967"/>
      <c r="I199" s="133">
        <f>D63+F63+H63+J63+D107+F107+H107+J107+D151+F151+H151+J151+D195+F195+H195</f>
        <v>0</v>
      </c>
    </row>
    <row r="200" spans="1:11" s="237" customFormat="1" ht="50.1" customHeight="1" x14ac:dyDescent="0.25">
      <c r="F200" s="1004"/>
    </row>
    <row r="201" spans="1:11" s="237" customFormat="1" ht="15" customHeight="1" x14ac:dyDescent="0.25"/>
    <row r="202" spans="1:11" s="237" customFormat="1" ht="15" customHeight="1" x14ac:dyDescent="0.25"/>
    <row r="203" spans="1:11" s="237" customFormat="1" ht="15" customHeight="1" x14ac:dyDescent="0.25"/>
    <row r="204" spans="1:11" s="237" customFormat="1" ht="15" customHeight="1" x14ac:dyDescent="0.25"/>
    <row r="205" spans="1:11" s="237" customFormat="1" ht="15" customHeight="1" x14ac:dyDescent="0.25"/>
    <row r="206" spans="1:11" s="237" customFormat="1" ht="15" customHeight="1" x14ac:dyDescent="0.25"/>
    <row r="207" spans="1:11" s="237" customFormat="1" ht="15" customHeight="1" x14ac:dyDescent="0.25"/>
    <row r="208" spans="1:11" s="237" customFormat="1" ht="15" customHeight="1" x14ac:dyDescent="0.25"/>
    <row r="209" s="237" customFormat="1" ht="15" customHeight="1" x14ac:dyDescent="0.25"/>
    <row r="210" s="237" customFormat="1" ht="15" customHeight="1" x14ac:dyDescent="0.25"/>
    <row r="211" s="237" customFormat="1" ht="15" customHeight="1" x14ac:dyDescent="0.25"/>
    <row r="212" s="237" customFormat="1" ht="15" customHeight="1" x14ac:dyDescent="0.25"/>
    <row r="213" s="237" customFormat="1" ht="15" customHeight="1" x14ac:dyDescent="0.25"/>
    <row r="214" s="237" customFormat="1" ht="15" customHeight="1" x14ac:dyDescent="0.25"/>
    <row r="215" s="237" customFormat="1" ht="15" customHeight="1" x14ac:dyDescent="0.25"/>
    <row r="216" s="237" customFormat="1" ht="15" customHeight="1" x14ac:dyDescent="0.25"/>
    <row r="217" s="237" customFormat="1" ht="15" customHeight="1" x14ac:dyDescent="0.25"/>
    <row r="218" s="237" customFormat="1" ht="15" customHeight="1" x14ac:dyDescent="0.25"/>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sheetData>
  <mergeCells count="43">
    <mergeCell ref="C110:D110"/>
    <mergeCell ref="G111:H111"/>
    <mergeCell ref="I111:J111"/>
    <mergeCell ref="C155:D155"/>
    <mergeCell ref="E155:F155"/>
    <mergeCell ref="G155:H155"/>
    <mergeCell ref="E111:F111"/>
    <mergeCell ref="G154:H154"/>
    <mergeCell ref="C111:D111"/>
    <mergeCell ref="C154:D154"/>
    <mergeCell ref="E154:F154"/>
    <mergeCell ref="E110:F110"/>
    <mergeCell ref="G110:H110"/>
    <mergeCell ref="I110:J110"/>
    <mergeCell ref="B14:J15"/>
    <mergeCell ref="AD23:AE23"/>
    <mergeCell ref="C23:D23"/>
    <mergeCell ref="B16:J16"/>
    <mergeCell ref="B20:J20"/>
    <mergeCell ref="B17:J18"/>
    <mergeCell ref="I23:J23"/>
    <mergeCell ref="B19:J19"/>
    <mergeCell ref="C22:D22"/>
    <mergeCell ref="E22:F22"/>
    <mergeCell ref="G22:H22"/>
    <mergeCell ref="E23:F23"/>
    <mergeCell ref="G23:H23"/>
    <mergeCell ref="C66:D66"/>
    <mergeCell ref="E66:F66"/>
    <mergeCell ref="C67:D67"/>
    <mergeCell ref="E67:F67"/>
    <mergeCell ref="AH22:AI22"/>
    <mergeCell ref="G67:H67"/>
    <mergeCell ref="I67:J67"/>
    <mergeCell ref="AD22:AE22"/>
    <mergeCell ref="AF22:AG22"/>
    <mergeCell ref="AB22:AC22"/>
    <mergeCell ref="AB23:AC23"/>
    <mergeCell ref="I22:J22"/>
    <mergeCell ref="AH23:AI23"/>
    <mergeCell ref="AF23:AG23"/>
    <mergeCell ref="G66:H66"/>
    <mergeCell ref="I66:J66"/>
  </mergeCells>
  <conditionalFormatting sqref="AH28:AI60 AH61 AF28:AG58 AG59:AG60 AF59:AF61 AD61 AB28:AE60 AB61 C61">
    <cfRule type="cellIs" dxfId="23" priority="52" operator="lessThan">
      <formula>0</formula>
    </cfRule>
  </conditionalFormatting>
  <conditionalFormatting sqref="C73:C104">
    <cfRule type="cellIs" dxfId="22" priority="6" operator="lessThan">
      <formula>0</formula>
    </cfRule>
  </conditionalFormatting>
  <conditionalFormatting sqref="I49:I60">
    <cfRule type="cellIs" dxfId="21" priority="8" operator="lessThan">
      <formula>0</formula>
    </cfRule>
  </conditionalFormatting>
  <conditionalFormatting sqref="C105">
    <cfRule type="cellIs" dxfId="20" priority="23" operator="lessThan">
      <formula>0</formula>
    </cfRule>
  </conditionalFormatting>
  <conditionalFormatting sqref="E61">
    <cfRule type="cellIs" dxfId="19" priority="22" operator="lessThan">
      <formula>0</formula>
    </cfRule>
  </conditionalFormatting>
  <conditionalFormatting sqref="G61">
    <cfRule type="cellIs" dxfId="18" priority="21" operator="lessThan">
      <formula>0</formula>
    </cfRule>
  </conditionalFormatting>
  <conditionalFormatting sqref="I61">
    <cfRule type="cellIs" dxfId="17" priority="20" operator="lessThan">
      <formula>0</formula>
    </cfRule>
  </conditionalFormatting>
  <conditionalFormatting sqref="E105">
    <cfRule type="cellIs" dxfId="16" priority="19" operator="lessThan">
      <formula>0</formula>
    </cfRule>
  </conditionalFormatting>
  <conditionalFormatting sqref="G105">
    <cfRule type="cellIs" dxfId="15" priority="18" operator="lessThan">
      <formula>0</formula>
    </cfRule>
  </conditionalFormatting>
  <conditionalFormatting sqref="I105">
    <cfRule type="cellIs" dxfId="14" priority="17" operator="lessThan">
      <formula>0</formula>
    </cfRule>
  </conditionalFormatting>
  <conditionalFormatting sqref="C149">
    <cfRule type="cellIs" dxfId="13" priority="16" operator="lessThan">
      <formula>0</formula>
    </cfRule>
  </conditionalFormatting>
  <conditionalFormatting sqref="E149">
    <cfRule type="cellIs" dxfId="12" priority="15" operator="lessThan">
      <formula>0</formula>
    </cfRule>
  </conditionalFormatting>
  <conditionalFormatting sqref="G149">
    <cfRule type="cellIs" dxfId="11" priority="14" operator="lessThan">
      <formula>0</formula>
    </cfRule>
  </conditionalFormatting>
  <conditionalFormatting sqref="I149">
    <cfRule type="cellIs" dxfId="10" priority="13" operator="lessThan">
      <formula>0</formula>
    </cfRule>
  </conditionalFormatting>
  <conditionalFormatting sqref="C193">
    <cfRule type="cellIs" dxfId="9" priority="12" operator="lessThan">
      <formula>0</formula>
    </cfRule>
  </conditionalFormatting>
  <conditionalFormatting sqref="E193">
    <cfRule type="cellIs" dxfId="8" priority="11" operator="lessThan">
      <formula>0</formula>
    </cfRule>
  </conditionalFormatting>
  <conditionalFormatting sqref="G193">
    <cfRule type="cellIs" dxfId="7" priority="10" operator="lessThan">
      <formula>0</formula>
    </cfRule>
  </conditionalFormatting>
  <conditionalFormatting sqref="I29:I47">
    <cfRule type="cellIs" dxfId="6" priority="7" operator="lessThan">
      <formula>0</formula>
    </cfRule>
  </conditionalFormatting>
  <conditionalFormatting sqref="C72">
    <cfRule type="cellIs" dxfId="5" priority="5" operator="lessThan">
      <formula>0</formula>
    </cfRule>
  </conditionalFormatting>
  <conditionalFormatting sqref="I48">
    <cfRule type="cellIs" dxfId="4" priority="4" operator="lessThan">
      <formula>0</formula>
    </cfRule>
  </conditionalFormatting>
  <conditionalFormatting sqref="I28">
    <cfRule type="cellIs" dxfId="3" priority="3" operator="lessThan">
      <formula>0</formula>
    </cfRule>
  </conditionalFormatting>
  <conditionalFormatting sqref="E72:E104">
    <cfRule type="cellIs" dxfId="2" priority="2" operator="lessThan">
      <formula>0</formula>
    </cfRule>
  </conditionalFormatting>
  <conditionalFormatting sqref="C116:C148">
    <cfRule type="cellIs" dxfId="1" priority="1" operator="lessThan">
      <formula>0</formula>
    </cfRule>
  </conditionalFormatting>
  <hyperlinks>
    <hyperlink ref="B14:J15" r:id="rId1" display="(A) Esta aba apresenta as 15 categorias para reporte de emissões de Escopo 3 propostas pelo Programa Brasileiro GHG Protocol. Estas categorias são baseadas no &quot;Greenhouse Gas Protocol Corporate Value Chain (Scope 3) Accounting and Reporting Standard&quot;, dis"/>
  </hyperlinks>
  <pageMargins left="0.511811024" right="0.511811024" top="0.78740157499999996" bottom="0.78740157499999996" header="0.31496062000000002" footer="0.31496062000000002"/>
  <pageSetup paperSize="9" orientation="portrait" horizontalDpi="1200" verticalDpi="1200" r:id="rId2"/>
  <drawing r:id="rId3"/>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6"/>
    <outlinePr summaryBelow="0" summaryRight="0"/>
  </sheetPr>
  <dimension ref="A1:AS320"/>
  <sheetViews>
    <sheetView showGridLines="0" topLeftCell="A209" zoomScale="60" zoomScaleNormal="60" workbookViewId="0"/>
  </sheetViews>
  <sheetFormatPr defaultColWidth="0" defaultRowHeight="12.75" zeroHeight="1" outlineLevelRow="1" x14ac:dyDescent="0.2"/>
  <cols>
    <col min="1" max="1" width="2.7109375" customWidth="1"/>
    <col min="2" max="8" width="25.7109375" customWidth="1"/>
    <col min="9" max="9" width="22" customWidth="1"/>
    <col min="10" max="10" width="6.7109375" customWidth="1"/>
    <col min="11" max="11" width="16.7109375" hidden="1" customWidth="1"/>
    <col min="12" max="12" width="19.5703125" hidden="1" customWidth="1"/>
    <col min="13" max="13" width="21.7109375" hidden="1" customWidth="1"/>
    <col min="14" max="16" width="9.140625" hidden="1" customWidth="1"/>
    <col min="17" max="17" width="14" hidden="1" customWidth="1"/>
    <col min="18" max="45" width="0" hidden="1" customWidth="1"/>
    <col min="46" max="16384" width="9.140625" hidden="1"/>
  </cols>
  <sheetData>
    <row r="1" spans="1:45" ht="14.1" customHeight="1" x14ac:dyDescent="0.2">
      <c r="A1" s="95"/>
      <c r="B1" s="95"/>
      <c r="C1" s="95"/>
      <c r="D1" s="95"/>
      <c r="E1" s="95"/>
      <c r="F1" s="95"/>
      <c r="G1" s="95"/>
      <c r="H1" s="95"/>
      <c r="I1" s="95"/>
      <c r="J1" s="95"/>
      <c r="K1" s="95"/>
      <c r="L1" s="95"/>
      <c r="M1" s="95"/>
      <c r="N1" s="95"/>
      <c r="O1" s="95"/>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row>
    <row r="2" spans="1:45" ht="15.75" customHeight="1" x14ac:dyDescent="0.2">
      <c r="A2" s="95"/>
      <c r="B2" s="95"/>
      <c r="C2" s="95"/>
      <c r="D2" s="95"/>
      <c r="E2" s="95"/>
      <c r="F2" s="95"/>
      <c r="G2" s="95"/>
      <c r="H2" s="95"/>
      <c r="I2" s="95"/>
      <c r="J2" s="95"/>
      <c r="K2" s="95"/>
      <c r="L2" s="95"/>
      <c r="M2" s="95"/>
      <c r="N2" s="95"/>
      <c r="O2" s="95"/>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row>
    <row r="3" spans="1:45" ht="15.75" customHeight="1" x14ac:dyDescent="0.2">
      <c r="A3" s="95"/>
      <c r="B3" s="95"/>
      <c r="C3" s="95"/>
      <c r="D3" s="95"/>
      <c r="E3" s="95"/>
      <c r="F3" s="95"/>
      <c r="G3" s="95"/>
      <c r="H3" s="95"/>
      <c r="I3" s="95"/>
      <c r="J3" s="95"/>
      <c r="K3" s="95"/>
      <c r="L3" s="95"/>
      <c r="M3" s="95"/>
      <c r="N3" s="95"/>
      <c r="O3" s="95"/>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row>
    <row r="4" spans="1:45" ht="15.75" customHeight="1" x14ac:dyDescent="0.2">
      <c r="A4" s="95"/>
      <c r="B4" s="95"/>
      <c r="C4" s="95"/>
      <c r="D4" s="95"/>
      <c r="E4" s="95"/>
      <c r="F4" s="95"/>
      <c r="G4" s="95"/>
      <c r="H4" s="95"/>
      <c r="I4" s="95"/>
      <c r="J4" s="95"/>
      <c r="K4" s="95"/>
      <c r="L4" s="95"/>
      <c r="M4" s="95"/>
      <c r="N4" s="95"/>
      <c r="O4" s="95"/>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row>
    <row r="5" spans="1:45" ht="15.75" customHeight="1" x14ac:dyDescent="0.2">
      <c r="A5" s="95"/>
      <c r="B5" s="95"/>
      <c r="C5" s="95"/>
      <c r="D5" s="95"/>
      <c r="E5" s="95"/>
      <c r="F5" s="95"/>
      <c r="G5" s="95"/>
      <c r="H5" s="95"/>
      <c r="I5" s="95"/>
      <c r="J5" s="95"/>
      <c r="K5" s="95"/>
      <c r="L5" s="95"/>
      <c r="M5" s="95"/>
      <c r="N5" s="95"/>
      <c r="O5" s="95"/>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row>
    <row r="6" spans="1:45" ht="15.75" customHeight="1" x14ac:dyDescent="0.2">
      <c r="A6" s="95"/>
      <c r="B6" s="95"/>
      <c r="C6" s="95"/>
      <c r="D6" s="95"/>
      <c r="E6" s="95"/>
      <c r="F6" s="95"/>
      <c r="G6" s="95"/>
      <c r="H6" s="95"/>
      <c r="I6" s="95"/>
      <c r="J6" s="95"/>
      <c r="K6" s="95"/>
      <c r="L6" s="95"/>
      <c r="M6" s="95"/>
      <c r="N6" s="95"/>
      <c r="O6" s="95"/>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row>
    <row r="7" spans="1:45" ht="15.75" customHeight="1" x14ac:dyDescent="0.2">
      <c r="A7" s="95"/>
      <c r="B7" s="95"/>
      <c r="C7" s="95"/>
      <c r="D7" s="95"/>
      <c r="E7" s="95"/>
      <c r="F7" s="95"/>
      <c r="G7" s="95"/>
      <c r="H7" s="95"/>
      <c r="I7" s="95"/>
      <c r="J7" s="95"/>
      <c r="K7" s="95"/>
      <c r="L7" s="95"/>
      <c r="M7" s="95"/>
      <c r="N7" s="95"/>
      <c r="O7" s="95"/>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row>
    <row r="8" spans="1:45" ht="15.75" customHeight="1" x14ac:dyDescent="0.2">
      <c r="A8" s="95"/>
      <c r="B8" s="95"/>
      <c r="C8" s="95"/>
      <c r="D8" s="95"/>
      <c r="E8" s="95"/>
      <c r="F8" s="95"/>
      <c r="G8" s="95"/>
      <c r="H8" s="95"/>
      <c r="I8" s="95"/>
      <c r="J8" s="95"/>
      <c r="K8" s="95"/>
      <c r="L8" s="95"/>
      <c r="M8" s="95"/>
      <c r="N8" s="95"/>
      <c r="O8" s="95"/>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row>
    <row r="9" spans="1:45" ht="15.75" customHeight="1" x14ac:dyDescent="0.2">
      <c r="A9" s="95"/>
      <c r="B9" s="95"/>
      <c r="C9" s="95"/>
      <c r="D9" s="95"/>
      <c r="E9" s="95"/>
      <c r="F9" s="95"/>
      <c r="G9" s="95"/>
      <c r="H9" s="95"/>
      <c r="I9" s="95"/>
      <c r="J9" s="95"/>
      <c r="K9" s="95"/>
      <c r="L9" s="95"/>
      <c r="M9" s="95"/>
      <c r="N9" s="95"/>
      <c r="O9" s="95"/>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row>
    <row r="10" spans="1:45" x14ac:dyDescent="0.2">
      <c r="A10" s="96"/>
      <c r="B10" s="95"/>
      <c r="C10" s="95"/>
      <c r="D10" s="95"/>
      <c r="E10" s="95"/>
      <c r="F10" s="95"/>
      <c r="G10" s="95"/>
      <c r="H10" s="95"/>
      <c r="I10" s="95"/>
      <c r="J10" s="95"/>
      <c r="K10" s="95"/>
      <c r="L10" s="95"/>
      <c r="M10" s="95"/>
      <c r="N10" s="95"/>
      <c r="O10" s="95"/>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row>
    <row r="11" spans="1:45" ht="18.75" x14ac:dyDescent="0.3">
      <c r="A11" s="97"/>
      <c r="B11" s="202" t="s">
        <v>348</v>
      </c>
      <c r="C11" s="167"/>
      <c r="D11" s="167"/>
      <c r="E11" s="167"/>
      <c r="F11" s="167"/>
      <c r="G11" s="167"/>
      <c r="H11" s="167"/>
      <c r="I11" s="168"/>
      <c r="J11" s="123"/>
      <c r="K11" s="123"/>
      <c r="L11" s="123"/>
      <c r="M11" s="99"/>
      <c r="N11" s="95"/>
      <c r="O11" s="95"/>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row>
    <row r="12" spans="1:45" x14ac:dyDescent="0.2">
      <c r="A12" s="98"/>
      <c r="B12" s="169"/>
      <c r="C12" s="169"/>
      <c r="D12" s="169"/>
      <c r="E12" s="169"/>
      <c r="F12" s="169"/>
      <c r="G12" s="169"/>
      <c r="H12" s="169"/>
      <c r="I12" s="169"/>
      <c r="J12" s="98"/>
      <c r="K12" s="98"/>
      <c r="L12" s="96"/>
      <c r="M12" s="96"/>
      <c r="N12" s="96"/>
      <c r="O12" s="96"/>
      <c r="P12" s="96"/>
      <c r="Q12" s="96"/>
      <c r="R12" s="96"/>
      <c r="S12" s="96"/>
      <c r="T12" s="98"/>
      <c r="U12" s="98"/>
      <c r="V12" s="99"/>
      <c r="W12" s="100"/>
      <c r="X12" s="96"/>
      <c r="Y12" s="96"/>
      <c r="Z12" s="96"/>
      <c r="AA12" s="96"/>
      <c r="AB12" s="96"/>
      <c r="AC12" s="96"/>
      <c r="AD12" s="96"/>
      <c r="AE12" s="96"/>
      <c r="AF12" s="96"/>
      <c r="AG12" s="96"/>
      <c r="AH12" s="96"/>
      <c r="AI12" s="96"/>
      <c r="AJ12" s="96"/>
      <c r="AK12" s="96"/>
      <c r="AL12" s="96"/>
      <c r="AM12" s="96"/>
      <c r="AN12" s="96"/>
      <c r="AO12" s="96"/>
      <c r="AP12" s="96"/>
      <c r="AQ12" s="96"/>
      <c r="AR12" s="96"/>
      <c r="AS12" s="96"/>
    </row>
    <row r="13" spans="1:45" s="94" customFormat="1" ht="15.75" x14ac:dyDescent="0.25">
      <c r="A13" s="98"/>
      <c r="B13" s="200" t="s">
        <v>1847</v>
      </c>
      <c r="C13" s="171"/>
      <c r="D13" s="170"/>
      <c r="E13" s="170"/>
      <c r="F13" s="170"/>
      <c r="G13" s="170"/>
      <c r="H13" s="172"/>
      <c r="I13" s="171"/>
      <c r="J13" s="98"/>
      <c r="K13" s="98"/>
      <c r="L13" s="96"/>
      <c r="M13" s="96"/>
      <c r="N13" s="96"/>
      <c r="O13" s="96"/>
      <c r="P13" s="96"/>
      <c r="Q13" s="96"/>
      <c r="R13" s="96"/>
      <c r="S13" s="96"/>
      <c r="T13" s="98"/>
      <c r="U13" s="98"/>
      <c r="V13" s="99"/>
      <c r="W13" s="100"/>
      <c r="X13" s="96"/>
      <c r="Y13" s="96"/>
      <c r="Z13" s="96"/>
      <c r="AA13" s="96"/>
      <c r="AB13" s="96"/>
      <c r="AC13" s="96"/>
      <c r="AD13" s="96"/>
      <c r="AE13" s="96"/>
      <c r="AF13" s="96"/>
      <c r="AG13" s="96"/>
      <c r="AH13" s="96"/>
      <c r="AI13" s="96"/>
      <c r="AJ13" s="96"/>
      <c r="AK13" s="96"/>
      <c r="AL13" s="96"/>
      <c r="AM13" s="96"/>
      <c r="AN13" s="96"/>
      <c r="AO13" s="96"/>
      <c r="AP13" s="96"/>
      <c r="AQ13" s="96"/>
      <c r="AR13" s="96"/>
      <c r="AS13" s="96"/>
    </row>
    <row r="14" spans="1:45" ht="30" customHeight="1" x14ac:dyDescent="0.2">
      <c r="A14" s="95"/>
      <c r="B14" s="163"/>
      <c r="C14" s="1404" t="s">
        <v>271</v>
      </c>
      <c r="D14" s="1405"/>
      <c r="E14" s="1406"/>
      <c r="F14" s="1407" t="s">
        <v>1380</v>
      </c>
      <c r="G14" s="1408"/>
      <c r="H14" s="1409"/>
      <c r="I14" s="171"/>
      <c r="J14" s="96"/>
      <c r="K14" s="96"/>
      <c r="L14" s="96"/>
      <c r="M14" s="96"/>
      <c r="N14" s="96"/>
      <c r="O14" s="96"/>
      <c r="P14" s="96"/>
      <c r="Q14" s="96"/>
      <c r="R14" s="96"/>
      <c r="S14" s="96"/>
      <c r="T14" s="96"/>
      <c r="U14" s="101"/>
      <c r="V14" s="102"/>
      <c r="W14" s="95"/>
      <c r="X14" s="96"/>
      <c r="Y14" s="96"/>
      <c r="Z14" s="96"/>
      <c r="AA14" s="96"/>
      <c r="AB14" s="96"/>
      <c r="AC14" s="96"/>
      <c r="AD14" s="96"/>
      <c r="AE14" s="96"/>
      <c r="AF14" s="96"/>
      <c r="AG14" s="96"/>
      <c r="AH14" s="96"/>
      <c r="AI14" s="96"/>
      <c r="AJ14" s="96"/>
      <c r="AK14" s="96"/>
      <c r="AL14" s="96"/>
      <c r="AM14" s="96"/>
      <c r="AN14" s="96"/>
      <c r="AO14" s="96"/>
      <c r="AP14" s="96"/>
      <c r="AQ14" s="96"/>
      <c r="AR14" s="96"/>
      <c r="AS14" s="96"/>
    </row>
    <row r="15" spans="1:45" ht="15.75" customHeight="1" x14ac:dyDescent="0.2">
      <c r="A15" s="95"/>
      <c r="B15" s="139" t="s">
        <v>330</v>
      </c>
      <c r="C15" s="164" t="s">
        <v>1848</v>
      </c>
      <c r="D15" s="165" t="s">
        <v>2101</v>
      </c>
      <c r="E15" s="166" t="s">
        <v>2080</v>
      </c>
      <c r="F15" s="164" t="s">
        <v>1848</v>
      </c>
      <c r="G15" s="165" t="s">
        <v>2101</v>
      </c>
      <c r="H15" s="166" t="s">
        <v>2080</v>
      </c>
      <c r="I15" s="171"/>
      <c r="J15" s="96"/>
      <c r="K15" s="96"/>
      <c r="L15" s="96"/>
      <c r="M15" s="96"/>
      <c r="N15" s="96"/>
      <c r="O15" s="96"/>
      <c r="P15" s="96"/>
      <c r="Q15" s="96"/>
      <c r="R15" s="96"/>
      <c r="S15" s="96"/>
      <c r="T15" s="96"/>
      <c r="U15" s="96"/>
      <c r="V15" s="102"/>
      <c r="W15" s="95"/>
      <c r="X15" s="96"/>
      <c r="Y15" s="96"/>
      <c r="Z15" s="96"/>
      <c r="AA15" s="96"/>
      <c r="AB15" s="96"/>
      <c r="AC15" s="96"/>
      <c r="AD15" s="96"/>
      <c r="AE15" s="96"/>
      <c r="AF15" s="96"/>
      <c r="AG15" s="96"/>
      <c r="AH15" s="96"/>
      <c r="AI15" s="96"/>
      <c r="AJ15" s="96"/>
      <c r="AK15" s="96"/>
      <c r="AL15" s="96"/>
      <c r="AM15" s="96"/>
      <c r="AN15" s="96"/>
      <c r="AO15" s="96"/>
      <c r="AP15" s="96"/>
      <c r="AQ15" s="96"/>
      <c r="AR15" s="96"/>
      <c r="AS15" s="96"/>
    </row>
    <row r="16" spans="1:45" ht="15.75" customHeight="1" x14ac:dyDescent="0.2">
      <c r="A16" s="95"/>
      <c r="B16" s="139" t="s">
        <v>1369</v>
      </c>
      <c r="C16" s="1120">
        <f>ROUND(I72,6)</f>
        <v>0</v>
      </c>
      <c r="D16" s="1120">
        <f>ROUND(E115,6)</f>
        <v>0</v>
      </c>
      <c r="E16" s="142">
        <f>ROUND(F253,6)</f>
        <v>0.59952099999999997</v>
      </c>
      <c r="F16" s="1120">
        <f>$C$16*gwp_CO2</f>
        <v>0</v>
      </c>
      <c r="G16" s="141">
        <f>$D$16*gwp_CO2</f>
        <v>0</v>
      </c>
      <c r="H16" s="141">
        <f>$E$16*gwp_CO2</f>
        <v>0.59952099999999997</v>
      </c>
      <c r="I16" s="171"/>
      <c r="J16" s="96"/>
      <c r="K16" s="96"/>
      <c r="L16" s="96"/>
      <c r="M16" s="96"/>
      <c r="N16" s="96"/>
      <c r="O16" s="96"/>
      <c r="P16" s="96"/>
      <c r="Q16" s="96"/>
      <c r="R16" s="96"/>
      <c r="S16" s="96"/>
      <c r="T16" s="96"/>
      <c r="U16" s="96"/>
      <c r="V16" s="102"/>
      <c r="W16" s="95"/>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ht="15.75" customHeight="1" x14ac:dyDescent="0.2">
      <c r="A17" s="95"/>
      <c r="B17" s="139" t="s">
        <v>1370</v>
      </c>
      <c r="C17" s="1120">
        <f>ROUND(I73,6)</f>
        <v>0</v>
      </c>
      <c r="D17" s="1120">
        <f>ROUND(E116,6)</f>
        <v>0</v>
      </c>
      <c r="E17" s="142">
        <f>ROUND(F254,6)</f>
        <v>0</v>
      </c>
      <c r="F17" s="1120">
        <f>$C$17*gwp_CH4</f>
        <v>0</v>
      </c>
      <c r="G17" s="141">
        <f>$D$17*gwp_CH4</f>
        <v>0</v>
      </c>
      <c r="H17" s="141">
        <f>$E$17*gwp_CH4</f>
        <v>0</v>
      </c>
      <c r="I17" s="171"/>
      <c r="J17" s="96"/>
      <c r="K17" s="96"/>
      <c r="L17" s="96"/>
      <c r="M17" s="96"/>
      <c r="N17" s="96"/>
      <c r="O17" s="96"/>
      <c r="P17" s="96"/>
      <c r="Q17" s="96"/>
      <c r="R17" s="96"/>
      <c r="S17" s="96"/>
      <c r="T17" s="96"/>
      <c r="U17" s="96"/>
      <c r="V17" s="102"/>
      <c r="W17" s="95"/>
      <c r="X17" s="96"/>
      <c r="Y17" s="96"/>
      <c r="Z17" s="96"/>
      <c r="AA17" s="96"/>
      <c r="AB17" s="96"/>
      <c r="AC17" s="96"/>
      <c r="AD17" s="96"/>
      <c r="AE17" s="96"/>
      <c r="AF17" s="96"/>
      <c r="AG17" s="96"/>
      <c r="AH17" s="96"/>
      <c r="AI17" s="96"/>
      <c r="AJ17" s="96"/>
      <c r="AK17" s="96"/>
      <c r="AL17" s="96"/>
      <c r="AM17" s="96"/>
      <c r="AN17" s="96"/>
      <c r="AO17" s="96"/>
      <c r="AP17" s="96"/>
      <c r="AQ17" s="96"/>
      <c r="AR17" s="96"/>
      <c r="AS17" s="96"/>
    </row>
    <row r="18" spans="1:45" s="91" customFormat="1" ht="15.75" customHeight="1" x14ac:dyDescent="0.2">
      <c r="A18" s="95"/>
      <c r="B18" s="139" t="s">
        <v>1371</v>
      </c>
      <c r="C18" s="1120">
        <f>ROUND(I74,6)</f>
        <v>0</v>
      </c>
      <c r="D18" s="1120">
        <f>ROUND(E117,6)</f>
        <v>0</v>
      </c>
      <c r="E18" s="142">
        <f>ROUND(F255,6)</f>
        <v>0</v>
      </c>
      <c r="F18" s="1120">
        <f>$C$18*gwp_N2O</f>
        <v>0</v>
      </c>
      <c r="G18" s="141">
        <f>$D$18*gwp_N2O</f>
        <v>0</v>
      </c>
      <c r="H18" s="141">
        <f>$E$18*gwp_N2O</f>
        <v>0</v>
      </c>
      <c r="I18" s="171"/>
      <c r="J18" s="96"/>
      <c r="K18" s="96"/>
      <c r="L18" s="96"/>
      <c r="M18" s="96"/>
      <c r="N18" s="96"/>
      <c r="O18" s="96"/>
      <c r="P18" s="96"/>
      <c r="Q18" s="96"/>
      <c r="R18" s="96"/>
      <c r="S18" s="96"/>
      <c r="T18" s="96"/>
      <c r="U18" s="96"/>
      <c r="V18" s="102"/>
      <c r="W18" s="95"/>
      <c r="X18" s="96"/>
      <c r="Y18" s="96"/>
      <c r="Z18" s="96"/>
      <c r="AA18" s="96"/>
      <c r="AB18" s="96"/>
      <c r="AC18" s="96"/>
      <c r="AD18" s="96"/>
      <c r="AE18" s="96"/>
      <c r="AF18" s="96"/>
      <c r="AG18" s="96"/>
      <c r="AH18" s="96"/>
      <c r="AI18" s="96"/>
      <c r="AJ18" s="96"/>
      <c r="AK18" s="96"/>
      <c r="AL18" s="96"/>
      <c r="AM18" s="96"/>
      <c r="AN18" s="96"/>
      <c r="AO18" s="96"/>
      <c r="AP18" s="96"/>
      <c r="AQ18" s="96"/>
      <c r="AR18" s="96"/>
      <c r="AS18" s="96"/>
    </row>
    <row r="19" spans="1:45" ht="15.75" customHeight="1" x14ac:dyDescent="0.2">
      <c r="A19" s="95"/>
      <c r="B19" s="139" t="s">
        <v>76</v>
      </c>
      <c r="C19" s="1120">
        <f>SUM(C20:C38)</f>
        <v>0</v>
      </c>
      <c r="D19" s="145"/>
      <c r="E19" s="141">
        <f>SUM(E20:E38)</f>
        <v>0</v>
      </c>
      <c r="F19" s="1120">
        <f>SUM(F20:F38)</f>
        <v>0</v>
      </c>
      <c r="G19" s="145"/>
      <c r="H19" s="141">
        <f>SUM(H20:H38)</f>
        <v>0</v>
      </c>
      <c r="I19" s="171"/>
      <c r="J19" s="96"/>
      <c r="K19" s="96"/>
      <c r="L19" s="96"/>
      <c r="M19" s="96"/>
      <c r="N19" s="96"/>
      <c r="O19" s="96"/>
      <c r="P19" s="96"/>
      <c r="Q19" s="96"/>
      <c r="R19" s="96"/>
      <c r="S19" s="96"/>
      <c r="T19" s="96"/>
      <c r="U19" s="103"/>
      <c r="V19" s="102"/>
      <c r="W19" s="95"/>
      <c r="X19" s="96"/>
      <c r="Y19" s="96"/>
      <c r="Z19" s="96"/>
      <c r="AA19" s="96"/>
      <c r="AB19" s="96"/>
      <c r="AC19" s="96"/>
      <c r="AD19" s="96"/>
      <c r="AE19" s="96"/>
      <c r="AF19" s="96"/>
      <c r="AG19" s="96"/>
      <c r="AH19" s="96"/>
      <c r="AI19" s="96"/>
      <c r="AJ19" s="96"/>
      <c r="AK19" s="96"/>
      <c r="AL19" s="96"/>
      <c r="AM19" s="96"/>
      <c r="AN19" s="96"/>
      <c r="AO19" s="96"/>
      <c r="AP19" s="96"/>
      <c r="AQ19" s="96"/>
      <c r="AR19" s="96"/>
      <c r="AS19" s="96"/>
    </row>
    <row r="20" spans="1:45" s="94" customFormat="1" ht="15.75" customHeight="1" outlineLevel="1" x14ac:dyDescent="0.2">
      <c r="A20" s="95"/>
      <c r="B20" s="139" t="s">
        <v>85</v>
      </c>
      <c r="C20" s="1120">
        <f>ROUND(I76,6)</f>
        <v>0</v>
      </c>
      <c r="D20" s="145"/>
      <c r="E20" s="141">
        <f>ROUND(F257,6)</f>
        <v>0</v>
      </c>
      <c r="F20" s="1120">
        <f>C20*'Fatores de Emissão'!E238</f>
        <v>0</v>
      </c>
      <c r="G20" s="145"/>
      <c r="H20" s="141">
        <f>E20*'Fatores de Emissão'!E238</f>
        <v>0</v>
      </c>
      <c r="I20" s="171"/>
      <c r="J20" s="96"/>
      <c r="K20" s="96"/>
      <c r="L20" s="96"/>
      <c r="M20" s="96"/>
      <c r="N20" s="96"/>
      <c r="O20" s="96"/>
      <c r="P20" s="96"/>
      <c r="Q20" s="96"/>
      <c r="R20" s="96"/>
      <c r="S20" s="96"/>
      <c r="T20" s="96"/>
      <c r="U20" s="103"/>
      <c r="V20" s="102"/>
      <c r="W20" s="95"/>
      <c r="X20" s="96"/>
      <c r="Y20" s="96"/>
      <c r="Z20" s="96"/>
      <c r="AA20" s="96"/>
      <c r="AB20" s="96"/>
      <c r="AC20" s="96"/>
      <c r="AD20" s="96"/>
      <c r="AE20" s="96"/>
      <c r="AF20" s="96"/>
      <c r="AG20" s="96"/>
      <c r="AH20" s="96"/>
      <c r="AI20" s="96"/>
      <c r="AJ20" s="96"/>
      <c r="AK20" s="96"/>
      <c r="AL20" s="96"/>
      <c r="AM20" s="96"/>
      <c r="AN20" s="96"/>
      <c r="AO20" s="96"/>
      <c r="AP20" s="96"/>
      <c r="AQ20" s="96"/>
      <c r="AR20" s="96"/>
      <c r="AS20" s="96"/>
    </row>
    <row r="21" spans="1:45" s="94" customFormat="1" ht="15.75" customHeight="1" outlineLevel="1" x14ac:dyDescent="0.2">
      <c r="A21" s="95"/>
      <c r="B21" s="139" t="s">
        <v>86</v>
      </c>
      <c r="C21" s="1120">
        <f t="shared" ref="C21:C38" si="0">ROUND(I77,6)</f>
        <v>0</v>
      </c>
      <c r="D21" s="145"/>
      <c r="E21" s="141">
        <f t="shared" ref="E21:E38" si="1">ROUND(F258,6)</f>
        <v>0</v>
      </c>
      <c r="F21" s="1120">
        <f>C21*'Fatores de Emissão'!E239</f>
        <v>0</v>
      </c>
      <c r="G21" s="145"/>
      <c r="H21" s="141">
        <f>E21*'Fatores de Emissão'!E239</f>
        <v>0</v>
      </c>
      <c r="I21" s="171"/>
      <c r="J21" s="96"/>
      <c r="K21" s="96"/>
      <c r="L21" s="96"/>
      <c r="M21" s="96"/>
      <c r="N21" s="96"/>
      <c r="O21" s="96"/>
      <c r="P21" s="96"/>
      <c r="Q21" s="96"/>
      <c r="R21" s="96"/>
      <c r="S21" s="96"/>
      <c r="T21" s="96"/>
      <c r="U21" s="103"/>
      <c r="V21" s="102"/>
      <c r="W21" s="95"/>
      <c r="X21" s="96"/>
      <c r="Y21" s="96"/>
      <c r="Z21" s="96"/>
      <c r="AA21" s="96"/>
      <c r="AB21" s="96"/>
      <c r="AC21" s="96"/>
      <c r="AD21" s="96"/>
      <c r="AE21" s="96"/>
      <c r="AF21" s="96"/>
      <c r="AG21" s="96"/>
      <c r="AH21" s="96"/>
      <c r="AI21" s="96"/>
      <c r="AJ21" s="96"/>
      <c r="AK21" s="96"/>
      <c r="AL21" s="96"/>
      <c r="AM21" s="96"/>
      <c r="AN21" s="96"/>
      <c r="AO21" s="96"/>
      <c r="AP21" s="96"/>
      <c r="AQ21" s="96"/>
      <c r="AR21" s="96"/>
      <c r="AS21" s="96"/>
    </row>
    <row r="22" spans="1:45" s="94" customFormat="1" ht="15.75" customHeight="1" outlineLevel="1" x14ac:dyDescent="0.2">
      <c r="A22" s="95"/>
      <c r="B22" s="139" t="s">
        <v>285</v>
      </c>
      <c r="C22" s="1120">
        <f t="shared" si="0"/>
        <v>0</v>
      </c>
      <c r="D22" s="145"/>
      <c r="E22" s="141">
        <f t="shared" si="1"/>
        <v>0</v>
      </c>
      <c r="F22" s="1120">
        <f>C22*'Fatores de Emissão'!E240</f>
        <v>0</v>
      </c>
      <c r="G22" s="145"/>
      <c r="H22" s="141">
        <f>E22*'Fatores de Emissão'!E240</f>
        <v>0</v>
      </c>
      <c r="I22" s="171"/>
      <c r="J22" s="96"/>
      <c r="K22" s="96"/>
      <c r="L22" s="96"/>
      <c r="M22" s="96"/>
      <c r="N22" s="96"/>
      <c r="O22" s="96"/>
      <c r="P22" s="96"/>
      <c r="Q22" s="96"/>
      <c r="R22" s="96"/>
      <c r="S22" s="96"/>
      <c r="T22" s="96"/>
      <c r="U22" s="103"/>
      <c r="V22" s="102"/>
      <c r="W22" s="95"/>
      <c r="X22" s="96"/>
      <c r="Y22" s="96"/>
      <c r="Z22" s="96"/>
      <c r="AA22" s="96"/>
      <c r="AB22" s="96"/>
      <c r="AC22" s="96"/>
      <c r="AD22" s="96"/>
      <c r="AE22" s="96"/>
      <c r="AF22" s="96"/>
      <c r="AG22" s="96"/>
      <c r="AH22" s="96"/>
      <c r="AI22" s="96"/>
      <c r="AJ22" s="96"/>
      <c r="AK22" s="96"/>
      <c r="AL22" s="96"/>
      <c r="AM22" s="96"/>
      <c r="AN22" s="96"/>
      <c r="AO22" s="96"/>
      <c r="AP22" s="96"/>
      <c r="AQ22" s="96"/>
      <c r="AR22" s="96"/>
      <c r="AS22" s="96"/>
    </row>
    <row r="23" spans="1:45" s="94" customFormat="1" ht="15.75" customHeight="1" outlineLevel="1" x14ac:dyDescent="0.2">
      <c r="A23" s="95"/>
      <c r="B23" s="139" t="s">
        <v>87</v>
      </c>
      <c r="C23" s="1120">
        <f t="shared" si="0"/>
        <v>0</v>
      </c>
      <c r="D23" s="145"/>
      <c r="E23" s="141">
        <f t="shared" si="1"/>
        <v>0</v>
      </c>
      <c r="F23" s="1120">
        <f>C23*'Fatores de Emissão'!E241</f>
        <v>0</v>
      </c>
      <c r="G23" s="145"/>
      <c r="H23" s="141">
        <f>E23*'Fatores de Emissão'!E241</f>
        <v>0</v>
      </c>
      <c r="I23" s="171"/>
      <c r="J23" s="96"/>
      <c r="K23" s="96"/>
      <c r="L23" s="96"/>
      <c r="M23" s="96"/>
      <c r="N23" s="96"/>
      <c r="O23" s="96"/>
      <c r="P23" s="96"/>
      <c r="Q23" s="96"/>
      <c r="R23" s="96"/>
      <c r="S23" s="96"/>
      <c r="T23" s="96"/>
      <c r="U23" s="103"/>
      <c r="V23" s="102"/>
      <c r="W23" s="95"/>
      <c r="X23" s="96"/>
      <c r="Y23" s="96"/>
      <c r="Z23" s="96"/>
      <c r="AA23" s="96"/>
      <c r="AB23" s="96"/>
      <c r="AC23" s="96"/>
      <c r="AD23" s="96"/>
      <c r="AE23" s="96"/>
      <c r="AF23" s="96"/>
      <c r="AG23" s="96"/>
      <c r="AH23" s="96"/>
      <c r="AI23" s="96"/>
      <c r="AJ23" s="96"/>
      <c r="AK23" s="96"/>
      <c r="AL23" s="96"/>
      <c r="AM23" s="96"/>
      <c r="AN23" s="96"/>
      <c r="AO23" s="96"/>
      <c r="AP23" s="96"/>
      <c r="AQ23" s="96"/>
      <c r="AR23" s="96"/>
      <c r="AS23" s="96"/>
    </row>
    <row r="24" spans="1:45" s="94" customFormat="1" ht="15.75" customHeight="1" outlineLevel="1" x14ac:dyDescent="0.2">
      <c r="A24" s="95"/>
      <c r="B24" s="139" t="s">
        <v>287</v>
      </c>
      <c r="C24" s="1120">
        <f t="shared" si="0"/>
        <v>0</v>
      </c>
      <c r="D24" s="145"/>
      <c r="E24" s="141">
        <f t="shared" si="1"/>
        <v>0</v>
      </c>
      <c r="F24" s="1120">
        <f>C24*'Fatores de Emissão'!E242</f>
        <v>0</v>
      </c>
      <c r="G24" s="145"/>
      <c r="H24" s="141">
        <f>E24*'Fatores de Emissão'!E242</f>
        <v>0</v>
      </c>
      <c r="I24" s="171"/>
      <c r="J24" s="96"/>
      <c r="K24" s="96"/>
      <c r="L24" s="96"/>
      <c r="M24" s="96"/>
      <c r="N24" s="96"/>
      <c r="O24" s="96"/>
      <c r="P24" s="96"/>
      <c r="Q24" s="96"/>
      <c r="R24" s="96"/>
      <c r="S24" s="96"/>
      <c r="T24" s="96"/>
      <c r="U24" s="103"/>
      <c r="V24" s="102"/>
      <c r="W24" s="95"/>
      <c r="X24" s="96"/>
      <c r="Y24" s="96"/>
      <c r="Z24" s="96"/>
      <c r="AA24" s="96"/>
      <c r="AB24" s="96"/>
      <c r="AC24" s="96"/>
      <c r="AD24" s="96"/>
      <c r="AE24" s="96"/>
      <c r="AF24" s="96"/>
      <c r="AG24" s="96"/>
      <c r="AH24" s="96"/>
      <c r="AI24" s="96"/>
      <c r="AJ24" s="96"/>
      <c r="AK24" s="96"/>
      <c r="AL24" s="96"/>
      <c r="AM24" s="96"/>
      <c r="AN24" s="96"/>
      <c r="AO24" s="96"/>
      <c r="AP24" s="96"/>
      <c r="AQ24" s="96"/>
      <c r="AR24" s="96"/>
      <c r="AS24" s="96"/>
    </row>
    <row r="25" spans="1:45" s="94" customFormat="1" ht="15.75" customHeight="1" outlineLevel="1" x14ac:dyDescent="0.2">
      <c r="A25" s="95"/>
      <c r="B25" s="139" t="s">
        <v>88</v>
      </c>
      <c r="C25" s="1120">
        <f t="shared" si="0"/>
        <v>0</v>
      </c>
      <c r="D25" s="145"/>
      <c r="E25" s="141">
        <f t="shared" si="1"/>
        <v>0</v>
      </c>
      <c r="F25" s="1120">
        <f>C25*'Fatores de Emissão'!E243</f>
        <v>0</v>
      </c>
      <c r="G25" s="145"/>
      <c r="H25" s="141">
        <f>E25*'Fatores de Emissão'!E243</f>
        <v>0</v>
      </c>
      <c r="I25" s="171"/>
      <c r="J25" s="96"/>
      <c r="K25" s="96"/>
      <c r="L25" s="96"/>
      <c r="M25" s="96"/>
      <c r="N25" s="96"/>
      <c r="O25" s="96"/>
      <c r="P25" s="96"/>
      <c r="Q25" s="96"/>
      <c r="R25" s="96"/>
      <c r="S25" s="96"/>
      <c r="T25" s="96"/>
      <c r="U25" s="103"/>
      <c r="V25" s="102"/>
      <c r="W25" s="95"/>
      <c r="X25" s="96"/>
      <c r="Y25" s="96"/>
      <c r="Z25" s="96"/>
      <c r="AA25" s="96"/>
      <c r="AB25" s="96"/>
      <c r="AC25" s="96"/>
      <c r="AD25" s="96"/>
      <c r="AE25" s="96"/>
      <c r="AF25" s="96"/>
      <c r="AG25" s="96"/>
      <c r="AH25" s="96"/>
      <c r="AI25" s="96"/>
      <c r="AJ25" s="96"/>
      <c r="AK25" s="96"/>
      <c r="AL25" s="96"/>
      <c r="AM25" s="96"/>
      <c r="AN25" s="96"/>
      <c r="AO25" s="96"/>
      <c r="AP25" s="96"/>
      <c r="AQ25" s="96"/>
      <c r="AR25" s="96"/>
      <c r="AS25" s="96"/>
    </row>
    <row r="26" spans="1:45" s="94" customFormat="1" ht="15.75" customHeight="1" outlineLevel="1" x14ac:dyDescent="0.2">
      <c r="A26" s="95"/>
      <c r="B26" s="139" t="s">
        <v>288</v>
      </c>
      <c r="C26" s="1120">
        <f t="shared" si="0"/>
        <v>0</v>
      </c>
      <c r="D26" s="145"/>
      <c r="E26" s="141">
        <f t="shared" si="1"/>
        <v>0</v>
      </c>
      <c r="F26" s="1120">
        <f>C26*'Fatores de Emissão'!E244</f>
        <v>0</v>
      </c>
      <c r="G26" s="145"/>
      <c r="H26" s="141">
        <f>E26*'Fatores de Emissão'!E244</f>
        <v>0</v>
      </c>
      <c r="I26" s="171"/>
      <c r="J26" s="96"/>
      <c r="K26" s="96"/>
      <c r="L26" s="96"/>
      <c r="M26" s="96"/>
      <c r="N26" s="96"/>
      <c r="O26" s="96"/>
      <c r="P26" s="96"/>
      <c r="Q26" s="96"/>
      <c r="R26" s="96"/>
      <c r="S26" s="96"/>
      <c r="T26" s="96"/>
      <c r="U26" s="103"/>
      <c r="V26" s="102"/>
      <c r="W26" s="95"/>
      <c r="X26" s="96"/>
      <c r="Y26" s="96"/>
      <c r="Z26" s="96"/>
      <c r="AA26" s="96"/>
      <c r="AB26" s="96"/>
      <c r="AC26" s="96"/>
      <c r="AD26" s="96"/>
      <c r="AE26" s="96"/>
      <c r="AF26" s="96"/>
      <c r="AG26" s="96"/>
      <c r="AH26" s="96"/>
      <c r="AI26" s="96"/>
      <c r="AJ26" s="96"/>
      <c r="AK26" s="96"/>
      <c r="AL26" s="96"/>
      <c r="AM26" s="96"/>
      <c r="AN26" s="96"/>
      <c r="AO26" s="96"/>
      <c r="AP26" s="96"/>
      <c r="AQ26" s="96"/>
      <c r="AR26" s="96"/>
      <c r="AS26" s="96"/>
    </row>
    <row r="27" spans="1:45" s="94" customFormat="1" ht="15.75" customHeight="1" outlineLevel="1" x14ac:dyDescent="0.2">
      <c r="A27" s="95"/>
      <c r="B27" s="139" t="s">
        <v>107</v>
      </c>
      <c r="C27" s="1120">
        <f t="shared" si="0"/>
        <v>0</v>
      </c>
      <c r="D27" s="145"/>
      <c r="E27" s="141">
        <f t="shared" si="1"/>
        <v>0</v>
      </c>
      <c r="F27" s="1120">
        <f>C27*'Fatores de Emissão'!E245</f>
        <v>0</v>
      </c>
      <c r="G27" s="145"/>
      <c r="H27" s="141">
        <f>E27*'Fatores de Emissão'!E245</f>
        <v>0</v>
      </c>
      <c r="I27" s="171"/>
      <c r="J27" s="96"/>
      <c r="K27" s="96"/>
      <c r="L27" s="96"/>
      <c r="M27" s="96"/>
      <c r="N27" s="96"/>
      <c r="O27" s="96"/>
      <c r="P27" s="96"/>
      <c r="Q27" s="96"/>
      <c r="R27" s="96"/>
      <c r="S27" s="96"/>
      <c r="T27" s="96"/>
      <c r="U27" s="103"/>
      <c r="V27" s="102"/>
      <c r="W27" s="95"/>
      <c r="X27" s="96"/>
      <c r="Y27" s="96"/>
      <c r="Z27" s="96"/>
      <c r="AA27" s="96"/>
      <c r="AB27" s="96"/>
      <c r="AC27" s="96"/>
      <c r="AD27" s="96"/>
      <c r="AE27" s="96"/>
      <c r="AF27" s="96"/>
      <c r="AG27" s="96"/>
      <c r="AH27" s="96"/>
      <c r="AI27" s="96"/>
      <c r="AJ27" s="96"/>
      <c r="AK27" s="96"/>
      <c r="AL27" s="96"/>
      <c r="AM27" s="96"/>
      <c r="AN27" s="96"/>
      <c r="AO27" s="96"/>
      <c r="AP27" s="96"/>
      <c r="AQ27" s="96"/>
      <c r="AR27" s="96"/>
      <c r="AS27" s="96"/>
    </row>
    <row r="28" spans="1:45" s="94" customFormat="1" ht="15.75" customHeight="1" outlineLevel="1" x14ac:dyDescent="0.2">
      <c r="A28" s="95"/>
      <c r="B28" s="139" t="s">
        <v>289</v>
      </c>
      <c r="C28" s="1120">
        <f t="shared" si="0"/>
        <v>0</v>
      </c>
      <c r="D28" s="145"/>
      <c r="E28" s="141">
        <f t="shared" si="1"/>
        <v>0</v>
      </c>
      <c r="F28" s="1120">
        <f>C28*'Fatores de Emissão'!E246</f>
        <v>0</v>
      </c>
      <c r="G28" s="145"/>
      <c r="H28" s="141">
        <f>E28*'Fatores de Emissão'!E246</f>
        <v>0</v>
      </c>
      <c r="I28" s="171"/>
      <c r="J28" s="96"/>
      <c r="K28" s="96"/>
      <c r="L28" s="96"/>
      <c r="M28" s="96"/>
      <c r="N28" s="96"/>
      <c r="O28" s="96"/>
      <c r="P28" s="96"/>
      <c r="Q28" s="96"/>
      <c r="R28" s="96"/>
      <c r="S28" s="96"/>
      <c r="T28" s="96"/>
      <c r="U28" s="103"/>
      <c r="V28" s="102"/>
      <c r="W28" s="95"/>
      <c r="X28" s="96"/>
      <c r="Y28" s="96"/>
      <c r="Z28" s="96"/>
      <c r="AA28" s="96"/>
      <c r="AB28" s="96"/>
      <c r="AC28" s="96"/>
      <c r="AD28" s="96"/>
      <c r="AE28" s="96"/>
      <c r="AF28" s="96"/>
      <c r="AG28" s="96"/>
      <c r="AH28" s="96"/>
      <c r="AI28" s="96"/>
      <c r="AJ28" s="96"/>
      <c r="AK28" s="96"/>
      <c r="AL28" s="96"/>
      <c r="AM28" s="96"/>
      <c r="AN28" s="96"/>
      <c r="AO28" s="96"/>
      <c r="AP28" s="96"/>
      <c r="AQ28" s="96"/>
      <c r="AR28" s="96"/>
      <c r="AS28" s="96"/>
    </row>
    <row r="29" spans="1:45" s="94" customFormat="1" ht="15.75" customHeight="1" outlineLevel="1" x14ac:dyDescent="0.2">
      <c r="A29" s="95"/>
      <c r="B29" s="139" t="s">
        <v>108</v>
      </c>
      <c r="C29" s="1120">
        <f t="shared" si="0"/>
        <v>0</v>
      </c>
      <c r="D29" s="145"/>
      <c r="E29" s="141">
        <f t="shared" si="1"/>
        <v>0</v>
      </c>
      <c r="F29" s="1120">
        <f>C29*'Fatores de Emissão'!E247</f>
        <v>0</v>
      </c>
      <c r="G29" s="145"/>
      <c r="H29" s="141">
        <f>E29*'Fatores de Emissão'!E247</f>
        <v>0</v>
      </c>
      <c r="I29" s="171"/>
      <c r="J29" s="96"/>
      <c r="K29" s="96"/>
      <c r="L29" s="96"/>
      <c r="M29" s="96"/>
      <c r="N29" s="96"/>
      <c r="O29" s="96"/>
      <c r="P29" s="96"/>
      <c r="Q29" s="96"/>
      <c r="R29" s="96"/>
      <c r="S29" s="96"/>
      <c r="T29" s="96"/>
      <c r="U29" s="103"/>
      <c r="V29" s="102"/>
      <c r="W29" s="95"/>
      <c r="X29" s="96"/>
      <c r="Y29" s="96"/>
      <c r="Z29" s="96"/>
      <c r="AA29" s="96"/>
      <c r="AB29" s="96"/>
      <c r="AC29" s="96"/>
      <c r="AD29" s="96"/>
      <c r="AE29" s="96"/>
      <c r="AF29" s="96"/>
      <c r="AG29" s="96"/>
      <c r="AH29" s="96"/>
      <c r="AI29" s="96"/>
      <c r="AJ29" s="96"/>
      <c r="AK29" s="96"/>
      <c r="AL29" s="96"/>
      <c r="AM29" s="96"/>
      <c r="AN29" s="96"/>
      <c r="AO29" s="96"/>
      <c r="AP29" s="96"/>
      <c r="AQ29" s="96"/>
      <c r="AR29" s="96"/>
      <c r="AS29" s="96"/>
    </row>
    <row r="30" spans="1:45" s="94" customFormat="1" ht="15.75" customHeight="1" outlineLevel="1" x14ac:dyDescent="0.2">
      <c r="A30" s="95"/>
      <c r="B30" s="139" t="s">
        <v>290</v>
      </c>
      <c r="C30" s="1120">
        <f t="shared" si="0"/>
        <v>0</v>
      </c>
      <c r="D30" s="145"/>
      <c r="E30" s="141">
        <f t="shared" si="1"/>
        <v>0</v>
      </c>
      <c r="F30" s="1120">
        <f>C30*'Fatores de Emissão'!E248</f>
        <v>0</v>
      </c>
      <c r="G30" s="145"/>
      <c r="H30" s="141">
        <f>E30*'Fatores de Emissão'!E248</f>
        <v>0</v>
      </c>
      <c r="I30" s="171"/>
      <c r="J30" s="96"/>
      <c r="K30" s="96"/>
      <c r="L30" s="96"/>
      <c r="M30" s="96"/>
      <c r="N30" s="96"/>
      <c r="O30" s="96"/>
      <c r="P30" s="96"/>
      <c r="Q30" s="96"/>
      <c r="R30" s="96"/>
      <c r="S30" s="96"/>
      <c r="T30" s="96"/>
      <c r="U30" s="103"/>
      <c r="V30" s="102"/>
      <c r="W30" s="95"/>
      <c r="X30" s="96"/>
      <c r="Y30" s="96"/>
      <c r="Z30" s="96"/>
      <c r="AA30" s="96"/>
      <c r="AB30" s="96"/>
      <c r="AC30" s="96"/>
      <c r="AD30" s="96"/>
      <c r="AE30" s="96"/>
      <c r="AF30" s="96"/>
      <c r="AG30" s="96"/>
      <c r="AH30" s="96"/>
      <c r="AI30" s="96"/>
      <c r="AJ30" s="96"/>
      <c r="AK30" s="96"/>
      <c r="AL30" s="96"/>
      <c r="AM30" s="96"/>
      <c r="AN30" s="96"/>
      <c r="AO30" s="96"/>
      <c r="AP30" s="96"/>
      <c r="AQ30" s="96"/>
      <c r="AR30" s="96"/>
      <c r="AS30" s="96"/>
    </row>
    <row r="31" spans="1:45" s="94" customFormat="1" ht="15.75" customHeight="1" outlineLevel="1" x14ac:dyDescent="0.2">
      <c r="A31" s="95"/>
      <c r="B31" s="139" t="s">
        <v>291</v>
      </c>
      <c r="C31" s="1120">
        <f t="shared" si="0"/>
        <v>0</v>
      </c>
      <c r="D31" s="145"/>
      <c r="E31" s="141">
        <f t="shared" si="1"/>
        <v>0</v>
      </c>
      <c r="F31" s="1120">
        <f>C31*'Fatores de Emissão'!E249</f>
        <v>0</v>
      </c>
      <c r="G31" s="145"/>
      <c r="H31" s="141">
        <f>E31*'Fatores de Emissão'!E249</f>
        <v>0</v>
      </c>
      <c r="I31" s="171"/>
      <c r="J31" s="96"/>
      <c r="K31" s="96"/>
      <c r="L31" s="96"/>
      <c r="M31" s="96"/>
      <c r="N31" s="96"/>
      <c r="O31" s="96"/>
      <c r="P31" s="96"/>
      <c r="Q31" s="96"/>
      <c r="R31" s="96"/>
      <c r="S31" s="96"/>
      <c r="T31" s="96"/>
      <c r="U31" s="103"/>
      <c r="V31" s="102"/>
      <c r="W31" s="95"/>
      <c r="X31" s="96"/>
      <c r="Y31" s="96"/>
      <c r="Z31" s="96"/>
      <c r="AA31" s="96"/>
      <c r="AB31" s="96"/>
      <c r="AC31" s="96"/>
      <c r="AD31" s="96"/>
      <c r="AE31" s="96"/>
      <c r="AF31" s="96"/>
      <c r="AG31" s="96"/>
      <c r="AH31" s="96"/>
      <c r="AI31" s="96"/>
      <c r="AJ31" s="96"/>
      <c r="AK31" s="96"/>
      <c r="AL31" s="96"/>
      <c r="AM31" s="96"/>
      <c r="AN31" s="96"/>
      <c r="AO31" s="96"/>
      <c r="AP31" s="96"/>
      <c r="AQ31" s="96"/>
      <c r="AR31" s="96"/>
      <c r="AS31" s="96"/>
    </row>
    <row r="32" spans="1:45" s="94" customFormat="1" ht="15.75" customHeight="1" outlineLevel="1" x14ac:dyDescent="0.2">
      <c r="A32" s="95"/>
      <c r="B32" s="139" t="s">
        <v>292</v>
      </c>
      <c r="C32" s="1120">
        <f t="shared" si="0"/>
        <v>0</v>
      </c>
      <c r="D32" s="145"/>
      <c r="E32" s="141">
        <f t="shared" si="1"/>
        <v>0</v>
      </c>
      <c r="F32" s="1120">
        <f>C32*'Fatores de Emissão'!E250</f>
        <v>0</v>
      </c>
      <c r="G32" s="145"/>
      <c r="H32" s="141">
        <f>E32*'Fatores de Emissão'!E250</f>
        <v>0</v>
      </c>
      <c r="I32" s="171"/>
      <c r="J32" s="96"/>
      <c r="K32" s="96"/>
      <c r="L32" s="96"/>
      <c r="M32" s="96"/>
      <c r="N32" s="96"/>
      <c r="O32" s="96"/>
      <c r="P32" s="96"/>
      <c r="Q32" s="96"/>
      <c r="R32" s="96"/>
      <c r="S32" s="96"/>
      <c r="T32" s="96"/>
      <c r="U32" s="103"/>
      <c r="V32" s="102"/>
      <c r="W32" s="95"/>
      <c r="X32" s="96"/>
      <c r="Y32" s="96"/>
      <c r="Z32" s="96"/>
      <c r="AA32" s="96"/>
      <c r="AB32" s="96"/>
      <c r="AC32" s="96"/>
      <c r="AD32" s="96"/>
      <c r="AE32" s="96"/>
      <c r="AF32" s="96"/>
      <c r="AG32" s="96"/>
      <c r="AH32" s="96"/>
      <c r="AI32" s="96"/>
      <c r="AJ32" s="96"/>
      <c r="AK32" s="96"/>
      <c r="AL32" s="96"/>
      <c r="AM32" s="96"/>
      <c r="AN32" s="96"/>
      <c r="AO32" s="96"/>
      <c r="AP32" s="96"/>
      <c r="AQ32" s="96"/>
      <c r="AR32" s="96"/>
      <c r="AS32" s="96"/>
    </row>
    <row r="33" spans="1:45" s="94" customFormat="1" ht="15.75" customHeight="1" outlineLevel="1" x14ac:dyDescent="0.2">
      <c r="A33" s="95"/>
      <c r="B33" s="139" t="s">
        <v>293</v>
      </c>
      <c r="C33" s="1120">
        <f t="shared" si="0"/>
        <v>0</v>
      </c>
      <c r="D33" s="145"/>
      <c r="E33" s="141">
        <f t="shared" si="1"/>
        <v>0</v>
      </c>
      <c r="F33" s="1120">
        <f>C33*'Fatores de Emissão'!E251</f>
        <v>0</v>
      </c>
      <c r="G33" s="145"/>
      <c r="H33" s="141">
        <f>E33*'Fatores de Emissão'!E251</f>
        <v>0</v>
      </c>
      <c r="I33" s="171"/>
      <c r="J33" s="96"/>
      <c r="K33" s="96"/>
      <c r="L33" s="96"/>
      <c r="M33" s="96"/>
      <c r="N33" s="96"/>
      <c r="O33" s="96"/>
      <c r="P33" s="96"/>
      <c r="Q33" s="96"/>
      <c r="R33" s="96"/>
      <c r="S33" s="96"/>
      <c r="T33" s="96"/>
      <c r="U33" s="103"/>
      <c r="V33" s="102"/>
      <c r="W33" s="95"/>
      <c r="X33" s="96"/>
      <c r="Y33" s="96"/>
      <c r="Z33" s="96"/>
      <c r="AA33" s="96"/>
      <c r="AB33" s="96"/>
      <c r="AC33" s="96"/>
      <c r="AD33" s="96"/>
      <c r="AE33" s="96"/>
      <c r="AF33" s="96"/>
      <c r="AG33" s="96"/>
      <c r="AH33" s="96"/>
      <c r="AI33" s="96"/>
      <c r="AJ33" s="96"/>
      <c r="AK33" s="96"/>
      <c r="AL33" s="96"/>
      <c r="AM33" s="96"/>
      <c r="AN33" s="96"/>
      <c r="AO33" s="96"/>
      <c r="AP33" s="96"/>
      <c r="AQ33" s="96"/>
      <c r="AR33" s="96"/>
      <c r="AS33" s="96"/>
    </row>
    <row r="34" spans="1:45" s="94" customFormat="1" ht="15.75" customHeight="1" outlineLevel="1" x14ac:dyDescent="0.2">
      <c r="A34" s="95"/>
      <c r="B34" s="139" t="s">
        <v>109</v>
      </c>
      <c r="C34" s="1120">
        <f t="shared" si="0"/>
        <v>0</v>
      </c>
      <c r="D34" s="145"/>
      <c r="E34" s="141">
        <f t="shared" si="1"/>
        <v>0</v>
      </c>
      <c r="F34" s="1120">
        <f>C34*'Fatores de Emissão'!E252</f>
        <v>0</v>
      </c>
      <c r="G34" s="145"/>
      <c r="H34" s="141">
        <f>E34*'Fatores de Emissão'!E252</f>
        <v>0</v>
      </c>
      <c r="I34" s="171"/>
      <c r="J34" s="96"/>
      <c r="K34" s="96"/>
      <c r="L34" s="96"/>
      <c r="M34" s="96"/>
      <c r="N34" s="96"/>
      <c r="O34" s="96"/>
      <c r="P34" s="96"/>
      <c r="Q34" s="96"/>
      <c r="R34" s="96"/>
      <c r="S34" s="96"/>
      <c r="T34" s="96"/>
      <c r="U34" s="103"/>
      <c r="V34" s="102"/>
      <c r="W34" s="95"/>
      <c r="X34" s="96"/>
      <c r="Y34" s="96"/>
      <c r="Z34" s="96"/>
      <c r="AA34" s="96"/>
      <c r="AB34" s="96"/>
      <c r="AC34" s="96"/>
      <c r="AD34" s="96"/>
      <c r="AE34" s="96"/>
      <c r="AF34" s="96"/>
      <c r="AG34" s="96"/>
      <c r="AH34" s="96"/>
      <c r="AI34" s="96"/>
      <c r="AJ34" s="96"/>
      <c r="AK34" s="96"/>
      <c r="AL34" s="96"/>
      <c r="AM34" s="96"/>
      <c r="AN34" s="96"/>
      <c r="AO34" s="96"/>
      <c r="AP34" s="96"/>
      <c r="AQ34" s="96"/>
      <c r="AR34" s="96"/>
      <c r="AS34" s="96"/>
    </row>
    <row r="35" spans="1:45" s="94" customFormat="1" ht="15.75" customHeight="1" outlineLevel="1" x14ac:dyDescent="0.2">
      <c r="A35" s="95"/>
      <c r="B35" s="139" t="s">
        <v>294</v>
      </c>
      <c r="C35" s="1120">
        <f t="shared" si="0"/>
        <v>0</v>
      </c>
      <c r="D35" s="145"/>
      <c r="E35" s="141">
        <f t="shared" si="1"/>
        <v>0</v>
      </c>
      <c r="F35" s="1120">
        <f>C35*'Fatores de Emissão'!E253</f>
        <v>0</v>
      </c>
      <c r="G35" s="145"/>
      <c r="H35" s="141">
        <f>E35*'Fatores de Emissão'!E253</f>
        <v>0</v>
      </c>
      <c r="I35" s="171"/>
      <c r="J35" s="96"/>
      <c r="K35" s="96"/>
      <c r="L35" s="96"/>
      <c r="M35" s="96"/>
      <c r="N35" s="96"/>
      <c r="O35" s="96"/>
      <c r="P35" s="96"/>
      <c r="Q35" s="96"/>
      <c r="R35" s="96"/>
      <c r="S35" s="96"/>
      <c r="T35" s="96"/>
      <c r="U35" s="103"/>
      <c r="V35" s="102"/>
      <c r="W35" s="95"/>
      <c r="X35" s="96"/>
      <c r="Y35" s="96"/>
      <c r="Z35" s="96"/>
      <c r="AA35" s="96"/>
      <c r="AB35" s="96"/>
      <c r="AC35" s="96"/>
      <c r="AD35" s="96"/>
      <c r="AE35" s="96"/>
      <c r="AF35" s="96"/>
      <c r="AG35" s="96"/>
      <c r="AH35" s="96"/>
      <c r="AI35" s="96"/>
      <c r="AJ35" s="96"/>
      <c r="AK35" s="96"/>
      <c r="AL35" s="96"/>
      <c r="AM35" s="96"/>
      <c r="AN35" s="96"/>
      <c r="AO35" s="96"/>
      <c r="AP35" s="96"/>
      <c r="AQ35" s="96"/>
      <c r="AR35" s="96"/>
      <c r="AS35" s="96"/>
    </row>
    <row r="36" spans="1:45" s="94" customFormat="1" ht="15.75" customHeight="1" outlineLevel="1" x14ac:dyDescent="0.2">
      <c r="A36" s="95"/>
      <c r="B36" s="139" t="s">
        <v>295</v>
      </c>
      <c r="C36" s="1120">
        <f t="shared" si="0"/>
        <v>0</v>
      </c>
      <c r="D36" s="145"/>
      <c r="E36" s="141">
        <f t="shared" si="1"/>
        <v>0</v>
      </c>
      <c r="F36" s="1120">
        <f>C36*'Fatores de Emissão'!E254</f>
        <v>0</v>
      </c>
      <c r="G36" s="145"/>
      <c r="H36" s="141">
        <f>E36*'Fatores de Emissão'!E254</f>
        <v>0</v>
      </c>
      <c r="I36" s="171"/>
      <c r="J36" s="96"/>
      <c r="K36" s="96"/>
      <c r="L36" s="96"/>
      <c r="M36" s="96"/>
      <c r="N36" s="96"/>
      <c r="O36" s="96"/>
      <c r="P36" s="96"/>
      <c r="Q36" s="96"/>
      <c r="R36" s="96"/>
      <c r="S36" s="96"/>
      <c r="T36" s="96"/>
      <c r="U36" s="103"/>
      <c r="V36" s="102"/>
      <c r="W36" s="95"/>
      <c r="X36" s="96"/>
      <c r="Y36" s="96"/>
      <c r="Z36" s="96"/>
      <c r="AA36" s="96"/>
      <c r="AB36" s="96"/>
      <c r="AC36" s="96"/>
      <c r="AD36" s="96"/>
      <c r="AE36" s="96"/>
      <c r="AF36" s="96"/>
      <c r="AG36" s="96"/>
      <c r="AH36" s="96"/>
      <c r="AI36" s="96"/>
      <c r="AJ36" s="96"/>
      <c r="AK36" s="96"/>
      <c r="AL36" s="96"/>
      <c r="AM36" s="96"/>
      <c r="AN36" s="96"/>
      <c r="AO36" s="96"/>
      <c r="AP36" s="96"/>
      <c r="AQ36" s="96"/>
      <c r="AR36" s="96"/>
      <c r="AS36" s="96"/>
    </row>
    <row r="37" spans="1:45" s="94" customFormat="1" ht="15.75" customHeight="1" outlineLevel="1" x14ac:dyDescent="0.2">
      <c r="A37" s="95"/>
      <c r="B37" s="139" t="s">
        <v>296</v>
      </c>
      <c r="C37" s="1120">
        <f t="shared" si="0"/>
        <v>0</v>
      </c>
      <c r="D37" s="145"/>
      <c r="E37" s="141">
        <f t="shared" si="1"/>
        <v>0</v>
      </c>
      <c r="F37" s="1120">
        <f>C37*'Fatores de Emissão'!E255</f>
        <v>0</v>
      </c>
      <c r="G37" s="145"/>
      <c r="H37" s="141">
        <f>E37*'Fatores de Emissão'!E255</f>
        <v>0</v>
      </c>
      <c r="I37" s="171"/>
      <c r="J37" s="96"/>
      <c r="K37" s="96"/>
      <c r="L37" s="96"/>
      <c r="M37" s="96"/>
      <c r="N37" s="96"/>
      <c r="O37" s="96"/>
      <c r="P37" s="96"/>
      <c r="Q37" s="96"/>
      <c r="R37" s="96"/>
      <c r="S37" s="96"/>
      <c r="T37" s="96"/>
      <c r="U37" s="103"/>
      <c r="V37" s="102"/>
      <c r="W37" s="95"/>
      <c r="X37" s="96"/>
      <c r="Y37" s="96"/>
      <c r="Z37" s="96"/>
      <c r="AA37" s="96"/>
      <c r="AB37" s="96"/>
      <c r="AC37" s="96"/>
      <c r="AD37" s="96"/>
      <c r="AE37" s="96"/>
      <c r="AF37" s="96"/>
      <c r="AG37" s="96"/>
      <c r="AH37" s="96"/>
      <c r="AI37" s="96"/>
      <c r="AJ37" s="96"/>
      <c r="AK37" s="96"/>
      <c r="AL37" s="96"/>
      <c r="AM37" s="96"/>
      <c r="AN37" s="96"/>
      <c r="AO37" s="96"/>
      <c r="AP37" s="96"/>
      <c r="AQ37" s="96"/>
      <c r="AR37" s="96"/>
      <c r="AS37" s="96"/>
    </row>
    <row r="38" spans="1:45" s="94" customFormat="1" ht="15.75" customHeight="1" outlineLevel="1" x14ac:dyDescent="0.2">
      <c r="A38" s="95"/>
      <c r="B38" s="139" t="s">
        <v>286</v>
      </c>
      <c r="C38" s="1120">
        <f t="shared" si="0"/>
        <v>0</v>
      </c>
      <c r="D38" s="145"/>
      <c r="E38" s="141">
        <f t="shared" si="1"/>
        <v>0</v>
      </c>
      <c r="F38" s="1120">
        <f>C38*'Fatores de Emissão'!E256</f>
        <v>0</v>
      </c>
      <c r="G38" s="145"/>
      <c r="H38" s="141">
        <f>E38*'Fatores de Emissão'!E256</f>
        <v>0</v>
      </c>
      <c r="I38" s="171"/>
      <c r="J38" s="96"/>
      <c r="K38" s="96"/>
      <c r="L38" s="96"/>
      <c r="M38" s="96"/>
      <c r="N38" s="96"/>
      <c r="O38" s="96"/>
      <c r="P38" s="96"/>
      <c r="Q38" s="96"/>
      <c r="R38" s="96"/>
      <c r="S38" s="96"/>
      <c r="T38" s="96"/>
      <c r="U38" s="103"/>
      <c r="V38" s="102"/>
      <c r="W38" s="95"/>
      <c r="X38" s="96"/>
      <c r="Y38" s="96"/>
      <c r="Z38" s="96"/>
      <c r="AA38" s="96"/>
      <c r="AB38" s="96"/>
      <c r="AC38" s="96"/>
      <c r="AD38" s="96"/>
      <c r="AE38" s="96"/>
      <c r="AF38" s="96"/>
      <c r="AG38" s="96"/>
      <c r="AH38" s="96"/>
      <c r="AI38" s="96"/>
      <c r="AJ38" s="96"/>
      <c r="AK38" s="96"/>
      <c r="AL38" s="96"/>
      <c r="AM38" s="96"/>
      <c r="AN38" s="96"/>
      <c r="AO38" s="96"/>
      <c r="AP38" s="96"/>
      <c r="AQ38" s="96"/>
      <c r="AR38" s="96"/>
      <c r="AS38" s="96"/>
    </row>
    <row r="39" spans="1:45" ht="15.75" customHeight="1" x14ac:dyDescent="0.2">
      <c r="A39" s="95"/>
      <c r="B39" s="139" t="s">
        <v>77</v>
      </c>
      <c r="C39" s="1120">
        <f>SUM(C40:C49)</f>
        <v>0</v>
      </c>
      <c r="D39" s="145"/>
      <c r="E39" s="141">
        <f>SUM(E40:E49)</f>
        <v>0</v>
      </c>
      <c r="F39" s="1120">
        <f>SUM(F40:F49)</f>
        <v>0</v>
      </c>
      <c r="G39" s="145"/>
      <c r="H39" s="141">
        <f>SUM(H40:H49)</f>
        <v>0</v>
      </c>
      <c r="I39" s="171"/>
      <c r="J39" s="96"/>
      <c r="K39" s="96"/>
      <c r="L39" s="96"/>
      <c r="M39" s="96"/>
      <c r="N39" s="96"/>
      <c r="O39" s="96"/>
      <c r="P39" s="96"/>
      <c r="Q39" s="96"/>
      <c r="R39" s="96"/>
      <c r="S39" s="96"/>
      <c r="T39" s="96"/>
      <c r="U39" s="96"/>
      <c r="V39" s="102"/>
      <c r="W39" s="95"/>
      <c r="X39" s="96"/>
      <c r="Y39" s="96"/>
      <c r="Z39" s="96"/>
      <c r="AA39" s="96"/>
      <c r="AB39" s="96"/>
      <c r="AC39" s="96"/>
      <c r="AD39" s="96"/>
      <c r="AE39" s="96"/>
      <c r="AF39" s="96"/>
      <c r="AG39" s="96"/>
      <c r="AH39" s="96"/>
      <c r="AI39" s="96"/>
      <c r="AJ39" s="96"/>
      <c r="AK39" s="96"/>
      <c r="AL39" s="96"/>
      <c r="AM39" s="96"/>
      <c r="AN39" s="96"/>
      <c r="AO39" s="96"/>
      <c r="AP39" s="96"/>
      <c r="AQ39" s="96"/>
      <c r="AR39" s="96"/>
      <c r="AS39" s="96"/>
    </row>
    <row r="40" spans="1:45" s="94" customFormat="1" ht="15.75" customHeight="1" outlineLevel="1" x14ac:dyDescent="0.2">
      <c r="A40" s="95"/>
      <c r="B40" s="139" t="s">
        <v>458</v>
      </c>
      <c r="C40" s="1120">
        <f>ROUND(I96,6)</f>
        <v>0</v>
      </c>
      <c r="D40" s="162"/>
      <c r="E40" s="141">
        <f>ROUND(F277,6)</f>
        <v>0</v>
      </c>
      <c r="F40" s="1120">
        <f>C40*'Fatores de Emissão'!E259</f>
        <v>0</v>
      </c>
      <c r="G40" s="145"/>
      <c r="H40" s="141">
        <f>E40*'Fatores de Emissão'!E259</f>
        <v>0</v>
      </c>
      <c r="I40" s="171"/>
      <c r="J40" s="96"/>
      <c r="K40" s="96"/>
      <c r="L40" s="96"/>
      <c r="M40" s="96"/>
      <c r="N40" s="96"/>
      <c r="O40" s="96"/>
      <c r="P40" s="96"/>
      <c r="Q40" s="96"/>
      <c r="R40" s="96"/>
      <c r="S40" s="96"/>
      <c r="T40" s="96"/>
      <c r="U40" s="96"/>
      <c r="V40" s="102"/>
      <c r="W40" s="95"/>
      <c r="X40" s="96"/>
      <c r="Y40" s="96"/>
      <c r="Z40" s="96"/>
      <c r="AA40" s="96"/>
      <c r="AB40" s="96"/>
      <c r="AC40" s="96"/>
      <c r="AD40" s="96"/>
      <c r="AE40" s="96"/>
      <c r="AF40" s="96"/>
      <c r="AG40" s="96"/>
      <c r="AH40" s="96"/>
      <c r="AI40" s="96"/>
      <c r="AJ40" s="96"/>
      <c r="AK40" s="96"/>
      <c r="AL40" s="96"/>
      <c r="AM40" s="96"/>
      <c r="AN40" s="96"/>
      <c r="AO40" s="96"/>
      <c r="AP40" s="96"/>
      <c r="AQ40" s="96"/>
      <c r="AR40" s="96"/>
      <c r="AS40" s="96"/>
    </row>
    <row r="41" spans="1:45" s="94" customFormat="1" ht="15.75" customHeight="1" outlineLevel="1" x14ac:dyDescent="0.2">
      <c r="A41" s="95"/>
      <c r="B41" s="139" t="s">
        <v>459</v>
      </c>
      <c r="C41" s="1120">
        <f t="shared" ref="C41:C49" si="2">ROUND(I97,6)</f>
        <v>0</v>
      </c>
      <c r="D41" s="162"/>
      <c r="E41" s="141">
        <f t="shared" ref="E41:E49" si="3">ROUND(F278,6)</f>
        <v>0</v>
      </c>
      <c r="F41" s="1120">
        <f>C41*'Fatores de Emissão'!E260</f>
        <v>0</v>
      </c>
      <c r="G41" s="145"/>
      <c r="H41" s="141">
        <f>E41*'Fatores de Emissão'!E260</f>
        <v>0</v>
      </c>
      <c r="I41" s="171"/>
      <c r="J41" s="96"/>
      <c r="K41" s="96"/>
      <c r="L41" s="96"/>
      <c r="M41" s="96"/>
      <c r="N41" s="96"/>
      <c r="O41" s="96"/>
      <c r="P41" s="96"/>
      <c r="Q41" s="96"/>
      <c r="R41" s="96"/>
      <c r="S41" s="96"/>
      <c r="T41" s="96"/>
      <c r="U41" s="96"/>
      <c r="V41" s="102"/>
      <c r="W41" s="95"/>
      <c r="X41" s="96"/>
      <c r="Y41" s="96"/>
      <c r="Z41" s="96"/>
      <c r="AA41" s="96"/>
      <c r="AB41" s="96"/>
      <c r="AC41" s="96"/>
      <c r="AD41" s="96"/>
      <c r="AE41" s="96"/>
      <c r="AF41" s="96"/>
      <c r="AG41" s="96"/>
      <c r="AH41" s="96"/>
      <c r="AI41" s="96"/>
      <c r="AJ41" s="96"/>
      <c r="AK41" s="96"/>
      <c r="AL41" s="96"/>
      <c r="AM41" s="96"/>
      <c r="AN41" s="96"/>
      <c r="AO41" s="96"/>
      <c r="AP41" s="96"/>
      <c r="AQ41" s="96"/>
      <c r="AR41" s="96"/>
      <c r="AS41" s="96"/>
    </row>
    <row r="42" spans="1:45" s="94" customFormat="1" ht="15.75" customHeight="1" outlineLevel="1" x14ac:dyDescent="0.2">
      <c r="A42" s="95"/>
      <c r="B42" s="139" t="s">
        <v>460</v>
      </c>
      <c r="C42" s="1120">
        <f t="shared" si="2"/>
        <v>0</v>
      </c>
      <c r="D42" s="162"/>
      <c r="E42" s="141">
        <f t="shared" si="3"/>
        <v>0</v>
      </c>
      <c r="F42" s="1120">
        <f>C42*'Fatores de Emissão'!E261</f>
        <v>0</v>
      </c>
      <c r="G42" s="145"/>
      <c r="H42" s="141">
        <f>E42*'Fatores de Emissão'!E261</f>
        <v>0</v>
      </c>
      <c r="I42" s="171"/>
      <c r="J42" s="96"/>
      <c r="K42" s="96"/>
      <c r="L42" s="96"/>
      <c r="M42" s="96"/>
      <c r="N42" s="96"/>
      <c r="O42" s="96"/>
      <c r="P42" s="96"/>
      <c r="Q42" s="96"/>
      <c r="R42" s="96"/>
      <c r="S42" s="96"/>
      <c r="T42" s="96"/>
      <c r="U42" s="96"/>
      <c r="V42" s="102"/>
      <c r="W42" s="95"/>
      <c r="X42" s="96"/>
      <c r="Y42" s="96"/>
      <c r="Z42" s="96"/>
      <c r="AA42" s="96"/>
      <c r="AB42" s="96"/>
      <c r="AC42" s="96"/>
      <c r="AD42" s="96"/>
      <c r="AE42" s="96"/>
      <c r="AF42" s="96"/>
      <c r="AG42" s="96"/>
      <c r="AH42" s="96"/>
      <c r="AI42" s="96"/>
      <c r="AJ42" s="96"/>
      <c r="AK42" s="96"/>
      <c r="AL42" s="96"/>
      <c r="AM42" s="96"/>
      <c r="AN42" s="96"/>
      <c r="AO42" s="96"/>
      <c r="AP42" s="96"/>
      <c r="AQ42" s="96"/>
      <c r="AR42" s="96"/>
      <c r="AS42" s="96"/>
    </row>
    <row r="43" spans="1:45" s="94" customFormat="1" ht="15.75" customHeight="1" outlineLevel="1" x14ac:dyDescent="0.2">
      <c r="A43" s="95"/>
      <c r="B43" s="139" t="s">
        <v>461</v>
      </c>
      <c r="C43" s="1120">
        <f t="shared" si="2"/>
        <v>0</v>
      </c>
      <c r="D43" s="162"/>
      <c r="E43" s="141">
        <f t="shared" si="3"/>
        <v>0</v>
      </c>
      <c r="F43" s="1120">
        <f>C43*'Fatores de Emissão'!E262</f>
        <v>0</v>
      </c>
      <c r="G43" s="145"/>
      <c r="H43" s="141">
        <f>E43*'Fatores de Emissão'!E262</f>
        <v>0</v>
      </c>
      <c r="I43" s="171"/>
      <c r="J43" s="96"/>
      <c r="K43" s="96"/>
      <c r="L43" s="96"/>
      <c r="M43" s="96"/>
      <c r="N43" s="96"/>
      <c r="O43" s="96"/>
      <c r="P43" s="96"/>
      <c r="Q43" s="96"/>
      <c r="R43" s="96"/>
      <c r="S43" s="96"/>
      <c r="T43" s="96"/>
      <c r="U43" s="96"/>
      <c r="V43" s="102"/>
      <c r="W43" s="95"/>
      <c r="X43" s="96"/>
      <c r="Y43" s="96"/>
      <c r="Z43" s="96"/>
      <c r="AA43" s="96"/>
      <c r="AB43" s="96"/>
      <c r="AC43" s="96"/>
      <c r="AD43" s="96"/>
      <c r="AE43" s="96"/>
      <c r="AF43" s="96"/>
      <c r="AG43" s="96"/>
      <c r="AH43" s="96"/>
      <c r="AI43" s="96"/>
      <c r="AJ43" s="96"/>
      <c r="AK43" s="96"/>
      <c r="AL43" s="96"/>
      <c r="AM43" s="96"/>
      <c r="AN43" s="96"/>
      <c r="AO43" s="96"/>
      <c r="AP43" s="96"/>
      <c r="AQ43" s="96"/>
      <c r="AR43" s="96"/>
      <c r="AS43" s="96"/>
    </row>
    <row r="44" spans="1:45" s="94" customFormat="1" ht="15.75" customHeight="1" outlineLevel="1" x14ac:dyDescent="0.2">
      <c r="A44" s="95"/>
      <c r="B44" s="139" t="s">
        <v>462</v>
      </c>
      <c r="C44" s="1120">
        <f t="shared" si="2"/>
        <v>0</v>
      </c>
      <c r="D44" s="162"/>
      <c r="E44" s="141">
        <f t="shared" si="3"/>
        <v>0</v>
      </c>
      <c r="F44" s="1120">
        <f>C44*'Fatores de Emissão'!E263</f>
        <v>0</v>
      </c>
      <c r="G44" s="145"/>
      <c r="H44" s="141">
        <f>E44*'Fatores de Emissão'!E263</f>
        <v>0</v>
      </c>
      <c r="I44" s="171"/>
      <c r="J44" s="96"/>
      <c r="K44" s="96"/>
      <c r="L44" s="96"/>
      <c r="M44" s="96"/>
      <c r="N44" s="96"/>
      <c r="O44" s="96"/>
      <c r="P44" s="96"/>
      <c r="Q44" s="96"/>
      <c r="R44" s="96"/>
      <c r="S44" s="96"/>
      <c r="T44" s="96"/>
      <c r="U44" s="96"/>
      <c r="V44" s="102"/>
      <c r="W44" s="95"/>
      <c r="X44" s="96"/>
      <c r="Y44" s="96"/>
      <c r="Z44" s="96"/>
      <c r="AA44" s="96"/>
      <c r="AB44" s="96"/>
      <c r="AC44" s="96"/>
      <c r="AD44" s="96"/>
      <c r="AE44" s="96"/>
      <c r="AF44" s="96"/>
      <c r="AG44" s="96"/>
      <c r="AH44" s="96"/>
      <c r="AI44" s="96"/>
      <c r="AJ44" s="96"/>
      <c r="AK44" s="96"/>
      <c r="AL44" s="96"/>
      <c r="AM44" s="96"/>
      <c r="AN44" s="96"/>
      <c r="AO44" s="96"/>
      <c r="AP44" s="96"/>
      <c r="AQ44" s="96"/>
      <c r="AR44" s="96"/>
      <c r="AS44" s="96"/>
    </row>
    <row r="45" spans="1:45" s="94" customFormat="1" ht="15.75" customHeight="1" outlineLevel="1" x14ac:dyDescent="0.2">
      <c r="A45" s="95"/>
      <c r="B45" s="139" t="s">
        <v>463</v>
      </c>
      <c r="C45" s="1120">
        <f t="shared" si="2"/>
        <v>0</v>
      </c>
      <c r="D45" s="162"/>
      <c r="E45" s="141">
        <f t="shared" si="3"/>
        <v>0</v>
      </c>
      <c r="F45" s="1120">
        <f>C45*'Fatores de Emissão'!E264</f>
        <v>0</v>
      </c>
      <c r="G45" s="145"/>
      <c r="H45" s="141">
        <f>E45*'Fatores de Emissão'!E264</f>
        <v>0</v>
      </c>
      <c r="I45" s="171"/>
      <c r="J45" s="96"/>
      <c r="K45" s="96"/>
      <c r="L45" s="96"/>
      <c r="M45" s="96"/>
      <c r="N45" s="96"/>
      <c r="O45" s="96"/>
      <c r="P45" s="96"/>
      <c r="Q45" s="96"/>
      <c r="R45" s="96"/>
      <c r="S45" s="96"/>
      <c r="T45" s="96"/>
      <c r="U45" s="96"/>
      <c r="V45" s="102"/>
      <c r="W45" s="95"/>
      <c r="X45" s="96"/>
      <c r="Y45" s="96"/>
      <c r="Z45" s="96"/>
      <c r="AA45" s="96"/>
      <c r="AB45" s="96"/>
      <c r="AC45" s="96"/>
      <c r="AD45" s="96"/>
      <c r="AE45" s="96"/>
      <c r="AF45" s="96"/>
      <c r="AG45" s="96"/>
      <c r="AH45" s="96"/>
      <c r="AI45" s="96"/>
      <c r="AJ45" s="96"/>
      <c r="AK45" s="96"/>
      <c r="AL45" s="96"/>
      <c r="AM45" s="96"/>
      <c r="AN45" s="96"/>
      <c r="AO45" s="96"/>
      <c r="AP45" s="96"/>
      <c r="AQ45" s="96"/>
      <c r="AR45" s="96"/>
      <c r="AS45" s="96"/>
    </row>
    <row r="46" spans="1:45" s="94" customFormat="1" ht="15.75" customHeight="1" outlineLevel="1" x14ac:dyDescent="0.2">
      <c r="A46" s="95"/>
      <c r="B46" s="139" t="s">
        <v>464</v>
      </c>
      <c r="C46" s="1120">
        <f t="shared" si="2"/>
        <v>0</v>
      </c>
      <c r="D46" s="162"/>
      <c r="E46" s="141">
        <f t="shared" si="3"/>
        <v>0</v>
      </c>
      <c r="F46" s="1120">
        <f>C46*'Fatores de Emissão'!E265</f>
        <v>0</v>
      </c>
      <c r="G46" s="145"/>
      <c r="H46" s="141">
        <f>E46*'Fatores de Emissão'!E265</f>
        <v>0</v>
      </c>
      <c r="I46" s="171"/>
      <c r="J46" s="96"/>
      <c r="K46" s="96"/>
      <c r="L46" s="96"/>
      <c r="M46" s="96"/>
      <c r="N46" s="96"/>
      <c r="O46" s="96"/>
      <c r="P46" s="96"/>
      <c r="Q46" s="96"/>
      <c r="R46" s="96"/>
      <c r="S46" s="96"/>
      <c r="T46" s="96"/>
      <c r="U46" s="96"/>
      <c r="V46" s="102"/>
      <c r="W46" s="95"/>
      <c r="X46" s="96"/>
      <c r="Y46" s="96"/>
      <c r="Z46" s="96"/>
      <c r="AA46" s="96"/>
      <c r="AB46" s="96"/>
      <c r="AC46" s="96"/>
      <c r="AD46" s="96"/>
      <c r="AE46" s="96"/>
      <c r="AF46" s="96"/>
      <c r="AG46" s="96"/>
      <c r="AH46" s="96"/>
      <c r="AI46" s="96"/>
      <c r="AJ46" s="96"/>
      <c r="AK46" s="96"/>
      <c r="AL46" s="96"/>
      <c r="AM46" s="96"/>
      <c r="AN46" s="96"/>
      <c r="AO46" s="96"/>
      <c r="AP46" s="96"/>
      <c r="AQ46" s="96"/>
      <c r="AR46" s="96"/>
      <c r="AS46" s="96"/>
    </row>
    <row r="47" spans="1:45" s="94" customFormat="1" ht="15.75" customHeight="1" outlineLevel="1" x14ac:dyDescent="0.2">
      <c r="A47" s="95"/>
      <c r="B47" s="139" t="s">
        <v>465</v>
      </c>
      <c r="C47" s="1120">
        <f t="shared" si="2"/>
        <v>0</v>
      </c>
      <c r="D47" s="162"/>
      <c r="E47" s="141">
        <f t="shared" si="3"/>
        <v>0</v>
      </c>
      <c r="F47" s="1120">
        <f>C47*'Fatores de Emissão'!E266</f>
        <v>0</v>
      </c>
      <c r="G47" s="145"/>
      <c r="H47" s="141">
        <f>E47*'Fatores de Emissão'!E266</f>
        <v>0</v>
      </c>
      <c r="I47" s="171"/>
      <c r="J47" s="96"/>
      <c r="K47" s="96"/>
      <c r="L47" s="96"/>
      <c r="M47" s="96"/>
      <c r="N47" s="96"/>
      <c r="O47" s="96"/>
      <c r="P47" s="96"/>
      <c r="Q47" s="96"/>
      <c r="R47" s="96"/>
      <c r="S47" s="96"/>
      <c r="T47" s="96"/>
      <c r="U47" s="96"/>
      <c r="V47" s="102"/>
      <c r="W47" s="95"/>
      <c r="X47" s="96"/>
      <c r="Y47" s="96"/>
      <c r="Z47" s="96"/>
      <c r="AA47" s="96"/>
      <c r="AB47" s="96"/>
      <c r="AC47" s="96"/>
      <c r="AD47" s="96"/>
      <c r="AE47" s="96"/>
      <c r="AF47" s="96"/>
      <c r="AG47" s="96"/>
      <c r="AH47" s="96"/>
      <c r="AI47" s="96"/>
      <c r="AJ47" s="96"/>
      <c r="AK47" s="96"/>
      <c r="AL47" s="96"/>
      <c r="AM47" s="96"/>
      <c r="AN47" s="96"/>
      <c r="AO47" s="96"/>
      <c r="AP47" s="96"/>
      <c r="AQ47" s="96"/>
      <c r="AR47" s="96"/>
      <c r="AS47" s="96"/>
    </row>
    <row r="48" spans="1:45" s="94" customFormat="1" ht="15.75" customHeight="1" outlineLevel="1" x14ac:dyDescent="0.2">
      <c r="A48" s="95"/>
      <c r="B48" s="139" t="s">
        <v>466</v>
      </c>
      <c r="C48" s="1120">
        <f t="shared" si="2"/>
        <v>0</v>
      </c>
      <c r="D48" s="162"/>
      <c r="E48" s="141">
        <f t="shared" si="3"/>
        <v>0</v>
      </c>
      <c r="F48" s="1120">
        <f>C48*'Fatores de Emissão'!E267</f>
        <v>0</v>
      </c>
      <c r="G48" s="145"/>
      <c r="H48" s="141">
        <f>E48*'Fatores de Emissão'!E267</f>
        <v>0</v>
      </c>
      <c r="I48" s="171"/>
      <c r="J48" s="96"/>
      <c r="K48" s="96"/>
      <c r="L48" s="96"/>
      <c r="M48" s="96"/>
      <c r="N48" s="96"/>
      <c r="O48" s="96"/>
      <c r="P48" s="96"/>
      <c r="Q48" s="96"/>
      <c r="R48" s="96"/>
      <c r="S48" s="96"/>
      <c r="T48" s="96"/>
      <c r="U48" s="96"/>
      <c r="V48" s="102"/>
      <c r="W48" s="95"/>
      <c r="X48" s="96"/>
      <c r="Y48" s="96"/>
      <c r="Z48" s="96"/>
      <c r="AA48" s="96"/>
      <c r="AB48" s="96"/>
      <c r="AC48" s="96"/>
      <c r="AD48" s="96"/>
      <c r="AE48" s="96"/>
      <c r="AF48" s="96"/>
      <c r="AG48" s="96"/>
      <c r="AH48" s="96"/>
      <c r="AI48" s="96"/>
      <c r="AJ48" s="96"/>
      <c r="AK48" s="96"/>
      <c r="AL48" s="96"/>
      <c r="AM48" s="96"/>
      <c r="AN48" s="96"/>
      <c r="AO48" s="96"/>
      <c r="AP48" s="96"/>
      <c r="AQ48" s="96"/>
      <c r="AR48" s="96"/>
      <c r="AS48" s="96"/>
    </row>
    <row r="49" spans="1:45" s="94" customFormat="1" ht="15.75" customHeight="1" outlineLevel="1" x14ac:dyDescent="0.2">
      <c r="A49" s="95"/>
      <c r="B49" s="139" t="s">
        <v>467</v>
      </c>
      <c r="C49" s="1120">
        <f t="shared" si="2"/>
        <v>0</v>
      </c>
      <c r="D49" s="162"/>
      <c r="E49" s="141">
        <f t="shared" si="3"/>
        <v>0</v>
      </c>
      <c r="F49" s="1120">
        <f>C49*'Fatores de Emissão'!E268</f>
        <v>0</v>
      </c>
      <c r="G49" s="145"/>
      <c r="H49" s="141">
        <f>E49*'Fatores de Emissão'!E268</f>
        <v>0</v>
      </c>
      <c r="I49" s="171"/>
      <c r="J49" s="96"/>
      <c r="K49" s="96"/>
      <c r="L49" s="96"/>
      <c r="M49" s="96"/>
      <c r="N49" s="96"/>
      <c r="O49" s="96"/>
      <c r="P49" s="96"/>
      <c r="Q49" s="96"/>
      <c r="R49" s="96"/>
      <c r="S49" s="96"/>
      <c r="T49" s="96"/>
      <c r="U49" s="96"/>
      <c r="V49" s="102"/>
      <c r="W49" s="95"/>
      <c r="X49" s="96"/>
      <c r="Y49" s="96"/>
      <c r="Z49" s="96"/>
      <c r="AA49" s="96"/>
      <c r="AB49" s="96"/>
      <c r="AC49" s="96"/>
      <c r="AD49" s="96"/>
      <c r="AE49" s="96"/>
      <c r="AF49" s="96"/>
      <c r="AG49" s="96"/>
      <c r="AH49" s="96"/>
      <c r="AI49" s="96"/>
      <c r="AJ49" s="96"/>
      <c r="AK49" s="96"/>
      <c r="AL49" s="96"/>
      <c r="AM49" s="96"/>
      <c r="AN49" s="96"/>
      <c r="AO49" s="96"/>
      <c r="AP49" s="96"/>
      <c r="AQ49" s="96"/>
      <c r="AR49" s="96"/>
      <c r="AS49" s="96"/>
    </row>
    <row r="50" spans="1:45" s="94" customFormat="1" ht="15.75" customHeight="1" x14ac:dyDescent="0.2">
      <c r="A50" s="95"/>
      <c r="B50" s="139" t="s">
        <v>1372</v>
      </c>
      <c r="C50" s="1120">
        <f>ROUND(I106,6)</f>
        <v>0</v>
      </c>
      <c r="D50" s="145"/>
      <c r="E50" s="141">
        <f>ROUND(F287,6)</f>
        <v>0</v>
      </c>
      <c r="F50" s="1120">
        <f>$C$50*gwp_SF6</f>
        <v>0</v>
      </c>
      <c r="G50" s="145"/>
      <c r="H50" s="141">
        <f>$E$50*gwp_SF6</f>
        <v>0</v>
      </c>
      <c r="I50" s="171"/>
      <c r="J50" s="96"/>
      <c r="K50" s="96"/>
      <c r="L50" s="96"/>
      <c r="M50" s="96"/>
      <c r="N50" s="96"/>
      <c r="O50" s="96"/>
      <c r="P50" s="96"/>
      <c r="Q50" s="96"/>
      <c r="R50" s="96"/>
      <c r="S50" s="96"/>
      <c r="T50" s="96"/>
      <c r="U50" s="103"/>
      <c r="V50" s="102"/>
      <c r="W50" s="95"/>
      <c r="X50" s="96"/>
      <c r="Y50" s="96"/>
      <c r="Z50" s="96"/>
      <c r="AA50" s="96"/>
      <c r="AB50" s="96"/>
      <c r="AC50" s="96"/>
      <c r="AD50" s="96"/>
      <c r="AE50" s="96"/>
      <c r="AF50" s="96"/>
      <c r="AG50" s="96"/>
      <c r="AH50" s="96"/>
      <c r="AI50" s="96"/>
      <c r="AJ50" s="96"/>
      <c r="AK50" s="96"/>
      <c r="AL50" s="96"/>
      <c r="AM50" s="96"/>
      <c r="AN50" s="96"/>
      <c r="AO50" s="96"/>
      <c r="AP50" s="96"/>
      <c r="AQ50" s="96"/>
      <c r="AR50" s="96"/>
      <c r="AS50" s="96"/>
    </row>
    <row r="51" spans="1:45" s="94" customFormat="1" ht="15.75" customHeight="1" x14ac:dyDescent="0.2">
      <c r="A51" s="95"/>
      <c r="B51" s="139" t="s">
        <v>1373</v>
      </c>
      <c r="C51" s="1120">
        <f>ROUND(I107,6)</f>
        <v>0</v>
      </c>
      <c r="D51" s="145"/>
      <c r="E51" s="141">
        <f>ROUND(F288,6)</f>
        <v>0</v>
      </c>
      <c r="F51" s="1120">
        <f>$C$51*gwp_NF3</f>
        <v>0</v>
      </c>
      <c r="G51" s="145"/>
      <c r="H51" s="141">
        <f>$E$51*gwp_NF3</f>
        <v>0</v>
      </c>
      <c r="I51" s="171"/>
      <c r="J51" s="96"/>
      <c r="K51" s="96"/>
      <c r="L51" s="96"/>
      <c r="M51" s="96"/>
      <c r="N51" s="96"/>
      <c r="O51" s="96"/>
      <c r="P51" s="96"/>
      <c r="Q51" s="96"/>
      <c r="R51" s="96"/>
      <c r="S51" s="96"/>
      <c r="T51" s="96"/>
      <c r="U51" s="103"/>
      <c r="V51" s="102"/>
      <c r="W51" s="95"/>
      <c r="X51" s="96"/>
      <c r="Y51" s="96"/>
      <c r="Z51" s="96"/>
      <c r="AA51" s="96"/>
      <c r="AB51" s="96"/>
      <c r="AC51" s="96"/>
      <c r="AD51" s="96"/>
      <c r="AE51" s="96"/>
      <c r="AF51" s="96"/>
      <c r="AG51" s="96"/>
      <c r="AH51" s="96"/>
      <c r="AI51" s="96"/>
      <c r="AJ51" s="96"/>
      <c r="AK51" s="96"/>
      <c r="AL51" s="96"/>
      <c r="AM51" s="96"/>
      <c r="AN51" s="96"/>
      <c r="AO51" s="96"/>
      <c r="AP51" s="96"/>
      <c r="AQ51" s="96"/>
      <c r="AR51" s="96"/>
      <c r="AS51" s="96"/>
    </row>
    <row r="52" spans="1:45" s="94" customFormat="1" ht="15.75" customHeight="1" x14ac:dyDescent="0.2">
      <c r="A52" s="95"/>
      <c r="B52" s="140" t="s">
        <v>78</v>
      </c>
      <c r="C52" s="1121"/>
      <c r="D52" s="173"/>
      <c r="E52" s="173"/>
      <c r="F52" s="1122">
        <f>SUM(F16:F51)-F19-F39</f>
        <v>0</v>
      </c>
      <c r="G52" s="143">
        <f>SUM(G16:G51)-G19-G39</f>
        <v>0</v>
      </c>
      <c r="H52" s="143">
        <f>SUM(H16:H51)-H19-H39</f>
        <v>0.59952099999999997</v>
      </c>
      <c r="I52" s="171"/>
      <c r="J52" s="96"/>
      <c r="K52" s="96"/>
      <c r="L52" s="104"/>
      <c r="M52" s="104"/>
      <c r="N52" s="96"/>
      <c r="O52" s="104"/>
      <c r="P52" s="104"/>
      <c r="Q52" s="105"/>
      <c r="R52" s="105"/>
      <c r="S52" s="96"/>
      <c r="T52" s="96"/>
      <c r="U52" s="103"/>
      <c r="V52" s="102"/>
      <c r="W52" s="95"/>
      <c r="X52" s="96"/>
      <c r="Y52" s="96"/>
      <c r="Z52" s="96"/>
      <c r="AA52" s="96"/>
      <c r="AB52" s="96"/>
      <c r="AC52" s="96"/>
      <c r="AD52" s="96"/>
      <c r="AE52" s="96"/>
      <c r="AF52" s="96"/>
      <c r="AG52" s="96"/>
      <c r="AH52" s="96"/>
      <c r="AI52" s="96"/>
      <c r="AJ52" s="96"/>
      <c r="AK52" s="96"/>
      <c r="AL52" s="96"/>
      <c r="AM52" s="96"/>
      <c r="AN52" s="96"/>
      <c r="AO52" s="96"/>
      <c r="AP52" s="96"/>
      <c r="AQ52" s="96"/>
      <c r="AR52" s="96"/>
      <c r="AS52" s="96"/>
    </row>
    <row r="53" spans="1:45" s="94" customFormat="1" ht="15.75" customHeight="1" x14ac:dyDescent="0.2">
      <c r="A53" s="95"/>
      <c r="B53" s="171"/>
      <c r="C53" s="171"/>
      <c r="D53" s="171"/>
      <c r="E53" s="171"/>
      <c r="F53" s="171"/>
      <c r="G53" s="171"/>
      <c r="H53" s="171"/>
      <c r="I53" s="171"/>
      <c r="J53" s="96"/>
      <c r="K53" s="96"/>
      <c r="L53" s="104"/>
      <c r="M53" s="104"/>
      <c r="N53" s="96"/>
      <c r="O53" s="104"/>
      <c r="P53" s="104"/>
      <c r="Q53" s="105"/>
      <c r="R53" s="105"/>
      <c r="S53" s="96"/>
      <c r="T53" s="96"/>
      <c r="U53" s="103"/>
      <c r="V53" s="102"/>
      <c r="W53" s="95"/>
      <c r="X53" s="96"/>
      <c r="Y53" s="96"/>
      <c r="Z53" s="96"/>
      <c r="AA53" s="96"/>
      <c r="AB53" s="96"/>
      <c r="AC53" s="96"/>
      <c r="AD53" s="96"/>
      <c r="AE53" s="96"/>
      <c r="AF53" s="96"/>
      <c r="AG53" s="96"/>
      <c r="AH53" s="96"/>
      <c r="AI53" s="96"/>
      <c r="AJ53" s="96"/>
      <c r="AK53" s="96"/>
      <c r="AL53" s="96"/>
      <c r="AM53" s="96"/>
      <c r="AN53" s="96"/>
      <c r="AO53" s="96"/>
      <c r="AP53" s="96"/>
      <c r="AQ53" s="96"/>
      <c r="AR53" s="96"/>
      <c r="AS53" s="96"/>
    </row>
    <row r="54" spans="1:45" ht="15.75" customHeight="1" x14ac:dyDescent="0.2">
      <c r="A54" s="96"/>
      <c r="B54" s="174"/>
      <c r="C54" s="175"/>
      <c r="D54" s="175"/>
      <c r="E54" s="175"/>
      <c r="F54" s="176"/>
      <c r="G54" s="176"/>
      <c r="H54" s="176"/>
      <c r="I54" s="176"/>
      <c r="J54" s="106"/>
      <c r="K54" s="106"/>
      <c r="L54" s="106"/>
      <c r="M54" s="107"/>
      <c r="N54" s="67"/>
      <c r="O54" s="95"/>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row>
    <row r="55" spans="1:45" s="94" customFormat="1" ht="15.75" customHeight="1" x14ac:dyDescent="0.2">
      <c r="A55" s="98"/>
      <c r="B55" s="177"/>
      <c r="C55" s="178"/>
      <c r="D55" s="178"/>
      <c r="E55" s="178"/>
      <c r="F55" s="179"/>
      <c r="G55" s="179"/>
      <c r="H55" s="179"/>
      <c r="I55" s="179"/>
      <c r="J55" s="106"/>
      <c r="K55" s="106"/>
      <c r="L55" s="106"/>
      <c r="M55" s="107"/>
      <c r="N55" s="67"/>
      <c r="O55" s="95"/>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row>
    <row r="56" spans="1:45" s="25" customFormat="1" ht="15.75" customHeight="1" x14ac:dyDescent="0.2">
      <c r="A56" s="39"/>
      <c r="B56" s="199" t="s">
        <v>1853</v>
      </c>
      <c r="C56" s="169"/>
      <c r="D56" s="169"/>
      <c r="E56" s="169"/>
      <c r="F56" s="171"/>
      <c r="G56" s="180"/>
      <c r="H56" s="180"/>
      <c r="I56" s="180"/>
      <c r="J56" s="101"/>
      <c r="K56" s="101"/>
      <c r="L56" s="101"/>
      <c r="M56" s="101"/>
      <c r="N56" s="39"/>
      <c r="O56" s="6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row>
    <row r="57" spans="1:45" s="25" customFormat="1" ht="45" customHeight="1" x14ac:dyDescent="0.2">
      <c r="A57" s="39"/>
      <c r="B57" s="171"/>
      <c r="C57" s="989" t="s">
        <v>1848</v>
      </c>
      <c r="D57" s="990" t="s">
        <v>2101</v>
      </c>
      <c r="E57" s="990" t="s">
        <v>2080</v>
      </c>
      <c r="F57" s="1001" t="s">
        <v>1854</v>
      </c>
      <c r="G57" s="180"/>
      <c r="H57" s="180"/>
      <c r="I57" s="180"/>
      <c r="J57" s="101"/>
      <c r="K57" s="101"/>
      <c r="L57" s="101"/>
      <c r="M57" s="39"/>
      <c r="N57" s="6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row>
    <row r="58" spans="1:45" s="25" customFormat="1" ht="18" customHeight="1" x14ac:dyDescent="0.2">
      <c r="A58" s="39"/>
      <c r="B58" s="148" t="s">
        <v>1374</v>
      </c>
      <c r="C58" s="1123">
        <f>$I$109</f>
        <v>0</v>
      </c>
      <c r="D58" s="1123">
        <v>0</v>
      </c>
      <c r="E58" s="1123">
        <f>$F$290</f>
        <v>0</v>
      </c>
      <c r="F58" s="1123">
        <f>SUM($C$58:$E$58)</f>
        <v>0</v>
      </c>
      <c r="G58" s="180"/>
      <c r="H58" s="180"/>
      <c r="I58" s="180"/>
      <c r="J58" s="101"/>
      <c r="K58" s="101"/>
      <c r="L58" s="101"/>
      <c r="M58" s="39"/>
      <c r="N58" s="6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row>
    <row r="59" spans="1:45" s="25" customFormat="1" ht="18" customHeight="1" x14ac:dyDescent="0.2">
      <c r="A59" s="39"/>
      <c r="B59" s="146" t="s">
        <v>1375</v>
      </c>
      <c r="C59" s="1124"/>
      <c r="D59" s="145"/>
      <c r="E59" s="145"/>
      <c r="F59" s="1124"/>
      <c r="G59" s="180"/>
      <c r="H59" s="180"/>
      <c r="I59" s="180"/>
      <c r="J59" s="101"/>
      <c r="K59" s="101"/>
      <c r="L59" s="101"/>
      <c r="M59" s="39"/>
      <c r="N59" s="6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row>
    <row r="60" spans="1:45" s="25" customFormat="1" ht="18" customHeight="1" x14ac:dyDescent="0.2">
      <c r="A60" s="39"/>
      <c r="B60" s="146" t="s">
        <v>1376</v>
      </c>
      <c r="C60" s="1124"/>
      <c r="D60" s="145"/>
      <c r="E60" s="145"/>
      <c r="F60" s="1124"/>
      <c r="G60" s="180"/>
      <c r="H60" s="180"/>
      <c r="I60" s="180"/>
      <c r="J60" s="101"/>
      <c r="K60" s="101"/>
      <c r="L60" s="101"/>
      <c r="M60" s="39"/>
      <c r="N60" s="6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row>
    <row r="61" spans="1:45" s="25" customFormat="1" ht="18" customHeight="1" x14ac:dyDescent="0.2">
      <c r="A61" s="39"/>
      <c r="B61" s="146" t="s">
        <v>282</v>
      </c>
      <c r="C61" s="1124"/>
      <c r="D61" s="145"/>
      <c r="E61" s="145"/>
      <c r="F61" s="1124"/>
      <c r="G61" s="180"/>
      <c r="H61" s="180"/>
      <c r="I61" s="180"/>
      <c r="J61" s="101"/>
      <c r="K61" s="101"/>
      <c r="L61" s="101"/>
      <c r="M61" s="101"/>
      <c r="N61" s="6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row>
    <row r="62" spans="1:45" s="25" customFormat="1" ht="18" customHeight="1" x14ac:dyDescent="0.2">
      <c r="A62" s="39"/>
      <c r="B62" s="146" t="s">
        <v>283</v>
      </c>
      <c r="C62" s="1124"/>
      <c r="D62" s="145"/>
      <c r="E62" s="145"/>
      <c r="F62" s="1124"/>
      <c r="G62" s="171"/>
      <c r="H62" s="171"/>
      <c r="I62" s="171"/>
      <c r="J62" s="101"/>
      <c r="K62" s="101"/>
      <c r="L62" s="101"/>
      <c r="M62" s="101"/>
      <c r="N62" s="6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row>
    <row r="63" spans="1:45" s="25" customFormat="1" ht="18" customHeight="1" x14ac:dyDescent="0.2">
      <c r="A63" s="67"/>
      <c r="B63" s="146" t="s">
        <v>1377</v>
      </c>
      <c r="C63" s="1124"/>
      <c r="D63" s="145"/>
      <c r="E63" s="145"/>
      <c r="F63" s="1124"/>
      <c r="G63" s="171"/>
      <c r="H63" s="171"/>
      <c r="I63" s="171"/>
      <c r="J63" s="101"/>
      <c r="K63" s="101"/>
      <c r="L63" s="101"/>
      <c r="M63" s="101"/>
      <c r="N63" s="6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row>
    <row r="64" spans="1:45" s="25" customFormat="1" ht="18" customHeight="1" x14ac:dyDescent="0.2">
      <c r="A64" s="67"/>
      <c r="B64" s="148" t="s">
        <v>1378</v>
      </c>
      <c r="C64" s="1124"/>
      <c r="D64" s="145"/>
      <c r="E64" s="145"/>
      <c r="F64" s="1124"/>
      <c r="G64" s="171"/>
      <c r="H64" s="171"/>
      <c r="I64" s="171"/>
      <c r="J64" s="101"/>
      <c r="K64" s="101"/>
      <c r="L64" s="101"/>
      <c r="M64" s="101"/>
      <c r="N64" s="6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row>
    <row r="65" spans="1:45" s="25" customFormat="1" ht="18" customHeight="1" x14ac:dyDescent="0.2">
      <c r="A65" s="67"/>
      <c r="B65" s="156" t="s">
        <v>1495</v>
      </c>
      <c r="C65" s="1125">
        <f>$C$58</f>
        <v>0</v>
      </c>
      <c r="D65" s="157">
        <v>0</v>
      </c>
      <c r="E65" s="157">
        <f>$E$58</f>
        <v>0</v>
      </c>
      <c r="F65" s="1125">
        <f>SUM($C$65:$E$65)</f>
        <v>0</v>
      </c>
      <c r="G65" s="171"/>
      <c r="H65" s="171"/>
      <c r="I65" s="171"/>
      <c r="J65" s="101"/>
      <c r="K65" s="101"/>
      <c r="L65" s="101"/>
      <c r="M65" s="101"/>
      <c r="N65" s="6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row>
    <row r="66" spans="1:45" ht="15.75" customHeight="1" x14ac:dyDescent="0.2">
      <c r="A66" s="96"/>
      <c r="B66" s="171"/>
      <c r="C66" s="171"/>
      <c r="D66" s="171"/>
      <c r="E66" s="171"/>
      <c r="F66" s="171"/>
      <c r="G66" s="171"/>
      <c r="H66" s="171"/>
      <c r="I66" s="171"/>
      <c r="J66" s="124"/>
      <c r="K66" s="124"/>
      <c r="L66" s="124"/>
      <c r="M66" s="124"/>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row>
    <row r="67" spans="1:45" s="25" customFormat="1" ht="15.75" customHeight="1" x14ac:dyDescent="0.2">
      <c r="A67" s="67"/>
      <c r="B67" s="180"/>
      <c r="C67" s="180"/>
      <c r="D67" s="180"/>
      <c r="E67" s="180"/>
      <c r="F67" s="180"/>
      <c r="G67" s="180"/>
      <c r="H67" s="171"/>
      <c r="I67" s="171"/>
      <c r="J67" s="124"/>
      <c r="K67" s="125"/>
      <c r="L67" s="125"/>
      <c r="M67" s="125"/>
      <c r="N67" s="101"/>
      <c r="O67" s="6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row>
    <row r="68" spans="1:45" s="94" customFormat="1" ht="15.75" customHeight="1" x14ac:dyDescent="0.3">
      <c r="A68" s="108"/>
      <c r="B68" s="202" t="s">
        <v>1849</v>
      </c>
      <c r="C68" s="181"/>
      <c r="D68" s="181"/>
      <c r="E68" s="181"/>
      <c r="F68" s="181"/>
      <c r="G68" s="181"/>
      <c r="H68" s="181"/>
      <c r="I68" s="181"/>
      <c r="J68" s="124"/>
      <c r="K68" s="124"/>
      <c r="L68" s="104"/>
      <c r="M68" s="104"/>
      <c r="N68" s="96"/>
      <c r="O68" s="96"/>
      <c r="P68" s="105"/>
      <c r="Q68" s="105"/>
      <c r="R68" s="105"/>
      <c r="S68" s="96"/>
      <c r="T68" s="96"/>
      <c r="U68" s="103"/>
      <c r="V68" s="102"/>
      <c r="W68" s="95"/>
      <c r="X68" s="96"/>
      <c r="Y68" s="96"/>
      <c r="Z68" s="96"/>
      <c r="AA68" s="96"/>
      <c r="AB68" s="96"/>
      <c r="AC68" s="96"/>
      <c r="AD68" s="96"/>
      <c r="AE68" s="96"/>
      <c r="AF68" s="96"/>
      <c r="AG68" s="96"/>
      <c r="AH68" s="96"/>
      <c r="AI68" s="96"/>
      <c r="AJ68" s="96"/>
      <c r="AK68" s="96"/>
      <c r="AL68" s="96"/>
      <c r="AM68" s="96"/>
      <c r="AN68" s="96"/>
      <c r="AO68" s="96"/>
      <c r="AP68" s="96"/>
      <c r="AQ68" s="96"/>
      <c r="AR68" s="96"/>
      <c r="AS68" s="96"/>
    </row>
    <row r="69" spans="1:45" ht="15.75" customHeight="1" x14ac:dyDescent="0.2">
      <c r="A69" s="95"/>
      <c r="B69" s="171"/>
      <c r="C69" s="171"/>
      <c r="D69" s="171"/>
      <c r="E69" s="171"/>
      <c r="F69" s="171"/>
      <c r="G69" s="171"/>
      <c r="H69" s="171"/>
      <c r="I69" s="171"/>
      <c r="J69" s="124"/>
      <c r="K69" s="124"/>
      <c r="L69" s="98"/>
      <c r="M69" s="98"/>
      <c r="N69" s="96"/>
      <c r="O69" s="96"/>
      <c r="P69" s="96"/>
      <c r="Q69" s="96"/>
      <c r="R69" s="96"/>
      <c r="S69" s="96"/>
      <c r="T69" s="96"/>
      <c r="U69" s="96"/>
      <c r="V69" s="102"/>
      <c r="W69" s="95"/>
      <c r="X69" s="96"/>
      <c r="Y69" s="96"/>
      <c r="Z69" s="96"/>
      <c r="AA69" s="96"/>
      <c r="AB69" s="96"/>
      <c r="AC69" s="96"/>
      <c r="AD69" s="96"/>
      <c r="AE69" s="96"/>
      <c r="AF69" s="96"/>
      <c r="AG69" s="96"/>
      <c r="AH69" s="96"/>
      <c r="AI69" s="96"/>
      <c r="AJ69" s="96"/>
      <c r="AK69" s="96"/>
      <c r="AL69" s="96"/>
      <c r="AM69" s="96"/>
      <c r="AN69" s="96"/>
      <c r="AO69" s="96"/>
      <c r="AP69" s="96"/>
      <c r="AQ69" s="96"/>
      <c r="AR69" s="96"/>
      <c r="AS69" s="96"/>
    </row>
    <row r="70" spans="1:45" s="94" customFormat="1" ht="15.75" customHeight="1" x14ac:dyDescent="0.2">
      <c r="A70" s="95"/>
      <c r="B70" s="201" t="s">
        <v>1850</v>
      </c>
      <c r="C70" s="171"/>
      <c r="D70" s="171"/>
      <c r="E70" s="171"/>
      <c r="F70" s="171"/>
      <c r="G70" s="171"/>
      <c r="H70" s="171"/>
      <c r="I70" s="171"/>
      <c r="J70" s="96"/>
      <c r="K70" s="96"/>
      <c r="L70" s="98"/>
      <c r="M70" s="98"/>
      <c r="N70" s="96"/>
      <c r="O70" s="96"/>
      <c r="P70" s="96"/>
      <c r="Q70" s="96"/>
      <c r="R70" s="96"/>
      <c r="S70" s="96"/>
      <c r="T70" s="96"/>
      <c r="U70" s="96"/>
      <c r="V70" s="102"/>
      <c r="W70" s="95"/>
      <c r="X70" s="96"/>
      <c r="Y70" s="96"/>
      <c r="Z70" s="96"/>
      <c r="AA70" s="96"/>
      <c r="AB70" s="96"/>
      <c r="AC70" s="96"/>
      <c r="AD70" s="96"/>
      <c r="AE70" s="96"/>
      <c r="AF70" s="96"/>
      <c r="AG70" s="96"/>
      <c r="AH70" s="96"/>
      <c r="AI70" s="96"/>
      <c r="AJ70" s="96"/>
      <c r="AK70" s="96"/>
      <c r="AL70" s="96"/>
      <c r="AM70" s="96"/>
      <c r="AN70" s="96"/>
      <c r="AO70" s="96"/>
      <c r="AP70" s="96"/>
      <c r="AQ70" s="96"/>
      <c r="AR70" s="96"/>
      <c r="AS70" s="96"/>
    </row>
    <row r="71" spans="1:45" s="94" customFormat="1" ht="44.25" customHeight="1" x14ac:dyDescent="0.2">
      <c r="A71" s="95"/>
      <c r="B71" s="171"/>
      <c r="C71" s="158" t="s">
        <v>576</v>
      </c>
      <c r="D71" s="158" t="s">
        <v>577</v>
      </c>
      <c r="E71" s="159" t="s">
        <v>333</v>
      </c>
      <c r="F71" s="159" t="s">
        <v>334</v>
      </c>
      <c r="G71" s="159" t="s">
        <v>2014</v>
      </c>
      <c r="H71" s="160" t="s">
        <v>279</v>
      </c>
      <c r="I71" s="161" t="s">
        <v>1892</v>
      </c>
      <c r="J71" s="103"/>
      <c r="K71" s="98"/>
      <c r="L71" s="98"/>
      <c r="M71" s="98"/>
      <c r="N71" s="96"/>
      <c r="O71" s="96"/>
      <c r="P71" s="96"/>
      <c r="Q71" s="96"/>
      <c r="R71" s="96"/>
      <c r="S71" s="103"/>
      <c r="T71" s="103"/>
      <c r="U71" s="102"/>
      <c r="V71" s="95"/>
      <c r="W71" s="96"/>
      <c r="X71" s="96"/>
      <c r="Y71" s="96"/>
      <c r="Z71" s="96"/>
      <c r="AA71" s="96"/>
      <c r="AB71" s="96"/>
      <c r="AC71" s="96"/>
      <c r="AD71" s="96"/>
      <c r="AE71" s="96"/>
      <c r="AF71" s="96"/>
      <c r="AG71" s="96"/>
      <c r="AH71" s="96"/>
      <c r="AI71" s="96"/>
      <c r="AJ71" s="96"/>
      <c r="AK71" s="96"/>
      <c r="AL71" s="96"/>
      <c r="AM71" s="96"/>
      <c r="AN71" s="96"/>
      <c r="AO71" s="96"/>
      <c r="AP71" s="96"/>
      <c r="AQ71" s="96"/>
      <c r="AR71" s="96"/>
      <c r="AS71" s="96"/>
    </row>
    <row r="72" spans="1:45" ht="15.75" customHeight="1" x14ac:dyDescent="0.2">
      <c r="A72" s="95"/>
      <c r="B72" s="148" t="s">
        <v>1374</v>
      </c>
      <c r="C72" s="1112">
        <f>ROUND(total_CED_CO2/1000,6)</f>
        <v>0</v>
      </c>
      <c r="D72" s="1112">
        <f>ROUND(total_CM_ferro_CO2+total_CM_hidro_CO2+total_CM_aero_CO2+total_CM_rod_opcao2_CO2+total_CM_rod_opcao3_CO2,6)</f>
        <v>0</v>
      </c>
      <c r="E72" s="1112">
        <f>ROUND('Emissões fugitivas'!I201/1000,6)</f>
        <v>0</v>
      </c>
      <c r="F72" s="1112">
        <f>ROUND('Processos industriais'!N13/1000,6)</f>
        <v>0</v>
      </c>
      <c r="G72" s="1112">
        <f>ROUND(total_AA_CO2,6)</f>
        <v>0</v>
      </c>
      <c r="H72" s="1112">
        <f>ROUND(total_RS_incin_CO2,6)</f>
        <v>0</v>
      </c>
      <c r="I72" s="1112">
        <f>SUM(C72:H72)</f>
        <v>0</v>
      </c>
      <c r="J72" s="103"/>
      <c r="K72" s="98"/>
      <c r="L72" s="98"/>
      <c r="M72" s="98"/>
      <c r="N72" s="96"/>
      <c r="O72" s="96"/>
      <c r="P72" s="96"/>
      <c r="Q72" s="96"/>
      <c r="R72" s="96"/>
      <c r="S72" s="96"/>
      <c r="T72" s="96"/>
      <c r="U72" s="102"/>
      <c r="V72" s="95"/>
      <c r="W72" s="96"/>
      <c r="X72" s="96"/>
      <c r="Y72" s="96"/>
      <c r="Z72" s="96"/>
      <c r="AA72" s="96"/>
      <c r="AB72" s="96"/>
      <c r="AC72" s="96"/>
      <c r="AD72" s="96"/>
      <c r="AE72" s="96"/>
      <c r="AF72" s="96"/>
      <c r="AG72" s="96"/>
      <c r="AH72" s="96"/>
      <c r="AI72" s="96"/>
      <c r="AJ72" s="96"/>
      <c r="AK72" s="96"/>
      <c r="AL72" s="96"/>
      <c r="AM72" s="96"/>
      <c r="AN72" s="96"/>
      <c r="AO72" s="96"/>
      <c r="AP72" s="96"/>
      <c r="AQ72" s="96"/>
      <c r="AR72" s="96"/>
      <c r="AS72" s="96"/>
    </row>
    <row r="73" spans="1:45" ht="15.75" customHeight="1" x14ac:dyDescent="0.2">
      <c r="A73" s="95"/>
      <c r="B73" s="148" t="s">
        <v>1375</v>
      </c>
      <c r="C73" s="1112">
        <f>ROUND(SUM(total_CED_CH4,total_CED_CH4_biomassa)/1000,6)</f>
        <v>0</v>
      </c>
      <c r="D73" s="1112">
        <f>ROUND(total_CM_rod_opcao2_N2O+total_CM_rod_opcao3_CH4+total_CM_ferro_CH4+total_CM_hidro_CH4+total_CM_aero_CH4,6)</f>
        <v>0</v>
      </c>
      <c r="E73" s="1112">
        <f>ROUND('Emissões fugitivas'!I202/1000,6)</f>
        <v>0</v>
      </c>
      <c r="F73" s="1112">
        <f>ROUND('Processos industriais'!N14/1000,6)</f>
        <v>0</v>
      </c>
      <c r="G73" s="1112">
        <f>ROUND(total_AA_CH4,6)</f>
        <v>0</v>
      </c>
      <c r="H73" s="1112">
        <f>ROUND(IF(ISERROR(SUM(total_RS_aterro_CH4,total_RS_compost_CH4,total_RS_incin_CH4,total_EFL_CH4)),0,SUM(total_RS_aterro_CH4,total_RS_compost_CH4,total_RS_incin_CH4,total_EFL_CH4)),6)</f>
        <v>0</v>
      </c>
      <c r="I73" s="1112">
        <f t="shared" ref="I73:I107" si="4">SUM(C73:H73)</f>
        <v>0</v>
      </c>
      <c r="J73" s="109"/>
      <c r="K73" s="109"/>
      <c r="L73" s="110"/>
      <c r="M73" s="95"/>
      <c r="N73" s="95"/>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row>
    <row r="74" spans="1:45" s="94" customFormat="1" ht="15.75" customHeight="1" x14ac:dyDescent="0.2">
      <c r="A74" s="95"/>
      <c r="B74" s="148" t="s">
        <v>1376</v>
      </c>
      <c r="C74" s="1112">
        <f>ROUND(SUM(total_CED_N2O,total_CED_N2O_biomassa)/1000,6)</f>
        <v>0</v>
      </c>
      <c r="D74" s="1112">
        <f>ROUND(total_CM_aero_N2O+total_CM_hidro_N2O+total_CM_ferro_N2O+total_CM_rod_opcao3_N2O+total_CM_rod_opcao2_CO2e,6)</f>
        <v>0</v>
      </c>
      <c r="E74" s="1112">
        <f>ROUND('Emissões fugitivas'!I203/1000,6)</f>
        <v>0</v>
      </c>
      <c r="F74" s="1112">
        <f>ROUND('Processos industriais'!N15/1000,6)</f>
        <v>0</v>
      </c>
      <c r="G74" s="1112">
        <f>ROUND(total_AA_N2O,6)</f>
        <v>0</v>
      </c>
      <c r="H74" s="1112">
        <f>ROUND(SUM(total_RS_compost_N2O,total_RS_incin_N2O,total_EFL_N2O),6)</f>
        <v>0</v>
      </c>
      <c r="I74" s="1112">
        <f t="shared" si="4"/>
        <v>0</v>
      </c>
      <c r="J74" s="109"/>
      <c r="K74" s="109"/>
      <c r="L74" s="110"/>
      <c r="M74" s="95"/>
      <c r="N74" s="95"/>
      <c r="O74" s="96"/>
      <c r="P74" s="96"/>
      <c r="Q74" s="96"/>
      <c r="R74" s="96"/>
      <c r="S74" s="96"/>
      <c r="T74" s="96"/>
      <c r="U74" s="96"/>
      <c r="V74" s="96"/>
      <c r="W74" s="96"/>
      <c r="X74" s="96"/>
      <c r="Y74" s="96"/>
      <c r="Z74" s="96"/>
      <c r="AA74" s="96"/>
      <c r="AB74" s="96"/>
      <c r="AC74" s="96"/>
      <c r="AD74" s="96"/>
      <c r="AE74" s="96"/>
      <c r="AF74" s="96"/>
      <c r="AG74" s="96"/>
      <c r="AH74" s="96"/>
      <c r="AI74" s="96"/>
      <c r="AJ74" s="96"/>
      <c r="AK74" s="96"/>
      <c r="AL74" s="96"/>
      <c r="AM74" s="96"/>
      <c r="AN74" s="96"/>
      <c r="AO74" s="96"/>
      <c r="AP74" s="96"/>
      <c r="AQ74" s="96"/>
      <c r="AR74" s="96"/>
      <c r="AS74" s="96"/>
    </row>
    <row r="75" spans="1:45" s="94" customFormat="1" ht="15.75" customHeight="1" collapsed="1" x14ac:dyDescent="0.2">
      <c r="A75" s="95"/>
      <c r="B75" s="148" t="s">
        <v>282</v>
      </c>
      <c r="C75" s="145"/>
      <c r="D75" s="145"/>
      <c r="E75" s="1112">
        <f>SUM(E76:E94)</f>
        <v>0</v>
      </c>
      <c r="F75" s="1112">
        <f>SUM(F76:F94)</f>
        <v>0</v>
      </c>
      <c r="G75" s="145"/>
      <c r="H75" s="145"/>
      <c r="I75" s="144">
        <f t="shared" si="4"/>
        <v>0</v>
      </c>
      <c r="J75" s="109"/>
      <c r="K75" s="109"/>
      <c r="L75" s="110"/>
      <c r="M75" s="95"/>
      <c r="N75" s="95"/>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row>
    <row r="76" spans="1:45" s="94" customFormat="1" ht="15.75" hidden="1" customHeight="1" outlineLevel="1" x14ac:dyDescent="0.2">
      <c r="A76" s="95"/>
      <c r="B76" s="148" t="s">
        <v>85</v>
      </c>
      <c r="C76" s="145"/>
      <c r="D76" s="145"/>
      <c r="E76" s="1112">
        <f>ROUND('Emissões fugitivas'!I204/1000,6)</f>
        <v>0</v>
      </c>
      <c r="F76" s="1126">
        <f>ROUND('Processos industriais'!N16/1000,6)</f>
        <v>0</v>
      </c>
      <c r="G76" s="145"/>
      <c r="H76" s="145"/>
      <c r="I76" s="144">
        <f t="shared" si="4"/>
        <v>0</v>
      </c>
      <c r="J76" s="109"/>
      <c r="K76" s="109"/>
      <c r="L76" s="110"/>
      <c r="M76" s="95"/>
      <c r="N76" s="95"/>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row>
    <row r="77" spans="1:45" s="94" customFormat="1" ht="15.75" hidden="1" customHeight="1" outlineLevel="1" x14ac:dyDescent="0.2">
      <c r="A77" s="95"/>
      <c r="B77" s="148" t="s">
        <v>86</v>
      </c>
      <c r="C77" s="145"/>
      <c r="D77" s="145"/>
      <c r="E77" s="1112">
        <f>ROUND('Emissões fugitivas'!I205/1000,6)</f>
        <v>0</v>
      </c>
      <c r="F77" s="1126">
        <f>ROUND('Processos industriais'!N17/1000,6)</f>
        <v>0</v>
      </c>
      <c r="G77" s="145"/>
      <c r="H77" s="145"/>
      <c r="I77" s="144">
        <f t="shared" si="4"/>
        <v>0</v>
      </c>
      <c r="J77" s="109"/>
      <c r="K77" s="109"/>
      <c r="L77" s="110"/>
      <c r="M77" s="95"/>
      <c r="N77" s="95"/>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row>
    <row r="78" spans="1:45" s="94" customFormat="1" ht="15.75" hidden="1" customHeight="1" outlineLevel="1" x14ac:dyDescent="0.2">
      <c r="A78" s="95"/>
      <c r="B78" s="148" t="s">
        <v>285</v>
      </c>
      <c r="C78" s="145"/>
      <c r="D78" s="145"/>
      <c r="E78" s="1112">
        <f>ROUND('Emissões fugitivas'!I206/1000,6)</f>
        <v>0</v>
      </c>
      <c r="F78" s="1126">
        <f>ROUND('Processos industriais'!N18/1000,6)</f>
        <v>0</v>
      </c>
      <c r="G78" s="145"/>
      <c r="H78" s="145"/>
      <c r="I78" s="144">
        <f t="shared" si="4"/>
        <v>0</v>
      </c>
      <c r="J78" s="109"/>
      <c r="K78" s="109"/>
      <c r="L78" s="110"/>
      <c r="M78" s="95"/>
      <c r="N78" s="95"/>
      <c r="O78" s="96"/>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row>
    <row r="79" spans="1:45" s="94" customFormat="1" ht="15.75" hidden="1" customHeight="1" outlineLevel="1" x14ac:dyDescent="0.2">
      <c r="A79" s="95"/>
      <c r="B79" s="148" t="s">
        <v>87</v>
      </c>
      <c r="C79" s="145"/>
      <c r="D79" s="145"/>
      <c r="E79" s="1112">
        <f>ROUND('Emissões fugitivas'!I207/1000,6)</f>
        <v>0</v>
      </c>
      <c r="F79" s="1126">
        <f>ROUND('Processos industriais'!N19/1000,6)</f>
        <v>0</v>
      </c>
      <c r="G79" s="145"/>
      <c r="H79" s="145"/>
      <c r="I79" s="144">
        <f t="shared" si="4"/>
        <v>0</v>
      </c>
      <c r="J79" s="109"/>
      <c r="K79" s="109"/>
      <c r="L79" s="110"/>
      <c r="M79" s="95"/>
      <c r="N79" s="95"/>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row>
    <row r="80" spans="1:45" s="94" customFormat="1" ht="15.75" hidden="1" customHeight="1" outlineLevel="1" x14ac:dyDescent="0.2">
      <c r="A80" s="95"/>
      <c r="B80" s="148" t="s">
        <v>287</v>
      </c>
      <c r="C80" s="145"/>
      <c r="D80" s="145"/>
      <c r="E80" s="1112">
        <f>ROUND('Emissões fugitivas'!I208/1000,6)</f>
        <v>0</v>
      </c>
      <c r="F80" s="1126">
        <f>ROUND('Processos industriais'!N20/1000,6)</f>
        <v>0</v>
      </c>
      <c r="G80" s="145"/>
      <c r="H80" s="145"/>
      <c r="I80" s="144">
        <f t="shared" si="4"/>
        <v>0</v>
      </c>
      <c r="J80" s="109"/>
      <c r="K80" s="109"/>
      <c r="L80" s="110"/>
      <c r="M80" s="95"/>
      <c r="N80" s="95"/>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row>
    <row r="81" spans="1:45" s="94" customFormat="1" ht="15.75" hidden="1" customHeight="1" outlineLevel="1" x14ac:dyDescent="0.2">
      <c r="A81" s="95"/>
      <c r="B81" s="148" t="s">
        <v>88</v>
      </c>
      <c r="C81" s="145"/>
      <c r="D81" s="145"/>
      <c r="E81" s="1112">
        <f>ROUND('Emissões fugitivas'!I209/1000,6)</f>
        <v>0</v>
      </c>
      <c r="F81" s="1126">
        <f>ROUND('Processos industriais'!N21/1000,6)</f>
        <v>0</v>
      </c>
      <c r="G81" s="145"/>
      <c r="H81" s="145"/>
      <c r="I81" s="144">
        <f t="shared" si="4"/>
        <v>0</v>
      </c>
      <c r="J81" s="109"/>
      <c r="K81" s="109"/>
      <c r="L81" s="110"/>
      <c r="M81" s="95"/>
      <c r="N81" s="95"/>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row>
    <row r="82" spans="1:45" s="94" customFormat="1" ht="15.75" hidden="1" customHeight="1" outlineLevel="1" x14ac:dyDescent="0.2">
      <c r="A82" s="95"/>
      <c r="B82" s="148" t="s">
        <v>288</v>
      </c>
      <c r="C82" s="145"/>
      <c r="D82" s="145"/>
      <c r="E82" s="1112">
        <f>ROUND('Emissões fugitivas'!I210/1000,6)</f>
        <v>0</v>
      </c>
      <c r="F82" s="1126">
        <f>ROUND('Processos industriais'!N22/1000,6)</f>
        <v>0</v>
      </c>
      <c r="G82" s="145"/>
      <c r="H82" s="145"/>
      <c r="I82" s="144">
        <f t="shared" si="4"/>
        <v>0</v>
      </c>
      <c r="J82" s="109"/>
      <c r="K82" s="109"/>
      <c r="L82" s="110"/>
      <c r="M82" s="95"/>
      <c r="N82" s="95"/>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row>
    <row r="83" spans="1:45" s="94" customFormat="1" ht="15.75" hidden="1" customHeight="1" outlineLevel="1" x14ac:dyDescent="0.2">
      <c r="A83" s="95"/>
      <c r="B83" s="148" t="s">
        <v>107</v>
      </c>
      <c r="C83" s="145"/>
      <c r="D83" s="145"/>
      <c r="E83" s="1112">
        <f>ROUND('Emissões fugitivas'!I211/1000,6)</f>
        <v>0</v>
      </c>
      <c r="F83" s="1126">
        <f>ROUND('Processos industriais'!N23/1000,6)</f>
        <v>0</v>
      </c>
      <c r="G83" s="145"/>
      <c r="H83" s="145"/>
      <c r="I83" s="144">
        <f t="shared" si="4"/>
        <v>0</v>
      </c>
      <c r="J83" s="109"/>
      <c r="K83" s="109"/>
      <c r="L83" s="110"/>
      <c r="M83" s="95"/>
      <c r="N83" s="95"/>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row>
    <row r="84" spans="1:45" s="94" customFormat="1" ht="15.75" hidden="1" customHeight="1" outlineLevel="1" x14ac:dyDescent="0.2">
      <c r="A84" s="95"/>
      <c r="B84" s="148" t="s">
        <v>289</v>
      </c>
      <c r="C84" s="145"/>
      <c r="D84" s="145"/>
      <c r="E84" s="1112">
        <f>ROUND('Emissões fugitivas'!I212/1000,6)</f>
        <v>0</v>
      </c>
      <c r="F84" s="1126">
        <f>ROUND('Processos industriais'!N24/1000,6)</f>
        <v>0</v>
      </c>
      <c r="G84" s="145"/>
      <c r="H84" s="145"/>
      <c r="I84" s="144">
        <f t="shared" si="4"/>
        <v>0</v>
      </c>
      <c r="J84" s="109"/>
      <c r="K84" s="109"/>
      <c r="L84" s="110"/>
      <c r="M84" s="95"/>
      <c r="N84" s="95"/>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row>
    <row r="85" spans="1:45" s="94" customFormat="1" ht="15.75" hidden="1" customHeight="1" outlineLevel="1" x14ac:dyDescent="0.2">
      <c r="A85" s="95"/>
      <c r="B85" s="148" t="s">
        <v>108</v>
      </c>
      <c r="C85" s="145"/>
      <c r="D85" s="145"/>
      <c r="E85" s="1112">
        <f>ROUND('Emissões fugitivas'!I213/1000,6)</f>
        <v>0</v>
      </c>
      <c r="F85" s="1126">
        <f>ROUND('Processos industriais'!N26/1000,6)</f>
        <v>0</v>
      </c>
      <c r="G85" s="145"/>
      <c r="H85" s="145"/>
      <c r="I85" s="144">
        <f t="shared" si="4"/>
        <v>0</v>
      </c>
      <c r="J85" s="109"/>
      <c r="K85" s="109"/>
      <c r="L85" s="110"/>
      <c r="M85" s="95"/>
      <c r="N85" s="95"/>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c r="AS85" s="96"/>
    </row>
    <row r="86" spans="1:45" s="94" customFormat="1" ht="15.75" hidden="1" customHeight="1" outlineLevel="1" x14ac:dyDescent="0.2">
      <c r="A86" s="95"/>
      <c r="B86" s="148" t="s">
        <v>290</v>
      </c>
      <c r="C86" s="145"/>
      <c r="D86" s="145"/>
      <c r="E86" s="1112">
        <f>ROUND('Emissões fugitivas'!I214/1000,6)</f>
        <v>0</v>
      </c>
      <c r="F86" s="1126">
        <f>ROUND('Processos industriais'!N28/1000,6)</f>
        <v>0</v>
      </c>
      <c r="G86" s="145"/>
      <c r="H86" s="145"/>
      <c r="I86" s="144">
        <f t="shared" si="4"/>
        <v>0</v>
      </c>
      <c r="J86" s="109"/>
      <c r="K86" s="109"/>
      <c r="L86" s="110"/>
      <c r="M86" s="95"/>
      <c r="N86" s="95"/>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96"/>
      <c r="AP86" s="96"/>
      <c r="AQ86" s="96"/>
      <c r="AR86" s="96"/>
      <c r="AS86" s="96"/>
    </row>
    <row r="87" spans="1:45" s="94" customFormat="1" ht="15.75" hidden="1" customHeight="1" outlineLevel="1" x14ac:dyDescent="0.2">
      <c r="A87" s="95"/>
      <c r="B87" s="148" t="s">
        <v>291</v>
      </c>
      <c r="C87" s="145"/>
      <c r="D87" s="145"/>
      <c r="E87" s="1112">
        <f>ROUND('Emissões fugitivas'!I215/1000,6)</f>
        <v>0</v>
      </c>
      <c r="F87" s="1126">
        <f>ROUND('Processos industriais'!N29/1000,6)</f>
        <v>0</v>
      </c>
      <c r="G87" s="145"/>
      <c r="H87" s="145"/>
      <c r="I87" s="144">
        <f t="shared" si="4"/>
        <v>0</v>
      </c>
      <c r="J87" s="109"/>
      <c r="K87" s="109"/>
      <c r="L87" s="110"/>
      <c r="M87" s="95"/>
      <c r="N87" s="95"/>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row>
    <row r="88" spans="1:45" s="94" customFormat="1" ht="15.75" hidden="1" customHeight="1" outlineLevel="1" x14ac:dyDescent="0.2">
      <c r="A88" s="95"/>
      <c r="B88" s="148" t="s">
        <v>292</v>
      </c>
      <c r="C88" s="145"/>
      <c r="D88" s="145"/>
      <c r="E88" s="1112">
        <f>ROUND('Emissões fugitivas'!I216/1000,6)</f>
        <v>0</v>
      </c>
      <c r="F88" s="1126">
        <f>ROUND('Processos industriais'!N30/1000,6)</f>
        <v>0</v>
      </c>
      <c r="G88" s="145"/>
      <c r="H88" s="145"/>
      <c r="I88" s="144">
        <f t="shared" si="4"/>
        <v>0</v>
      </c>
      <c r="J88" s="109"/>
      <c r="K88" s="109"/>
      <c r="L88" s="110"/>
      <c r="M88" s="95"/>
      <c r="N88" s="95"/>
      <c r="O88" s="96"/>
      <c r="P88" s="96"/>
      <c r="Q88" s="96"/>
      <c r="R88" s="96"/>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row>
    <row r="89" spans="1:45" s="94" customFormat="1" ht="15.75" hidden="1" customHeight="1" outlineLevel="1" x14ac:dyDescent="0.2">
      <c r="A89" s="95"/>
      <c r="B89" s="148" t="s">
        <v>293</v>
      </c>
      <c r="C89" s="145"/>
      <c r="D89" s="145"/>
      <c r="E89" s="1112">
        <f>ROUND('Emissões fugitivas'!I217/1000,6)</f>
        <v>0</v>
      </c>
      <c r="F89" s="1126">
        <f>ROUND('Processos industriais'!N31/1000,6)</f>
        <v>0</v>
      </c>
      <c r="G89" s="145"/>
      <c r="H89" s="145"/>
      <c r="I89" s="144">
        <f t="shared" si="4"/>
        <v>0</v>
      </c>
      <c r="J89" s="109"/>
      <c r="K89" s="109"/>
      <c r="L89" s="110"/>
      <c r="M89" s="95"/>
      <c r="N89" s="95"/>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row>
    <row r="90" spans="1:45" s="94" customFormat="1" ht="15.75" hidden="1" customHeight="1" outlineLevel="1" x14ac:dyDescent="0.2">
      <c r="A90" s="95"/>
      <c r="B90" s="148" t="s">
        <v>109</v>
      </c>
      <c r="C90" s="145"/>
      <c r="D90" s="145"/>
      <c r="E90" s="1112">
        <f>ROUND('Emissões fugitivas'!I218/1000,6)</f>
        <v>0</v>
      </c>
      <c r="F90" s="1126">
        <f>ROUND('Processos industriais'!N32/1000,6)</f>
        <v>0</v>
      </c>
      <c r="G90" s="145"/>
      <c r="H90" s="145"/>
      <c r="I90" s="144">
        <f t="shared" si="4"/>
        <v>0</v>
      </c>
      <c r="J90" s="109"/>
      <c r="K90" s="109"/>
      <c r="L90" s="110"/>
      <c r="M90" s="95"/>
      <c r="N90" s="95"/>
      <c r="O90" s="96"/>
      <c r="P90" s="96"/>
      <c r="Q90" s="96"/>
      <c r="R90" s="96"/>
      <c r="S90" s="96"/>
      <c r="T90" s="96"/>
      <c r="U90" s="96"/>
      <c r="V90" s="96"/>
      <c r="W90" s="96"/>
      <c r="X90" s="96"/>
      <c r="Y90" s="96"/>
      <c r="Z90" s="96"/>
      <c r="AA90" s="96"/>
      <c r="AB90" s="96"/>
      <c r="AC90" s="96"/>
      <c r="AD90" s="96"/>
      <c r="AE90" s="96"/>
      <c r="AF90" s="96"/>
      <c r="AG90" s="96"/>
      <c r="AH90" s="96"/>
      <c r="AI90" s="96"/>
      <c r="AJ90" s="96"/>
      <c r="AK90" s="96"/>
      <c r="AL90" s="96"/>
      <c r="AM90" s="96"/>
      <c r="AN90" s="96"/>
      <c r="AO90" s="96"/>
      <c r="AP90" s="96"/>
      <c r="AQ90" s="96"/>
      <c r="AR90" s="96"/>
      <c r="AS90" s="96"/>
    </row>
    <row r="91" spans="1:45" s="94" customFormat="1" ht="15.75" hidden="1" customHeight="1" outlineLevel="1" x14ac:dyDescent="0.2">
      <c r="A91" s="95"/>
      <c r="B91" s="148" t="s">
        <v>294</v>
      </c>
      <c r="C91" s="145"/>
      <c r="D91" s="145"/>
      <c r="E91" s="1112">
        <f>ROUND('Emissões fugitivas'!I219/1000,6)</f>
        <v>0</v>
      </c>
      <c r="F91" s="1126">
        <f>ROUND('Processos industriais'!N33/1000,6)</f>
        <v>0</v>
      </c>
      <c r="G91" s="145"/>
      <c r="H91" s="145"/>
      <c r="I91" s="144">
        <f t="shared" si="4"/>
        <v>0</v>
      </c>
      <c r="J91" s="109"/>
      <c r="K91" s="109"/>
      <c r="L91" s="110"/>
      <c r="M91" s="95"/>
      <c r="N91" s="95"/>
      <c r="O91" s="96"/>
      <c r="P91" s="96"/>
      <c r="Q91" s="96"/>
      <c r="R91" s="96"/>
      <c r="S91" s="96"/>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c r="AR91" s="96"/>
      <c r="AS91" s="96"/>
    </row>
    <row r="92" spans="1:45" s="94" customFormat="1" ht="15.75" hidden="1" customHeight="1" outlineLevel="1" x14ac:dyDescent="0.2">
      <c r="A92" s="95"/>
      <c r="B92" s="148" t="s">
        <v>295</v>
      </c>
      <c r="C92" s="145"/>
      <c r="D92" s="145"/>
      <c r="E92" s="1112">
        <f>ROUND('Emissões fugitivas'!I220/1000,6)</f>
        <v>0</v>
      </c>
      <c r="F92" s="1126">
        <f>ROUND('Processos industriais'!N34/1000,6)</f>
        <v>0</v>
      </c>
      <c r="G92" s="145"/>
      <c r="H92" s="145"/>
      <c r="I92" s="144">
        <f t="shared" si="4"/>
        <v>0</v>
      </c>
      <c r="J92" s="109"/>
      <c r="K92" s="109"/>
      <c r="L92" s="110"/>
      <c r="M92" s="95"/>
      <c r="N92" s="95"/>
      <c r="O92" s="96"/>
      <c r="P92" s="96"/>
      <c r="Q92" s="96"/>
      <c r="R92" s="96"/>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row>
    <row r="93" spans="1:45" s="94" customFormat="1" ht="15.75" hidden="1" customHeight="1" outlineLevel="1" x14ac:dyDescent="0.2">
      <c r="A93" s="95"/>
      <c r="B93" s="148" t="s">
        <v>296</v>
      </c>
      <c r="C93" s="145"/>
      <c r="D93" s="145"/>
      <c r="E93" s="1112">
        <f>ROUND('Emissões fugitivas'!I221/1000,6)</f>
        <v>0</v>
      </c>
      <c r="F93" s="1126">
        <f>ROUND('Processos industriais'!N35/1000,6)</f>
        <v>0</v>
      </c>
      <c r="G93" s="145"/>
      <c r="H93" s="145"/>
      <c r="I93" s="144">
        <f t="shared" si="4"/>
        <v>0</v>
      </c>
      <c r="J93" s="109"/>
      <c r="K93" s="109"/>
      <c r="L93" s="110"/>
      <c r="M93" s="95"/>
      <c r="N93" s="95"/>
      <c r="O93" s="96"/>
      <c r="P93" s="96"/>
      <c r="Q93" s="96"/>
      <c r="R93" s="96"/>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row>
    <row r="94" spans="1:45" s="94" customFormat="1" ht="15.75" hidden="1" customHeight="1" outlineLevel="1" x14ac:dyDescent="0.2">
      <c r="A94" s="95"/>
      <c r="B94" s="148" t="s">
        <v>286</v>
      </c>
      <c r="C94" s="145"/>
      <c r="D94" s="145"/>
      <c r="E94" s="1112">
        <f>ROUND('Emissões fugitivas'!I222/1000,6)</f>
        <v>0</v>
      </c>
      <c r="F94" s="1126">
        <f>ROUND('Processos industriais'!N36/1000,6)</f>
        <v>0</v>
      </c>
      <c r="G94" s="145"/>
      <c r="H94" s="145"/>
      <c r="I94" s="144">
        <f t="shared" si="4"/>
        <v>0</v>
      </c>
      <c r="J94" s="109"/>
      <c r="K94" s="109"/>
      <c r="L94" s="110"/>
      <c r="M94" s="95"/>
      <c r="N94" s="95"/>
      <c r="O94" s="96"/>
      <c r="P94" s="96"/>
      <c r="Q94" s="96"/>
      <c r="R94" s="96"/>
      <c r="S94" s="96"/>
      <c r="T94" s="96"/>
      <c r="U94" s="96"/>
      <c r="V94" s="96"/>
      <c r="W94" s="96"/>
      <c r="X94" s="96"/>
      <c r="Y94" s="96"/>
      <c r="Z94" s="96"/>
      <c r="AA94" s="96"/>
      <c r="AB94" s="96"/>
      <c r="AC94" s="96"/>
      <c r="AD94" s="96"/>
      <c r="AE94" s="96"/>
      <c r="AF94" s="96"/>
      <c r="AG94" s="96"/>
      <c r="AH94" s="96"/>
      <c r="AI94" s="96"/>
      <c r="AJ94" s="96"/>
      <c r="AK94" s="96"/>
      <c r="AL94" s="96"/>
      <c r="AM94" s="96"/>
      <c r="AN94" s="96"/>
      <c r="AO94" s="96"/>
      <c r="AP94" s="96"/>
      <c r="AQ94" s="96"/>
      <c r="AR94" s="96"/>
      <c r="AS94" s="96"/>
    </row>
    <row r="95" spans="1:45" s="94" customFormat="1" ht="15.75" customHeight="1" collapsed="1" x14ac:dyDescent="0.2">
      <c r="A95" s="95"/>
      <c r="B95" s="148" t="s">
        <v>283</v>
      </c>
      <c r="C95" s="145"/>
      <c r="D95" s="145"/>
      <c r="E95" s="1112">
        <f>SUM(E96:E105)</f>
        <v>0</v>
      </c>
      <c r="F95" s="1112">
        <f>SUM(F96:F105)</f>
        <v>0</v>
      </c>
      <c r="G95" s="145"/>
      <c r="H95" s="145"/>
      <c r="I95" s="144">
        <f t="shared" si="4"/>
        <v>0</v>
      </c>
      <c r="J95" s="109"/>
      <c r="K95" s="109"/>
      <c r="L95" s="110"/>
      <c r="M95" s="95"/>
      <c r="N95" s="95"/>
      <c r="O95" s="96"/>
      <c r="P95" s="96"/>
      <c r="Q95" s="96"/>
      <c r="R95" s="96"/>
      <c r="S95" s="96"/>
      <c r="T95" s="96"/>
      <c r="U95" s="96"/>
      <c r="V95" s="96"/>
      <c r="W95" s="96"/>
      <c r="X95" s="96"/>
      <c r="Y95" s="96"/>
      <c r="Z95" s="96"/>
      <c r="AA95" s="96"/>
      <c r="AB95" s="96"/>
      <c r="AC95" s="96"/>
      <c r="AD95" s="96"/>
      <c r="AE95" s="96"/>
      <c r="AF95" s="96"/>
      <c r="AG95" s="96"/>
      <c r="AH95" s="96"/>
      <c r="AI95" s="96"/>
      <c r="AJ95" s="96"/>
      <c r="AK95" s="96"/>
      <c r="AL95" s="96"/>
      <c r="AM95" s="96"/>
      <c r="AN95" s="96"/>
      <c r="AO95" s="96"/>
      <c r="AP95" s="96"/>
      <c r="AQ95" s="96"/>
      <c r="AR95" s="96"/>
      <c r="AS95" s="96"/>
    </row>
    <row r="96" spans="1:45" s="94" customFormat="1" ht="15.75" hidden="1" customHeight="1" outlineLevel="1" x14ac:dyDescent="0.2">
      <c r="A96" s="95"/>
      <c r="B96" s="148" t="s">
        <v>458</v>
      </c>
      <c r="C96" s="145"/>
      <c r="D96" s="145"/>
      <c r="E96" s="1112">
        <f>ROUND('Emissões fugitivas'!I225/1000,6)</f>
        <v>0</v>
      </c>
      <c r="F96" s="1126">
        <f>ROUND('Processos industriais'!N39/1000,6)</f>
        <v>0</v>
      </c>
      <c r="G96" s="145"/>
      <c r="H96" s="145"/>
      <c r="I96" s="144">
        <f t="shared" si="4"/>
        <v>0</v>
      </c>
      <c r="J96" s="109"/>
      <c r="K96" s="109"/>
      <c r="L96" s="110"/>
      <c r="M96" s="95"/>
      <c r="N96" s="95"/>
      <c r="O96" s="96"/>
      <c r="P96" s="96"/>
      <c r="Q96" s="96"/>
      <c r="R96" s="96"/>
      <c r="S96" s="96"/>
      <c r="T96" s="96"/>
      <c r="U96" s="96"/>
      <c r="V96" s="96"/>
      <c r="W96" s="96"/>
      <c r="X96" s="96"/>
      <c r="Y96" s="96"/>
      <c r="Z96" s="96"/>
      <c r="AA96" s="96"/>
      <c r="AB96" s="96"/>
      <c r="AC96" s="96"/>
      <c r="AD96" s="96"/>
      <c r="AE96" s="96"/>
      <c r="AF96" s="96"/>
      <c r="AG96" s="96"/>
      <c r="AH96" s="96"/>
      <c r="AI96" s="96"/>
      <c r="AJ96" s="96"/>
      <c r="AK96" s="96"/>
      <c r="AL96" s="96"/>
      <c r="AM96" s="96"/>
      <c r="AN96" s="96"/>
      <c r="AO96" s="96"/>
      <c r="AP96" s="96"/>
      <c r="AQ96" s="96"/>
      <c r="AR96" s="96"/>
      <c r="AS96" s="96"/>
    </row>
    <row r="97" spans="1:45" s="94" customFormat="1" ht="15.75" hidden="1" customHeight="1" outlineLevel="1" x14ac:dyDescent="0.2">
      <c r="A97" s="95"/>
      <c r="B97" s="148" t="s">
        <v>459</v>
      </c>
      <c r="C97" s="145"/>
      <c r="D97" s="145"/>
      <c r="E97" s="1112">
        <f>ROUND('Emissões fugitivas'!I226/1000,6)</f>
        <v>0</v>
      </c>
      <c r="F97" s="1126">
        <f>ROUND('Processos industriais'!N40/1000,6)</f>
        <v>0</v>
      </c>
      <c r="G97" s="145"/>
      <c r="H97" s="145"/>
      <c r="I97" s="144">
        <f t="shared" si="4"/>
        <v>0</v>
      </c>
      <c r="J97" s="109"/>
      <c r="K97" s="109"/>
      <c r="L97" s="110"/>
      <c r="M97" s="95"/>
      <c r="N97" s="95"/>
      <c r="O97" s="96"/>
      <c r="P97" s="96"/>
      <c r="Q97" s="96"/>
      <c r="R97" s="96"/>
      <c r="S97" s="96"/>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row>
    <row r="98" spans="1:45" s="94" customFormat="1" ht="15.75" hidden="1" customHeight="1" outlineLevel="1" x14ac:dyDescent="0.2">
      <c r="A98" s="95"/>
      <c r="B98" s="148" t="s">
        <v>460</v>
      </c>
      <c r="C98" s="145"/>
      <c r="D98" s="145"/>
      <c r="E98" s="1112">
        <f>ROUND('Emissões fugitivas'!I227/1000,6)</f>
        <v>0</v>
      </c>
      <c r="F98" s="1126">
        <f>ROUND('Processos industriais'!N41/1000,6)</f>
        <v>0</v>
      </c>
      <c r="G98" s="145"/>
      <c r="H98" s="145"/>
      <c r="I98" s="144">
        <f t="shared" si="4"/>
        <v>0</v>
      </c>
      <c r="J98" s="109"/>
      <c r="K98" s="109"/>
      <c r="L98" s="110"/>
      <c r="M98" s="95"/>
      <c r="N98" s="95"/>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row>
    <row r="99" spans="1:45" s="94" customFormat="1" ht="15.75" hidden="1" customHeight="1" outlineLevel="1" x14ac:dyDescent="0.2">
      <c r="A99" s="95"/>
      <c r="B99" s="148" t="s">
        <v>461</v>
      </c>
      <c r="C99" s="145"/>
      <c r="D99" s="145"/>
      <c r="E99" s="1112">
        <f>ROUND('Emissões fugitivas'!I228/1000,6)</f>
        <v>0</v>
      </c>
      <c r="F99" s="1126">
        <f>ROUND('Processos industriais'!N42/1000,6)</f>
        <v>0</v>
      </c>
      <c r="G99" s="145"/>
      <c r="H99" s="145"/>
      <c r="I99" s="144">
        <f t="shared" si="4"/>
        <v>0</v>
      </c>
      <c r="J99" s="109"/>
      <c r="K99" s="109"/>
      <c r="L99" s="110"/>
      <c r="M99" s="95"/>
      <c r="N99" s="95"/>
      <c r="O99" s="96"/>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row>
    <row r="100" spans="1:45" s="94" customFormat="1" ht="15.75" hidden="1" customHeight="1" outlineLevel="1" x14ac:dyDescent="0.2">
      <c r="A100" s="95"/>
      <c r="B100" s="148" t="s">
        <v>462</v>
      </c>
      <c r="C100" s="145"/>
      <c r="D100" s="145"/>
      <c r="E100" s="1112">
        <f>ROUND('Emissões fugitivas'!I229/1000,6)</f>
        <v>0</v>
      </c>
      <c r="F100" s="1126">
        <f>ROUND('Processos industriais'!N43/1000,6)</f>
        <v>0</v>
      </c>
      <c r="G100" s="145"/>
      <c r="H100" s="145"/>
      <c r="I100" s="144">
        <f t="shared" si="4"/>
        <v>0</v>
      </c>
      <c r="J100" s="109"/>
      <c r="K100" s="109"/>
      <c r="L100" s="110"/>
      <c r="M100" s="95"/>
      <c r="N100" s="95"/>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row>
    <row r="101" spans="1:45" s="94" customFormat="1" ht="15.75" hidden="1" customHeight="1" outlineLevel="1" x14ac:dyDescent="0.2">
      <c r="A101" s="95"/>
      <c r="B101" s="148" t="s">
        <v>463</v>
      </c>
      <c r="C101" s="145"/>
      <c r="D101" s="145"/>
      <c r="E101" s="1112">
        <f>ROUND('Emissões fugitivas'!I230/1000,6)</f>
        <v>0</v>
      </c>
      <c r="F101" s="1126">
        <f>ROUND('Processos industriais'!N44/1000,6)</f>
        <v>0</v>
      </c>
      <c r="G101" s="145"/>
      <c r="H101" s="145"/>
      <c r="I101" s="144">
        <f t="shared" si="4"/>
        <v>0</v>
      </c>
      <c r="J101" s="109"/>
      <c r="K101" s="109"/>
      <c r="L101" s="110"/>
      <c r="M101" s="95"/>
      <c r="N101" s="95"/>
      <c r="O101" s="96"/>
      <c r="P101" s="96"/>
      <c r="Q101" s="96"/>
      <c r="R101" s="96"/>
      <c r="S101" s="96"/>
      <c r="T101" s="96"/>
      <c r="U101" s="96"/>
      <c r="V101" s="96"/>
      <c r="W101" s="96"/>
      <c r="X101" s="96"/>
      <c r="Y101" s="96"/>
      <c r="Z101" s="96"/>
      <c r="AA101" s="96"/>
      <c r="AB101" s="96"/>
      <c r="AC101" s="96"/>
      <c r="AD101" s="96"/>
      <c r="AE101" s="96"/>
      <c r="AF101" s="96"/>
      <c r="AG101" s="96"/>
      <c r="AH101" s="96"/>
      <c r="AI101" s="96"/>
      <c r="AJ101" s="96"/>
      <c r="AK101" s="96"/>
      <c r="AL101" s="96"/>
      <c r="AM101" s="96"/>
      <c r="AN101" s="96"/>
      <c r="AO101" s="96"/>
      <c r="AP101" s="96"/>
      <c r="AQ101" s="96"/>
      <c r="AR101" s="96"/>
      <c r="AS101" s="96"/>
    </row>
    <row r="102" spans="1:45" s="94" customFormat="1" ht="15.75" hidden="1" customHeight="1" outlineLevel="1" x14ac:dyDescent="0.2">
      <c r="A102" s="95"/>
      <c r="B102" s="148" t="s">
        <v>464</v>
      </c>
      <c r="C102" s="145"/>
      <c r="D102" s="145"/>
      <c r="E102" s="1112">
        <f>ROUND('Emissões fugitivas'!I231/1000,6)</f>
        <v>0</v>
      </c>
      <c r="F102" s="1126">
        <f>ROUND('Processos industriais'!N45/1000,6)</f>
        <v>0</v>
      </c>
      <c r="G102" s="145"/>
      <c r="H102" s="145"/>
      <c r="I102" s="144">
        <f t="shared" si="4"/>
        <v>0</v>
      </c>
      <c r="J102" s="109"/>
      <c r="K102" s="109"/>
      <c r="L102" s="110"/>
      <c r="M102" s="95"/>
      <c r="N102" s="95"/>
      <c r="O102" s="96"/>
      <c r="P102" s="96"/>
      <c r="Q102" s="96"/>
      <c r="R102" s="96"/>
      <c r="S102" s="96"/>
      <c r="T102" s="96"/>
      <c r="U102" s="96"/>
      <c r="V102" s="96"/>
      <c r="W102" s="96"/>
      <c r="X102" s="96"/>
      <c r="Y102" s="96"/>
      <c r="Z102" s="96"/>
      <c r="AA102" s="96"/>
      <c r="AB102" s="96"/>
      <c r="AC102" s="96"/>
      <c r="AD102" s="96"/>
      <c r="AE102" s="96"/>
      <c r="AF102" s="96"/>
      <c r="AG102" s="96"/>
      <c r="AH102" s="96"/>
      <c r="AI102" s="96"/>
      <c r="AJ102" s="96"/>
      <c r="AK102" s="96"/>
      <c r="AL102" s="96"/>
      <c r="AM102" s="96"/>
      <c r="AN102" s="96"/>
      <c r="AO102" s="96"/>
      <c r="AP102" s="96"/>
      <c r="AQ102" s="96"/>
      <c r="AR102" s="96"/>
      <c r="AS102" s="96"/>
    </row>
    <row r="103" spans="1:45" s="94" customFormat="1" ht="15.75" hidden="1" customHeight="1" outlineLevel="1" x14ac:dyDescent="0.2">
      <c r="A103" s="95"/>
      <c r="B103" s="148" t="s">
        <v>465</v>
      </c>
      <c r="C103" s="145"/>
      <c r="D103" s="145"/>
      <c r="E103" s="1112">
        <f>ROUND('Emissões fugitivas'!I232/1000,6)</f>
        <v>0</v>
      </c>
      <c r="F103" s="1126">
        <f>ROUND('Processos industriais'!N46/1000,6)</f>
        <v>0</v>
      </c>
      <c r="G103" s="145"/>
      <c r="H103" s="145"/>
      <c r="I103" s="144">
        <f t="shared" si="4"/>
        <v>0</v>
      </c>
      <c r="J103" s="109"/>
      <c r="K103" s="109"/>
      <c r="L103" s="110"/>
      <c r="M103" s="95"/>
      <c r="N103" s="95"/>
      <c r="O103" s="96"/>
      <c r="P103" s="96"/>
      <c r="Q103" s="96"/>
      <c r="R103" s="96"/>
      <c r="S103" s="96"/>
      <c r="T103" s="96"/>
      <c r="U103" s="96"/>
      <c r="V103" s="96"/>
      <c r="W103" s="96"/>
      <c r="X103" s="96"/>
      <c r="Y103" s="96"/>
      <c r="Z103" s="96"/>
      <c r="AA103" s="96"/>
      <c r="AB103" s="96"/>
      <c r="AC103" s="96"/>
      <c r="AD103" s="96"/>
      <c r="AE103" s="96"/>
      <c r="AF103" s="96"/>
      <c r="AG103" s="96"/>
      <c r="AH103" s="96"/>
      <c r="AI103" s="96"/>
      <c r="AJ103" s="96"/>
      <c r="AK103" s="96"/>
      <c r="AL103" s="96"/>
      <c r="AM103" s="96"/>
      <c r="AN103" s="96"/>
      <c r="AO103" s="96"/>
      <c r="AP103" s="96"/>
      <c r="AQ103" s="96"/>
      <c r="AR103" s="96"/>
      <c r="AS103" s="96"/>
    </row>
    <row r="104" spans="1:45" s="94" customFormat="1" ht="15.75" hidden="1" customHeight="1" outlineLevel="1" x14ac:dyDescent="0.2">
      <c r="A104" s="95"/>
      <c r="B104" s="148" t="s">
        <v>466</v>
      </c>
      <c r="C104" s="145"/>
      <c r="D104" s="145"/>
      <c r="E104" s="1112">
        <f>ROUND('Emissões fugitivas'!I233/1000,6)</f>
        <v>0</v>
      </c>
      <c r="F104" s="1126">
        <f>ROUND('Processos industriais'!N47/1000,6)</f>
        <v>0</v>
      </c>
      <c r="G104" s="145"/>
      <c r="H104" s="145"/>
      <c r="I104" s="144">
        <f t="shared" si="4"/>
        <v>0</v>
      </c>
      <c r="J104" s="109"/>
      <c r="K104" s="109"/>
      <c r="L104" s="110"/>
      <c r="M104" s="95"/>
      <c r="N104" s="95"/>
      <c r="O104" s="96"/>
      <c r="P104" s="96"/>
      <c r="Q104" s="96"/>
      <c r="R104" s="96"/>
      <c r="S104" s="96"/>
      <c r="T104" s="96"/>
      <c r="U104" s="96"/>
      <c r="V104" s="96"/>
      <c r="W104" s="96"/>
      <c r="X104" s="96"/>
      <c r="Y104" s="96"/>
      <c r="Z104" s="96"/>
      <c r="AA104" s="96"/>
      <c r="AB104" s="96"/>
      <c r="AC104" s="96"/>
      <c r="AD104" s="96"/>
      <c r="AE104" s="96"/>
      <c r="AF104" s="96"/>
      <c r="AG104" s="96"/>
      <c r="AH104" s="96"/>
      <c r="AI104" s="96"/>
      <c r="AJ104" s="96"/>
      <c r="AK104" s="96"/>
      <c r="AL104" s="96"/>
      <c r="AM104" s="96"/>
      <c r="AN104" s="96"/>
      <c r="AO104" s="96"/>
      <c r="AP104" s="96"/>
      <c r="AQ104" s="96"/>
      <c r="AR104" s="96"/>
      <c r="AS104" s="96"/>
    </row>
    <row r="105" spans="1:45" s="94" customFormat="1" ht="15.75" hidden="1" customHeight="1" outlineLevel="1" x14ac:dyDescent="0.2">
      <c r="A105" s="95"/>
      <c r="B105" s="148" t="s">
        <v>467</v>
      </c>
      <c r="C105" s="145"/>
      <c r="D105" s="145"/>
      <c r="E105" s="1112">
        <f>ROUND('Emissões fugitivas'!I234/1000,6)</f>
        <v>0</v>
      </c>
      <c r="F105" s="1126">
        <f>ROUND('Processos industriais'!N48/1000,6)</f>
        <v>0</v>
      </c>
      <c r="G105" s="145"/>
      <c r="H105" s="145"/>
      <c r="I105" s="144">
        <f t="shared" si="4"/>
        <v>0</v>
      </c>
      <c r="J105" s="109"/>
      <c r="K105" s="109"/>
      <c r="L105" s="110"/>
      <c r="M105" s="95"/>
      <c r="N105" s="95"/>
      <c r="O105" s="96"/>
      <c r="P105" s="96"/>
      <c r="Q105" s="96"/>
      <c r="R105" s="96"/>
      <c r="S105" s="96"/>
      <c r="T105" s="96"/>
      <c r="U105" s="96"/>
      <c r="V105" s="96"/>
      <c r="W105" s="96"/>
      <c r="X105" s="96"/>
      <c r="Y105" s="96"/>
      <c r="Z105" s="96"/>
      <c r="AA105" s="96"/>
      <c r="AB105" s="96"/>
      <c r="AC105" s="96"/>
      <c r="AD105" s="96"/>
      <c r="AE105" s="96"/>
      <c r="AF105" s="96"/>
      <c r="AG105" s="96"/>
      <c r="AH105" s="96"/>
      <c r="AI105" s="96"/>
      <c r="AJ105" s="96"/>
      <c r="AK105" s="96"/>
      <c r="AL105" s="96"/>
      <c r="AM105" s="96"/>
      <c r="AN105" s="96"/>
      <c r="AO105" s="96"/>
      <c r="AP105" s="96"/>
      <c r="AQ105" s="96"/>
      <c r="AR105" s="96"/>
      <c r="AS105" s="96"/>
    </row>
    <row r="106" spans="1:45" s="94" customFormat="1" ht="15.75" customHeight="1" x14ac:dyDescent="0.2">
      <c r="A106" s="95"/>
      <c r="B106" s="148" t="s">
        <v>1377</v>
      </c>
      <c r="C106" s="145"/>
      <c r="D106" s="145"/>
      <c r="E106" s="1112">
        <f>ROUND('Emissões fugitivas'!I223/1000,6)</f>
        <v>0</v>
      </c>
      <c r="F106" s="1126">
        <f>ROUND('Processos industriais'!N37/1000,6)</f>
        <v>0</v>
      </c>
      <c r="G106" s="145"/>
      <c r="H106" s="145"/>
      <c r="I106" s="144">
        <f t="shared" si="4"/>
        <v>0</v>
      </c>
      <c r="J106" s="109"/>
      <c r="K106" s="109"/>
      <c r="L106" s="110"/>
      <c r="M106" s="95"/>
      <c r="N106" s="95"/>
      <c r="O106" s="96"/>
      <c r="P106" s="96"/>
      <c r="Q106" s="96"/>
      <c r="R106" s="96"/>
      <c r="S106" s="96"/>
      <c r="T106" s="96"/>
      <c r="U106" s="96"/>
      <c r="V106" s="96"/>
      <c r="W106" s="96"/>
      <c r="X106" s="96"/>
      <c r="Y106" s="96"/>
      <c r="Z106" s="96"/>
      <c r="AA106" s="96"/>
      <c r="AB106" s="96"/>
      <c r="AC106" s="96"/>
      <c r="AD106" s="96"/>
      <c r="AE106" s="96"/>
      <c r="AF106" s="96"/>
      <c r="AG106" s="96"/>
      <c r="AH106" s="96"/>
      <c r="AI106" s="96"/>
      <c r="AJ106" s="96"/>
      <c r="AK106" s="96"/>
      <c r="AL106" s="96"/>
      <c r="AM106" s="96"/>
      <c r="AN106" s="96"/>
      <c r="AO106" s="96"/>
      <c r="AP106" s="96"/>
      <c r="AQ106" s="96"/>
      <c r="AR106" s="96"/>
      <c r="AS106" s="96"/>
    </row>
    <row r="107" spans="1:45" s="94" customFormat="1" ht="15.75" customHeight="1" x14ac:dyDescent="0.2">
      <c r="A107" s="95"/>
      <c r="B107" s="148" t="s">
        <v>1378</v>
      </c>
      <c r="C107" s="145"/>
      <c r="D107" s="145"/>
      <c r="E107" s="1112">
        <f>ROUND('Emissões fugitivas'!I224/1000,6)</f>
        <v>0</v>
      </c>
      <c r="F107" s="1126">
        <f>ROUND('Processos industriais'!N38/1000,6)</f>
        <v>0</v>
      </c>
      <c r="G107" s="145"/>
      <c r="H107" s="145"/>
      <c r="I107" s="144">
        <f t="shared" si="4"/>
        <v>0</v>
      </c>
      <c r="J107" s="109"/>
      <c r="K107" s="109"/>
      <c r="L107" s="110"/>
      <c r="M107" s="95"/>
      <c r="N107" s="95"/>
      <c r="O107" s="96"/>
      <c r="P107" s="96"/>
      <c r="Q107" s="96"/>
      <c r="R107" s="96"/>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row>
    <row r="108" spans="1:45" s="94" customFormat="1" ht="15.75" customHeight="1" x14ac:dyDescent="0.2">
      <c r="A108" s="95"/>
      <c r="B108" s="1099" t="s">
        <v>1852</v>
      </c>
      <c r="C108" s="1113">
        <f>C72+C73*gwp_CH4+C74*gwp_N2O+C76*gwp_HFC23+C77*gwp_HFC32+C78*gwp_HFC41+C79*gwp_HFC125+C80*gwp_HFC134+C81*gwp_HFC134a+C82*gwp_HFC143+C83*gwp_HFC143a+C84*gwp_HFC152+C85*gwp_HFC152a+C86*gwp_HFC161+C87*gwp_HFC227ea+C88*gwp_HFC236cb+C89*gwp_HFC236ea+C90*gwp_HFC236fa+C91*gwp_HFC245ca+C92*gwp_HFC245fa+C93*gwp_HFC365mfc+C94*gwp_HFC4310mee+C96*gwp_PFC14+C97*gwp_PFC116+C98*gwp_PFC218+C99*gwp_PFC318+C100*gwp_PFC3110+C101*gwp_PFC4112+C102*gwp_PFC5114+C103*gwp_PFC9118+C104*gwp_trifluorometil+C105*gwp_perfluorociclopropano+C106*gwp_SF6+C107*gwp_NF3</f>
        <v>0</v>
      </c>
      <c r="D108" s="1113">
        <f>D72+D73*gwp_CH4+D74*gwp_N2O+D76*gwp_HFC23+D77*gwp_HFC32+D78*gwp_HFC41+D79*gwp_HFC125+D80*gwp_HFC134+D81*gwp_HFC134a+D82*gwp_HFC143+D83*gwp_HFC143a+D84*gwp_HFC152+D85*gwp_HFC152a+D86*gwp_HFC161+D87*gwp_HFC227ea+D88*gwp_HFC236cb+D89*gwp_HFC236ea+D90*gwp_HFC236fa+D91*gwp_HFC245ca+D92*gwp_HFC245fa+D93*gwp_HFC365mfc+D94*gwp_HFC4310mee+D96*gwp_PFC14+D97*gwp_PFC116+D98*gwp_PFC218+D99*gwp_PFC318+D100*gwp_PFC3110+D101*gwp_PFC4112+D102*gwp_PFC5114+D103*gwp_PFC9118+D104*gwp_trifluorometil+D105*gwp_perfluorociclopropano+D106*gwp_SF6+D107*gwp_NF3</f>
        <v>0</v>
      </c>
      <c r="E108" s="1113">
        <f t="shared" ref="E108:H108" si="5">E72+E73*gwp_CH4+E74*gwp_N2O+E76*gwp_HFC23+E77*gwp_HFC32+E78*gwp_HFC41+E79*gwp_HFC125+E80*gwp_HFC134+E81*gwp_HFC134a+E82*gwp_HFC143+E83*gwp_HFC143a+E84*gwp_HFC152+E85*gwp_HFC152a+E86*gwp_HFC161+E87*gwp_HFC227ea+E88*gwp_HFC236cb+E89*gwp_HFC236ea+E90*gwp_HFC236fa+E91*gwp_HFC245ca+E92*gwp_HFC245fa+E93*gwp_HFC365mfc+E94*gwp_HFC4310mee+E96*gwp_PFC14+E97*gwp_PFC116+E98*gwp_PFC218+E99*gwp_PFC318+E100*gwp_PFC3110+E101*gwp_PFC4112+E102*gwp_PFC5114+E103*gwp_PFC9118+E104*gwp_trifluorometil+E105*gwp_perfluorociclopropano+E106*gwp_SF6+E107*gwp_NF3</f>
        <v>0</v>
      </c>
      <c r="F108" s="1113">
        <f t="shared" si="5"/>
        <v>0</v>
      </c>
      <c r="G108" s="1113">
        <f t="shared" si="5"/>
        <v>0</v>
      </c>
      <c r="H108" s="1113">
        <f t="shared" si="5"/>
        <v>0</v>
      </c>
      <c r="I108" s="1113">
        <f>SUM(C108:H108)</f>
        <v>0</v>
      </c>
      <c r="J108" s="109"/>
      <c r="K108" s="109"/>
      <c r="L108" s="110"/>
      <c r="M108" s="95"/>
      <c r="N108" s="95"/>
      <c r="O108" s="96"/>
      <c r="P108" s="96"/>
      <c r="Q108" s="96"/>
      <c r="R108" s="96"/>
      <c r="S108" s="96"/>
      <c r="T108" s="96"/>
      <c r="U108" s="96"/>
      <c r="V108" s="96"/>
      <c r="W108" s="96"/>
      <c r="X108" s="96"/>
      <c r="Y108" s="96"/>
      <c r="Z108" s="96"/>
      <c r="AA108" s="96"/>
      <c r="AB108" s="96"/>
      <c r="AC108" s="96"/>
      <c r="AD108" s="96"/>
      <c r="AE108" s="96"/>
      <c r="AF108" s="96"/>
      <c r="AG108" s="96"/>
      <c r="AH108" s="96"/>
      <c r="AI108" s="96"/>
      <c r="AJ108" s="96"/>
      <c r="AK108" s="96"/>
      <c r="AL108" s="96"/>
      <c r="AM108" s="96"/>
      <c r="AN108" s="96"/>
      <c r="AO108" s="96"/>
      <c r="AP108" s="96"/>
      <c r="AQ108" s="96"/>
      <c r="AR108" s="96"/>
      <c r="AS108" s="96"/>
    </row>
    <row r="109" spans="1:45" s="94" customFormat="1" ht="15.75" customHeight="1" x14ac:dyDescent="0.2">
      <c r="A109" s="95"/>
      <c r="B109" s="155" t="s">
        <v>1851</v>
      </c>
      <c r="C109" s="1127">
        <f>total_CED_biomassa</f>
        <v>0</v>
      </c>
      <c r="D109" s="1127">
        <f>total_CM_biomassa</f>
        <v>0</v>
      </c>
      <c r="E109" s="1128"/>
      <c r="F109" s="1127">
        <f>total_PI_biomassa</f>
        <v>0</v>
      </c>
      <c r="G109" s="1127">
        <f>total_AA_biomassa</f>
        <v>0</v>
      </c>
      <c r="H109" s="1127">
        <f>total_RS_biomassa+total_EFL_biomassa</f>
        <v>0</v>
      </c>
      <c r="I109" s="1127">
        <f>SUM(C109:H109)</f>
        <v>0</v>
      </c>
      <c r="J109" s="109"/>
      <c r="K109" s="109"/>
      <c r="L109" s="110"/>
      <c r="M109" s="95"/>
      <c r="N109" s="95"/>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6"/>
      <c r="AN109" s="96"/>
      <c r="AO109" s="96"/>
      <c r="AP109" s="96"/>
      <c r="AQ109" s="96"/>
      <c r="AR109" s="96"/>
      <c r="AS109" s="96"/>
    </row>
    <row r="110" spans="1:45" s="86" customFormat="1" ht="15.75" customHeight="1" x14ac:dyDescent="0.2">
      <c r="A110" s="111"/>
      <c r="B110" s="183"/>
      <c r="C110" s="184"/>
      <c r="D110" s="184"/>
      <c r="E110" s="184"/>
      <c r="F110" s="184"/>
      <c r="G110" s="184"/>
      <c r="H110" s="184"/>
      <c r="I110" s="184"/>
      <c r="J110" s="112"/>
      <c r="K110" s="112"/>
      <c r="L110" s="112"/>
      <c r="M110" s="113"/>
      <c r="N110" s="111"/>
      <c r="O110" s="111"/>
      <c r="P110" s="111"/>
      <c r="Q110" s="111"/>
      <c r="R110" s="111"/>
      <c r="S110" s="111"/>
      <c r="T110" s="111"/>
      <c r="U110" s="111"/>
      <c r="V110" s="111"/>
      <c r="W110" s="111"/>
      <c r="X110" s="111"/>
      <c r="Y110" s="111"/>
      <c r="Z110" s="111"/>
      <c r="AA110" s="111"/>
      <c r="AB110" s="111"/>
      <c r="AC110" s="111"/>
      <c r="AD110" s="111"/>
      <c r="AE110" s="111"/>
      <c r="AF110" s="111"/>
      <c r="AG110" s="111"/>
      <c r="AH110" s="111"/>
      <c r="AI110" s="111"/>
      <c r="AJ110" s="111"/>
      <c r="AK110" s="111"/>
      <c r="AL110" s="111"/>
      <c r="AM110" s="111"/>
      <c r="AN110" s="111"/>
      <c r="AO110" s="111"/>
      <c r="AP110" s="111"/>
      <c r="AQ110" s="111"/>
      <c r="AR110" s="111"/>
      <c r="AS110" s="111"/>
    </row>
    <row r="111" spans="1:45" s="94" customFormat="1" ht="15.75" customHeight="1" x14ac:dyDescent="0.2">
      <c r="A111" s="95"/>
      <c r="B111" s="185"/>
      <c r="C111" s="167"/>
      <c r="D111" s="167"/>
      <c r="E111" s="167"/>
      <c r="F111" s="186"/>
      <c r="G111" s="187"/>
      <c r="H111" s="187"/>
      <c r="I111" s="187"/>
      <c r="J111" s="109"/>
      <c r="K111" s="124"/>
      <c r="L111" s="104"/>
      <c r="M111" s="104"/>
      <c r="N111" s="95"/>
      <c r="O111" s="95"/>
      <c r="P111" s="96"/>
      <c r="Q111" s="96"/>
      <c r="R111" s="96"/>
      <c r="S111" s="96"/>
      <c r="T111" s="96"/>
      <c r="U111" s="96"/>
      <c r="V111" s="96"/>
      <c r="W111" s="96"/>
      <c r="X111" s="96"/>
      <c r="Y111" s="96"/>
      <c r="Z111" s="96"/>
      <c r="AA111" s="96"/>
      <c r="AB111" s="96"/>
      <c r="AC111" s="96"/>
      <c r="AD111" s="96"/>
      <c r="AE111" s="96"/>
      <c r="AF111" s="96"/>
      <c r="AG111" s="96"/>
      <c r="AH111" s="96"/>
      <c r="AI111" s="96"/>
      <c r="AJ111" s="96"/>
      <c r="AK111" s="96"/>
      <c r="AL111" s="96"/>
      <c r="AM111" s="96"/>
      <c r="AN111" s="96"/>
      <c r="AO111" s="96"/>
      <c r="AP111" s="96"/>
      <c r="AQ111" s="96"/>
      <c r="AR111" s="96"/>
      <c r="AS111" s="96"/>
    </row>
    <row r="112" spans="1:45" ht="15.75" customHeight="1" x14ac:dyDescent="0.2">
      <c r="A112" s="95"/>
      <c r="B112" s="171"/>
      <c r="C112" s="169"/>
      <c r="D112" s="169"/>
      <c r="E112" s="169"/>
      <c r="F112" s="171"/>
      <c r="G112" s="171"/>
      <c r="H112" s="171"/>
      <c r="I112" s="171"/>
      <c r="J112" s="124"/>
      <c r="K112" s="124"/>
      <c r="L112" s="124"/>
      <c r="M112" s="124"/>
      <c r="N112" s="95"/>
      <c r="O112" s="95"/>
      <c r="P112" s="96"/>
      <c r="Q112" s="96"/>
      <c r="R112" s="96"/>
      <c r="S112" s="96"/>
      <c r="T112" s="96"/>
      <c r="U112" s="96"/>
      <c r="V112" s="96"/>
      <c r="W112" s="96"/>
      <c r="X112" s="96"/>
      <c r="Y112" s="96"/>
      <c r="Z112" s="96"/>
      <c r="AA112" s="96"/>
      <c r="AB112" s="96"/>
      <c r="AC112" s="96"/>
      <c r="AD112" s="96"/>
      <c r="AE112" s="96"/>
      <c r="AF112" s="96"/>
      <c r="AG112" s="96"/>
      <c r="AH112" s="96"/>
      <c r="AI112" s="96"/>
      <c r="AJ112" s="96"/>
      <c r="AK112" s="96"/>
      <c r="AL112" s="96"/>
      <c r="AM112" s="96"/>
      <c r="AN112" s="96"/>
      <c r="AO112" s="96"/>
      <c r="AP112" s="96"/>
      <c r="AQ112" s="96"/>
      <c r="AR112" s="96"/>
      <c r="AS112" s="96"/>
    </row>
    <row r="113" spans="1:45" s="94" customFormat="1" ht="15.75" customHeight="1" x14ac:dyDescent="0.2">
      <c r="A113" s="95"/>
      <c r="B113" s="201" t="s">
        <v>2102</v>
      </c>
      <c r="C113" s="169"/>
      <c r="D113" s="169"/>
      <c r="E113" s="169"/>
      <c r="F113" s="171"/>
      <c r="G113" s="171"/>
      <c r="H113" s="171"/>
      <c r="I113" s="171"/>
      <c r="J113" s="96"/>
      <c r="K113" s="96"/>
      <c r="L113" s="96"/>
      <c r="M113" s="96"/>
      <c r="N113" s="95"/>
      <c r="O113" s="95"/>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row>
    <row r="114" spans="1:45" ht="45" customHeight="1" x14ac:dyDescent="0.2">
      <c r="A114" s="95"/>
      <c r="B114" s="171"/>
      <c r="C114" s="997" t="s">
        <v>335</v>
      </c>
      <c r="D114" s="998" t="s">
        <v>2103</v>
      </c>
      <c r="E114" s="188" t="s">
        <v>2104</v>
      </c>
      <c r="F114" s="171"/>
      <c r="G114" s="171"/>
      <c r="H114" s="171"/>
      <c r="I114" s="171"/>
      <c r="J114" s="96"/>
      <c r="K114" s="96"/>
      <c r="L114" s="96"/>
      <c r="M114" s="102"/>
      <c r="N114" s="95"/>
      <c r="O114" s="96"/>
      <c r="P114" s="96"/>
      <c r="Q114" s="96"/>
      <c r="R114" s="96"/>
      <c r="S114" s="96"/>
      <c r="T114" s="96"/>
      <c r="U114" s="96"/>
      <c r="V114" s="96"/>
      <c r="W114" s="96"/>
      <c r="X114" s="96"/>
      <c r="Y114" s="96"/>
      <c r="Z114" s="96"/>
      <c r="AA114" s="96"/>
      <c r="AB114" s="96"/>
      <c r="AC114" s="96"/>
      <c r="AD114" s="96"/>
      <c r="AE114" s="96"/>
      <c r="AF114" s="96"/>
      <c r="AG114" s="96"/>
      <c r="AH114" s="96"/>
      <c r="AI114" s="96"/>
      <c r="AJ114" s="96"/>
      <c r="AK114" s="96"/>
      <c r="AL114" s="96"/>
      <c r="AM114" s="96"/>
      <c r="AN114" s="96"/>
      <c r="AO114" s="96"/>
      <c r="AP114" s="96"/>
      <c r="AQ114" s="96"/>
      <c r="AR114" s="96"/>
      <c r="AS114" s="96"/>
    </row>
    <row r="115" spans="1:45" ht="15.75" customHeight="1" x14ac:dyDescent="0.35">
      <c r="A115" s="95"/>
      <c r="B115" s="153" t="s">
        <v>1374</v>
      </c>
      <c r="C115" s="144">
        <f>ROUND(IF(ISERROR(total_eletrica_escopo2),0,total_eletrica_escopo2),6)</f>
        <v>0</v>
      </c>
      <c r="D115" s="144">
        <f>'Compra de Energia Térmica'!total_ee_sin</f>
        <v>0</v>
      </c>
      <c r="E115" s="144">
        <f>SUM(C115:D115)</f>
        <v>0</v>
      </c>
      <c r="F115" s="171"/>
      <c r="G115" s="171"/>
      <c r="H115" s="171"/>
      <c r="I115" s="171"/>
      <c r="J115" s="96"/>
      <c r="K115" s="96"/>
      <c r="L115" s="96"/>
      <c r="M115" s="102"/>
      <c r="N115" s="95"/>
      <c r="O115" s="96"/>
      <c r="P115" s="96"/>
      <c r="Q115" s="96"/>
      <c r="R115" s="96"/>
      <c r="S115" s="96"/>
      <c r="T115" s="96"/>
      <c r="U115" s="96"/>
      <c r="V115" s="96"/>
      <c r="W115" s="96"/>
      <c r="X115" s="96"/>
      <c r="Y115" s="96"/>
      <c r="Z115" s="96"/>
      <c r="AA115" s="96"/>
      <c r="AB115" s="96"/>
      <c r="AC115" s="96"/>
      <c r="AD115" s="96"/>
      <c r="AE115" s="96"/>
      <c r="AF115" s="96"/>
      <c r="AG115" s="96"/>
      <c r="AH115" s="96"/>
      <c r="AI115" s="96"/>
      <c r="AJ115" s="96"/>
      <c r="AK115" s="96"/>
      <c r="AL115" s="96"/>
      <c r="AM115" s="96"/>
      <c r="AN115" s="96"/>
      <c r="AO115" s="96"/>
      <c r="AP115" s="96"/>
      <c r="AQ115" s="96"/>
      <c r="AR115" s="96"/>
      <c r="AS115" s="96"/>
    </row>
    <row r="116" spans="1:45" ht="15.75" customHeight="1" x14ac:dyDescent="0.35">
      <c r="A116" s="95"/>
      <c r="B116" s="153" t="s">
        <v>1375</v>
      </c>
      <c r="C116" s="145"/>
      <c r="D116" s="144">
        <f>'Compra de Energia Térmica'!G99</f>
        <v>0</v>
      </c>
      <c r="E116" s="144">
        <f>SUM(C116:D116)</f>
        <v>0</v>
      </c>
      <c r="F116" s="171"/>
      <c r="G116" s="171"/>
      <c r="H116" s="171"/>
      <c r="I116" s="171"/>
      <c r="J116" s="96"/>
      <c r="K116" s="96"/>
      <c r="L116" s="96"/>
      <c r="M116" s="102"/>
      <c r="N116" s="95"/>
      <c r="O116" s="96"/>
      <c r="P116" s="96"/>
      <c r="Q116" s="96"/>
      <c r="R116" s="96"/>
      <c r="S116" s="96"/>
      <c r="T116" s="96"/>
      <c r="U116" s="96"/>
      <c r="V116" s="96"/>
      <c r="W116" s="96"/>
      <c r="X116" s="96"/>
      <c r="Y116" s="96"/>
      <c r="Z116" s="96"/>
      <c r="AA116" s="96"/>
      <c r="AB116" s="96"/>
      <c r="AC116" s="96"/>
      <c r="AD116" s="96"/>
      <c r="AE116" s="96"/>
      <c r="AF116" s="96"/>
      <c r="AG116" s="96"/>
      <c r="AH116" s="96"/>
      <c r="AI116" s="96"/>
      <c r="AJ116" s="96"/>
      <c r="AK116" s="96"/>
      <c r="AL116" s="96"/>
      <c r="AM116" s="96"/>
      <c r="AN116" s="96"/>
      <c r="AO116" s="96"/>
      <c r="AP116" s="96"/>
      <c r="AQ116" s="96"/>
      <c r="AR116" s="96"/>
      <c r="AS116" s="96"/>
    </row>
    <row r="117" spans="1:45" ht="15.75" customHeight="1" x14ac:dyDescent="0.35">
      <c r="A117" s="95"/>
      <c r="B117" s="153" t="s">
        <v>1376</v>
      </c>
      <c r="C117" s="145"/>
      <c r="D117" s="144">
        <f>'Compra de Energia Térmica'!H99</f>
        <v>0</v>
      </c>
      <c r="E117" s="144">
        <f>SUM(C117:D117)</f>
        <v>0</v>
      </c>
      <c r="F117" s="171"/>
      <c r="G117" s="171"/>
      <c r="H117" s="171"/>
      <c r="I117" s="171"/>
      <c r="J117" s="96"/>
      <c r="K117" s="96"/>
      <c r="L117" s="96"/>
      <c r="M117" s="102"/>
      <c r="N117" s="95"/>
      <c r="O117" s="96"/>
      <c r="P117" s="96"/>
      <c r="Q117" s="96"/>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c r="AS117" s="96"/>
    </row>
    <row r="118" spans="1:45" s="94" customFormat="1" ht="15.75" customHeight="1" x14ac:dyDescent="0.25">
      <c r="A118" s="95"/>
      <c r="B118" s="153" t="s">
        <v>282</v>
      </c>
      <c r="C118" s="145"/>
      <c r="D118" s="145"/>
      <c r="E118" s="145"/>
      <c r="F118" s="171"/>
      <c r="G118" s="171"/>
      <c r="H118" s="171"/>
      <c r="I118" s="171"/>
      <c r="J118" s="96"/>
      <c r="K118" s="96"/>
      <c r="L118" s="96"/>
      <c r="M118" s="102"/>
      <c r="N118" s="95"/>
      <c r="O118" s="96"/>
      <c r="P118" s="96"/>
      <c r="Q118" s="96"/>
      <c r="R118" s="96"/>
      <c r="S118" s="96"/>
      <c r="T118" s="96"/>
      <c r="U118" s="96"/>
      <c r="V118" s="96"/>
      <c r="W118" s="96"/>
      <c r="X118" s="96"/>
      <c r="Y118" s="96"/>
      <c r="Z118" s="96"/>
      <c r="AA118" s="96"/>
      <c r="AB118" s="96"/>
      <c r="AC118" s="96"/>
      <c r="AD118" s="96"/>
      <c r="AE118" s="96"/>
      <c r="AF118" s="96"/>
      <c r="AG118" s="96"/>
      <c r="AH118" s="96"/>
      <c r="AI118" s="96"/>
      <c r="AJ118" s="96"/>
      <c r="AK118" s="96"/>
      <c r="AL118" s="96"/>
      <c r="AM118" s="96"/>
      <c r="AN118" s="96"/>
      <c r="AO118" s="96"/>
      <c r="AP118" s="96"/>
      <c r="AQ118" s="96"/>
      <c r="AR118" s="96"/>
      <c r="AS118" s="96"/>
    </row>
    <row r="119" spans="1:45" s="94" customFormat="1" ht="15.75" customHeight="1" x14ac:dyDescent="0.25">
      <c r="A119" s="95"/>
      <c r="B119" s="153" t="s">
        <v>283</v>
      </c>
      <c r="C119" s="145"/>
      <c r="D119" s="145"/>
      <c r="E119" s="145"/>
      <c r="F119" s="189"/>
      <c r="G119" s="189"/>
      <c r="H119" s="189"/>
      <c r="I119" s="189"/>
      <c r="J119" s="114"/>
      <c r="K119" s="114"/>
      <c r="L119" s="114"/>
      <c r="M119" s="102"/>
      <c r="N119" s="95"/>
      <c r="O119" s="96"/>
      <c r="P119" s="96"/>
      <c r="Q119" s="96"/>
      <c r="R119" s="96"/>
      <c r="S119" s="96"/>
      <c r="T119" s="96"/>
      <c r="U119" s="96"/>
      <c r="V119" s="96"/>
      <c r="W119" s="96"/>
      <c r="X119" s="96"/>
      <c r="Y119" s="96"/>
      <c r="Z119" s="96"/>
      <c r="AA119" s="96"/>
      <c r="AB119" s="96"/>
      <c r="AC119" s="96"/>
      <c r="AD119" s="96"/>
      <c r="AE119" s="96"/>
      <c r="AF119" s="96"/>
      <c r="AG119" s="96"/>
      <c r="AH119" s="96"/>
      <c r="AI119" s="96"/>
      <c r="AJ119" s="96"/>
      <c r="AK119" s="96"/>
      <c r="AL119" s="96"/>
      <c r="AM119" s="96"/>
      <c r="AN119" s="96"/>
      <c r="AO119" s="96"/>
      <c r="AP119" s="96"/>
      <c r="AQ119" s="96"/>
      <c r="AR119" s="96"/>
      <c r="AS119" s="96"/>
    </row>
    <row r="120" spans="1:45" s="94" customFormat="1" ht="15.75" customHeight="1" x14ac:dyDescent="0.35">
      <c r="A120" s="95"/>
      <c r="B120" s="153" t="s">
        <v>1377</v>
      </c>
      <c r="C120" s="145"/>
      <c r="D120" s="145"/>
      <c r="E120" s="145"/>
      <c r="F120" s="189"/>
      <c r="G120" s="189"/>
      <c r="H120" s="189"/>
      <c r="I120" s="189"/>
      <c r="J120" s="114"/>
      <c r="K120" s="114"/>
      <c r="L120" s="114"/>
      <c r="M120" s="102"/>
      <c r="N120" s="95"/>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c r="AP120" s="96"/>
      <c r="AQ120" s="96"/>
      <c r="AR120" s="96"/>
      <c r="AS120" s="96"/>
    </row>
    <row r="121" spans="1:45" s="94" customFormat="1" ht="15.75" customHeight="1" x14ac:dyDescent="0.35">
      <c r="A121" s="95"/>
      <c r="B121" s="153" t="s">
        <v>1378</v>
      </c>
      <c r="C121" s="145"/>
      <c r="D121" s="145"/>
      <c r="E121" s="145"/>
      <c r="F121" s="189"/>
      <c r="G121" s="189"/>
      <c r="H121" s="189"/>
      <c r="I121" s="189"/>
      <c r="J121" s="114"/>
      <c r="K121" s="114"/>
      <c r="L121" s="114"/>
      <c r="M121" s="102"/>
      <c r="N121" s="95"/>
      <c r="O121" s="96"/>
      <c r="P121" s="96"/>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6"/>
      <c r="AN121" s="96"/>
      <c r="AO121" s="96"/>
      <c r="AP121" s="96"/>
      <c r="AQ121" s="96"/>
      <c r="AR121" s="96"/>
      <c r="AS121" s="96"/>
    </row>
    <row r="122" spans="1:45" s="94" customFormat="1" ht="15.75" customHeight="1" x14ac:dyDescent="0.35">
      <c r="A122" s="95"/>
      <c r="B122" s="153" t="s">
        <v>1379</v>
      </c>
      <c r="C122" s="154">
        <f>C115</f>
        <v>0</v>
      </c>
      <c r="D122" s="154">
        <f>D115+D116*gwp_CH4+D117*gwp_N2O</f>
        <v>0</v>
      </c>
      <c r="E122" s="154">
        <f>SUM(C122:D122)</f>
        <v>0</v>
      </c>
      <c r="F122" s="189"/>
      <c r="G122" s="189"/>
      <c r="H122" s="189"/>
      <c r="I122" s="189"/>
      <c r="J122" s="114"/>
      <c r="K122" s="114"/>
      <c r="L122" s="114"/>
      <c r="M122" s="102"/>
      <c r="N122" s="95"/>
      <c r="O122" s="96"/>
      <c r="P122" s="96"/>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row>
    <row r="123" spans="1:45" s="94" customFormat="1" ht="15.75" customHeight="1" x14ac:dyDescent="0.2">
      <c r="A123" s="95"/>
      <c r="B123" s="190" t="s">
        <v>2319</v>
      </c>
      <c r="C123" s="169"/>
      <c r="D123" s="169"/>
      <c r="E123" s="169"/>
      <c r="F123" s="169"/>
      <c r="G123" s="189"/>
      <c r="H123" s="189"/>
      <c r="I123" s="189"/>
      <c r="J123" s="114"/>
      <c r="K123" s="114"/>
      <c r="L123" s="114"/>
      <c r="M123" s="114"/>
      <c r="N123" s="99"/>
      <c r="O123" s="95"/>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6"/>
      <c r="AN123" s="96"/>
      <c r="AO123" s="96"/>
      <c r="AP123" s="96"/>
      <c r="AQ123" s="96"/>
      <c r="AR123" s="96"/>
      <c r="AS123" s="96"/>
    </row>
    <row r="124" spans="1:45" s="94" customFormat="1" ht="15.75" customHeight="1" x14ac:dyDescent="0.2">
      <c r="A124" s="95"/>
      <c r="B124" s="190"/>
      <c r="C124" s="169"/>
      <c r="D124" s="169"/>
      <c r="E124" s="169"/>
      <c r="F124" s="169"/>
      <c r="G124" s="189"/>
      <c r="H124" s="189"/>
      <c r="I124" s="189"/>
      <c r="J124" s="114"/>
      <c r="K124" s="114"/>
      <c r="L124" s="114"/>
      <c r="M124" s="114"/>
      <c r="N124" s="99"/>
      <c r="O124" s="95"/>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c r="AP124" s="96"/>
      <c r="AQ124" s="96"/>
      <c r="AR124" s="96"/>
      <c r="AS124" s="96"/>
    </row>
    <row r="125" spans="1:45" s="94" customFormat="1" ht="15.75" customHeight="1" x14ac:dyDescent="0.2">
      <c r="A125" s="95"/>
      <c r="B125" s="191"/>
      <c r="C125" s="192"/>
      <c r="D125" s="192"/>
      <c r="E125" s="193"/>
      <c r="F125" s="193"/>
      <c r="G125" s="193"/>
      <c r="H125" s="193"/>
      <c r="I125" s="193"/>
      <c r="J125" s="114"/>
      <c r="K125" s="124"/>
      <c r="L125" s="104"/>
      <c r="M125" s="104"/>
      <c r="N125" s="99"/>
      <c r="O125" s="95"/>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c r="AP125" s="96"/>
      <c r="AQ125" s="96"/>
      <c r="AR125" s="96"/>
      <c r="AS125" s="96"/>
    </row>
    <row r="126" spans="1:45" ht="15.75" customHeight="1" x14ac:dyDescent="0.2">
      <c r="A126" s="95"/>
      <c r="B126" s="171"/>
      <c r="C126" s="169"/>
      <c r="D126" s="169"/>
      <c r="E126" s="169"/>
      <c r="F126" s="172"/>
      <c r="G126" s="194"/>
      <c r="H126" s="194"/>
      <c r="I126" s="194"/>
      <c r="J126" s="109"/>
      <c r="K126" s="114"/>
      <c r="L126" s="109"/>
      <c r="M126" s="126"/>
      <c r="N126" s="98"/>
      <c r="O126" s="95"/>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c r="AQ126" s="96"/>
      <c r="AR126" s="96"/>
      <c r="AS126" s="96"/>
    </row>
    <row r="127" spans="1:45" s="94" customFormat="1" ht="15.75" customHeight="1" x14ac:dyDescent="0.2">
      <c r="A127" s="95"/>
      <c r="B127" s="201" t="s">
        <v>2079</v>
      </c>
      <c r="C127" s="169"/>
      <c r="D127" s="169"/>
      <c r="E127" s="169"/>
      <c r="F127" s="172"/>
      <c r="G127" s="194"/>
      <c r="H127" s="194"/>
      <c r="I127" s="194"/>
      <c r="J127" s="109"/>
      <c r="K127" s="114"/>
      <c r="L127" s="109"/>
      <c r="M127" s="126"/>
      <c r="N127" s="98"/>
      <c r="O127" s="95"/>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c r="AQ127" s="96"/>
      <c r="AR127" s="96"/>
      <c r="AS127" s="96"/>
    </row>
    <row r="128" spans="1:45" s="91" customFormat="1" ht="15" customHeight="1" x14ac:dyDescent="0.2">
      <c r="A128" s="95"/>
      <c r="B128" s="171"/>
      <c r="C128" s="995" t="s">
        <v>310</v>
      </c>
      <c r="D128" s="988" t="s">
        <v>311</v>
      </c>
      <c r="E128" s="996" t="s">
        <v>312</v>
      </c>
      <c r="F128" s="988" t="s">
        <v>313</v>
      </c>
      <c r="G128" s="195"/>
      <c r="H128" s="194"/>
      <c r="I128" s="195"/>
      <c r="J128" s="2"/>
      <c r="K128" s="2"/>
      <c r="L128" s="2"/>
      <c r="M128" s="2"/>
      <c r="N128" s="124"/>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c r="AQ128" s="96"/>
      <c r="AR128" s="96"/>
      <c r="AS128" s="96"/>
    </row>
    <row r="129" spans="1:45" s="91" customFormat="1" ht="45" customHeight="1" x14ac:dyDescent="0.2">
      <c r="A129" s="95"/>
      <c r="B129" s="171"/>
      <c r="C129" s="999" t="str">
        <f>'Categorias de Ambito 3'!C23</f>
        <v>Bens e serviços comprados</v>
      </c>
      <c r="D129" s="1000" t="str">
        <f>'Categorias de Ambito 3'!E23</f>
        <v>Bens de capital</v>
      </c>
      <c r="E129" s="196" t="str">
        <f>'Categorias de Ambito 3'!G23</f>
        <v>Atividades relacionadas com combustíveis e energia não incluídas nos Âmbitos 1 e 2</v>
      </c>
      <c r="F129" s="1000" t="str">
        <f>'Categorias de Ambito 3'!AB23</f>
        <v>Transporte e distribuição 
(upstream)</v>
      </c>
      <c r="G129" s="195"/>
      <c r="H129" s="194"/>
      <c r="I129" s="195"/>
      <c r="N129" s="96"/>
      <c r="O129" s="96"/>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c r="AP129" s="96"/>
      <c r="AQ129" s="96"/>
      <c r="AR129" s="96"/>
      <c r="AS129" s="96"/>
    </row>
    <row r="130" spans="1:45" s="93" customFormat="1" ht="15.75" customHeight="1" x14ac:dyDescent="0.2">
      <c r="A130" s="95"/>
      <c r="B130" s="146" t="s">
        <v>1374</v>
      </c>
      <c r="C130" s="1168">
        <f>ROUND(total_Cat1_CO2,6)</f>
        <v>0</v>
      </c>
      <c r="D130" s="1168">
        <f>ROUND(total_Cat2_CO2,6)</f>
        <v>0</v>
      </c>
      <c r="E130" s="1168">
        <f>ROUND(total_Cat3_CO2,6)</f>
        <v>0</v>
      </c>
      <c r="F130" s="1168">
        <f>total_Cat4_op_CO2</f>
        <v>0</v>
      </c>
      <c r="G130" s="195"/>
      <c r="H130" s="194"/>
      <c r="I130" s="195"/>
      <c r="N130" s="95"/>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c r="AP130" s="96"/>
      <c r="AQ130" s="96"/>
      <c r="AR130" s="96"/>
      <c r="AS130" s="96"/>
    </row>
    <row r="131" spans="1:45" s="94" customFormat="1" ht="15.75" customHeight="1" x14ac:dyDescent="0.2">
      <c r="A131" s="95"/>
      <c r="B131" s="146" t="s">
        <v>1375</v>
      </c>
      <c r="C131" s="1168">
        <f>ROUND(total_Cat1_CH4,6)</f>
        <v>0</v>
      </c>
      <c r="D131" s="1168">
        <f>ROUND(total_Cat2_CH4,6)</f>
        <v>0</v>
      </c>
      <c r="E131" s="1168">
        <f>ROUND(total_Cat3_CH4,6)</f>
        <v>0</v>
      </c>
      <c r="F131" s="1168">
        <f>total_Cat4_op_CH4</f>
        <v>0</v>
      </c>
      <c r="G131" s="195"/>
      <c r="H131" s="194"/>
      <c r="I131" s="195"/>
      <c r="N131" s="95"/>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c r="AP131" s="96"/>
      <c r="AQ131" s="96"/>
      <c r="AR131" s="96"/>
      <c r="AS131" s="96"/>
    </row>
    <row r="132" spans="1:45" s="94" customFormat="1" ht="15.75" customHeight="1" x14ac:dyDescent="0.2">
      <c r="A132" s="95"/>
      <c r="B132" s="146" t="s">
        <v>1376</v>
      </c>
      <c r="C132" s="1168">
        <f>ROUND(total_Cat1_N2O,6)</f>
        <v>0</v>
      </c>
      <c r="D132" s="1168">
        <f>ROUND(total_Cat2_N2O,6)</f>
        <v>0</v>
      </c>
      <c r="E132" s="1168">
        <f>ROUND(total_Cat3_N2O,6)</f>
        <v>0</v>
      </c>
      <c r="F132" s="1168">
        <f>total_Cat4_op_N2O</f>
        <v>0</v>
      </c>
      <c r="G132" s="195"/>
      <c r="H132" s="194"/>
      <c r="I132" s="195"/>
      <c r="N132" s="95"/>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c r="AP132" s="96"/>
      <c r="AQ132" s="96"/>
      <c r="AR132" s="96"/>
      <c r="AS132" s="96"/>
    </row>
    <row r="133" spans="1:45" s="94" customFormat="1" ht="15.75" customHeight="1" collapsed="1" x14ac:dyDescent="0.2">
      <c r="A133" s="95"/>
      <c r="B133" s="146" t="s">
        <v>282</v>
      </c>
      <c r="C133" s="1168">
        <f>ROUND(total_Cat1_HFC,6)</f>
        <v>0</v>
      </c>
      <c r="D133" s="1168">
        <f>ROUND(total_Cat2_HFC,6)</f>
        <v>0</v>
      </c>
      <c r="E133" s="1168">
        <f>ROUND(total_Cat3_HFC, 6)</f>
        <v>0</v>
      </c>
      <c r="F133" s="1124"/>
      <c r="G133" s="195"/>
      <c r="H133" s="194"/>
      <c r="I133" s="195"/>
      <c r="N133" s="95"/>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c r="AP133" s="96"/>
      <c r="AQ133" s="96"/>
      <c r="AR133" s="96"/>
      <c r="AS133" s="96"/>
    </row>
    <row r="134" spans="1:45" s="94" customFormat="1" ht="15.75" hidden="1" customHeight="1" outlineLevel="1" x14ac:dyDescent="0.2">
      <c r="A134" s="95"/>
      <c r="B134" s="148" t="s">
        <v>85</v>
      </c>
      <c r="C134" s="1168">
        <f>ROUND('Categorias de Ambito 3'!C29,6)</f>
        <v>0</v>
      </c>
      <c r="D134" s="1168">
        <f>ROUND('Categorias de Ambito 3'!E29,6)</f>
        <v>0</v>
      </c>
      <c r="E134" s="1168">
        <f>ROUND('Categorias de Ambito 3'!G29,6)</f>
        <v>0</v>
      </c>
      <c r="F134" s="1124"/>
      <c r="G134" s="195"/>
      <c r="H134" s="194"/>
      <c r="I134" s="195"/>
      <c r="N134" s="95"/>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c r="AP134" s="96"/>
      <c r="AQ134" s="96"/>
      <c r="AR134" s="96"/>
      <c r="AS134" s="96"/>
    </row>
    <row r="135" spans="1:45" s="94" customFormat="1" ht="15.75" hidden="1" customHeight="1" outlineLevel="1" x14ac:dyDescent="0.2">
      <c r="A135" s="95"/>
      <c r="B135" s="148" t="s">
        <v>86</v>
      </c>
      <c r="C135" s="1168">
        <f>ROUND('Categorias de Ambito 3'!C30,6)</f>
        <v>0</v>
      </c>
      <c r="D135" s="1168">
        <f>ROUND('Categorias de Ambito 3'!E30,6)</f>
        <v>0</v>
      </c>
      <c r="E135" s="1168">
        <f>ROUND('Categorias de Ambito 3'!G30,6)</f>
        <v>0</v>
      </c>
      <c r="F135" s="1124"/>
      <c r="G135" s="195"/>
      <c r="H135" s="194"/>
      <c r="I135" s="195"/>
      <c r="N135" s="95"/>
      <c r="O135" s="96"/>
      <c r="P135" s="96"/>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c r="AP135" s="96"/>
      <c r="AQ135" s="96"/>
      <c r="AR135" s="96"/>
      <c r="AS135" s="96"/>
    </row>
    <row r="136" spans="1:45" s="94" customFormat="1" ht="15.75" hidden="1" customHeight="1" outlineLevel="1" x14ac:dyDescent="0.2">
      <c r="A136" s="95"/>
      <c r="B136" s="148" t="s">
        <v>285</v>
      </c>
      <c r="C136" s="1168">
        <f>ROUND('Categorias de Ambito 3'!C31,6)</f>
        <v>0</v>
      </c>
      <c r="D136" s="1168">
        <f>ROUND('Categorias de Ambito 3'!E31,6)</f>
        <v>0</v>
      </c>
      <c r="E136" s="1168">
        <f>ROUND('Categorias de Ambito 3'!G31,6)</f>
        <v>0</v>
      </c>
      <c r="F136" s="1124"/>
      <c r="G136" s="195"/>
      <c r="H136" s="194"/>
      <c r="I136" s="195"/>
      <c r="N136" s="95"/>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row>
    <row r="137" spans="1:45" s="94" customFormat="1" ht="15.75" hidden="1" customHeight="1" outlineLevel="1" x14ac:dyDescent="0.2">
      <c r="A137" s="95"/>
      <c r="B137" s="148" t="s">
        <v>87</v>
      </c>
      <c r="C137" s="1168">
        <f>ROUND('Categorias de Ambito 3'!C32,6)</f>
        <v>0</v>
      </c>
      <c r="D137" s="1168">
        <f>ROUND('Categorias de Ambito 3'!E32,6)</f>
        <v>0</v>
      </c>
      <c r="E137" s="1168">
        <f>ROUND('Categorias de Ambito 3'!G32,6)</f>
        <v>0</v>
      </c>
      <c r="F137" s="1124"/>
      <c r="G137" s="195"/>
      <c r="H137" s="194"/>
      <c r="I137" s="195"/>
      <c r="N137" s="95"/>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row>
    <row r="138" spans="1:45" s="94" customFormat="1" ht="15.75" hidden="1" customHeight="1" outlineLevel="1" x14ac:dyDescent="0.2">
      <c r="A138" s="95"/>
      <c r="B138" s="148" t="s">
        <v>287</v>
      </c>
      <c r="C138" s="1168">
        <f>ROUND('Categorias de Ambito 3'!C33,6)</f>
        <v>0</v>
      </c>
      <c r="D138" s="1168">
        <f>ROUND('Categorias de Ambito 3'!E33,6)</f>
        <v>0</v>
      </c>
      <c r="E138" s="1168">
        <f>ROUND('Categorias de Ambito 3'!G33,6)</f>
        <v>0</v>
      </c>
      <c r="F138" s="1124"/>
      <c r="G138" s="195"/>
      <c r="H138" s="194"/>
      <c r="I138" s="195"/>
      <c r="N138" s="95"/>
      <c r="O138" s="96"/>
      <c r="P138" s="96"/>
      <c r="Q138" s="96"/>
      <c r="R138" s="96"/>
      <c r="S138" s="96"/>
      <c r="T138" s="96"/>
      <c r="U138" s="96"/>
      <c r="V138" s="96"/>
      <c r="W138" s="96"/>
      <c r="X138" s="96"/>
      <c r="Y138" s="96"/>
      <c r="Z138" s="96"/>
      <c r="AA138" s="96"/>
      <c r="AB138" s="96"/>
      <c r="AC138" s="96"/>
      <c r="AD138" s="96"/>
      <c r="AE138" s="96"/>
      <c r="AF138" s="96"/>
      <c r="AG138" s="96"/>
      <c r="AH138" s="96"/>
      <c r="AI138" s="96"/>
      <c r="AJ138" s="96"/>
      <c r="AK138" s="96"/>
      <c r="AL138" s="96"/>
      <c r="AM138" s="96"/>
      <c r="AN138" s="96"/>
      <c r="AO138" s="96"/>
      <c r="AP138" s="96"/>
      <c r="AQ138" s="96"/>
      <c r="AR138" s="96"/>
      <c r="AS138" s="96"/>
    </row>
    <row r="139" spans="1:45" s="94" customFormat="1" ht="15.75" hidden="1" customHeight="1" outlineLevel="1" x14ac:dyDescent="0.2">
      <c r="A139" s="95"/>
      <c r="B139" s="148" t="s">
        <v>88</v>
      </c>
      <c r="C139" s="1168">
        <f>ROUND('Categorias de Ambito 3'!C34,6)</f>
        <v>0</v>
      </c>
      <c r="D139" s="1168">
        <f>ROUND('Categorias de Ambito 3'!E34,6)</f>
        <v>0</v>
      </c>
      <c r="E139" s="1168">
        <f>ROUND('Categorias de Ambito 3'!G34,6)</f>
        <v>0</v>
      </c>
      <c r="F139" s="1124"/>
      <c r="G139" s="195"/>
      <c r="H139" s="194"/>
      <c r="I139" s="195"/>
      <c r="N139" s="95"/>
      <c r="O139" s="96"/>
      <c r="P139" s="96"/>
      <c r="Q139" s="96"/>
      <c r="R139" s="96"/>
      <c r="S139" s="96"/>
      <c r="T139" s="96"/>
      <c r="U139" s="96"/>
      <c r="V139" s="96"/>
      <c r="W139" s="96"/>
      <c r="X139" s="96"/>
      <c r="Y139" s="96"/>
      <c r="Z139" s="96"/>
      <c r="AA139" s="96"/>
      <c r="AB139" s="96"/>
      <c r="AC139" s="96"/>
      <c r="AD139" s="96"/>
      <c r="AE139" s="96"/>
      <c r="AF139" s="96"/>
      <c r="AG139" s="96"/>
      <c r="AH139" s="96"/>
      <c r="AI139" s="96"/>
      <c r="AJ139" s="96"/>
      <c r="AK139" s="96"/>
      <c r="AL139" s="96"/>
      <c r="AM139" s="96"/>
      <c r="AN139" s="96"/>
      <c r="AO139" s="96"/>
      <c r="AP139" s="96"/>
      <c r="AQ139" s="96"/>
      <c r="AR139" s="96"/>
      <c r="AS139" s="96"/>
    </row>
    <row r="140" spans="1:45" s="94" customFormat="1" ht="15.75" hidden="1" customHeight="1" outlineLevel="1" x14ac:dyDescent="0.2">
      <c r="A140" s="95"/>
      <c r="B140" s="148" t="s">
        <v>288</v>
      </c>
      <c r="C140" s="1168">
        <f>ROUND('Categorias de Ambito 3'!C35,6)</f>
        <v>0</v>
      </c>
      <c r="D140" s="1168">
        <f>ROUND('Categorias de Ambito 3'!E35,6)</f>
        <v>0</v>
      </c>
      <c r="E140" s="1168">
        <f>ROUND('Categorias de Ambito 3'!G35,6)</f>
        <v>0</v>
      </c>
      <c r="F140" s="1124"/>
      <c r="G140" s="195"/>
      <c r="H140" s="194"/>
      <c r="I140" s="195"/>
      <c r="N140" s="95"/>
      <c r="O140" s="96"/>
      <c r="P140" s="96"/>
      <c r="Q140" s="96"/>
      <c r="R140" s="96"/>
      <c r="S140" s="96"/>
      <c r="T140" s="96"/>
      <c r="U140" s="96"/>
      <c r="V140" s="96"/>
      <c r="W140" s="96"/>
      <c r="X140" s="96"/>
      <c r="Y140" s="96"/>
      <c r="Z140" s="96"/>
      <c r="AA140" s="96"/>
      <c r="AB140" s="96"/>
      <c r="AC140" s="96"/>
      <c r="AD140" s="96"/>
      <c r="AE140" s="96"/>
      <c r="AF140" s="96"/>
      <c r="AG140" s="96"/>
      <c r="AH140" s="96"/>
      <c r="AI140" s="96"/>
      <c r="AJ140" s="96"/>
      <c r="AK140" s="96"/>
      <c r="AL140" s="96"/>
      <c r="AM140" s="96"/>
      <c r="AN140" s="96"/>
      <c r="AO140" s="96"/>
      <c r="AP140" s="96"/>
      <c r="AQ140" s="96"/>
      <c r="AR140" s="96"/>
      <c r="AS140" s="96"/>
    </row>
    <row r="141" spans="1:45" s="94" customFormat="1" ht="15.75" hidden="1" customHeight="1" outlineLevel="1" x14ac:dyDescent="0.2">
      <c r="A141" s="95"/>
      <c r="B141" s="148" t="s">
        <v>107</v>
      </c>
      <c r="C141" s="1168">
        <f>ROUND('Categorias de Ambito 3'!C36,6)</f>
        <v>0</v>
      </c>
      <c r="D141" s="1168">
        <f>ROUND('Categorias de Ambito 3'!E36,6)</f>
        <v>0</v>
      </c>
      <c r="E141" s="1168">
        <f>ROUND('Categorias de Ambito 3'!G36,6)</f>
        <v>0</v>
      </c>
      <c r="F141" s="1124"/>
      <c r="G141" s="195"/>
      <c r="H141" s="194"/>
      <c r="I141" s="195"/>
      <c r="N141" s="95"/>
      <c r="O141" s="96"/>
      <c r="P141" s="96"/>
      <c r="Q141" s="96"/>
      <c r="R141" s="96"/>
      <c r="S141" s="96"/>
      <c r="T141" s="96"/>
      <c r="U141" s="96"/>
      <c r="V141" s="96"/>
      <c r="W141" s="96"/>
      <c r="X141" s="96"/>
      <c r="Y141" s="96"/>
      <c r="Z141" s="96"/>
      <c r="AA141" s="96"/>
      <c r="AB141" s="96"/>
      <c r="AC141" s="96"/>
      <c r="AD141" s="96"/>
      <c r="AE141" s="96"/>
      <c r="AF141" s="96"/>
      <c r="AG141" s="96"/>
      <c r="AH141" s="96"/>
      <c r="AI141" s="96"/>
      <c r="AJ141" s="96"/>
      <c r="AK141" s="96"/>
      <c r="AL141" s="96"/>
      <c r="AM141" s="96"/>
      <c r="AN141" s="96"/>
      <c r="AO141" s="96"/>
      <c r="AP141" s="96"/>
      <c r="AQ141" s="96"/>
      <c r="AR141" s="96"/>
      <c r="AS141" s="96"/>
    </row>
    <row r="142" spans="1:45" s="94" customFormat="1" ht="15.75" hidden="1" customHeight="1" outlineLevel="1" x14ac:dyDescent="0.2">
      <c r="A142" s="95"/>
      <c r="B142" s="148" t="s">
        <v>289</v>
      </c>
      <c r="C142" s="1168">
        <f>ROUND('Categorias de Ambito 3'!C37,6)</f>
        <v>0</v>
      </c>
      <c r="D142" s="1168">
        <f>ROUND('Categorias de Ambito 3'!E37,6)</f>
        <v>0</v>
      </c>
      <c r="E142" s="1168">
        <f>ROUND('Categorias de Ambito 3'!G37,6)</f>
        <v>0</v>
      </c>
      <c r="F142" s="1124"/>
      <c r="G142" s="195"/>
      <c r="H142" s="194"/>
      <c r="I142" s="195"/>
      <c r="N142" s="95"/>
      <c r="O142" s="96"/>
      <c r="P142" s="96"/>
      <c r="Q142" s="96"/>
      <c r="R142" s="96"/>
      <c r="S142" s="96"/>
      <c r="T142" s="96"/>
      <c r="U142" s="96"/>
      <c r="V142" s="96"/>
      <c r="W142" s="96"/>
      <c r="X142" s="96"/>
      <c r="Y142" s="96"/>
      <c r="Z142" s="96"/>
      <c r="AA142" s="96"/>
      <c r="AB142" s="96"/>
      <c r="AC142" s="96"/>
      <c r="AD142" s="96"/>
      <c r="AE142" s="96"/>
      <c r="AF142" s="96"/>
      <c r="AG142" s="96"/>
      <c r="AH142" s="96"/>
      <c r="AI142" s="96"/>
      <c r="AJ142" s="96"/>
      <c r="AK142" s="96"/>
      <c r="AL142" s="96"/>
      <c r="AM142" s="96"/>
      <c r="AN142" s="96"/>
      <c r="AO142" s="96"/>
      <c r="AP142" s="96"/>
      <c r="AQ142" s="96"/>
      <c r="AR142" s="96"/>
      <c r="AS142" s="96"/>
    </row>
    <row r="143" spans="1:45" s="94" customFormat="1" ht="15.75" hidden="1" customHeight="1" outlineLevel="1" x14ac:dyDescent="0.2">
      <c r="A143" s="95"/>
      <c r="B143" s="148" t="s">
        <v>108</v>
      </c>
      <c r="C143" s="1168">
        <f>ROUND('Categorias de Ambito 3'!C38,6)</f>
        <v>0</v>
      </c>
      <c r="D143" s="1168">
        <f>ROUND('Categorias de Ambito 3'!E38,6)</f>
        <v>0</v>
      </c>
      <c r="E143" s="1168">
        <f>ROUND('Categorias de Ambito 3'!G38,6)</f>
        <v>0</v>
      </c>
      <c r="F143" s="1124"/>
      <c r="G143" s="195"/>
      <c r="H143" s="194"/>
      <c r="I143" s="195"/>
      <c r="N143" s="95"/>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row>
    <row r="144" spans="1:45" s="94" customFormat="1" ht="15.75" hidden="1" customHeight="1" outlineLevel="1" x14ac:dyDescent="0.2">
      <c r="A144" s="95"/>
      <c r="B144" s="148" t="s">
        <v>290</v>
      </c>
      <c r="C144" s="1168">
        <f>ROUND('Categorias de Ambito 3'!C39,6)</f>
        <v>0</v>
      </c>
      <c r="D144" s="1168">
        <f>ROUND('Categorias de Ambito 3'!E39,6)</f>
        <v>0</v>
      </c>
      <c r="E144" s="1168">
        <f>ROUND('Categorias de Ambito 3'!G39,6)</f>
        <v>0</v>
      </c>
      <c r="F144" s="1124"/>
      <c r="G144" s="195"/>
      <c r="H144" s="194"/>
      <c r="I144" s="195"/>
      <c r="N144" s="95"/>
      <c r="O144" s="96"/>
      <c r="P144" s="96"/>
      <c r="Q144" s="96"/>
      <c r="R144" s="96"/>
      <c r="S144" s="96"/>
      <c r="T144" s="96"/>
      <c r="U144" s="96"/>
      <c r="V144" s="96"/>
      <c r="W144" s="96"/>
      <c r="X144" s="96"/>
      <c r="Y144" s="96"/>
      <c r="Z144" s="96"/>
      <c r="AA144" s="96"/>
      <c r="AB144" s="96"/>
      <c r="AC144" s="96"/>
      <c r="AD144" s="96"/>
      <c r="AE144" s="96"/>
      <c r="AF144" s="96"/>
      <c r="AG144" s="96"/>
      <c r="AH144" s="96"/>
      <c r="AI144" s="96"/>
      <c r="AJ144" s="96"/>
      <c r="AK144" s="96"/>
      <c r="AL144" s="96"/>
      <c r="AM144" s="96"/>
      <c r="AN144" s="96"/>
      <c r="AO144" s="96"/>
      <c r="AP144" s="96"/>
      <c r="AQ144" s="96"/>
      <c r="AR144" s="96"/>
      <c r="AS144" s="96"/>
    </row>
    <row r="145" spans="1:45" s="94" customFormat="1" ht="15.75" hidden="1" customHeight="1" outlineLevel="1" x14ac:dyDescent="0.2">
      <c r="A145" s="95"/>
      <c r="B145" s="148" t="s">
        <v>291</v>
      </c>
      <c r="C145" s="1168">
        <f>ROUND('Categorias de Ambito 3'!C40,6)</f>
        <v>0</v>
      </c>
      <c r="D145" s="1168">
        <f>ROUND('Categorias de Ambito 3'!E40,6)</f>
        <v>0</v>
      </c>
      <c r="E145" s="1168">
        <f>ROUND('Categorias de Ambito 3'!G40,6)</f>
        <v>0</v>
      </c>
      <c r="F145" s="1124"/>
      <c r="G145" s="195"/>
      <c r="H145" s="194"/>
      <c r="I145" s="195"/>
      <c r="N145" s="95"/>
      <c r="O145" s="96"/>
      <c r="P145" s="96"/>
      <c r="Q145" s="96"/>
      <c r="R145" s="96"/>
      <c r="S145" s="96"/>
      <c r="T145" s="96"/>
      <c r="U145" s="96"/>
      <c r="V145" s="96"/>
      <c r="W145" s="96"/>
      <c r="X145" s="96"/>
      <c r="Y145" s="96"/>
      <c r="Z145" s="96"/>
      <c r="AA145" s="96"/>
      <c r="AB145" s="96"/>
      <c r="AC145" s="96"/>
      <c r="AD145" s="96"/>
      <c r="AE145" s="96"/>
      <c r="AF145" s="96"/>
      <c r="AG145" s="96"/>
      <c r="AH145" s="96"/>
      <c r="AI145" s="96"/>
      <c r="AJ145" s="96"/>
      <c r="AK145" s="96"/>
      <c r="AL145" s="96"/>
      <c r="AM145" s="96"/>
      <c r="AN145" s="96"/>
      <c r="AO145" s="96"/>
      <c r="AP145" s="96"/>
      <c r="AQ145" s="96"/>
      <c r="AR145" s="96"/>
      <c r="AS145" s="96"/>
    </row>
    <row r="146" spans="1:45" s="94" customFormat="1" ht="15.75" hidden="1" customHeight="1" outlineLevel="1" x14ac:dyDescent="0.2">
      <c r="A146" s="95"/>
      <c r="B146" s="148" t="s">
        <v>292</v>
      </c>
      <c r="C146" s="1168">
        <f>ROUND('Categorias de Ambito 3'!C41,6)</f>
        <v>0</v>
      </c>
      <c r="D146" s="1168">
        <f>ROUND('Categorias de Ambito 3'!E41,6)</f>
        <v>0</v>
      </c>
      <c r="E146" s="1168">
        <f>ROUND('Categorias de Ambito 3'!G41,6)</f>
        <v>0</v>
      </c>
      <c r="F146" s="1124"/>
      <c r="G146" s="195"/>
      <c r="H146" s="194"/>
      <c r="I146" s="195"/>
      <c r="N146" s="95"/>
      <c r="O146" s="96"/>
      <c r="P146" s="96"/>
      <c r="Q146" s="96"/>
      <c r="R146" s="96"/>
      <c r="S146" s="96"/>
      <c r="T146" s="96"/>
      <c r="U146" s="96"/>
      <c r="V146" s="96"/>
      <c r="W146" s="96"/>
      <c r="X146" s="96"/>
      <c r="Y146" s="96"/>
      <c r="Z146" s="96"/>
      <c r="AA146" s="96"/>
      <c r="AB146" s="96"/>
      <c r="AC146" s="96"/>
      <c r="AD146" s="96"/>
      <c r="AE146" s="96"/>
      <c r="AF146" s="96"/>
      <c r="AG146" s="96"/>
      <c r="AH146" s="96"/>
      <c r="AI146" s="96"/>
      <c r="AJ146" s="96"/>
      <c r="AK146" s="96"/>
      <c r="AL146" s="96"/>
      <c r="AM146" s="96"/>
      <c r="AN146" s="96"/>
      <c r="AO146" s="96"/>
      <c r="AP146" s="96"/>
      <c r="AQ146" s="96"/>
      <c r="AR146" s="96"/>
      <c r="AS146" s="96"/>
    </row>
    <row r="147" spans="1:45" s="94" customFormat="1" ht="15.75" hidden="1" customHeight="1" outlineLevel="1" x14ac:dyDescent="0.2">
      <c r="A147" s="95"/>
      <c r="B147" s="148" t="s">
        <v>293</v>
      </c>
      <c r="C147" s="1168">
        <f>ROUND('Categorias de Ambito 3'!C42,6)</f>
        <v>0</v>
      </c>
      <c r="D147" s="1168">
        <f>ROUND('Categorias de Ambito 3'!E42,6)</f>
        <v>0</v>
      </c>
      <c r="E147" s="1168">
        <f>ROUND('Categorias de Ambito 3'!G42,6)</f>
        <v>0</v>
      </c>
      <c r="F147" s="1124"/>
      <c r="G147" s="195"/>
      <c r="H147" s="194"/>
      <c r="I147" s="195"/>
      <c r="N147" s="95"/>
      <c r="O147" s="96"/>
      <c r="P147" s="96"/>
      <c r="Q147" s="96"/>
      <c r="R147" s="96"/>
      <c r="S147" s="96"/>
      <c r="T147" s="96"/>
      <c r="U147" s="96"/>
      <c r="V147" s="96"/>
      <c r="W147" s="96"/>
      <c r="X147" s="96"/>
      <c r="Y147" s="96"/>
      <c r="Z147" s="96"/>
      <c r="AA147" s="96"/>
      <c r="AB147" s="96"/>
      <c r="AC147" s="96"/>
      <c r="AD147" s="96"/>
      <c r="AE147" s="96"/>
      <c r="AF147" s="96"/>
      <c r="AG147" s="96"/>
      <c r="AH147" s="96"/>
      <c r="AI147" s="96"/>
      <c r="AJ147" s="96"/>
      <c r="AK147" s="96"/>
      <c r="AL147" s="96"/>
      <c r="AM147" s="96"/>
      <c r="AN147" s="96"/>
      <c r="AO147" s="96"/>
      <c r="AP147" s="96"/>
      <c r="AQ147" s="96"/>
      <c r="AR147" s="96"/>
      <c r="AS147" s="96"/>
    </row>
    <row r="148" spans="1:45" s="94" customFormat="1" ht="15.75" hidden="1" customHeight="1" outlineLevel="1" x14ac:dyDescent="0.2">
      <c r="A148" s="95"/>
      <c r="B148" s="148" t="s">
        <v>109</v>
      </c>
      <c r="C148" s="1168">
        <f>ROUND('Categorias de Ambito 3'!C43,6)</f>
        <v>0</v>
      </c>
      <c r="D148" s="1168">
        <f>ROUND('Categorias de Ambito 3'!E43,6)</f>
        <v>0</v>
      </c>
      <c r="E148" s="1168">
        <f>ROUND('Categorias de Ambito 3'!G43,6)</f>
        <v>0</v>
      </c>
      <c r="F148" s="1124"/>
      <c r="G148" s="195"/>
      <c r="H148" s="194"/>
      <c r="I148" s="195"/>
      <c r="N148" s="95"/>
      <c r="O148" s="96"/>
      <c r="P148" s="96"/>
      <c r="Q148" s="96"/>
      <c r="R148" s="96"/>
      <c r="S148" s="96"/>
      <c r="T148" s="96"/>
      <c r="U148" s="96"/>
      <c r="V148" s="96"/>
      <c r="W148" s="96"/>
      <c r="X148" s="96"/>
      <c r="Y148" s="96"/>
      <c r="Z148" s="96"/>
      <c r="AA148" s="96"/>
      <c r="AB148" s="96"/>
      <c r="AC148" s="96"/>
      <c r="AD148" s="96"/>
      <c r="AE148" s="96"/>
      <c r="AF148" s="96"/>
      <c r="AG148" s="96"/>
      <c r="AH148" s="96"/>
      <c r="AI148" s="96"/>
      <c r="AJ148" s="96"/>
      <c r="AK148" s="96"/>
      <c r="AL148" s="96"/>
      <c r="AM148" s="96"/>
      <c r="AN148" s="96"/>
      <c r="AO148" s="96"/>
      <c r="AP148" s="96"/>
      <c r="AQ148" s="96"/>
      <c r="AR148" s="96"/>
      <c r="AS148" s="96"/>
    </row>
    <row r="149" spans="1:45" s="94" customFormat="1" ht="15.75" hidden="1" customHeight="1" outlineLevel="1" x14ac:dyDescent="0.2">
      <c r="A149" s="95"/>
      <c r="B149" s="148" t="s">
        <v>294</v>
      </c>
      <c r="C149" s="1168">
        <f>ROUND('Categorias de Ambito 3'!C44,6)</f>
        <v>0</v>
      </c>
      <c r="D149" s="1168">
        <f>ROUND('Categorias de Ambito 3'!E44,6)</f>
        <v>0</v>
      </c>
      <c r="E149" s="1168">
        <f>ROUND('Categorias de Ambito 3'!G44,6)</f>
        <v>0</v>
      </c>
      <c r="F149" s="1124"/>
      <c r="G149" s="195"/>
      <c r="H149" s="194"/>
      <c r="I149" s="195"/>
      <c r="N149" s="95"/>
      <c r="O149" s="96"/>
      <c r="P149" s="96"/>
      <c r="Q149" s="96"/>
      <c r="R149" s="96"/>
      <c r="S149" s="96"/>
      <c r="T149" s="96"/>
      <c r="U149" s="96"/>
      <c r="V149" s="96"/>
      <c r="W149" s="96"/>
      <c r="X149" s="96"/>
      <c r="Y149" s="96"/>
      <c r="Z149" s="96"/>
      <c r="AA149" s="96"/>
      <c r="AB149" s="96"/>
      <c r="AC149" s="96"/>
      <c r="AD149" s="96"/>
      <c r="AE149" s="96"/>
      <c r="AF149" s="96"/>
      <c r="AG149" s="96"/>
      <c r="AH149" s="96"/>
      <c r="AI149" s="96"/>
      <c r="AJ149" s="96"/>
      <c r="AK149" s="96"/>
      <c r="AL149" s="96"/>
      <c r="AM149" s="96"/>
      <c r="AN149" s="96"/>
      <c r="AO149" s="96"/>
      <c r="AP149" s="96"/>
      <c r="AQ149" s="96"/>
      <c r="AR149" s="96"/>
      <c r="AS149" s="96"/>
    </row>
    <row r="150" spans="1:45" s="94" customFormat="1" ht="15.75" hidden="1" customHeight="1" outlineLevel="1" x14ac:dyDescent="0.2">
      <c r="A150" s="95"/>
      <c r="B150" s="148" t="s">
        <v>295</v>
      </c>
      <c r="C150" s="1168">
        <f>ROUND('Categorias de Ambito 3'!C45,6)</f>
        <v>0</v>
      </c>
      <c r="D150" s="1168">
        <f>ROUND('Categorias de Ambito 3'!E45,6)</f>
        <v>0</v>
      </c>
      <c r="E150" s="1168">
        <f>ROUND('Categorias de Ambito 3'!G45,6)</f>
        <v>0</v>
      </c>
      <c r="F150" s="1124"/>
      <c r="G150" s="195"/>
      <c r="H150" s="194"/>
      <c r="I150" s="195"/>
      <c r="N150" s="95"/>
      <c r="O150" s="96"/>
      <c r="P150" s="96"/>
      <c r="Q150" s="96"/>
      <c r="R150" s="96"/>
      <c r="S150" s="96"/>
      <c r="T150" s="96"/>
      <c r="U150" s="96"/>
      <c r="V150" s="96"/>
      <c r="W150" s="96"/>
      <c r="X150" s="96"/>
      <c r="Y150" s="96"/>
      <c r="Z150" s="96"/>
      <c r="AA150" s="96"/>
      <c r="AB150" s="96"/>
      <c r="AC150" s="96"/>
      <c r="AD150" s="96"/>
      <c r="AE150" s="96"/>
      <c r="AF150" s="96"/>
      <c r="AG150" s="96"/>
      <c r="AH150" s="96"/>
      <c r="AI150" s="96"/>
      <c r="AJ150" s="96"/>
      <c r="AK150" s="96"/>
      <c r="AL150" s="96"/>
      <c r="AM150" s="96"/>
      <c r="AN150" s="96"/>
      <c r="AO150" s="96"/>
      <c r="AP150" s="96"/>
      <c r="AQ150" s="96"/>
      <c r="AR150" s="96"/>
      <c r="AS150" s="96"/>
    </row>
    <row r="151" spans="1:45" s="94" customFormat="1" ht="15.75" hidden="1" customHeight="1" outlineLevel="1" x14ac:dyDescent="0.2">
      <c r="A151" s="95"/>
      <c r="B151" s="148" t="s">
        <v>296</v>
      </c>
      <c r="C151" s="1168">
        <f>ROUND('Categorias de Ambito 3'!C46,6)</f>
        <v>0</v>
      </c>
      <c r="D151" s="1168">
        <f>ROUND('Categorias de Ambito 3'!E46,6)</f>
        <v>0</v>
      </c>
      <c r="E151" s="1168">
        <f>ROUND('Categorias de Ambito 3'!G46,6)</f>
        <v>0</v>
      </c>
      <c r="F151" s="1124"/>
      <c r="G151" s="195"/>
      <c r="H151" s="194"/>
      <c r="I151" s="195"/>
      <c r="N151" s="95"/>
      <c r="O151" s="96"/>
      <c r="P151" s="96"/>
      <c r="Q151" s="96"/>
      <c r="R151" s="96"/>
      <c r="S151" s="96"/>
      <c r="T151" s="96"/>
      <c r="U151" s="96"/>
      <c r="V151" s="96"/>
      <c r="W151" s="96"/>
      <c r="X151" s="96"/>
      <c r="Y151" s="96"/>
      <c r="Z151" s="96"/>
      <c r="AA151" s="96"/>
      <c r="AB151" s="96"/>
      <c r="AC151" s="96"/>
      <c r="AD151" s="96"/>
      <c r="AE151" s="96"/>
      <c r="AF151" s="96"/>
      <c r="AG151" s="96"/>
      <c r="AH151" s="96"/>
      <c r="AI151" s="96"/>
      <c r="AJ151" s="96"/>
      <c r="AK151" s="96"/>
      <c r="AL151" s="96"/>
      <c r="AM151" s="96"/>
      <c r="AN151" s="96"/>
      <c r="AO151" s="96"/>
      <c r="AP151" s="96"/>
      <c r="AQ151" s="96"/>
      <c r="AR151" s="96"/>
      <c r="AS151" s="96"/>
    </row>
    <row r="152" spans="1:45" s="94" customFormat="1" ht="15.75" hidden="1" customHeight="1" outlineLevel="1" x14ac:dyDescent="0.2">
      <c r="A152" s="95"/>
      <c r="B152" s="148" t="s">
        <v>286</v>
      </c>
      <c r="C152" s="1168">
        <f>ROUND('Categorias de Ambito 3'!C47,6)</f>
        <v>0</v>
      </c>
      <c r="D152" s="1168">
        <f>ROUND('Categorias de Ambito 3'!E47,6)</f>
        <v>0</v>
      </c>
      <c r="E152" s="1168">
        <f>ROUND('Categorias de Ambito 3'!G47,6)</f>
        <v>0</v>
      </c>
      <c r="F152" s="1124"/>
      <c r="G152" s="195"/>
      <c r="H152" s="194"/>
      <c r="I152" s="195"/>
      <c r="N152" s="95"/>
      <c r="O152" s="96"/>
      <c r="P152" s="96"/>
      <c r="Q152" s="96"/>
      <c r="R152" s="96"/>
      <c r="S152" s="96"/>
      <c r="T152" s="96"/>
      <c r="U152" s="96"/>
      <c r="V152" s="96"/>
      <c r="W152" s="96"/>
      <c r="X152" s="96"/>
      <c r="Y152" s="96"/>
      <c r="Z152" s="96"/>
      <c r="AA152" s="96"/>
      <c r="AB152" s="96"/>
      <c r="AC152" s="96"/>
      <c r="AD152" s="96"/>
      <c r="AE152" s="96"/>
      <c r="AF152" s="96"/>
      <c r="AG152" s="96"/>
      <c r="AH152" s="96"/>
      <c r="AI152" s="96"/>
      <c r="AJ152" s="96"/>
      <c r="AK152" s="96"/>
      <c r="AL152" s="96"/>
      <c r="AM152" s="96"/>
      <c r="AN152" s="96"/>
      <c r="AO152" s="96"/>
      <c r="AP152" s="96"/>
      <c r="AQ152" s="96"/>
      <c r="AR152" s="96"/>
      <c r="AS152" s="96"/>
    </row>
    <row r="153" spans="1:45" s="94" customFormat="1" ht="15.75" customHeight="1" collapsed="1" x14ac:dyDescent="0.2">
      <c r="A153" s="95"/>
      <c r="B153" s="146" t="s">
        <v>283</v>
      </c>
      <c r="C153" s="1168">
        <f>ROUND(total_Cat1_PFC,6)</f>
        <v>0</v>
      </c>
      <c r="D153" s="1168">
        <f>ROUND(total_Cat2_PFC,6)</f>
        <v>0</v>
      </c>
      <c r="E153" s="1168">
        <f>ROUND(total_Cat3_PFC,6)</f>
        <v>0</v>
      </c>
      <c r="F153" s="1124"/>
      <c r="G153" s="195"/>
      <c r="H153" s="194"/>
      <c r="I153" s="195"/>
      <c r="N153" s="95"/>
      <c r="O153" s="96"/>
      <c r="P153" s="96"/>
      <c r="Q153" s="96"/>
      <c r="R153" s="96"/>
      <c r="S153" s="96"/>
      <c r="T153" s="96"/>
      <c r="U153" s="96"/>
      <c r="V153" s="96"/>
      <c r="W153" s="96"/>
      <c r="X153" s="96"/>
      <c r="Y153" s="96"/>
      <c r="Z153" s="96"/>
      <c r="AA153" s="96"/>
      <c r="AB153" s="96"/>
      <c r="AC153" s="96"/>
      <c r="AD153" s="96"/>
      <c r="AE153" s="96"/>
      <c r="AF153" s="96"/>
      <c r="AG153" s="96"/>
      <c r="AH153" s="96"/>
      <c r="AI153" s="96"/>
      <c r="AJ153" s="96"/>
      <c r="AK153" s="96"/>
      <c r="AL153" s="96"/>
      <c r="AM153" s="96"/>
      <c r="AN153" s="96"/>
      <c r="AO153" s="96"/>
      <c r="AP153" s="96"/>
      <c r="AQ153" s="96"/>
      <c r="AR153" s="96"/>
      <c r="AS153" s="96"/>
    </row>
    <row r="154" spans="1:45" s="94" customFormat="1" ht="15.75" hidden="1" customHeight="1" outlineLevel="1" x14ac:dyDescent="0.2">
      <c r="A154" s="95"/>
      <c r="B154" s="148" t="s">
        <v>458</v>
      </c>
      <c r="C154" s="1168">
        <f>ROUND('Categorias de Ambito 3'!C49,6)</f>
        <v>0</v>
      </c>
      <c r="D154" s="1168">
        <f>ROUND('Categorias de Ambito 3'!E49,6)</f>
        <v>0</v>
      </c>
      <c r="E154" s="1168">
        <f>ROUND('Categorias de Ambito 3'!G49,6)</f>
        <v>0</v>
      </c>
      <c r="F154" s="1124"/>
      <c r="G154" s="195"/>
      <c r="H154" s="194"/>
      <c r="I154" s="195"/>
      <c r="N154" s="95"/>
      <c r="O154" s="96"/>
      <c r="P154" s="96"/>
      <c r="Q154" s="96"/>
      <c r="R154" s="96"/>
      <c r="S154" s="96"/>
      <c r="T154" s="96"/>
      <c r="U154" s="96"/>
      <c r="V154" s="96"/>
      <c r="W154" s="96"/>
      <c r="X154" s="96"/>
      <c r="Y154" s="96"/>
      <c r="Z154" s="96"/>
      <c r="AA154" s="96"/>
      <c r="AB154" s="96"/>
      <c r="AC154" s="96"/>
      <c r="AD154" s="96"/>
      <c r="AE154" s="96"/>
      <c r="AF154" s="96"/>
      <c r="AG154" s="96"/>
      <c r="AH154" s="96"/>
      <c r="AI154" s="96"/>
      <c r="AJ154" s="96"/>
      <c r="AK154" s="96"/>
      <c r="AL154" s="96"/>
      <c r="AM154" s="96"/>
      <c r="AN154" s="96"/>
      <c r="AO154" s="96"/>
      <c r="AP154" s="96"/>
      <c r="AQ154" s="96"/>
      <c r="AR154" s="96"/>
      <c r="AS154" s="96"/>
    </row>
    <row r="155" spans="1:45" s="94" customFormat="1" ht="15.75" hidden="1" customHeight="1" outlineLevel="1" x14ac:dyDescent="0.2">
      <c r="A155" s="95"/>
      <c r="B155" s="148" t="s">
        <v>459</v>
      </c>
      <c r="C155" s="1168">
        <f>ROUND('Categorias de Ambito 3'!C50,6)</f>
        <v>0</v>
      </c>
      <c r="D155" s="1168">
        <f>ROUND('Categorias de Ambito 3'!E50,6)</f>
        <v>0</v>
      </c>
      <c r="E155" s="1168">
        <f>ROUND('Categorias de Ambito 3'!G50,6)</f>
        <v>0</v>
      </c>
      <c r="F155" s="1124"/>
      <c r="G155" s="195"/>
      <c r="H155" s="194"/>
      <c r="I155" s="195"/>
      <c r="N155" s="95"/>
      <c r="O155" s="96"/>
      <c r="P155" s="96"/>
      <c r="Q155" s="96"/>
      <c r="R155" s="96"/>
      <c r="S155" s="96"/>
      <c r="T155" s="96"/>
      <c r="U155" s="96"/>
      <c r="V155" s="96"/>
      <c r="W155" s="96"/>
      <c r="X155" s="96"/>
      <c r="Y155" s="96"/>
      <c r="Z155" s="96"/>
      <c r="AA155" s="96"/>
      <c r="AB155" s="96"/>
      <c r="AC155" s="96"/>
      <c r="AD155" s="96"/>
      <c r="AE155" s="96"/>
      <c r="AF155" s="96"/>
      <c r="AG155" s="96"/>
      <c r="AH155" s="96"/>
      <c r="AI155" s="96"/>
      <c r="AJ155" s="96"/>
      <c r="AK155" s="96"/>
      <c r="AL155" s="96"/>
      <c r="AM155" s="96"/>
      <c r="AN155" s="96"/>
      <c r="AO155" s="96"/>
      <c r="AP155" s="96"/>
      <c r="AQ155" s="96"/>
      <c r="AR155" s="96"/>
      <c r="AS155" s="96"/>
    </row>
    <row r="156" spans="1:45" s="94" customFormat="1" ht="15.75" hidden="1" customHeight="1" outlineLevel="1" x14ac:dyDescent="0.2">
      <c r="A156" s="95"/>
      <c r="B156" s="148" t="s">
        <v>460</v>
      </c>
      <c r="C156" s="1168">
        <f>ROUND('Categorias de Ambito 3'!C51,6)</f>
        <v>0</v>
      </c>
      <c r="D156" s="1168">
        <f>ROUND('Categorias de Ambito 3'!E51,6)</f>
        <v>0</v>
      </c>
      <c r="E156" s="1168">
        <f>ROUND('Categorias de Ambito 3'!G51,6)</f>
        <v>0</v>
      </c>
      <c r="F156" s="1124"/>
      <c r="G156" s="195"/>
      <c r="H156" s="194"/>
      <c r="I156" s="195"/>
      <c r="N156" s="95"/>
      <c r="O156" s="96"/>
      <c r="P156" s="96"/>
      <c r="Q156" s="96"/>
      <c r="R156" s="96"/>
      <c r="S156" s="96"/>
      <c r="T156" s="96"/>
      <c r="U156" s="96"/>
      <c r="V156" s="96"/>
      <c r="W156" s="96"/>
      <c r="X156" s="96"/>
      <c r="Y156" s="96"/>
      <c r="Z156" s="96"/>
      <c r="AA156" s="96"/>
      <c r="AB156" s="96"/>
      <c r="AC156" s="96"/>
      <c r="AD156" s="96"/>
      <c r="AE156" s="96"/>
      <c r="AF156" s="96"/>
      <c r="AG156" s="96"/>
      <c r="AH156" s="96"/>
      <c r="AI156" s="96"/>
      <c r="AJ156" s="96"/>
      <c r="AK156" s="96"/>
      <c r="AL156" s="96"/>
      <c r="AM156" s="96"/>
      <c r="AN156" s="96"/>
      <c r="AO156" s="96"/>
      <c r="AP156" s="96"/>
      <c r="AQ156" s="96"/>
      <c r="AR156" s="96"/>
      <c r="AS156" s="96"/>
    </row>
    <row r="157" spans="1:45" s="94" customFormat="1" ht="15.75" hidden="1" customHeight="1" outlineLevel="1" x14ac:dyDescent="0.2">
      <c r="A157" s="95"/>
      <c r="B157" s="148" t="s">
        <v>461</v>
      </c>
      <c r="C157" s="1168">
        <f>ROUND('Categorias de Ambito 3'!C52,6)</f>
        <v>0</v>
      </c>
      <c r="D157" s="1168">
        <f>ROUND('Categorias de Ambito 3'!E52,6)</f>
        <v>0</v>
      </c>
      <c r="E157" s="1168">
        <f>ROUND('Categorias de Ambito 3'!G52,6)</f>
        <v>0</v>
      </c>
      <c r="F157" s="1124"/>
      <c r="G157" s="195"/>
      <c r="H157" s="194"/>
      <c r="I157" s="195"/>
      <c r="N157" s="95"/>
      <c r="O157" s="96"/>
      <c r="P157" s="96"/>
      <c r="Q157" s="96"/>
      <c r="R157" s="96"/>
      <c r="S157" s="96"/>
      <c r="T157" s="96"/>
      <c r="U157" s="96"/>
      <c r="V157" s="96"/>
      <c r="W157" s="96"/>
      <c r="X157" s="96"/>
      <c r="Y157" s="96"/>
      <c r="Z157" s="96"/>
      <c r="AA157" s="96"/>
      <c r="AB157" s="96"/>
      <c r="AC157" s="96"/>
      <c r="AD157" s="96"/>
      <c r="AE157" s="96"/>
      <c r="AF157" s="96"/>
      <c r="AG157" s="96"/>
      <c r="AH157" s="96"/>
      <c r="AI157" s="96"/>
      <c r="AJ157" s="96"/>
      <c r="AK157" s="96"/>
      <c r="AL157" s="96"/>
      <c r="AM157" s="96"/>
      <c r="AN157" s="96"/>
      <c r="AO157" s="96"/>
      <c r="AP157" s="96"/>
      <c r="AQ157" s="96"/>
      <c r="AR157" s="96"/>
      <c r="AS157" s="96"/>
    </row>
    <row r="158" spans="1:45" s="94" customFormat="1" ht="15.75" hidden="1" customHeight="1" outlineLevel="1" x14ac:dyDescent="0.2">
      <c r="A158" s="95"/>
      <c r="B158" s="148" t="s">
        <v>462</v>
      </c>
      <c r="C158" s="1168">
        <f>ROUND('Categorias de Ambito 3'!C53,6)</f>
        <v>0</v>
      </c>
      <c r="D158" s="1168">
        <f>ROUND('Categorias de Ambito 3'!E53,6)</f>
        <v>0</v>
      </c>
      <c r="E158" s="1168">
        <f>ROUND('Categorias de Ambito 3'!G53,6)</f>
        <v>0</v>
      </c>
      <c r="F158" s="1124"/>
      <c r="G158" s="195"/>
      <c r="H158" s="194"/>
      <c r="I158" s="195"/>
      <c r="N158" s="95"/>
      <c r="O158" s="96"/>
      <c r="P158" s="96"/>
      <c r="Q158" s="96"/>
      <c r="R158" s="96"/>
      <c r="S158" s="96"/>
      <c r="T158" s="96"/>
      <c r="U158" s="96"/>
      <c r="V158" s="96"/>
      <c r="W158" s="96"/>
      <c r="X158" s="96"/>
      <c r="Y158" s="96"/>
      <c r="Z158" s="96"/>
      <c r="AA158" s="96"/>
      <c r="AB158" s="96"/>
      <c r="AC158" s="96"/>
      <c r="AD158" s="96"/>
      <c r="AE158" s="96"/>
      <c r="AF158" s="96"/>
      <c r="AG158" s="96"/>
      <c r="AH158" s="96"/>
      <c r="AI158" s="96"/>
      <c r="AJ158" s="96"/>
      <c r="AK158" s="96"/>
      <c r="AL158" s="96"/>
      <c r="AM158" s="96"/>
      <c r="AN158" s="96"/>
      <c r="AO158" s="96"/>
      <c r="AP158" s="96"/>
      <c r="AQ158" s="96"/>
      <c r="AR158" s="96"/>
      <c r="AS158" s="96"/>
    </row>
    <row r="159" spans="1:45" s="94" customFormat="1" ht="15.75" hidden="1" customHeight="1" outlineLevel="1" x14ac:dyDescent="0.2">
      <c r="A159" s="95"/>
      <c r="B159" s="148" t="s">
        <v>463</v>
      </c>
      <c r="C159" s="1168">
        <f>ROUND('Categorias de Ambito 3'!C54,6)</f>
        <v>0</v>
      </c>
      <c r="D159" s="1168">
        <f>ROUND('Categorias de Ambito 3'!E54,6)</f>
        <v>0</v>
      </c>
      <c r="E159" s="1168">
        <f>ROUND('Categorias de Ambito 3'!G54,6)</f>
        <v>0</v>
      </c>
      <c r="F159" s="1124"/>
      <c r="G159" s="195"/>
      <c r="H159" s="194"/>
      <c r="I159" s="195"/>
      <c r="N159" s="95"/>
      <c r="O159" s="96"/>
      <c r="P159" s="96"/>
      <c r="Q159" s="96"/>
      <c r="R159" s="96"/>
      <c r="S159" s="96"/>
      <c r="T159" s="96"/>
      <c r="U159" s="96"/>
      <c r="V159" s="96"/>
      <c r="W159" s="96"/>
      <c r="X159" s="96"/>
      <c r="Y159" s="96"/>
      <c r="Z159" s="96"/>
      <c r="AA159" s="96"/>
      <c r="AB159" s="96"/>
      <c r="AC159" s="96"/>
      <c r="AD159" s="96"/>
      <c r="AE159" s="96"/>
      <c r="AF159" s="96"/>
      <c r="AG159" s="96"/>
      <c r="AH159" s="96"/>
      <c r="AI159" s="96"/>
      <c r="AJ159" s="96"/>
      <c r="AK159" s="96"/>
      <c r="AL159" s="96"/>
      <c r="AM159" s="96"/>
      <c r="AN159" s="96"/>
      <c r="AO159" s="96"/>
      <c r="AP159" s="96"/>
      <c r="AQ159" s="96"/>
      <c r="AR159" s="96"/>
      <c r="AS159" s="96"/>
    </row>
    <row r="160" spans="1:45" s="94" customFormat="1" ht="15.75" hidden="1" customHeight="1" outlineLevel="1" x14ac:dyDescent="0.2">
      <c r="A160" s="95"/>
      <c r="B160" s="148" t="s">
        <v>464</v>
      </c>
      <c r="C160" s="1168">
        <f>ROUND('Categorias de Ambito 3'!C55,6)</f>
        <v>0</v>
      </c>
      <c r="D160" s="1168">
        <f>ROUND('Categorias de Ambito 3'!E55,6)</f>
        <v>0</v>
      </c>
      <c r="E160" s="1168">
        <f>ROUND('Categorias de Ambito 3'!G55,6)</f>
        <v>0</v>
      </c>
      <c r="F160" s="1124"/>
      <c r="G160" s="195"/>
      <c r="H160" s="194"/>
      <c r="I160" s="195"/>
      <c r="N160" s="95"/>
      <c r="O160" s="96"/>
      <c r="P160" s="96"/>
      <c r="Q160" s="96"/>
      <c r="R160" s="96"/>
      <c r="S160" s="96"/>
      <c r="T160" s="96"/>
      <c r="U160" s="96"/>
      <c r="V160" s="96"/>
      <c r="W160" s="96"/>
      <c r="X160" s="96"/>
      <c r="Y160" s="96"/>
      <c r="Z160" s="96"/>
      <c r="AA160" s="96"/>
      <c r="AB160" s="96"/>
      <c r="AC160" s="96"/>
      <c r="AD160" s="96"/>
      <c r="AE160" s="96"/>
      <c r="AF160" s="96"/>
      <c r="AG160" s="96"/>
      <c r="AH160" s="96"/>
      <c r="AI160" s="96"/>
      <c r="AJ160" s="96"/>
      <c r="AK160" s="96"/>
      <c r="AL160" s="96"/>
      <c r="AM160" s="96"/>
      <c r="AN160" s="96"/>
      <c r="AO160" s="96"/>
      <c r="AP160" s="96"/>
      <c r="AQ160" s="96"/>
      <c r="AR160" s="96"/>
      <c r="AS160" s="96"/>
    </row>
    <row r="161" spans="1:45" s="94" customFormat="1" ht="15.75" hidden="1" customHeight="1" outlineLevel="1" x14ac:dyDescent="0.2">
      <c r="A161" s="95"/>
      <c r="B161" s="148" t="s">
        <v>465</v>
      </c>
      <c r="C161" s="1168">
        <f>ROUND('Categorias de Ambito 3'!C56,6)</f>
        <v>0</v>
      </c>
      <c r="D161" s="1168">
        <f>ROUND('Categorias de Ambito 3'!E56,6)</f>
        <v>0</v>
      </c>
      <c r="E161" s="1168">
        <f>ROUND('Categorias de Ambito 3'!G56,6)</f>
        <v>0</v>
      </c>
      <c r="F161" s="1124"/>
      <c r="G161" s="195"/>
      <c r="H161" s="194"/>
      <c r="I161" s="195"/>
      <c r="N161" s="95"/>
      <c r="O161" s="96"/>
      <c r="P161" s="96"/>
      <c r="Q161" s="96"/>
      <c r="R161" s="96"/>
      <c r="S161" s="96"/>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row>
    <row r="162" spans="1:45" s="94" customFormat="1" ht="15.75" hidden="1" customHeight="1" outlineLevel="1" x14ac:dyDescent="0.2">
      <c r="A162" s="95"/>
      <c r="B162" s="148" t="s">
        <v>466</v>
      </c>
      <c r="C162" s="1168">
        <f>ROUND('Categorias de Ambito 3'!C57,6)</f>
        <v>0</v>
      </c>
      <c r="D162" s="1168">
        <f>ROUND('Categorias de Ambito 3'!E57,6)</f>
        <v>0</v>
      </c>
      <c r="E162" s="1168">
        <f>ROUND('Categorias de Ambito 3'!G57,6)</f>
        <v>0</v>
      </c>
      <c r="F162" s="1124"/>
      <c r="G162" s="195"/>
      <c r="H162" s="194"/>
      <c r="I162" s="195"/>
      <c r="N162" s="95"/>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6"/>
      <c r="AN162" s="96"/>
      <c r="AO162" s="96"/>
      <c r="AP162" s="96"/>
      <c r="AQ162" s="96"/>
      <c r="AR162" s="96"/>
      <c r="AS162" s="96"/>
    </row>
    <row r="163" spans="1:45" s="94" customFormat="1" ht="15.75" hidden="1" customHeight="1" outlineLevel="1" x14ac:dyDescent="0.2">
      <c r="A163" s="95"/>
      <c r="B163" s="148" t="s">
        <v>467</v>
      </c>
      <c r="C163" s="1168">
        <f>ROUND('Categorias de Ambito 3'!C58,6)</f>
        <v>0</v>
      </c>
      <c r="D163" s="1168">
        <f>ROUND('Categorias de Ambito 3'!E58,6)</f>
        <v>0</v>
      </c>
      <c r="E163" s="1168">
        <f>ROUND('Categorias de Ambito 3'!G58,6)</f>
        <v>0</v>
      </c>
      <c r="F163" s="1124"/>
      <c r="G163" s="195"/>
      <c r="H163" s="194"/>
      <c r="I163" s="195"/>
      <c r="N163" s="95"/>
      <c r="O163" s="96"/>
      <c r="P163" s="96"/>
      <c r="Q163" s="96"/>
      <c r="R163" s="96"/>
      <c r="S163" s="96"/>
      <c r="T163" s="96"/>
      <c r="U163" s="96"/>
      <c r="V163" s="96"/>
      <c r="W163" s="96"/>
      <c r="X163" s="96"/>
      <c r="Y163" s="96"/>
      <c r="Z163" s="96"/>
      <c r="AA163" s="96"/>
      <c r="AB163" s="96"/>
      <c r="AC163" s="96"/>
      <c r="AD163" s="96"/>
      <c r="AE163" s="96"/>
      <c r="AF163" s="96"/>
      <c r="AG163" s="96"/>
      <c r="AH163" s="96"/>
      <c r="AI163" s="96"/>
      <c r="AJ163" s="96"/>
      <c r="AK163" s="96"/>
      <c r="AL163" s="96"/>
      <c r="AM163" s="96"/>
      <c r="AN163" s="96"/>
      <c r="AO163" s="96"/>
      <c r="AP163" s="96"/>
      <c r="AQ163" s="96"/>
      <c r="AR163" s="96"/>
      <c r="AS163" s="96"/>
    </row>
    <row r="164" spans="1:45" s="94" customFormat="1" ht="15.75" customHeight="1" x14ac:dyDescent="0.2">
      <c r="A164" s="95"/>
      <c r="B164" s="146" t="s">
        <v>1377</v>
      </c>
      <c r="C164" s="1168">
        <f>ROUND(total_Cat1_SF6,6)</f>
        <v>0</v>
      </c>
      <c r="D164" s="1168">
        <f>ROUND(total_Cat2_SF6,6)</f>
        <v>0</v>
      </c>
      <c r="E164" s="1168">
        <f>ROUND(total_Cat3_SF6,6)</f>
        <v>0</v>
      </c>
      <c r="F164" s="1124"/>
      <c r="G164" s="195"/>
      <c r="H164" s="194"/>
      <c r="I164" s="195"/>
      <c r="N164" s="95"/>
      <c r="O164" s="96"/>
      <c r="P164" s="96"/>
      <c r="Q164" s="96"/>
      <c r="R164" s="96"/>
      <c r="S164" s="96"/>
      <c r="T164" s="96"/>
      <c r="U164" s="96"/>
      <c r="V164" s="96"/>
      <c r="W164" s="96"/>
      <c r="X164" s="96"/>
      <c r="Y164" s="96"/>
      <c r="Z164" s="96"/>
      <c r="AA164" s="96"/>
      <c r="AB164" s="96"/>
      <c r="AC164" s="96"/>
      <c r="AD164" s="96"/>
      <c r="AE164" s="96"/>
      <c r="AF164" s="96"/>
      <c r="AG164" s="96"/>
      <c r="AH164" s="96"/>
      <c r="AI164" s="96"/>
      <c r="AJ164" s="96"/>
      <c r="AK164" s="96"/>
      <c r="AL164" s="96"/>
      <c r="AM164" s="96"/>
      <c r="AN164" s="96"/>
      <c r="AO164" s="96"/>
      <c r="AP164" s="96"/>
      <c r="AQ164" s="96"/>
      <c r="AR164" s="96"/>
      <c r="AS164" s="96"/>
    </row>
    <row r="165" spans="1:45" s="94" customFormat="1" ht="15.75" customHeight="1" x14ac:dyDescent="0.2">
      <c r="A165" s="95"/>
      <c r="B165" s="148" t="s">
        <v>1378</v>
      </c>
      <c r="C165" s="1168">
        <f>ROUND(total_Cat1_NF3,6)</f>
        <v>0</v>
      </c>
      <c r="D165" s="1168">
        <f>ROUND(total_Cat2_NF3,6)</f>
        <v>0</v>
      </c>
      <c r="E165" s="1168">
        <f>ROUND(total_Cat3_NF3,6)</f>
        <v>0</v>
      </c>
      <c r="F165" s="1124"/>
      <c r="G165" s="195"/>
      <c r="H165" s="194"/>
      <c r="I165" s="195"/>
      <c r="N165" s="95"/>
      <c r="O165" s="96"/>
      <c r="P165" s="96"/>
      <c r="Q165" s="96"/>
      <c r="R165" s="96"/>
      <c r="S165" s="96"/>
      <c r="T165" s="96"/>
      <c r="U165" s="96"/>
      <c r="V165" s="96"/>
      <c r="W165" s="96"/>
      <c r="X165" s="96"/>
      <c r="Y165" s="96"/>
      <c r="Z165" s="96"/>
      <c r="AA165" s="96"/>
      <c r="AB165" s="96"/>
      <c r="AC165" s="96"/>
      <c r="AD165" s="96"/>
      <c r="AE165" s="96"/>
      <c r="AF165" s="96"/>
      <c r="AG165" s="96"/>
      <c r="AH165" s="96"/>
      <c r="AI165" s="96"/>
      <c r="AJ165" s="96"/>
      <c r="AK165" s="96"/>
      <c r="AL165" s="96"/>
      <c r="AM165" s="96"/>
      <c r="AN165" s="96"/>
      <c r="AO165" s="96"/>
      <c r="AP165" s="96"/>
      <c r="AQ165" s="96"/>
      <c r="AR165" s="96"/>
      <c r="AS165" s="96"/>
    </row>
    <row r="166" spans="1:45" s="94" customFormat="1" ht="15.75" customHeight="1" x14ac:dyDescent="0.2">
      <c r="A166" s="95"/>
      <c r="B166" s="146" t="s">
        <v>1379</v>
      </c>
      <c r="C166" s="1169">
        <f>C130+C131*gwp_CH4+C132*gwp_N2O+C134*gwp_HFC23+C135*gwp_HFC32+C136*gwp_HFC41+C137*gwp_HFC125+C138*gwp_HFC134+C139*gwp_HFC134a+C140*gwp_HFC143+C141*gwp_HFC143a+C142*gwp_HFC152+C143*gwp_HFC152a+C144*gwp_HFC161+C145*gwp_HFC227ea+C146*gwp_HFC236cb+C147*gwp_HFC236ea+C148*gwp_HFC236fa+C149*gwp_HFC245ca+C150*gwp_HFC245fa+C151*gwp_HFC365mfc+C152*gwp_HFC4310mee+C154*gwp_PFC14+C155*gwp_PFC116+C156*gwp_PFC218+C157*gwp_PFC318+C158*gwp_PFC3110+C159*gwp_PFC4112+C160*gwp_PFC5114+C161*gwp_PFC9118+C162*gwp_trifluorometil+C163*gwp_perfluorociclopropano+C164*gwp_SF6+C165*gwp_NF3</f>
        <v>0</v>
      </c>
      <c r="D166" s="1169">
        <f>D130+D131*gwp_CH4+D132*gwp_N2O+D134*gwp_HFC23+D135*gwp_HFC32+D136*gwp_HFC41+D137*gwp_HFC125+D138*gwp_HFC134+D139*gwp_HFC134a+D140*gwp_HFC143+D141*gwp_HFC143a+D142*gwp_HFC152+D143*gwp_HFC152a+D144*gwp_HFC161+D145*gwp_HFC227ea+D146*gwp_HFC236cb+D147*gwp_HFC236ea+D148*gwp_HFC236fa+D149*gwp_HFC245ca+D150*gwp_HFC245fa+D151*gwp_HFC365mfc+D152*gwp_HFC4310mee+D154*gwp_PFC14+D155*gwp_PFC116+D156*gwp_PFC218+D157*gwp_PFC318+D158*gwp_PFC3110+D159*gwp_PFC4112+D160*gwp_PFC5114+D161*gwp_PFC9118+D162*gwp_trifluorometil+D163*gwp_perfluorociclopropano+D164*gwp_SF6+D165*gwp_NF3</f>
        <v>0</v>
      </c>
      <c r="E166" s="1169">
        <f>E130+E131*gwp_CH4+E132*gwp_N2O+E134*gwp_HFC23+E135*gwp_HFC32+E136*gwp_HFC41+E137*gwp_HFC125+E138*gwp_HFC134+E139*gwp_HFC134a+E140*gwp_HFC143+E141*gwp_HFC143a+E142*gwp_HFC152+E143*gwp_HFC152a+E144*gwp_HFC161+E145*gwp_HFC227ea+E146*gwp_HFC236cb+E147*gwp_HFC236ea+E148*gwp_HFC236fa+E149*gwp_HFC245ca+E150*gwp_HFC245fa+E151*gwp_HFC365mfc+E152*gwp_HFC4310mee+E154*gwp_PFC14+E155*gwp_PFC116+E156*gwp_PFC218+E157*gwp_PFC318+E158*gwp_PFC3110+E159*gwp_PFC4112+E160*gwp_PFC5114+E161*gwp_PFC9118+E162*gwp_trifluorometil+E163*gwp_perfluorociclopropano+E164*gwp_SF6+E165*gwp_NF3</f>
        <v>0</v>
      </c>
      <c r="F166" s="1169">
        <f>F130+F131*gwp_CH4+F132*gwp_N2O+F134*gwp_HFC23+F135*gwp_HFC32+F136*gwp_HFC41+F137*gwp_HFC125+F138*gwp_HFC134+F139*gwp_HFC134a+F140*gwp_HFC143+F141*gwp_HFC143a+F142*gwp_HFC152+F143*gwp_HFC152a+F144*gwp_HFC161+F145*gwp_HFC227ea+F146*gwp_HFC236cb+F147*gwp_HFC236ea+F148*gwp_HFC236fa+F149*gwp_HFC245ca+F150*gwp_HFC245fa+F151*gwp_HFC365mfc+F152*gwp_HFC4310mee+F154*gwp_PFC14+F155*gwp_PFC116+F156*gwp_PFC218+F157*gwp_PFC318+F158*gwp_PFC3110+F159*gwp_PFC4112+F160*gwp_PFC5114+F161*gwp_PFC9118+F162*gwp_trifluorometil+F163*gwp_perfluorociclopropano+F164*gwp_SF6+F165*gwp_NF3</f>
        <v>0</v>
      </c>
      <c r="G166" s="195"/>
      <c r="H166" s="194"/>
      <c r="I166" s="195"/>
      <c r="N166" s="95"/>
      <c r="O166" s="96"/>
      <c r="P166" s="96"/>
      <c r="Q166" s="96"/>
      <c r="R166" s="96"/>
      <c r="S166" s="96"/>
      <c r="T166" s="96"/>
      <c r="U166" s="96"/>
      <c r="V166" s="96"/>
      <c r="W166" s="96"/>
      <c r="X166" s="96"/>
      <c r="Y166" s="96"/>
      <c r="Z166" s="96"/>
      <c r="AA166" s="96"/>
      <c r="AB166" s="96"/>
      <c r="AC166" s="96"/>
      <c r="AD166" s="96"/>
      <c r="AE166" s="96"/>
      <c r="AF166" s="96"/>
      <c r="AG166" s="96"/>
      <c r="AH166" s="96"/>
      <c r="AI166" s="96"/>
      <c r="AJ166" s="96"/>
      <c r="AK166" s="96"/>
      <c r="AL166" s="96"/>
      <c r="AM166" s="96"/>
      <c r="AN166" s="96"/>
      <c r="AO166" s="96"/>
      <c r="AP166" s="96"/>
      <c r="AQ166" s="96"/>
      <c r="AR166" s="96"/>
      <c r="AS166" s="96"/>
    </row>
    <row r="167" spans="1:45" s="94" customFormat="1" ht="15.75" customHeight="1" x14ac:dyDescent="0.35">
      <c r="A167" s="95"/>
      <c r="B167" s="150" t="s">
        <v>1851</v>
      </c>
      <c r="C167" s="1127">
        <f>ROUND(total_Cat1_CO2_biomassa,6)</f>
        <v>0</v>
      </c>
      <c r="D167" s="1127">
        <f>ROUND(total_Cat2_CO2_biomassa,6)</f>
        <v>0</v>
      </c>
      <c r="E167" s="1127">
        <f>ROUND(total_Cat3_CO2_biomassa,6)</f>
        <v>0</v>
      </c>
      <c r="F167" s="1127">
        <f>ROUND(SUM(total_Cat4_CO2_biomassa,total_Cat4_op_CO2_biomassa),6)</f>
        <v>0</v>
      </c>
      <c r="G167" s="195"/>
      <c r="H167" s="194"/>
      <c r="I167" s="195"/>
      <c r="N167" s="95"/>
      <c r="O167" s="96"/>
      <c r="P167" s="96"/>
      <c r="Q167" s="96"/>
      <c r="R167" s="96"/>
      <c r="S167" s="96"/>
      <c r="T167" s="96"/>
      <c r="U167" s="96"/>
      <c r="V167" s="96"/>
      <c r="W167" s="96"/>
      <c r="X167" s="96"/>
      <c r="Y167" s="96"/>
      <c r="Z167" s="96"/>
      <c r="AA167" s="96"/>
      <c r="AB167" s="96"/>
      <c r="AC167" s="96"/>
      <c r="AD167" s="96"/>
      <c r="AE167" s="96"/>
      <c r="AF167" s="96"/>
      <c r="AG167" s="96"/>
      <c r="AH167" s="96"/>
      <c r="AI167" s="96"/>
      <c r="AJ167" s="96"/>
      <c r="AK167" s="96"/>
      <c r="AL167" s="96"/>
      <c r="AM167" s="96"/>
      <c r="AN167" s="96"/>
      <c r="AO167" s="96"/>
      <c r="AP167" s="96"/>
      <c r="AQ167" s="96"/>
      <c r="AR167" s="96"/>
      <c r="AS167" s="96"/>
    </row>
    <row r="168" spans="1:45" s="94" customFormat="1" ht="15.75" customHeight="1" x14ac:dyDescent="0.2">
      <c r="A168" s="95"/>
      <c r="B168" s="171"/>
      <c r="C168" s="197"/>
      <c r="D168" s="197"/>
      <c r="E168" s="197"/>
      <c r="F168" s="197"/>
      <c r="G168" s="197"/>
      <c r="H168" s="197"/>
      <c r="I168" s="194"/>
      <c r="J168" s="109"/>
      <c r="K168" s="114"/>
      <c r="L168" s="114"/>
      <c r="M168" s="114"/>
      <c r="N168" s="102"/>
      <c r="O168" s="95"/>
      <c r="P168" s="96"/>
      <c r="Q168" s="96"/>
      <c r="R168" s="96"/>
      <c r="S168" s="96"/>
      <c r="T168" s="96"/>
      <c r="U168" s="96"/>
      <c r="V168" s="96"/>
      <c r="W168" s="96"/>
      <c r="X168" s="96"/>
      <c r="Y168" s="96"/>
      <c r="Z168" s="96"/>
      <c r="AA168" s="96"/>
      <c r="AB168" s="96"/>
      <c r="AC168" s="96"/>
      <c r="AD168" s="96"/>
      <c r="AE168" s="96"/>
      <c r="AF168" s="96"/>
      <c r="AG168" s="96"/>
      <c r="AH168" s="96"/>
      <c r="AI168" s="96"/>
      <c r="AJ168" s="96"/>
      <c r="AK168" s="96"/>
      <c r="AL168" s="96"/>
      <c r="AM168" s="96"/>
      <c r="AN168" s="96"/>
      <c r="AO168" s="96"/>
      <c r="AP168" s="96"/>
      <c r="AQ168" s="96"/>
      <c r="AR168" s="96"/>
      <c r="AS168" s="96"/>
    </row>
    <row r="169" spans="1:45" s="94" customFormat="1" ht="15.75" customHeight="1" x14ac:dyDescent="0.2">
      <c r="A169" s="95"/>
      <c r="B169" s="182"/>
      <c r="C169" s="988" t="s">
        <v>314</v>
      </c>
      <c r="D169" s="995" t="s">
        <v>315</v>
      </c>
      <c r="E169" s="988" t="s">
        <v>316</v>
      </c>
      <c r="F169" s="988" t="s">
        <v>317</v>
      </c>
      <c r="G169" s="195"/>
      <c r="H169" s="195"/>
      <c r="I169" s="195"/>
      <c r="M169" s="102"/>
      <c r="N169" s="95"/>
      <c r="O169" s="96"/>
      <c r="P169" s="96"/>
      <c r="Q169" s="96"/>
      <c r="R169" s="96"/>
      <c r="S169" s="96"/>
      <c r="T169" s="96"/>
      <c r="U169" s="96"/>
      <c r="V169" s="96"/>
      <c r="W169" s="96"/>
      <c r="X169" s="96"/>
      <c r="Y169" s="96"/>
      <c r="Z169" s="96"/>
      <c r="AA169" s="96"/>
      <c r="AB169" s="96"/>
      <c r="AC169" s="96"/>
      <c r="AD169" s="96"/>
      <c r="AE169" s="96"/>
      <c r="AF169" s="96"/>
      <c r="AG169" s="96"/>
      <c r="AH169" s="96"/>
      <c r="AI169" s="96"/>
      <c r="AJ169" s="96"/>
      <c r="AK169" s="96"/>
      <c r="AL169" s="96"/>
      <c r="AM169" s="96"/>
      <c r="AN169" s="96"/>
      <c r="AO169" s="96"/>
      <c r="AP169" s="96"/>
      <c r="AQ169" s="96"/>
      <c r="AR169" s="96"/>
      <c r="AS169" s="96"/>
    </row>
    <row r="170" spans="1:45" s="94" customFormat="1" ht="45" customHeight="1" x14ac:dyDescent="0.2">
      <c r="A170" s="95"/>
      <c r="B170" s="171"/>
      <c r="C170" s="1000" t="str">
        <f>'Categorias de Ambito 3'!AD23</f>
        <v>Resíduos gerados nas operações</v>
      </c>
      <c r="D170" s="999" t="str">
        <f>'Categorias de Ambito 3'!E67</f>
        <v>Viagens de negócios</v>
      </c>
      <c r="E170" s="1000" t="str">
        <f>'Categorias de Ambito 3'!G67</f>
        <v>Deslocamento de funcionários 
(casa - trabalho)</v>
      </c>
      <c r="F170" s="1000" t="str">
        <f>'Categorias de Ambito 3'!I67</f>
        <v>Bens arrendados 
(a organização como arrendatária/ inquilina)</v>
      </c>
      <c r="G170" s="195"/>
      <c r="H170" s="195"/>
      <c r="I170" s="195"/>
      <c r="M170" s="102"/>
      <c r="N170" s="95"/>
      <c r="O170" s="96"/>
      <c r="P170" s="96"/>
      <c r="Q170" s="96"/>
      <c r="R170" s="96"/>
      <c r="S170" s="96"/>
      <c r="T170" s="96"/>
      <c r="U170" s="96"/>
      <c r="V170" s="96"/>
      <c r="W170" s="96"/>
      <c r="X170" s="96"/>
      <c r="Y170" s="96"/>
      <c r="Z170" s="96"/>
      <c r="AA170" s="96"/>
      <c r="AB170" s="96"/>
      <c r="AC170" s="96"/>
      <c r="AD170" s="96"/>
      <c r="AE170" s="96"/>
      <c r="AF170" s="96"/>
      <c r="AG170" s="96"/>
      <c r="AH170" s="96"/>
      <c r="AI170" s="96"/>
      <c r="AJ170" s="96"/>
      <c r="AK170" s="96"/>
      <c r="AL170" s="96"/>
      <c r="AM170" s="96"/>
      <c r="AN170" s="96"/>
      <c r="AO170" s="96"/>
      <c r="AP170" s="96"/>
      <c r="AQ170" s="96"/>
      <c r="AR170" s="96"/>
      <c r="AS170" s="96"/>
    </row>
    <row r="171" spans="1:45" s="94" customFormat="1" ht="15.75" customHeight="1" x14ac:dyDescent="0.2">
      <c r="A171" s="95"/>
      <c r="B171" s="146" t="s">
        <v>1374</v>
      </c>
      <c r="C171" s="1168">
        <f>ROUND(total_Cat5_op_CO2,6)</f>
        <v>0</v>
      </c>
      <c r="D171" s="1168">
        <f>total_Cat6_op_CO2</f>
        <v>0.59952084000000005</v>
      </c>
      <c r="E171" s="1168">
        <f>ROUND(total_Cat7_CO2,6)</f>
        <v>0</v>
      </c>
      <c r="F171" s="1168">
        <f>ROUND(total_Cat8_CO2,6)</f>
        <v>0</v>
      </c>
      <c r="G171" s="195"/>
      <c r="H171" s="195"/>
      <c r="I171" s="195"/>
      <c r="M171" s="102"/>
      <c r="N171" s="95"/>
      <c r="O171" s="96"/>
      <c r="P171" s="96"/>
      <c r="Q171" s="96"/>
      <c r="R171" s="96"/>
      <c r="S171" s="96"/>
      <c r="T171" s="96"/>
      <c r="U171" s="96"/>
      <c r="V171" s="96"/>
      <c r="W171" s="96"/>
      <c r="X171" s="96"/>
      <c r="Y171" s="96"/>
      <c r="Z171" s="96"/>
      <c r="AA171" s="96"/>
      <c r="AB171" s="96"/>
      <c r="AC171" s="96"/>
      <c r="AD171" s="96"/>
      <c r="AE171" s="96"/>
      <c r="AF171" s="96"/>
      <c r="AG171" s="96"/>
      <c r="AH171" s="96"/>
      <c r="AI171" s="96"/>
      <c r="AJ171" s="96"/>
      <c r="AK171" s="96"/>
      <c r="AL171" s="96"/>
      <c r="AM171" s="96"/>
      <c r="AN171" s="96"/>
      <c r="AO171" s="96"/>
      <c r="AP171" s="96"/>
      <c r="AQ171" s="96"/>
      <c r="AR171" s="96"/>
      <c r="AS171" s="96"/>
    </row>
    <row r="172" spans="1:45" s="94" customFormat="1" ht="15.75" customHeight="1" x14ac:dyDescent="0.2">
      <c r="A172" s="95"/>
      <c r="B172" s="146" t="s">
        <v>1375</v>
      </c>
      <c r="C172" s="1168">
        <f>ROUND(total_Cat5_op_CH4,6)</f>
        <v>0</v>
      </c>
      <c r="D172" s="1168">
        <f>total_Cat6_op_CH4</f>
        <v>1.14E-8</v>
      </c>
      <c r="E172" s="1168">
        <f>ROUND(total_Cat7_CH4,6)</f>
        <v>0</v>
      </c>
      <c r="F172" s="1168">
        <f>ROUND(total_Cat8_CH4,6)</f>
        <v>0</v>
      </c>
      <c r="G172" s="195"/>
      <c r="H172" s="195"/>
      <c r="I172" s="195"/>
      <c r="M172" s="102"/>
      <c r="N172" s="95"/>
      <c r="O172" s="96"/>
      <c r="P172" s="96"/>
      <c r="Q172" s="96"/>
      <c r="R172" s="96"/>
      <c r="S172" s="96"/>
      <c r="T172" s="96"/>
      <c r="U172" s="96"/>
      <c r="V172" s="96"/>
      <c r="W172" s="96"/>
      <c r="X172" s="96"/>
      <c r="Y172" s="96"/>
      <c r="Z172" s="96"/>
      <c r="AA172" s="96"/>
      <c r="AB172" s="96"/>
      <c r="AC172" s="96"/>
      <c r="AD172" s="96"/>
      <c r="AE172" s="96"/>
      <c r="AF172" s="96"/>
      <c r="AG172" s="96"/>
      <c r="AH172" s="96"/>
      <c r="AI172" s="96"/>
      <c r="AJ172" s="96"/>
      <c r="AK172" s="96"/>
      <c r="AL172" s="96"/>
      <c r="AM172" s="96"/>
      <c r="AN172" s="96"/>
      <c r="AO172" s="96"/>
      <c r="AP172" s="96"/>
      <c r="AQ172" s="96"/>
      <c r="AR172" s="96"/>
      <c r="AS172" s="96"/>
    </row>
    <row r="173" spans="1:45" s="94" customFormat="1" ht="15.75" customHeight="1" x14ac:dyDescent="0.2">
      <c r="A173" s="95"/>
      <c r="B173" s="146" t="s">
        <v>1376</v>
      </c>
      <c r="C173" s="1168">
        <f>ROUND(total_Cat5_op_N2O,6)</f>
        <v>0</v>
      </c>
      <c r="D173" s="1168">
        <f>total_Cat6_op_N2O</f>
        <v>8.3999999999999991E-9</v>
      </c>
      <c r="E173" s="1168">
        <f>ROUND(total_Cat7_N2O,6)</f>
        <v>0</v>
      </c>
      <c r="F173" s="1168">
        <f>ROUND(total_Cat8_N2O,6)</f>
        <v>0</v>
      </c>
      <c r="G173" s="195"/>
      <c r="H173" s="195"/>
      <c r="I173" s="195"/>
      <c r="M173" s="102"/>
      <c r="N173" s="95"/>
      <c r="O173" s="96"/>
      <c r="P173" s="96"/>
      <c r="Q173" s="96"/>
      <c r="R173" s="96"/>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row>
    <row r="174" spans="1:45" s="94" customFormat="1" ht="15.75" customHeight="1" collapsed="1" x14ac:dyDescent="0.2">
      <c r="A174" s="95"/>
      <c r="B174" s="146" t="s">
        <v>282</v>
      </c>
      <c r="C174" s="1124"/>
      <c r="D174" s="1124"/>
      <c r="E174" s="1168">
        <f>ROUND(total_Cat7_HFC,6)</f>
        <v>0</v>
      </c>
      <c r="F174" s="1168">
        <f>ROUND(total_Cat8_HFC,6)</f>
        <v>0</v>
      </c>
      <c r="G174" s="195"/>
      <c r="H174" s="195"/>
      <c r="I174" s="195"/>
      <c r="M174" s="102"/>
      <c r="N174" s="95"/>
      <c r="O174" s="96"/>
      <c r="P174" s="96"/>
      <c r="Q174" s="96"/>
      <c r="R174" s="96"/>
      <c r="S174" s="96"/>
      <c r="T174" s="96"/>
      <c r="U174" s="96"/>
      <c r="V174" s="96"/>
      <c r="W174" s="96"/>
      <c r="X174" s="96"/>
      <c r="Y174" s="96"/>
      <c r="Z174" s="96"/>
      <c r="AA174" s="96"/>
      <c r="AB174" s="96"/>
      <c r="AC174" s="96"/>
      <c r="AD174" s="96"/>
      <c r="AE174" s="96"/>
      <c r="AF174" s="96"/>
      <c r="AG174" s="96"/>
      <c r="AH174" s="96"/>
      <c r="AI174" s="96"/>
      <c r="AJ174" s="96"/>
      <c r="AK174" s="96"/>
      <c r="AL174" s="96"/>
      <c r="AM174" s="96"/>
      <c r="AN174" s="96"/>
      <c r="AO174" s="96"/>
      <c r="AP174" s="96"/>
      <c r="AQ174" s="96"/>
      <c r="AR174" s="96"/>
      <c r="AS174" s="96"/>
    </row>
    <row r="175" spans="1:45" s="94" customFormat="1" ht="15.75" hidden="1" customHeight="1" outlineLevel="1" x14ac:dyDescent="0.2">
      <c r="A175" s="95"/>
      <c r="B175" s="148" t="s">
        <v>85</v>
      </c>
      <c r="C175" s="1124"/>
      <c r="D175" s="1124"/>
      <c r="E175" s="1168">
        <f>ROUND('Categorias de Ambito 3'!G73,6)</f>
        <v>0</v>
      </c>
      <c r="F175" s="1168">
        <f>ROUND('Categorias de Ambito 3'!I73,6)</f>
        <v>0</v>
      </c>
      <c r="G175" s="195"/>
      <c r="H175" s="195"/>
      <c r="I175" s="195"/>
      <c r="M175" s="102"/>
      <c r="N175" s="95"/>
      <c r="O175" s="96"/>
      <c r="P175" s="96"/>
      <c r="Q175" s="96"/>
      <c r="R175" s="96"/>
      <c r="S175" s="96"/>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row>
    <row r="176" spans="1:45" s="94" customFormat="1" ht="15.75" hidden="1" customHeight="1" outlineLevel="1" x14ac:dyDescent="0.2">
      <c r="A176" s="95"/>
      <c r="B176" s="148" t="s">
        <v>86</v>
      </c>
      <c r="C176" s="1124"/>
      <c r="D176" s="1124"/>
      <c r="E176" s="1168">
        <f>ROUND('Categorias de Ambito 3'!G74,6)</f>
        <v>0</v>
      </c>
      <c r="F176" s="1168">
        <f>ROUND('Categorias de Ambito 3'!I74,6)</f>
        <v>0</v>
      </c>
      <c r="G176" s="195"/>
      <c r="H176" s="195"/>
      <c r="I176" s="195"/>
      <c r="M176" s="102"/>
      <c r="N176" s="95"/>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row>
    <row r="177" spans="1:45" s="94" customFormat="1" ht="15.75" hidden="1" customHeight="1" outlineLevel="1" x14ac:dyDescent="0.2">
      <c r="A177" s="95"/>
      <c r="B177" s="148" t="s">
        <v>285</v>
      </c>
      <c r="C177" s="1124"/>
      <c r="D177" s="1124"/>
      <c r="E177" s="1168">
        <f>ROUND('Categorias de Ambito 3'!G75,6)</f>
        <v>0</v>
      </c>
      <c r="F177" s="1168">
        <f>ROUND('Categorias de Ambito 3'!I75,6)</f>
        <v>0</v>
      </c>
      <c r="G177" s="195"/>
      <c r="H177" s="195"/>
      <c r="I177" s="195"/>
      <c r="M177" s="102"/>
      <c r="N177" s="95"/>
      <c r="O177" s="96"/>
      <c r="P177" s="96"/>
      <c r="Q177" s="96"/>
      <c r="R177" s="96"/>
      <c r="S177" s="96"/>
      <c r="T177" s="96"/>
      <c r="U177" s="96"/>
      <c r="V177" s="96"/>
      <c r="W177" s="96"/>
      <c r="X177" s="96"/>
      <c r="Y177" s="96"/>
      <c r="Z177" s="96"/>
      <c r="AA177" s="96"/>
      <c r="AB177" s="96"/>
      <c r="AC177" s="96"/>
      <c r="AD177" s="96"/>
      <c r="AE177" s="96"/>
      <c r="AF177" s="96"/>
      <c r="AG177" s="96"/>
      <c r="AH177" s="96"/>
      <c r="AI177" s="96"/>
      <c r="AJ177" s="96"/>
      <c r="AK177" s="96"/>
      <c r="AL177" s="96"/>
      <c r="AM177" s="96"/>
      <c r="AN177" s="96"/>
      <c r="AO177" s="96"/>
      <c r="AP177" s="96"/>
      <c r="AQ177" s="96"/>
      <c r="AR177" s="96"/>
      <c r="AS177" s="96"/>
    </row>
    <row r="178" spans="1:45" s="94" customFormat="1" ht="15.75" hidden="1" customHeight="1" outlineLevel="1" x14ac:dyDescent="0.2">
      <c r="A178" s="95"/>
      <c r="B178" s="148" t="s">
        <v>87</v>
      </c>
      <c r="C178" s="1124"/>
      <c r="D178" s="1124"/>
      <c r="E178" s="1168">
        <f>ROUND('Categorias de Ambito 3'!G76,6)</f>
        <v>0</v>
      </c>
      <c r="F178" s="1168">
        <f>ROUND('Categorias de Ambito 3'!I76,6)</f>
        <v>0</v>
      </c>
      <c r="G178" s="195"/>
      <c r="H178" s="195"/>
      <c r="I178" s="195"/>
      <c r="M178" s="102"/>
      <c r="N178" s="95"/>
      <c r="O178" s="96"/>
      <c r="P178" s="96"/>
      <c r="Q178" s="96"/>
      <c r="R178" s="96"/>
      <c r="S178" s="96"/>
      <c r="T178" s="96"/>
      <c r="U178" s="96"/>
      <c r="V178" s="96"/>
      <c r="W178" s="96"/>
      <c r="X178" s="96"/>
      <c r="Y178" s="96"/>
      <c r="Z178" s="96"/>
      <c r="AA178" s="96"/>
      <c r="AB178" s="96"/>
      <c r="AC178" s="96"/>
      <c r="AD178" s="96"/>
      <c r="AE178" s="96"/>
      <c r="AF178" s="96"/>
      <c r="AG178" s="96"/>
      <c r="AH178" s="96"/>
      <c r="AI178" s="96"/>
      <c r="AJ178" s="96"/>
      <c r="AK178" s="96"/>
      <c r="AL178" s="96"/>
      <c r="AM178" s="96"/>
      <c r="AN178" s="96"/>
      <c r="AO178" s="96"/>
      <c r="AP178" s="96"/>
      <c r="AQ178" s="96"/>
      <c r="AR178" s="96"/>
      <c r="AS178" s="96"/>
    </row>
    <row r="179" spans="1:45" s="94" customFormat="1" ht="15.75" hidden="1" customHeight="1" outlineLevel="1" x14ac:dyDescent="0.2">
      <c r="A179" s="95"/>
      <c r="B179" s="148" t="s">
        <v>287</v>
      </c>
      <c r="C179" s="1124"/>
      <c r="D179" s="1124"/>
      <c r="E179" s="1168">
        <f>ROUND('Categorias de Ambito 3'!G77,6)</f>
        <v>0</v>
      </c>
      <c r="F179" s="1168">
        <f>ROUND('Categorias de Ambito 3'!I77,6)</f>
        <v>0</v>
      </c>
      <c r="G179" s="195"/>
      <c r="H179" s="195"/>
      <c r="I179" s="195"/>
      <c r="M179" s="102"/>
      <c r="N179" s="95"/>
      <c r="O179" s="96"/>
      <c r="P179" s="96"/>
      <c r="Q179" s="96"/>
      <c r="R179" s="96"/>
      <c r="S179" s="96"/>
      <c r="T179" s="96"/>
      <c r="U179" s="96"/>
      <c r="V179" s="96"/>
      <c r="W179" s="96"/>
      <c r="X179" s="96"/>
      <c r="Y179" s="96"/>
      <c r="Z179" s="96"/>
      <c r="AA179" s="96"/>
      <c r="AB179" s="96"/>
      <c r="AC179" s="96"/>
      <c r="AD179" s="96"/>
      <c r="AE179" s="96"/>
      <c r="AF179" s="96"/>
      <c r="AG179" s="96"/>
      <c r="AH179" s="96"/>
      <c r="AI179" s="96"/>
      <c r="AJ179" s="96"/>
      <c r="AK179" s="96"/>
      <c r="AL179" s="96"/>
      <c r="AM179" s="96"/>
      <c r="AN179" s="96"/>
      <c r="AO179" s="96"/>
      <c r="AP179" s="96"/>
      <c r="AQ179" s="96"/>
      <c r="AR179" s="96"/>
      <c r="AS179" s="96"/>
    </row>
    <row r="180" spans="1:45" s="94" customFormat="1" ht="15.75" hidden="1" customHeight="1" outlineLevel="1" x14ac:dyDescent="0.2">
      <c r="A180" s="95"/>
      <c r="B180" s="148" t="s">
        <v>88</v>
      </c>
      <c r="C180" s="1124"/>
      <c r="D180" s="1124"/>
      <c r="E180" s="1168">
        <f>ROUND('Categorias de Ambito 3'!G78,6)</f>
        <v>0</v>
      </c>
      <c r="F180" s="1168">
        <f>ROUND('Categorias de Ambito 3'!I78,6)</f>
        <v>0</v>
      </c>
      <c r="G180" s="195"/>
      <c r="H180" s="195"/>
      <c r="I180" s="195"/>
      <c r="M180" s="102"/>
      <c r="N180" s="95"/>
      <c r="O180" s="96"/>
      <c r="P180" s="96"/>
      <c r="Q180" s="96"/>
      <c r="R180" s="96"/>
      <c r="S180" s="96"/>
      <c r="T180" s="96"/>
      <c r="U180" s="96"/>
      <c r="V180" s="96"/>
      <c r="W180" s="96"/>
      <c r="X180" s="96"/>
      <c r="Y180" s="96"/>
      <c r="Z180" s="96"/>
      <c r="AA180" s="96"/>
      <c r="AB180" s="96"/>
      <c r="AC180" s="96"/>
      <c r="AD180" s="96"/>
      <c r="AE180" s="96"/>
      <c r="AF180" s="96"/>
      <c r="AG180" s="96"/>
      <c r="AH180" s="96"/>
      <c r="AI180" s="96"/>
      <c r="AJ180" s="96"/>
      <c r="AK180" s="96"/>
      <c r="AL180" s="96"/>
      <c r="AM180" s="96"/>
      <c r="AN180" s="96"/>
      <c r="AO180" s="96"/>
      <c r="AP180" s="96"/>
      <c r="AQ180" s="96"/>
      <c r="AR180" s="96"/>
      <c r="AS180" s="96"/>
    </row>
    <row r="181" spans="1:45" s="94" customFormat="1" ht="15.75" hidden="1" customHeight="1" outlineLevel="1" x14ac:dyDescent="0.2">
      <c r="A181" s="95"/>
      <c r="B181" s="148" t="s">
        <v>288</v>
      </c>
      <c r="C181" s="1124"/>
      <c r="D181" s="1124"/>
      <c r="E181" s="1168">
        <f>ROUND('Categorias de Ambito 3'!G79,6)</f>
        <v>0</v>
      </c>
      <c r="F181" s="1168">
        <f>ROUND('Categorias de Ambito 3'!I79,6)</f>
        <v>0</v>
      </c>
      <c r="G181" s="195"/>
      <c r="H181" s="195"/>
      <c r="I181" s="195"/>
      <c r="M181" s="102"/>
      <c r="N181" s="95"/>
      <c r="O181" s="96"/>
      <c r="P181" s="96"/>
      <c r="Q181" s="96"/>
      <c r="R181" s="96"/>
      <c r="S181" s="96"/>
      <c r="T181" s="96"/>
      <c r="U181" s="96"/>
      <c r="V181" s="96"/>
      <c r="W181" s="96"/>
      <c r="X181" s="96"/>
      <c r="Y181" s="96"/>
      <c r="Z181" s="96"/>
      <c r="AA181" s="96"/>
      <c r="AB181" s="96"/>
      <c r="AC181" s="96"/>
      <c r="AD181" s="96"/>
      <c r="AE181" s="96"/>
      <c r="AF181" s="96"/>
      <c r="AG181" s="96"/>
      <c r="AH181" s="96"/>
      <c r="AI181" s="96"/>
      <c r="AJ181" s="96"/>
      <c r="AK181" s="96"/>
      <c r="AL181" s="96"/>
      <c r="AM181" s="96"/>
      <c r="AN181" s="96"/>
      <c r="AO181" s="96"/>
      <c r="AP181" s="96"/>
      <c r="AQ181" s="96"/>
      <c r="AR181" s="96"/>
      <c r="AS181" s="96"/>
    </row>
    <row r="182" spans="1:45" s="94" customFormat="1" ht="15.75" hidden="1" customHeight="1" outlineLevel="1" x14ac:dyDescent="0.2">
      <c r="A182" s="95"/>
      <c r="B182" s="148" t="s">
        <v>107</v>
      </c>
      <c r="C182" s="1124"/>
      <c r="D182" s="1124"/>
      <c r="E182" s="1168">
        <f>ROUND('Categorias de Ambito 3'!G80,6)</f>
        <v>0</v>
      </c>
      <c r="F182" s="1168">
        <f>ROUND('Categorias de Ambito 3'!I80,6)</f>
        <v>0</v>
      </c>
      <c r="G182" s="195"/>
      <c r="H182" s="195"/>
      <c r="I182" s="195"/>
      <c r="M182" s="102"/>
      <c r="N182" s="95"/>
      <c r="O182" s="96"/>
      <c r="P182" s="96"/>
      <c r="Q182" s="96"/>
      <c r="R182" s="96"/>
      <c r="S182" s="96"/>
      <c r="T182" s="96"/>
      <c r="U182" s="96"/>
      <c r="V182" s="96"/>
      <c r="W182" s="96"/>
      <c r="X182" s="96"/>
      <c r="Y182" s="96"/>
      <c r="Z182" s="96"/>
      <c r="AA182" s="96"/>
      <c r="AB182" s="96"/>
      <c r="AC182" s="96"/>
      <c r="AD182" s="96"/>
      <c r="AE182" s="96"/>
      <c r="AF182" s="96"/>
      <c r="AG182" s="96"/>
      <c r="AH182" s="96"/>
      <c r="AI182" s="96"/>
      <c r="AJ182" s="96"/>
      <c r="AK182" s="96"/>
      <c r="AL182" s="96"/>
      <c r="AM182" s="96"/>
      <c r="AN182" s="96"/>
      <c r="AO182" s="96"/>
      <c r="AP182" s="96"/>
      <c r="AQ182" s="96"/>
      <c r="AR182" s="96"/>
      <c r="AS182" s="96"/>
    </row>
    <row r="183" spans="1:45" s="94" customFormat="1" ht="15.75" hidden="1" customHeight="1" outlineLevel="1" x14ac:dyDescent="0.2">
      <c r="A183" s="95"/>
      <c r="B183" s="148" t="s">
        <v>289</v>
      </c>
      <c r="C183" s="1124"/>
      <c r="D183" s="1124"/>
      <c r="E183" s="1168">
        <f>ROUND('Categorias de Ambito 3'!G81,6)</f>
        <v>0</v>
      </c>
      <c r="F183" s="1168">
        <f>ROUND('Categorias de Ambito 3'!I81,6)</f>
        <v>0</v>
      </c>
      <c r="G183" s="195"/>
      <c r="H183" s="195"/>
      <c r="I183" s="195"/>
      <c r="M183" s="102"/>
      <c r="N183" s="95"/>
      <c r="O183" s="96"/>
      <c r="P183" s="96"/>
      <c r="Q183" s="96"/>
      <c r="R183" s="96"/>
      <c r="S183" s="96"/>
      <c r="T183" s="96"/>
      <c r="U183" s="96"/>
      <c r="V183" s="96"/>
      <c r="W183" s="96"/>
      <c r="X183" s="96"/>
      <c r="Y183" s="96"/>
      <c r="Z183" s="96"/>
      <c r="AA183" s="96"/>
      <c r="AB183" s="96"/>
      <c r="AC183" s="96"/>
      <c r="AD183" s="96"/>
      <c r="AE183" s="96"/>
      <c r="AF183" s="96"/>
      <c r="AG183" s="96"/>
      <c r="AH183" s="96"/>
      <c r="AI183" s="96"/>
      <c r="AJ183" s="96"/>
      <c r="AK183" s="96"/>
      <c r="AL183" s="96"/>
      <c r="AM183" s="96"/>
      <c r="AN183" s="96"/>
      <c r="AO183" s="96"/>
      <c r="AP183" s="96"/>
      <c r="AQ183" s="96"/>
      <c r="AR183" s="96"/>
      <c r="AS183" s="96"/>
    </row>
    <row r="184" spans="1:45" s="94" customFormat="1" ht="15.75" hidden="1" customHeight="1" outlineLevel="1" x14ac:dyDescent="0.2">
      <c r="A184" s="95"/>
      <c r="B184" s="148" t="s">
        <v>108</v>
      </c>
      <c r="C184" s="1124"/>
      <c r="D184" s="1124"/>
      <c r="E184" s="1168">
        <f>ROUND('Categorias de Ambito 3'!G82,6)</f>
        <v>0</v>
      </c>
      <c r="F184" s="1168">
        <f>ROUND('Categorias de Ambito 3'!I82,6)</f>
        <v>0</v>
      </c>
      <c r="G184" s="195"/>
      <c r="H184" s="195"/>
      <c r="I184" s="195"/>
      <c r="M184" s="102"/>
      <c r="N184" s="95"/>
      <c r="O184" s="96"/>
      <c r="P184" s="96"/>
      <c r="Q184" s="96"/>
      <c r="R184" s="96"/>
      <c r="S184" s="96"/>
      <c r="T184" s="96"/>
      <c r="U184" s="96"/>
      <c r="V184" s="96"/>
      <c r="W184" s="96"/>
      <c r="X184" s="96"/>
      <c r="Y184" s="96"/>
      <c r="Z184" s="96"/>
      <c r="AA184" s="96"/>
      <c r="AB184" s="96"/>
      <c r="AC184" s="96"/>
      <c r="AD184" s="96"/>
      <c r="AE184" s="96"/>
      <c r="AF184" s="96"/>
      <c r="AG184" s="96"/>
      <c r="AH184" s="96"/>
      <c r="AI184" s="96"/>
      <c r="AJ184" s="96"/>
      <c r="AK184" s="96"/>
      <c r="AL184" s="96"/>
      <c r="AM184" s="96"/>
      <c r="AN184" s="96"/>
      <c r="AO184" s="96"/>
      <c r="AP184" s="96"/>
      <c r="AQ184" s="96"/>
      <c r="AR184" s="96"/>
      <c r="AS184" s="96"/>
    </row>
    <row r="185" spans="1:45" s="94" customFormat="1" ht="15.75" hidden="1" customHeight="1" outlineLevel="1" x14ac:dyDescent="0.2">
      <c r="A185" s="95"/>
      <c r="B185" s="148" t="s">
        <v>290</v>
      </c>
      <c r="C185" s="1124"/>
      <c r="D185" s="1124"/>
      <c r="E185" s="1168">
        <f>ROUND('Categorias de Ambito 3'!G83,6)</f>
        <v>0</v>
      </c>
      <c r="F185" s="1168">
        <f>ROUND('Categorias de Ambito 3'!I83,6)</f>
        <v>0</v>
      </c>
      <c r="G185" s="195"/>
      <c r="H185" s="195"/>
      <c r="I185" s="195"/>
      <c r="M185" s="102"/>
      <c r="N185" s="95"/>
      <c r="O185" s="96"/>
      <c r="P185" s="96"/>
      <c r="Q185" s="96"/>
      <c r="R185" s="96"/>
      <c r="S185" s="96"/>
      <c r="T185" s="96"/>
      <c r="U185" s="96"/>
      <c r="V185" s="96"/>
      <c r="W185" s="96"/>
      <c r="X185" s="96"/>
      <c r="Y185" s="96"/>
      <c r="Z185" s="96"/>
      <c r="AA185" s="96"/>
      <c r="AB185" s="96"/>
      <c r="AC185" s="96"/>
      <c r="AD185" s="96"/>
      <c r="AE185" s="96"/>
      <c r="AF185" s="96"/>
      <c r="AG185" s="96"/>
      <c r="AH185" s="96"/>
      <c r="AI185" s="96"/>
      <c r="AJ185" s="96"/>
      <c r="AK185" s="96"/>
      <c r="AL185" s="96"/>
      <c r="AM185" s="96"/>
      <c r="AN185" s="96"/>
      <c r="AO185" s="96"/>
      <c r="AP185" s="96"/>
      <c r="AQ185" s="96"/>
      <c r="AR185" s="96"/>
      <c r="AS185" s="96"/>
    </row>
    <row r="186" spans="1:45" s="94" customFormat="1" ht="15.75" hidden="1" customHeight="1" outlineLevel="1" x14ac:dyDescent="0.2">
      <c r="A186" s="95"/>
      <c r="B186" s="148" t="s">
        <v>291</v>
      </c>
      <c r="C186" s="1124"/>
      <c r="D186" s="1124"/>
      <c r="E186" s="1168">
        <f>ROUND('Categorias de Ambito 3'!G84,6)</f>
        <v>0</v>
      </c>
      <c r="F186" s="1168">
        <f>ROUND('Categorias de Ambito 3'!I84,6)</f>
        <v>0</v>
      </c>
      <c r="G186" s="195"/>
      <c r="H186" s="195"/>
      <c r="I186" s="195"/>
      <c r="M186" s="102"/>
      <c r="N186" s="95"/>
      <c r="O186" s="96"/>
      <c r="P186" s="96"/>
      <c r="Q186" s="96"/>
      <c r="R186" s="96"/>
      <c r="S186" s="96"/>
      <c r="T186" s="96"/>
      <c r="U186" s="96"/>
      <c r="V186" s="96"/>
      <c r="W186" s="96"/>
      <c r="X186" s="96"/>
      <c r="Y186" s="96"/>
      <c r="Z186" s="96"/>
      <c r="AA186" s="96"/>
      <c r="AB186" s="96"/>
      <c r="AC186" s="96"/>
      <c r="AD186" s="96"/>
      <c r="AE186" s="96"/>
      <c r="AF186" s="96"/>
      <c r="AG186" s="96"/>
      <c r="AH186" s="96"/>
      <c r="AI186" s="96"/>
      <c r="AJ186" s="96"/>
      <c r="AK186" s="96"/>
      <c r="AL186" s="96"/>
      <c r="AM186" s="96"/>
      <c r="AN186" s="96"/>
      <c r="AO186" s="96"/>
      <c r="AP186" s="96"/>
      <c r="AQ186" s="96"/>
      <c r="AR186" s="96"/>
      <c r="AS186" s="96"/>
    </row>
    <row r="187" spans="1:45" s="94" customFormat="1" ht="15.75" hidden="1" customHeight="1" outlineLevel="1" x14ac:dyDescent="0.2">
      <c r="A187" s="95"/>
      <c r="B187" s="148" t="s">
        <v>292</v>
      </c>
      <c r="C187" s="1124"/>
      <c r="D187" s="1124"/>
      <c r="E187" s="1168">
        <f>ROUND('Categorias de Ambito 3'!G85,6)</f>
        <v>0</v>
      </c>
      <c r="F187" s="1168">
        <f>ROUND('Categorias de Ambito 3'!I85,6)</f>
        <v>0</v>
      </c>
      <c r="G187" s="195"/>
      <c r="H187" s="195"/>
      <c r="I187" s="195"/>
      <c r="M187" s="102"/>
      <c r="N187" s="95"/>
      <c r="O187" s="96"/>
      <c r="P187" s="96"/>
      <c r="Q187" s="96"/>
      <c r="R187" s="96"/>
      <c r="S187" s="96"/>
      <c r="T187" s="96"/>
      <c r="U187" s="96"/>
      <c r="V187" s="96"/>
      <c r="W187" s="96"/>
      <c r="X187" s="96"/>
      <c r="Y187" s="96"/>
      <c r="Z187" s="96"/>
      <c r="AA187" s="96"/>
      <c r="AB187" s="96"/>
      <c r="AC187" s="96"/>
      <c r="AD187" s="96"/>
      <c r="AE187" s="96"/>
      <c r="AF187" s="96"/>
      <c r="AG187" s="96"/>
      <c r="AH187" s="96"/>
      <c r="AI187" s="96"/>
      <c r="AJ187" s="96"/>
      <c r="AK187" s="96"/>
      <c r="AL187" s="96"/>
      <c r="AM187" s="96"/>
      <c r="AN187" s="96"/>
      <c r="AO187" s="96"/>
      <c r="AP187" s="96"/>
      <c r="AQ187" s="96"/>
      <c r="AR187" s="96"/>
      <c r="AS187" s="96"/>
    </row>
    <row r="188" spans="1:45" s="94" customFormat="1" ht="15.75" hidden="1" customHeight="1" outlineLevel="1" x14ac:dyDescent="0.2">
      <c r="A188" s="95"/>
      <c r="B188" s="148" t="s">
        <v>293</v>
      </c>
      <c r="C188" s="1124"/>
      <c r="D188" s="1124"/>
      <c r="E188" s="1168">
        <f>ROUND('Categorias de Ambito 3'!G86,6)</f>
        <v>0</v>
      </c>
      <c r="F188" s="1168">
        <f>ROUND('Categorias de Ambito 3'!I86,6)</f>
        <v>0</v>
      </c>
      <c r="G188" s="195"/>
      <c r="H188" s="195"/>
      <c r="I188" s="195"/>
      <c r="M188" s="102"/>
      <c r="N188" s="95"/>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96"/>
      <c r="AP188" s="96"/>
      <c r="AQ188" s="96"/>
      <c r="AR188" s="96"/>
      <c r="AS188" s="96"/>
    </row>
    <row r="189" spans="1:45" s="94" customFormat="1" ht="15.75" hidden="1" customHeight="1" outlineLevel="1" x14ac:dyDescent="0.2">
      <c r="A189" s="95"/>
      <c r="B189" s="148" t="s">
        <v>109</v>
      </c>
      <c r="C189" s="1124"/>
      <c r="D189" s="1124"/>
      <c r="E189" s="1168">
        <f>ROUND('Categorias de Ambito 3'!G87,6)</f>
        <v>0</v>
      </c>
      <c r="F189" s="1168">
        <f>ROUND('Categorias de Ambito 3'!I87,6)</f>
        <v>0</v>
      </c>
      <c r="G189" s="195"/>
      <c r="H189" s="195"/>
      <c r="I189" s="195"/>
      <c r="M189" s="102"/>
      <c r="N189" s="95"/>
      <c r="O189" s="96"/>
      <c r="P189" s="96"/>
      <c r="Q189" s="96"/>
      <c r="R189" s="96"/>
      <c r="S189" s="96"/>
      <c r="T189" s="96"/>
      <c r="U189" s="96"/>
      <c r="V189" s="96"/>
      <c r="W189" s="96"/>
      <c r="X189" s="96"/>
      <c r="Y189" s="96"/>
      <c r="Z189" s="96"/>
      <c r="AA189" s="96"/>
      <c r="AB189" s="96"/>
      <c r="AC189" s="96"/>
      <c r="AD189" s="96"/>
      <c r="AE189" s="96"/>
      <c r="AF189" s="96"/>
      <c r="AG189" s="96"/>
      <c r="AH189" s="96"/>
      <c r="AI189" s="96"/>
      <c r="AJ189" s="96"/>
      <c r="AK189" s="96"/>
      <c r="AL189" s="96"/>
      <c r="AM189" s="96"/>
      <c r="AN189" s="96"/>
      <c r="AO189" s="96"/>
      <c r="AP189" s="96"/>
      <c r="AQ189" s="96"/>
      <c r="AR189" s="96"/>
      <c r="AS189" s="96"/>
    </row>
    <row r="190" spans="1:45" s="94" customFormat="1" ht="15.75" hidden="1" customHeight="1" outlineLevel="1" x14ac:dyDescent="0.2">
      <c r="A190" s="95"/>
      <c r="B190" s="148" t="s">
        <v>294</v>
      </c>
      <c r="C190" s="1124"/>
      <c r="D190" s="1124"/>
      <c r="E190" s="1168">
        <f>ROUND('Categorias de Ambito 3'!G88,6)</f>
        <v>0</v>
      </c>
      <c r="F190" s="1168">
        <f>ROUND('Categorias de Ambito 3'!I88,6)</f>
        <v>0</v>
      </c>
      <c r="G190" s="195"/>
      <c r="H190" s="195"/>
      <c r="I190" s="195"/>
      <c r="M190" s="102"/>
      <c r="N190" s="95"/>
      <c r="O190" s="96"/>
      <c r="P190" s="96"/>
      <c r="Q190" s="96"/>
      <c r="R190" s="96"/>
      <c r="S190" s="96"/>
      <c r="T190" s="96"/>
      <c r="U190" s="96"/>
      <c r="V190" s="96"/>
      <c r="W190" s="96"/>
      <c r="X190" s="96"/>
      <c r="Y190" s="96"/>
      <c r="Z190" s="96"/>
      <c r="AA190" s="96"/>
      <c r="AB190" s="96"/>
      <c r="AC190" s="96"/>
      <c r="AD190" s="96"/>
      <c r="AE190" s="96"/>
      <c r="AF190" s="96"/>
      <c r="AG190" s="96"/>
      <c r="AH190" s="96"/>
      <c r="AI190" s="96"/>
      <c r="AJ190" s="96"/>
      <c r="AK190" s="96"/>
      <c r="AL190" s="96"/>
      <c r="AM190" s="96"/>
      <c r="AN190" s="96"/>
      <c r="AO190" s="96"/>
      <c r="AP190" s="96"/>
      <c r="AQ190" s="96"/>
      <c r="AR190" s="96"/>
      <c r="AS190" s="96"/>
    </row>
    <row r="191" spans="1:45" s="94" customFormat="1" ht="15.75" hidden="1" customHeight="1" outlineLevel="1" x14ac:dyDescent="0.2">
      <c r="A191" s="95"/>
      <c r="B191" s="148" t="s">
        <v>295</v>
      </c>
      <c r="C191" s="1124"/>
      <c r="D191" s="1124"/>
      <c r="E191" s="1168">
        <f>ROUND('Categorias de Ambito 3'!G89,6)</f>
        <v>0</v>
      </c>
      <c r="F191" s="1168">
        <f>ROUND('Categorias de Ambito 3'!I89,6)</f>
        <v>0</v>
      </c>
      <c r="G191" s="195"/>
      <c r="H191" s="195"/>
      <c r="I191" s="195"/>
      <c r="M191" s="102"/>
      <c r="N191" s="95"/>
      <c r="O191" s="96"/>
      <c r="P191" s="96"/>
      <c r="Q191" s="96"/>
      <c r="R191" s="96"/>
      <c r="S191" s="96"/>
      <c r="T191" s="96"/>
      <c r="U191" s="96"/>
      <c r="V191" s="96"/>
      <c r="W191" s="96"/>
      <c r="X191" s="96"/>
      <c r="Y191" s="96"/>
      <c r="Z191" s="96"/>
      <c r="AA191" s="96"/>
      <c r="AB191" s="96"/>
      <c r="AC191" s="96"/>
      <c r="AD191" s="96"/>
      <c r="AE191" s="96"/>
      <c r="AF191" s="96"/>
      <c r="AG191" s="96"/>
      <c r="AH191" s="96"/>
      <c r="AI191" s="96"/>
      <c r="AJ191" s="96"/>
      <c r="AK191" s="96"/>
      <c r="AL191" s="96"/>
      <c r="AM191" s="96"/>
      <c r="AN191" s="96"/>
      <c r="AO191" s="96"/>
      <c r="AP191" s="96"/>
      <c r="AQ191" s="96"/>
      <c r="AR191" s="96"/>
      <c r="AS191" s="96"/>
    </row>
    <row r="192" spans="1:45" s="94" customFormat="1" ht="15.75" hidden="1" customHeight="1" outlineLevel="1" x14ac:dyDescent="0.2">
      <c r="A192" s="95"/>
      <c r="B192" s="148" t="s">
        <v>296</v>
      </c>
      <c r="C192" s="1124"/>
      <c r="D192" s="1124"/>
      <c r="E192" s="1168">
        <f>ROUND('Categorias de Ambito 3'!G90,6)</f>
        <v>0</v>
      </c>
      <c r="F192" s="1168">
        <f>ROUND('Categorias de Ambito 3'!I90,6)</f>
        <v>0</v>
      </c>
      <c r="G192" s="195"/>
      <c r="H192" s="195"/>
      <c r="I192" s="195"/>
      <c r="M192" s="102"/>
      <c r="N192" s="95"/>
      <c r="O192" s="96"/>
      <c r="P192" s="96"/>
      <c r="Q192" s="96"/>
      <c r="R192" s="96"/>
      <c r="S192" s="96"/>
      <c r="T192" s="96"/>
      <c r="U192" s="96"/>
      <c r="V192" s="96"/>
      <c r="W192" s="96"/>
      <c r="X192" s="96"/>
      <c r="Y192" s="96"/>
      <c r="Z192" s="96"/>
      <c r="AA192" s="96"/>
      <c r="AB192" s="96"/>
      <c r="AC192" s="96"/>
      <c r="AD192" s="96"/>
      <c r="AE192" s="96"/>
      <c r="AF192" s="96"/>
      <c r="AG192" s="96"/>
      <c r="AH192" s="96"/>
      <c r="AI192" s="96"/>
      <c r="AJ192" s="96"/>
      <c r="AK192" s="96"/>
      <c r="AL192" s="96"/>
      <c r="AM192" s="96"/>
      <c r="AN192" s="96"/>
      <c r="AO192" s="96"/>
      <c r="AP192" s="96"/>
      <c r="AQ192" s="96"/>
      <c r="AR192" s="96"/>
      <c r="AS192" s="96"/>
    </row>
    <row r="193" spans="1:45" s="94" customFormat="1" ht="15.75" hidden="1" customHeight="1" outlineLevel="1" x14ac:dyDescent="0.2">
      <c r="A193" s="95"/>
      <c r="B193" s="148" t="s">
        <v>286</v>
      </c>
      <c r="C193" s="1124"/>
      <c r="D193" s="1124"/>
      <c r="E193" s="1168">
        <f>ROUND('Categorias de Ambito 3'!G91,6)</f>
        <v>0</v>
      </c>
      <c r="F193" s="1168">
        <f>ROUND('Categorias de Ambito 3'!I91,6)</f>
        <v>0</v>
      </c>
      <c r="G193" s="195"/>
      <c r="H193" s="195"/>
      <c r="I193" s="195"/>
      <c r="M193" s="102"/>
      <c r="N193" s="95"/>
      <c r="O193" s="96"/>
      <c r="P193" s="96"/>
      <c r="Q193" s="96"/>
      <c r="R193" s="96"/>
      <c r="S193" s="96"/>
      <c r="T193" s="96"/>
      <c r="U193" s="96"/>
      <c r="V193" s="96"/>
      <c r="W193" s="96"/>
      <c r="X193" s="96"/>
      <c r="Y193" s="96"/>
      <c r="Z193" s="96"/>
      <c r="AA193" s="96"/>
      <c r="AB193" s="96"/>
      <c r="AC193" s="96"/>
      <c r="AD193" s="96"/>
      <c r="AE193" s="96"/>
      <c r="AF193" s="96"/>
      <c r="AG193" s="96"/>
      <c r="AH193" s="96"/>
      <c r="AI193" s="96"/>
      <c r="AJ193" s="96"/>
      <c r="AK193" s="96"/>
      <c r="AL193" s="96"/>
      <c r="AM193" s="96"/>
      <c r="AN193" s="96"/>
      <c r="AO193" s="96"/>
      <c r="AP193" s="96"/>
      <c r="AQ193" s="96"/>
      <c r="AR193" s="96"/>
      <c r="AS193" s="96"/>
    </row>
    <row r="194" spans="1:45" s="94" customFormat="1" ht="15.75" customHeight="1" collapsed="1" x14ac:dyDescent="0.2">
      <c r="A194" s="95"/>
      <c r="B194" s="146" t="s">
        <v>283</v>
      </c>
      <c r="C194" s="1124"/>
      <c r="D194" s="1124"/>
      <c r="E194" s="1168">
        <f>ROUND(total_Cat7_PFC,6)</f>
        <v>0</v>
      </c>
      <c r="F194" s="1168">
        <f>ROUND(total_Cat8_PFC,6)</f>
        <v>0</v>
      </c>
      <c r="G194" s="195"/>
      <c r="H194" s="195"/>
      <c r="I194" s="195"/>
      <c r="M194" s="102"/>
      <c r="N194" s="95"/>
      <c r="O194" s="96"/>
      <c r="P194" s="96"/>
      <c r="Q194" s="96"/>
      <c r="R194" s="96"/>
      <c r="S194" s="96"/>
      <c r="T194" s="96"/>
      <c r="U194" s="96"/>
      <c r="V194" s="96"/>
      <c r="W194" s="96"/>
      <c r="X194" s="96"/>
      <c r="Y194" s="96"/>
      <c r="Z194" s="96"/>
      <c r="AA194" s="96"/>
      <c r="AB194" s="96"/>
      <c r="AC194" s="96"/>
      <c r="AD194" s="96"/>
      <c r="AE194" s="96"/>
      <c r="AF194" s="96"/>
      <c r="AG194" s="96"/>
      <c r="AH194" s="96"/>
      <c r="AI194" s="96"/>
      <c r="AJ194" s="96"/>
      <c r="AK194" s="96"/>
      <c r="AL194" s="96"/>
      <c r="AM194" s="96"/>
      <c r="AN194" s="96"/>
      <c r="AO194" s="96"/>
      <c r="AP194" s="96"/>
      <c r="AQ194" s="96"/>
      <c r="AR194" s="96"/>
      <c r="AS194" s="96"/>
    </row>
    <row r="195" spans="1:45" s="94" customFormat="1" ht="15.75" hidden="1" customHeight="1" outlineLevel="1" x14ac:dyDescent="0.2">
      <c r="A195" s="95"/>
      <c r="B195" s="148" t="s">
        <v>458</v>
      </c>
      <c r="C195" s="1124"/>
      <c r="D195" s="1124"/>
      <c r="E195" s="1168">
        <f>ROUND('Categorias de Ambito 3'!G93,6)</f>
        <v>0</v>
      </c>
      <c r="F195" s="1168">
        <f>ROUND('Categorias de Ambito 3'!I93,6)</f>
        <v>0</v>
      </c>
      <c r="G195" s="195"/>
      <c r="H195" s="195"/>
      <c r="I195" s="195"/>
      <c r="M195" s="102"/>
      <c r="N195" s="95"/>
      <c r="O195" s="96"/>
      <c r="P195" s="96"/>
      <c r="Q195" s="96"/>
      <c r="R195" s="96"/>
      <c r="S195" s="96"/>
      <c r="T195" s="96"/>
      <c r="U195" s="96"/>
      <c r="V195" s="96"/>
      <c r="W195" s="96"/>
      <c r="X195" s="96"/>
      <c r="Y195" s="96"/>
      <c r="Z195" s="96"/>
      <c r="AA195" s="96"/>
      <c r="AB195" s="96"/>
      <c r="AC195" s="96"/>
      <c r="AD195" s="96"/>
      <c r="AE195" s="96"/>
      <c r="AF195" s="96"/>
      <c r="AG195" s="96"/>
      <c r="AH195" s="96"/>
      <c r="AI195" s="96"/>
      <c r="AJ195" s="96"/>
      <c r="AK195" s="96"/>
      <c r="AL195" s="96"/>
      <c r="AM195" s="96"/>
      <c r="AN195" s="96"/>
      <c r="AO195" s="96"/>
      <c r="AP195" s="96"/>
      <c r="AQ195" s="96"/>
      <c r="AR195" s="96"/>
      <c r="AS195" s="96"/>
    </row>
    <row r="196" spans="1:45" s="94" customFormat="1" ht="15.75" hidden="1" customHeight="1" outlineLevel="1" x14ac:dyDescent="0.2">
      <c r="A196" s="95"/>
      <c r="B196" s="148" t="s">
        <v>459</v>
      </c>
      <c r="C196" s="1124"/>
      <c r="D196" s="1124"/>
      <c r="E196" s="1168">
        <f>ROUND('Categorias de Ambito 3'!G94,6)</f>
        <v>0</v>
      </c>
      <c r="F196" s="1168">
        <f>ROUND('Categorias de Ambito 3'!I94,6)</f>
        <v>0</v>
      </c>
      <c r="G196" s="195"/>
      <c r="H196" s="195"/>
      <c r="I196" s="195"/>
      <c r="M196" s="102"/>
      <c r="N196" s="95"/>
      <c r="O196" s="96"/>
      <c r="P196" s="96"/>
      <c r="Q196" s="96"/>
      <c r="R196" s="96"/>
      <c r="S196" s="96"/>
      <c r="T196" s="96"/>
      <c r="U196" s="96"/>
      <c r="V196" s="96"/>
      <c r="W196" s="96"/>
      <c r="X196" s="96"/>
      <c r="Y196" s="96"/>
      <c r="Z196" s="96"/>
      <c r="AA196" s="96"/>
      <c r="AB196" s="96"/>
      <c r="AC196" s="96"/>
      <c r="AD196" s="96"/>
      <c r="AE196" s="96"/>
      <c r="AF196" s="96"/>
      <c r="AG196" s="96"/>
      <c r="AH196" s="96"/>
      <c r="AI196" s="96"/>
      <c r="AJ196" s="96"/>
      <c r="AK196" s="96"/>
      <c r="AL196" s="96"/>
      <c r="AM196" s="96"/>
      <c r="AN196" s="96"/>
      <c r="AO196" s="96"/>
      <c r="AP196" s="96"/>
      <c r="AQ196" s="96"/>
      <c r="AR196" s="96"/>
      <c r="AS196" s="96"/>
    </row>
    <row r="197" spans="1:45" s="94" customFormat="1" ht="15.75" hidden="1" customHeight="1" outlineLevel="1" x14ac:dyDescent="0.2">
      <c r="A197" s="95"/>
      <c r="B197" s="148" t="s">
        <v>460</v>
      </c>
      <c r="C197" s="1124"/>
      <c r="D197" s="1124"/>
      <c r="E197" s="1168">
        <f>ROUND('Categorias de Ambito 3'!G95,6)</f>
        <v>0</v>
      </c>
      <c r="F197" s="1168">
        <f>ROUND('Categorias de Ambito 3'!I95,6)</f>
        <v>0</v>
      </c>
      <c r="G197" s="195"/>
      <c r="H197" s="195"/>
      <c r="I197" s="195"/>
      <c r="M197" s="102"/>
      <c r="N197" s="95"/>
      <c r="O197" s="96"/>
      <c r="P197" s="96"/>
      <c r="Q197" s="96"/>
      <c r="R197" s="96"/>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row>
    <row r="198" spans="1:45" s="94" customFormat="1" ht="15.75" hidden="1" customHeight="1" outlineLevel="1" x14ac:dyDescent="0.2">
      <c r="A198" s="95"/>
      <c r="B198" s="148" t="s">
        <v>461</v>
      </c>
      <c r="C198" s="1124"/>
      <c r="D198" s="1124"/>
      <c r="E198" s="1168">
        <f>ROUND('Categorias de Ambito 3'!G96,6)</f>
        <v>0</v>
      </c>
      <c r="F198" s="1168">
        <f>ROUND('Categorias de Ambito 3'!I96,6)</f>
        <v>0</v>
      </c>
      <c r="G198" s="195"/>
      <c r="H198" s="195"/>
      <c r="I198" s="195"/>
      <c r="M198" s="102"/>
      <c r="N198" s="95"/>
      <c r="O198" s="96"/>
      <c r="P198" s="96"/>
      <c r="Q198" s="96"/>
      <c r="R198" s="96"/>
      <c r="S198" s="96"/>
      <c r="T198" s="96"/>
      <c r="U198" s="96"/>
      <c r="V198" s="96"/>
      <c r="W198" s="96"/>
      <c r="X198" s="96"/>
      <c r="Y198" s="96"/>
      <c r="Z198" s="96"/>
      <c r="AA198" s="96"/>
      <c r="AB198" s="96"/>
      <c r="AC198" s="96"/>
      <c r="AD198" s="96"/>
      <c r="AE198" s="96"/>
      <c r="AF198" s="96"/>
      <c r="AG198" s="96"/>
      <c r="AH198" s="96"/>
      <c r="AI198" s="96"/>
      <c r="AJ198" s="96"/>
      <c r="AK198" s="96"/>
      <c r="AL198" s="96"/>
      <c r="AM198" s="96"/>
      <c r="AN198" s="96"/>
      <c r="AO198" s="96"/>
      <c r="AP198" s="96"/>
      <c r="AQ198" s="96"/>
      <c r="AR198" s="96"/>
      <c r="AS198" s="96"/>
    </row>
    <row r="199" spans="1:45" s="94" customFormat="1" ht="15.75" hidden="1" customHeight="1" outlineLevel="1" x14ac:dyDescent="0.2">
      <c r="A199" s="95"/>
      <c r="B199" s="148" t="s">
        <v>462</v>
      </c>
      <c r="C199" s="1124"/>
      <c r="D199" s="1124"/>
      <c r="E199" s="1168">
        <f>ROUND('Categorias de Ambito 3'!G97,6)</f>
        <v>0</v>
      </c>
      <c r="F199" s="1168">
        <f>ROUND('Categorias de Ambito 3'!I97,6)</f>
        <v>0</v>
      </c>
      <c r="G199" s="195"/>
      <c r="H199" s="195"/>
      <c r="I199" s="195"/>
      <c r="M199" s="102"/>
      <c r="N199" s="95"/>
      <c r="O199" s="96"/>
      <c r="P199" s="96"/>
      <c r="Q199" s="96"/>
      <c r="R199" s="96"/>
      <c r="S199" s="96"/>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row>
    <row r="200" spans="1:45" s="94" customFormat="1" ht="15.75" hidden="1" customHeight="1" outlineLevel="1" x14ac:dyDescent="0.2">
      <c r="A200" s="95"/>
      <c r="B200" s="148" t="s">
        <v>463</v>
      </c>
      <c r="C200" s="1124"/>
      <c r="D200" s="1124"/>
      <c r="E200" s="1168">
        <f>ROUND('Categorias de Ambito 3'!G98,6)</f>
        <v>0</v>
      </c>
      <c r="F200" s="1168">
        <f>ROUND('Categorias de Ambito 3'!I98,6)</f>
        <v>0</v>
      </c>
      <c r="G200" s="195"/>
      <c r="H200" s="195"/>
      <c r="I200" s="195"/>
      <c r="M200" s="102"/>
      <c r="N200" s="95"/>
      <c r="O200" s="96"/>
      <c r="P200" s="96"/>
      <c r="Q200" s="96"/>
      <c r="R200" s="96"/>
      <c r="S200" s="96"/>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row>
    <row r="201" spans="1:45" s="94" customFormat="1" ht="15.75" hidden="1" customHeight="1" outlineLevel="1" x14ac:dyDescent="0.2">
      <c r="A201" s="95"/>
      <c r="B201" s="148" t="s">
        <v>464</v>
      </c>
      <c r="C201" s="1124"/>
      <c r="D201" s="1124"/>
      <c r="E201" s="1168">
        <f>ROUND('Categorias de Ambito 3'!G99,6)</f>
        <v>0</v>
      </c>
      <c r="F201" s="1168">
        <f>ROUND('Categorias de Ambito 3'!I99,6)</f>
        <v>0</v>
      </c>
      <c r="G201" s="195"/>
      <c r="H201" s="195"/>
      <c r="I201" s="195"/>
      <c r="M201" s="102"/>
      <c r="N201" s="95"/>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6"/>
      <c r="AN201" s="96"/>
      <c r="AO201" s="96"/>
      <c r="AP201" s="96"/>
      <c r="AQ201" s="96"/>
      <c r="AR201" s="96"/>
      <c r="AS201" s="96"/>
    </row>
    <row r="202" spans="1:45" s="94" customFormat="1" ht="15.75" hidden="1" customHeight="1" outlineLevel="1" x14ac:dyDescent="0.2">
      <c r="A202" s="95"/>
      <c r="B202" s="148" t="s">
        <v>465</v>
      </c>
      <c r="C202" s="1124"/>
      <c r="D202" s="1124"/>
      <c r="E202" s="1168">
        <f>ROUND('Categorias de Ambito 3'!G100,6)</f>
        <v>0</v>
      </c>
      <c r="F202" s="1168">
        <f>ROUND('Categorias de Ambito 3'!I100,6)</f>
        <v>0</v>
      </c>
      <c r="G202" s="195"/>
      <c r="H202" s="195"/>
      <c r="I202" s="195"/>
      <c r="M202" s="102"/>
      <c r="N202" s="95"/>
      <c r="O202" s="96"/>
      <c r="P202" s="96"/>
      <c r="Q202" s="96"/>
      <c r="R202" s="96"/>
      <c r="S202" s="96"/>
      <c r="T202" s="96"/>
      <c r="U202" s="96"/>
      <c r="V202" s="96"/>
      <c r="W202" s="96"/>
      <c r="X202" s="96"/>
      <c r="Y202" s="96"/>
      <c r="Z202" s="96"/>
      <c r="AA202" s="96"/>
      <c r="AB202" s="96"/>
      <c r="AC202" s="96"/>
      <c r="AD202" s="96"/>
      <c r="AE202" s="96"/>
      <c r="AF202" s="96"/>
      <c r="AG202" s="96"/>
      <c r="AH202" s="96"/>
      <c r="AI202" s="96"/>
      <c r="AJ202" s="96"/>
      <c r="AK202" s="96"/>
      <c r="AL202" s="96"/>
      <c r="AM202" s="96"/>
      <c r="AN202" s="96"/>
      <c r="AO202" s="96"/>
      <c r="AP202" s="96"/>
      <c r="AQ202" s="96"/>
      <c r="AR202" s="96"/>
      <c r="AS202" s="96"/>
    </row>
    <row r="203" spans="1:45" s="94" customFormat="1" ht="15.75" hidden="1" customHeight="1" outlineLevel="1" x14ac:dyDescent="0.2">
      <c r="A203" s="95"/>
      <c r="B203" s="148" t="s">
        <v>466</v>
      </c>
      <c r="C203" s="1124"/>
      <c r="D203" s="1124"/>
      <c r="E203" s="1168">
        <f>ROUND('Categorias de Ambito 3'!G101,6)</f>
        <v>0</v>
      </c>
      <c r="F203" s="1168">
        <f>ROUND('Categorias de Ambito 3'!I101,6)</f>
        <v>0</v>
      </c>
      <c r="G203" s="195"/>
      <c r="H203" s="195"/>
      <c r="I203" s="195"/>
      <c r="M203" s="102"/>
      <c r="N203" s="95"/>
      <c r="O203" s="96"/>
      <c r="P203" s="96"/>
      <c r="Q203" s="96"/>
      <c r="R203" s="96"/>
      <c r="S203" s="96"/>
      <c r="T203" s="96"/>
      <c r="U203" s="96"/>
      <c r="V203" s="96"/>
      <c r="W203" s="96"/>
      <c r="X203" s="96"/>
      <c r="Y203" s="96"/>
      <c r="Z203" s="96"/>
      <c r="AA203" s="96"/>
      <c r="AB203" s="96"/>
      <c r="AC203" s="96"/>
      <c r="AD203" s="96"/>
      <c r="AE203" s="96"/>
      <c r="AF203" s="96"/>
      <c r="AG203" s="96"/>
      <c r="AH203" s="96"/>
      <c r="AI203" s="96"/>
      <c r="AJ203" s="96"/>
      <c r="AK203" s="96"/>
      <c r="AL203" s="96"/>
      <c r="AM203" s="96"/>
      <c r="AN203" s="96"/>
      <c r="AO203" s="96"/>
      <c r="AP203" s="96"/>
      <c r="AQ203" s="96"/>
      <c r="AR203" s="96"/>
      <c r="AS203" s="96"/>
    </row>
    <row r="204" spans="1:45" s="94" customFormat="1" ht="15.75" hidden="1" customHeight="1" outlineLevel="1" x14ac:dyDescent="0.2">
      <c r="A204" s="95"/>
      <c r="B204" s="148" t="s">
        <v>467</v>
      </c>
      <c r="C204" s="1124"/>
      <c r="D204" s="1124"/>
      <c r="E204" s="1168">
        <f>ROUND('Categorias de Ambito 3'!G102,6)</f>
        <v>0</v>
      </c>
      <c r="F204" s="1168">
        <f>ROUND('Categorias de Ambito 3'!I102,6)</f>
        <v>0</v>
      </c>
      <c r="G204" s="195"/>
      <c r="H204" s="195"/>
      <c r="I204" s="195"/>
      <c r="M204" s="102"/>
      <c r="N204" s="95"/>
      <c r="O204" s="96"/>
      <c r="P204" s="96"/>
      <c r="Q204" s="96"/>
      <c r="R204" s="96"/>
      <c r="S204" s="96"/>
      <c r="T204" s="96"/>
      <c r="U204" s="96"/>
      <c r="V204" s="96"/>
      <c r="W204" s="96"/>
      <c r="X204" s="96"/>
      <c r="Y204" s="96"/>
      <c r="Z204" s="96"/>
      <c r="AA204" s="96"/>
      <c r="AB204" s="96"/>
      <c r="AC204" s="96"/>
      <c r="AD204" s="96"/>
      <c r="AE204" s="96"/>
      <c r="AF204" s="96"/>
      <c r="AG204" s="96"/>
      <c r="AH204" s="96"/>
      <c r="AI204" s="96"/>
      <c r="AJ204" s="96"/>
      <c r="AK204" s="96"/>
      <c r="AL204" s="96"/>
      <c r="AM204" s="96"/>
      <c r="AN204" s="96"/>
      <c r="AO204" s="96"/>
      <c r="AP204" s="96"/>
      <c r="AQ204" s="96"/>
      <c r="AR204" s="96"/>
      <c r="AS204" s="96"/>
    </row>
    <row r="205" spans="1:45" s="94" customFormat="1" ht="15.75" customHeight="1" x14ac:dyDescent="0.2">
      <c r="A205" s="95"/>
      <c r="B205" s="146" t="s">
        <v>1377</v>
      </c>
      <c r="C205" s="1124"/>
      <c r="D205" s="1124"/>
      <c r="E205" s="1168">
        <f>ROUND(total_Cat7_SF6,6)</f>
        <v>0</v>
      </c>
      <c r="F205" s="1168">
        <f>ROUND(total_Cat8_SF6,6)</f>
        <v>0</v>
      </c>
      <c r="G205" s="195"/>
      <c r="H205" s="195"/>
      <c r="I205" s="195"/>
      <c r="M205" s="102"/>
      <c r="N205" s="95"/>
      <c r="O205" s="96"/>
      <c r="P205" s="96"/>
      <c r="Q205" s="96"/>
      <c r="R205" s="96"/>
      <c r="S205" s="96"/>
      <c r="T205" s="96"/>
      <c r="U205" s="96"/>
      <c r="V205" s="96"/>
      <c r="W205" s="96"/>
      <c r="X205" s="96"/>
      <c r="Y205" s="96"/>
      <c r="Z205" s="96"/>
      <c r="AA205" s="96"/>
      <c r="AB205" s="96"/>
      <c r="AC205" s="96"/>
      <c r="AD205" s="96"/>
      <c r="AE205" s="96"/>
      <c r="AF205" s="96"/>
      <c r="AG205" s="96"/>
      <c r="AH205" s="96"/>
      <c r="AI205" s="96"/>
      <c r="AJ205" s="96"/>
      <c r="AK205" s="96"/>
      <c r="AL205" s="96"/>
      <c r="AM205" s="96"/>
      <c r="AN205" s="96"/>
      <c r="AO205" s="96"/>
      <c r="AP205" s="96"/>
      <c r="AQ205" s="96"/>
      <c r="AR205" s="96"/>
      <c r="AS205" s="96"/>
    </row>
    <row r="206" spans="1:45" s="94" customFormat="1" ht="15.75" customHeight="1" x14ac:dyDescent="0.2">
      <c r="A206" s="95"/>
      <c r="B206" s="148" t="s">
        <v>1378</v>
      </c>
      <c r="C206" s="1124"/>
      <c r="D206" s="1124"/>
      <c r="E206" s="1168">
        <f>ROUND(total_Cat7_NF3,6)</f>
        <v>0</v>
      </c>
      <c r="F206" s="1168">
        <f>ROUND(total_Cat8_NF3,6)</f>
        <v>0</v>
      </c>
      <c r="G206" s="195"/>
      <c r="H206" s="195"/>
      <c r="I206" s="195"/>
      <c r="M206" s="102"/>
      <c r="N206" s="95"/>
      <c r="O206" s="96"/>
      <c r="P206" s="96"/>
      <c r="Q206" s="96"/>
      <c r="R206" s="96"/>
      <c r="S206" s="96"/>
      <c r="T206" s="96"/>
      <c r="U206" s="96"/>
      <c r="V206" s="96"/>
      <c r="W206" s="96"/>
      <c r="X206" s="96"/>
      <c r="Y206" s="96"/>
      <c r="Z206" s="96"/>
      <c r="AA206" s="96"/>
      <c r="AB206" s="96"/>
      <c r="AC206" s="96"/>
      <c r="AD206" s="96"/>
      <c r="AE206" s="96"/>
      <c r="AF206" s="96"/>
      <c r="AG206" s="96"/>
      <c r="AH206" s="96"/>
      <c r="AI206" s="96"/>
      <c r="AJ206" s="96"/>
      <c r="AK206" s="96"/>
      <c r="AL206" s="96"/>
      <c r="AM206" s="96"/>
      <c r="AN206" s="96"/>
      <c r="AO206" s="96"/>
      <c r="AP206" s="96"/>
      <c r="AQ206" s="96"/>
      <c r="AR206" s="96"/>
      <c r="AS206" s="96"/>
    </row>
    <row r="207" spans="1:45" s="94" customFormat="1" ht="15.75" customHeight="1" x14ac:dyDescent="0.2">
      <c r="A207" s="95"/>
      <c r="B207" s="146" t="s">
        <v>1379</v>
      </c>
      <c r="C207" s="1169">
        <f>C171+C172*gwp_CH4+C173*gwp_N2O+C175*gwp_HFC23+C176*gwp_HFC32+C177*gwp_HFC41+C178*gwp_HFC125+C179*gwp_HFC134+C180*gwp_HFC134a+C181*gwp_HFC143+C182*gwp_HFC143a+C183*gwp_HFC152+C184*gwp_HFC152a+C185*gwp_HFC161+C186*gwp_HFC227ea+C187*gwp_HFC236cb+C188*gwp_HFC236ea+C189*gwp_HFC236fa+C190*gwp_HFC245ca+C191*gwp_HFC245fa+C192*gwp_HFC365mfc+C193*gwp_HFC4310mee+C195*gwp_PFC14+C196*gwp_PFC116+C197*gwp_PFC218+C198*gwp_PFC318+C199*gwp_PFC3110+C200*gwp_PFC4112+C201*gwp_PFC5114+C202*gwp_PFC9118+C203*gwp_trifluorometil+C204*gwp_perfluorociclopropano+C205*gwp_SF6+C206*gwp_NF3</f>
        <v>0</v>
      </c>
      <c r="D207" s="1169">
        <f>D171+D172*gwp_CH4+D173*gwp_N2O+D175*gwp_HFC23+D176*gwp_HFC32+D177*gwp_HFC41+D178*gwp_HFC125+D179*gwp_HFC134+D180*gwp_HFC134a+D181*gwp_HFC143+D182*gwp_HFC143a+D183*gwp_HFC152+D184*gwp_HFC152a+D185*gwp_HFC161+D186*gwp_HFC227ea+D187*gwp_HFC236cb+D188*gwp_HFC236ea+D189*gwp_HFC236fa+D190*gwp_HFC245ca+D191*gwp_HFC245fa+D192*gwp_HFC365mfc+D193*gwp_HFC4310mee+D195*gwp_PFC14+D196*gwp_PFC116+D197*gwp_PFC218+D198*gwp_PFC318+D199*gwp_PFC3110+D200*gwp_PFC4112+D201*gwp_PFC5114+D202*gwp_PFC9118+D203*gwp_trifluorometil+D204*gwp_perfluorociclopropano+D205*gwp_SF6+D206*gwp_NF3</f>
        <v>0.59952362820000005</v>
      </c>
      <c r="E207" s="1169">
        <f>E171+E172*gwp_CH4+E173*gwp_N2O+E175*gwp_HFC23+E176*gwp_HFC32+E177*gwp_HFC41+E178*gwp_HFC125+E179*gwp_HFC134+E180*gwp_HFC134a+E181*gwp_HFC143+E182*gwp_HFC143a+E183*gwp_HFC152+E184*gwp_HFC152a+E185*gwp_HFC161+E186*gwp_HFC227ea+E187*gwp_HFC236cb+E188*gwp_HFC236ea+E189*gwp_HFC236fa+E190*gwp_HFC245ca+E191*gwp_HFC245fa+E192*gwp_HFC365mfc+E193*gwp_HFC4310mee+E195*gwp_PFC14+E196*gwp_PFC116+E197*gwp_PFC218+E198*gwp_PFC318+E199*gwp_PFC3110+E200*gwp_PFC4112+E201*gwp_PFC5114+E202*gwp_PFC9118+E203*gwp_trifluorometil+E204*gwp_perfluorociclopropano+E205*gwp_SF6+E206*gwp_NF3</f>
        <v>0</v>
      </c>
      <c r="F207" s="1169">
        <f>F171+F172*gwp_CH4+F173*gwp_N2O+F175*gwp_HFC23+F176*gwp_HFC32+F177*gwp_HFC41+F178*gwp_HFC125+F179*gwp_HFC134+F180*gwp_HFC134a+F181*gwp_HFC143+F182*gwp_HFC143a+F183*gwp_HFC152+F184*gwp_HFC152a+F185*gwp_HFC161+F186*gwp_HFC227ea+F187*gwp_HFC236cb+F188*gwp_HFC236ea+F189*gwp_HFC236fa+F190*gwp_HFC245ca+F191*gwp_HFC245fa+F192*gwp_HFC365mfc+F193*gwp_HFC4310mee+F195*gwp_PFC14+F196*gwp_PFC116+F197*gwp_PFC218+F198*gwp_PFC318+F199*gwp_PFC3110+F200*gwp_PFC4112+F201*gwp_PFC5114+F202*gwp_PFC9118+F203*gwp_trifluorometil+F204*gwp_perfluorociclopropano+F205*gwp_SF6+F206*gwp_NF3</f>
        <v>0</v>
      </c>
      <c r="G207" s="195"/>
      <c r="H207" s="195"/>
      <c r="I207" s="195"/>
      <c r="M207" s="102"/>
      <c r="N207" s="95"/>
      <c r="O207" s="96"/>
      <c r="P207" s="96"/>
      <c r="Q207" s="96"/>
      <c r="R207" s="96"/>
      <c r="S207" s="96"/>
      <c r="T207" s="96"/>
      <c r="U207" s="96"/>
      <c r="V207" s="96"/>
      <c r="W207" s="96"/>
      <c r="X207" s="96"/>
      <c r="Y207" s="96"/>
      <c r="Z207" s="96"/>
      <c r="AA207" s="96"/>
      <c r="AB207" s="96"/>
      <c r="AC207" s="96"/>
      <c r="AD207" s="96"/>
      <c r="AE207" s="96"/>
      <c r="AF207" s="96"/>
      <c r="AG207" s="96"/>
      <c r="AH207" s="96"/>
      <c r="AI207" s="96"/>
      <c r="AJ207" s="96"/>
      <c r="AK207" s="96"/>
      <c r="AL207" s="96"/>
      <c r="AM207" s="96"/>
      <c r="AN207" s="96"/>
      <c r="AO207" s="96"/>
      <c r="AP207" s="96"/>
      <c r="AQ207" s="96"/>
      <c r="AR207" s="96"/>
      <c r="AS207" s="96"/>
    </row>
    <row r="208" spans="1:45" s="94" customFormat="1" ht="15.75" customHeight="1" x14ac:dyDescent="0.35">
      <c r="A208" s="95"/>
      <c r="B208" s="150" t="s">
        <v>1851</v>
      </c>
      <c r="C208" s="1127">
        <f>ROUND(total_Cat5_op_CO2_biomassa,6)</f>
        <v>0</v>
      </c>
      <c r="D208" s="1127">
        <f>total_Cat6_op_CO2_biomassa</f>
        <v>0</v>
      </c>
      <c r="E208" s="1127">
        <f>ROUND(total_Cat7_CO2_biomassa,6)</f>
        <v>0</v>
      </c>
      <c r="F208" s="1127">
        <f>ROUND(total_Cat8_CO2_biomassa,6)</f>
        <v>0</v>
      </c>
      <c r="G208" s="195"/>
      <c r="H208" s="195"/>
      <c r="I208" s="195"/>
      <c r="M208" s="102"/>
      <c r="N208" s="95"/>
      <c r="O208" s="96"/>
      <c r="P208" s="96"/>
      <c r="Q208" s="96"/>
      <c r="R208" s="96"/>
      <c r="S208" s="96"/>
      <c r="T208" s="96"/>
      <c r="U208" s="96"/>
      <c r="V208" s="96"/>
      <c r="W208" s="96"/>
      <c r="X208" s="96"/>
      <c r="Y208" s="96"/>
      <c r="Z208" s="96"/>
      <c r="AA208" s="96"/>
      <c r="AB208" s="96"/>
      <c r="AC208" s="96"/>
      <c r="AD208" s="96"/>
      <c r="AE208" s="96"/>
      <c r="AF208" s="96"/>
      <c r="AG208" s="96"/>
      <c r="AH208" s="96"/>
      <c r="AI208" s="96"/>
      <c r="AJ208" s="96"/>
      <c r="AK208" s="96"/>
      <c r="AL208" s="96"/>
      <c r="AM208" s="96"/>
      <c r="AN208" s="96"/>
      <c r="AO208" s="96"/>
      <c r="AP208" s="96"/>
      <c r="AQ208" s="96"/>
      <c r="AR208" s="96"/>
      <c r="AS208" s="96"/>
    </row>
    <row r="209" spans="1:45" s="94" customFormat="1" ht="15.75" customHeight="1" x14ac:dyDescent="0.2">
      <c r="A209" s="95"/>
      <c r="B209" s="198"/>
      <c r="C209" s="171"/>
      <c r="D209" s="171"/>
      <c r="E209" s="171"/>
      <c r="F209" s="171"/>
      <c r="G209" s="171"/>
      <c r="H209" s="171"/>
      <c r="I209" s="194"/>
      <c r="J209" s="109"/>
      <c r="K209" s="114"/>
      <c r="L209" s="114"/>
      <c r="M209" s="114"/>
      <c r="N209" s="102"/>
      <c r="O209" s="95"/>
      <c r="P209" s="96"/>
      <c r="Q209" s="96"/>
      <c r="R209" s="96"/>
      <c r="S209" s="96"/>
      <c r="T209" s="96"/>
      <c r="U209" s="96"/>
      <c r="V209" s="96"/>
      <c r="W209" s="96"/>
      <c r="X209" s="96"/>
      <c r="Y209" s="96"/>
      <c r="Z209" s="96"/>
      <c r="AA209" s="96"/>
      <c r="AB209" s="96"/>
      <c r="AC209" s="96"/>
      <c r="AD209" s="96"/>
      <c r="AE209" s="96"/>
      <c r="AF209" s="96"/>
      <c r="AG209" s="96"/>
      <c r="AH209" s="96"/>
      <c r="AI209" s="96"/>
      <c r="AJ209" s="96"/>
      <c r="AK209" s="96"/>
      <c r="AL209" s="96"/>
      <c r="AM209" s="96"/>
      <c r="AN209" s="96"/>
      <c r="AO209" s="96"/>
      <c r="AP209" s="96"/>
      <c r="AQ209" s="96"/>
      <c r="AR209" s="96"/>
      <c r="AS209" s="96"/>
    </row>
    <row r="210" spans="1:45" s="94" customFormat="1" ht="15.75" customHeight="1" x14ac:dyDescent="0.2">
      <c r="A210" s="95"/>
      <c r="B210" s="182"/>
      <c r="C210" s="988" t="s">
        <v>318</v>
      </c>
      <c r="D210" s="993" t="s">
        <v>319</v>
      </c>
      <c r="E210" s="994" t="s">
        <v>320</v>
      </c>
      <c r="F210" s="991" t="s">
        <v>321</v>
      </c>
      <c r="G210" s="195"/>
      <c r="H210" s="195"/>
      <c r="I210" s="194"/>
      <c r="J210" s="114"/>
      <c r="K210" s="114"/>
      <c r="L210" s="114"/>
      <c r="M210" s="102"/>
      <c r="N210" s="95"/>
      <c r="O210" s="96"/>
      <c r="P210" s="96"/>
      <c r="Q210" s="96"/>
      <c r="R210" s="96"/>
      <c r="S210" s="96"/>
      <c r="T210" s="96"/>
      <c r="U210" s="96"/>
      <c r="V210" s="96"/>
      <c r="W210" s="96"/>
      <c r="X210" s="96"/>
      <c r="Y210" s="96"/>
      <c r="Z210" s="96"/>
      <c r="AA210" s="96"/>
      <c r="AB210" s="96"/>
      <c r="AC210" s="96"/>
      <c r="AD210" s="96"/>
      <c r="AE210" s="96"/>
      <c r="AF210" s="96"/>
      <c r="AG210" s="96"/>
      <c r="AH210" s="96"/>
      <c r="AI210" s="96"/>
      <c r="AJ210" s="96"/>
      <c r="AK210" s="96"/>
      <c r="AL210" s="96"/>
      <c r="AM210" s="96"/>
      <c r="AN210" s="96"/>
      <c r="AO210" s="96"/>
      <c r="AP210" s="96"/>
      <c r="AQ210" s="96"/>
      <c r="AR210" s="96"/>
      <c r="AS210" s="96"/>
    </row>
    <row r="211" spans="1:45" s="94" customFormat="1" ht="45" customHeight="1" x14ac:dyDescent="0.2">
      <c r="A211" s="95"/>
      <c r="B211" s="171"/>
      <c r="C211" s="1000" t="str">
        <f>'Categorias de Ambito 3'!AH23</f>
        <v>Transporte e distribuição 
(downstream)</v>
      </c>
      <c r="D211" s="1000" t="str">
        <f>'Categorias de Ambito 3'!E111</f>
        <v>Processamento de produtos vendidos</v>
      </c>
      <c r="E211" s="999" t="str">
        <f>'Categorias de Ambito 3'!G111</f>
        <v>Uso de bens e serviços vendidos</v>
      </c>
      <c r="F211" s="1000" t="str">
        <f>'Categorias de Ambito 3'!I111</f>
        <v>Tratamento de fim de vida dos produtos vendidos</v>
      </c>
      <c r="G211" s="195"/>
      <c r="H211" s="195"/>
      <c r="I211" s="194"/>
      <c r="J211" s="114"/>
      <c r="K211" s="114"/>
      <c r="L211" s="114"/>
      <c r="M211" s="102"/>
      <c r="N211" s="95"/>
      <c r="O211" s="96"/>
      <c r="P211" s="96"/>
      <c r="Q211" s="96"/>
      <c r="R211" s="96"/>
      <c r="S211" s="96"/>
      <c r="T211" s="96"/>
      <c r="U211" s="96"/>
      <c r="V211" s="96"/>
      <c r="W211" s="96"/>
      <c r="X211" s="96"/>
      <c r="Y211" s="96"/>
      <c r="Z211" s="96"/>
      <c r="AA211" s="96"/>
      <c r="AB211" s="96"/>
      <c r="AC211" s="96"/>
      <c r="AD211" s="96"/>
      <c r="AE211" s="96"/>
      <c r="AF211" s="96"/>
      <c r="AG211" s="96"/>
      <c r="AH211" s="96"/>
      <c r="AI211" s="96"/>
      <c r="AJ211" s="96"/>
      <c r="AK211" s="96"/>
      <c r="AL211" s="96"/>
      <c r="AM211" s="96"/>
      <c r="AN211" s="96"/>
      <c r="AO211" s="96"/>
      <c r="AP211" s="96"/>
      <c r="AQ211" s="96"/>
      <c r="AR211" s="96"/>
      <c r="AS211" s="96"/>
    </row>
    <row r="212" spans="1:45" s="91" customFormat="1" ht="15.75" customHeight="1" x14ac:dyDescent="0.2">
      <c r="A212" s="95"/>
      <c r="B212" s="146" t="s">
        <v>1374</v>
      </c>
      <c r="C212" s="147">
        <f>total_Cat9_op_CO2</f>
        <v>0</v>
      </c>
      <c r="D212" s="147">
        <f>ROUND(total_Cat10_CO2,6)</f>
        <v>0</v>
      </c>
      <c r="E212" s="147">
        <f>ROUND(total_Cat11_CO2,6)</f>
        <v>0</v>
      </c>
      <c r="F212" s="147">
        <f>ROUND(total_Cat12_CO2,6)</f>
        <v>0</v>
      </c>
      <c r="G212" s="195"/>
      <c r="H212" s="195"/>
      <c r="I212" s="194"/>
      <c r="J212" s="114"/>
      <c r="K212" s="114"/>
      <c r="L212" s="114"/>
      <c r="M212" s="102"/>
      <c r="N212" s="95"/>
      <c r="O212" s="96"/>
      <c r="P212" s="96"/>
      <c r="Q212" s="96"/>
      <c r="R212" s="96"/>
      <c r="S212" s="96"/>
      <c r="T212" s="96"/>
      <c r="U212" s="96"/>
      <c r="V212" s="96"/>
      <c r="W212" s="96"/>
      <c r="X212" s="96"/>
      <c r="Y212" s="96"/>
      <c r="Z212" s="96"/>
      <c r="AA212" s="96"/>
      <c r="AB212" s="96"/>
      <c r="AC212" s="96"/>
      <c r="AD212" s="96"/>
      <c r="AE212" s="96"/>
      <c r="AF212" s="96"/>
      <c r="AG212" s="96"/>
      <c r="AH212" s="96"/>
      <c r="AI212" s="96"/>
      <c r="AJ212" s="96"/>
      <c r="AK212" s="96"/>
      <c r="AL212" s="96"/>
      <c r="AM212" s="96"/>
      <c r="AN212" s="96"/>
      <c r="AO212" s="96"/>
      <c r="AP212" s="96"/>
      <c r="AQ212" s="96"/>
      <c r="AR212" s="96"/>
      <c r="AS212" s="96"/>
    </row>
    <row r="213" spans="1:45" s="91" customFormat="1" ht="15.75" customHeight="1" x14ac:dyDescent="0.2">
      <c r="A213" s="95"/>
      <c r="B213" s="146" t="s">
        <v>1375</v>
      </c>
      <c r="C213" s="147">
        <f>total_Cat9_op_CH4</f>
        <v>0</v>
      </c>
      <c r="D213" s="147">
        <f>ROUND(total_Cat10_CH4,6)</f>
        <v>0</v>
      </c>
      <c r="E213" s="147">
        <f>ROUND(total_Cat11_CH4,6)</f>
        <v>0</v>
      </c>
      <c r="F213" s="147">
        <f>ROUND(total_Cat12_CH4,6)</f>
        <v>0</v>
      </c>
      <c r="G213" s="195"/>
      <c r="H213" s="195"/>
      <c r="I213" s="194"/>
      <c r="J213" s="114"/>
      <c r="K213" s="114"/>
      <c r="L213" s="114"/>
      <c r="M213" s="102"/>
      <c r="N213" s="95"/>
      <c r="O213" s="96"/>
      <c r="P213" s="96"/>
      <c r="Q213" s="96"/>
      <c r="R213" s="96"/>
      <c r="S213" s="96"/>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row>
    <row r="214" spans="1:45" s="91" customFormat="1" ht="15.75" customHeight="1" x14ac:dyDescent="0.2">
      <c r="A214" s="95"/>
      <c r="B214" s="146" t="s">
        <v>1376</v>
      </c>
      <c r="C214" s="147">
        <f>total_Cat9_op_N2O</f>
        <v>0</v>
      </c>
      <c r="D214" s="147">
        <f>ROUND(total_Cat10_N2O,6)</f>
        <v>0</v>
      </c>
      <c r="E214" s="147">
        <f>ROUND(total_Cat11_N2O,6)</f>
        <v>0</v>
      </c>
      <c r="F214" s="147">
        <f>ROUND(total_Cat12_N2O,6)</f>
        <v>0</v>
      </c>
      <c r="G214" s="195"/>
      <c r="H214" s="195"/>
      <c r="I214" s="194"/>
      <c r="J214" s="114"/>
      <c r="K214" s="114"/>
      <c r="L214" s="114"/>
      <c r="M214" s="102"/>
      <c r="N214" s="95"/>
      <c r="O214" s="96"/>
      <c r="P214" s="96"/>
      <c r="Q214" s="96"/>
      <c r="R214" s="96"/>
      <c r="S214" s="96"/>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row>
    <row r="215" spans="1:45" s="91" customFormat="1" ht="15.75" customHeight="1" collapsed="1" x14ac:dyDescent="0.2">
      <c r="A215" s="95"/>
      <c r="B215" s="146" t="s">
        <v>282</v>
      </c>
      <c r="C215" s="145"/>
      <c r="D215" s="147">
        <f>ROUND(total_Cat10_HFC,6)</f>
        <v>0</v>
      </c>
      <c r="E215" s="147">
        <f>ROUND(total_Cat11_HFC,6)</f>
        <v>0</v>
      </c>
      <c r="F215" s="147">
        <f>ROUND(total_Cat12_HFC,6)</f>
        <v>0</v>
      </c>
      <c r="G215" s="195"/>
      <c r="H215" s="195"/>
      <c r="I215" s="194"/>
      <c r="J215" s="114"/>
      <c r="K215" s="114"/>
      <c r="L215" s="114"/>
      <c r="M215" s="102"/>
      <c r="N215" s="95"/>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row>
    <row r="216" spans="1:45" s="94" customFormat="1" ht="15.75" hidden="1" customHeight="1" outlineLevel="1" x14ac:dyDescent="0.2">
      <c r="A216" s="95"/>
      <c r="B216" s="148" t="s">
        <v>85</v>
      </c>
      <c r="C216" s="145"/>
      <c r="D216" s="147">
        <f>ROUND('Categorias de Ambito 3'!E117,6)</f>
        <v>0</v>
      </c>
      <c r="E216" s="147">
        <f>ROUND('Categorias de Ambito 3'!G117,6)</f>
        <v>0</v>
      </c>
      <c r="F216" s="147">
        <f>ROUND('Categorias de Ambito 3'!I117,6)</f>
        <v>0</v>
      </c>
      <c r="G216" s="195"/>
      <c r="H216" s="195"/>
      <c r="I216" s="194"/>
      <c r="J216" s="114"/>
      <c r="K216" s="114"/>
      <c r="L216" s="114"/>
      <c r="M216" s="102"/>
      <c r="N216" s="95"/>
      <c r="O216" s="96"/>
      <c r="P216" s="96"/>
      <c r="Q216" s="96"/>
      <c r="R216" s="96"/>
      <c r="S216" s="96"/>
      <c r="T216" s="96"/>
      <c r="U216" s="96"/>
      <c r="V216" s="96"/>
      <c r="W216" s="96"/>
      <c r="X216" s="96"/>
      <c r="Y216" s="96"/>
      <c r="Z216" s="96"/>
      <c r="AA216" s="96"/>
      <c r="AB216" s="96"/>
      <c r="AC216" s="96"/>
      <c r="AD216" s="96"/>
      <c r="AE216" s="96"/>
      <c r="AF216" s="96"/>
      <c r="AG216" s="96"/>
      <c r="AH216" s="96"/>
      <c r="AI216" s="96"/>
      <c r="AJ216" s="96"/>
      <c r="AK216" s="96"/>
      <c r="AL216" s="96"/>
      <c r="AM216" s="96"/>
      <c r="AN216" s="96"/>
      <c r="AO216" s="96"/>
      <c r="AP216" s="96"/>
      <c r="AQ216" s="96"/>
      <c r="AR216" s="96"/>
      <c r="AS216" s="96"/>
    </row>
    <row r="217" spans="1:45" s="94" customFormat="1" ht="15.75" hidden="1" customHeight="1" outlineLevel="1" x14ac:dyDescent="0.2">
      <c r="A217" s="95"/>
      <c r="B217" s="148" t="s">
        <v>86</v>
      </c>
      <c r="C217" s="145"/>
      <c r="D217" s="147">
        <f>ROUND('Categorias de Ambito 3'!E118,6)</f>
        <v>0</v>
      </c>
      <c r="E217" s="147">
        <f>ROUND('Categorias de Ambito 3'!G118,6)</f>
        <v>0</v>
      </c>
      <c r="F217" s="147">
        <f>ROUND('Categorias de Ambito 3'!I118,6)</f>
        <v>0</v>
      </c>
      <c r="G217" s="195"/>
      <c r="H217" s="195"/>
      <c r="I217" s="194"/>
      <c r="J217" s="114"/>
      <c r="K217" s="114"/>
      <c r="L217" s="114"/>
      <c r="M217" s="102"/>
      <c r="N217" s="95"/>
      <c r="O217" s="96"/>
      <c r="P217" s="96"/>
      <c r="Q217" s="96"/>
      <c r="R217" s="96"/>
      <c r="S217" s="96"/>
      <c r="T217" s="96"/>
      <c r="U217" s="96"/>
      <c r="V217" s="96"/>
      <c r="W217" s="96"/>
      <c r="X217" s="96"/>
      <c r="Y217" s="96"/>
      <c r="Z217" s="96"/>
      <c r="AA217" s="96"/>
      <c r="AB217" s="96"/>
      <c r="AC217" s="96"/>
      <c r="AD217" s="96"/>
      <c r="AE217" s="96"/>
      <c r="AF217" s="96"/>
      <c r="AG217" s="96"/>
      <c r="AH217" s="96"/>
      <c r="AI217" s="96"/>
      <c r="AJ217" s="96"/>
      <c r="AK217" s="96"/>
      <c r="AL217" s="96"/>
      <c r="AM217" s="96"/>
      <c r="AN217" s="96"/>
      <c r="AO217" s="96"/>
      <c r="AP217" s="96"/>
      <c r="AQ217" s="96"/>
      <c r="AR217" s="96"/>
      <c r="AS217" s="96"/>
    </row>
    <row r="218" spans="1:45" s="94" customFormat="1" ht="15.75" hidden="1" customHeight="1" outlineLevel="1" x14ac:dyDescent="0.2">
      <c r="A218" s="95"/>
      <c r="B218" s="148" t="s">
        <v>285</v>
      </c>
      <c r="C218" s="145"/>
      <c r="D218" s="147">
        <f>ROUND('Categorias de Ambito 3'!E119,6)</f>
        <v>0</v>
      </c>
      <c r="E218" s="147">
        <f>ROUND('Categorias de Ambito 3'!G119,6)</f>
        <v>0</v>
      </c>
      <c r="F218" s="147">
        <f>ROUND('Categorias de Ambito 3'!I119,6)</f>
        <v>0</v>
      </c>
      <c r="G218" s="195"/>
      <c r="H218" s="195"/>
      <c r="I218" s="194"/>
      <c r="J218" s="114"/>
      <c r="K218" s="114"/>
      <c r="L218" s="114"/>
      <c r="M218" s="102"/>
      <c r="N218" s="95"/>
      <c r="O218" s="96"/>
      <c r="P218" s="96"/>
      <c r="Q218" s="96"/>
      <c r="R218" s="96"/>
      <c r="S218" s="96"/>
      <c r="T218" s="96"/>
      <c r="U218" s="96"/>
      <c r="V218" s="96"/>
      <c r="W218" s="96"/>
      <c r="X218" s="96"/>
      <c r="Y218" s="96"/>
      <c r="Z218" s="96"/>
      <c r="AA218" s="96"/>
      <c r="AB218" s="96"/>
      <c r="AC218" s="96"/>
      <c r="AD218" s="96"/>
      <c r="AE218" s="96"/>
      <c r="AF218" s="96"/>
      <c r="AG218" s="96"/>
      <c r="AH218" s="96"/>
      <c r="AI218" s="96"/>
      <c r="AJ218" s="96"/>
      <c r="AK218" s="96"/>
      <c r="AL218" s="96"/>
      <c r="AM218" s="96"/>
      <c r="AN218" s="96"/>
      <c r="AO218" s="96"/>
      <c r="AP218" s="96"/>
      <c r="AQ218" s="96"/>
      <c r="AR218" s="96"/>
      <c r="AS218" s="96"/>
    </row>
    <row r="219" spans="1:45" s="94" customFormat="1" ht="15.75" hidden="1" customHeight="1" outlineLevel="1" x14ac:dyDescent="0.2">
      <c r="A219" s="95"/>
      <c r="B219" s="148" t="s">
        <v>87</v>
      </c>
      <c r="C219" s="145"/>
      <c r="D219" s="147">
        <f>ROUND('Categorias de Ambito 3'!E120,6)</f>
        <v>0</v>
      </c>
      <c r="E219" s="147">
        <f>ROUND('Categorias de Ambito 3'!G120,6)</f>
        <v>0</v>
      </c>
      <c r="F219" s="147">
        <f>ROUND('Categorias de Ambito 3'!I120,6)</f>
        <v>0</v>
      </c>
      <c r="G219" s="195"/>
      <c r="H219" s="195"/>
      <c r="I219" s="194"/>
      <c r="J219" s="114"/>
      <c r="K219" s="114"/>
      <c r="L219" s="114"/>
      <c r="M219" s="102"/>
      <c r="N219" s="95"/>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row>
    <row r="220" spans="1:45" s="94" customFormat="1" ht="15.75" hidden="1" customHeight="1" outlineLevel="1" x14ac:dyDescent="0.2">
      <c r="A220" s="95"/>
      <c r="B220" s="148" t="s">
        <v>287</v>
      </c>
      <c r="C220" s="145"/>
      <c r="D220" s="147">
        <f>ROUND('Categorias de Ambito 3'!E121,6)</f>
        <v>0</v>
      </c>
      <c r="E220" s="147">
        <f>ROUND('Categorias de Ambito 3'!G121,6)</f>
        <v>0</v>
      </c>
      <c r="F220" s="147">
        <f>ROUND('Categorias de Ambito 3'!I121,6)</f>
        <v>0</v>
      </c>
      <c r="G220" s="195"/>
      <c r="H220" s="195"/>
      <c r="I220" s="194"/>
      <c r="J220" s="114"/>
      <c r="K220" s="114"/>
      <c r="L220" s="114"/>
      <c r="M220" s="102"/>
      <c r="N220" s="95"/>
      <c r="O220" s="96"/>
      <c r="P220" s="96"/>
      <c r="Q220" s="96"/>
      <c r="R220" s="96"/>
      <c r="S220" s="96"/>
      <c r="T220" s="96"/>
      <c r="U220" s="96"/>
      <c r="V220" s="96"/>
      <c r="W220" s="96"/>
      <c r="X220" s="96"/>
      <c r="Y220" s="96"/>
      <c r="Z220" s="96"/>
      <c r="AA220" s="96"/>
      <c r="AB220" s="96"/>
      <c r="AC220" s="96"/>
      <c r="AD220" s="96"/>
      <c r="AE220" s="96"/>
      <c r="AF220" s="96"/>
      <c r="AG220" s="96"/>
      <c r="AH220" s="96"/>
      <c r="AI220" s="96"/>
      <c r="AJ220" s="96"/>
      <c r="AK220" s="96"/>
      <c r="AL220" s="96"/>
      <c r="AM220" s="96"/>
      <c r="AN220" s="96"/>
      <c r="AO220" s="96"/>
      <c r="AP220" s="96"/>
      <c r="AQ220" s="96"/>
      <c r="AR220" s="96"/>
      <c r="AS220" s="96"/>
    </row>
    <row r="221" spans="1:45" s="94" customFormat="1" ht="15.75" hidden="1" customHeight="1" outlineLevel="1" x14ac:dyDescent="0.2">
      <c r="A221" s="95"/>
      <c r="B221" s="148" t="s">
        <v>88</v>
      </c>
      <c r="C221" s="145"/>
      <c r="D221" s="147">
        <f>ROUND('Categorias de Ambito 3'!E122,6)</f>
        <v>0</v>
      </c>
      <c r="E221" s="147">
        <f>ROUND('Categorias de Ambito 3'!G122,6)</f>
        <v>0</v>
      </c>
      <c r="F221" s="147">
        <f>ROUND('Categorias de Ambito 3'!I122,6)</f>
        <v>0</v>
      </c>
      <c r="G221" s="195"/>
      <c r="H221" s="195"/>
      <c r="I221" s="194"/>
      <c r="J221" s="114"/>
      <c r="K221" s="114"/>
      <c r="L221" s="114"/>
      <c r="M221" s="102"/>
      <c r="N221" s="95"/>
      <c r="O221" s="96"/>
      <c r="P221" s="96"/>
      <c r="Q221" s="96"/>
      <c r="R221" s="96"/>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row>
    <row r="222" spans="1:45" s="94" customFormat="1" ht="15.75" hidden="1" customHeight="1" outlineLevel="1" x14ac:dyDescent="0.2">
      <c r="A222" s="95"/>
      <c r="B222" s="148" t="s">
        <v>288</v>
      </c>
      <c r="C222" s="145"/>
      <c r="D222" s="147">
        <f>ROUND('Categorias de Ambito 3'!E123,6)</f>
        <v>0</v>
      </c>
      <c r="E222" s="147">
        <f>ROUND('Categorias de Ambito 3'!G123,6)</f>
        <v>0</v>
      </c>
      <c r="F222" s="147">
        <f>ROUND('Categorias de Ambito 3'!I123,6)</f>
        <v>0</v>
      </c>
      <c r="G222" s="195"/>
      <c r="H222" s="195"/>
      <c r="I222" s="194"/>
      <c r="J222" s="114"/>
      <c r="K222" s="114"/>
      <c r="L222" s="114"/>
      <c r="M222" s="102"/>
      <c r="N222" s="95"/>
      <c r="O222" s="96"/>
      <c r="P222" s="96"/>
      <c r="Q222" s="96"/>
      <c r="R222" s="96"/>
      <c r="S222" s="96"/>
      <c r="T222" s="96"/>
      <c r="U222" s="96"/>
      <c r="V222" s="96"/>
      <c r="W222" s="96"/>
      <c r="X222" s="96"/>
      <c r="Y222" s="96"/>
      <c r="Z222" s="96"/>
      <c r="AA222" s="96"/>
      <c r="AB222" s="96"/>
      <c r="AC222" s="96"/>
      <c r="AD222" s="96"/>
      <c r="AE222" s="96"/>
      <c r="AF222" s="96"/>
      <c r="AG222" s="96"/>
      <c r="AH222" s="96"/>
      <c r="AI222" s="96"/>
      <c r="AJ222" s="96"/>
      <c r="AK222" s="96"/>
      <c r="AL222" s="96"/>
      <c r="AM222" s="96"/>
      <c r="AN222" s="96"/>
      <c r="AO222" s="96"/>
      <c r="AP222" s="96"/>
      <c r="AQ222" s="96"/>
      <c r="AR222" s="96"/>
      <c r="AS222" s="96"/>
    </row>
    <row r="223" spans="1:45" s="94" customFormat="1" ht="15.75" hidden="1" customHeight="1" outlineLevel="1" x14ac:dyDescent="0.2">
      <c r="A223" s="95"/>
      <c r="B223" s="148" t="s">
        <v>107</v>
      </c>
      <c r="C223" s="145"/>
      <c r="D223" s="147">
        <f>ROUND('Categorias de Ambito 3'!E124,6)</f>
        <v>0</v>
      </c>
      <c r="E223" s="147">
        <f>ROUND('Categorias de Ambito 3'!G124,6)</f>
        <v>0</v>
      </c>
      <c r="F223" s="147">
        <f>ROUND('Categorias de Ambito 3'!I124,6)</f>
        <v>0</v>
      </c>
      <c r="G223" s="195"/>
      <c r="H223" s="195"/>
      <c r="I223" s="194"/>
      <c r="J223" s="114"/>
      <c r="K223" s="114"/>
      <c r="L223" s="114"/>
      <c r="M223" s="102"/>
      <c r="N223" s="95"/>
      <c r="O223" s="96"/>
      <c r="P223" s="96"/>
      <c r="Q223" s="96"/>
      <c r="R223" s="96"/>
      <c r="S223" s="96"/>
      <c r="T223" s="96"/>
      <c r="U223" s="96"/>
      <c r="V223" s="96"/>
      <c r="W223" s="96"/>
      <c r="X223" s="96"/>
      <c r="Y223" s="96"/>
      <c r="Z223" s="96"/>
      <c r="AA223" s="96"/>
      <c r="AB223" s="96"/>
      <c r="AC223" s="96"/>
      <c r="AD223" s="96"/>
      <c r="AE223" s="96"/>
      <c r="AF223" s="96"/>
      <c r="AG223" s="96"/>
      <c r="AH223" s="96"/>
      <c r="AI223" s="96"/>
      <c r="AJ223" s="96"/>
      <c r="AK223" s="96"/>
      <c r="AL223" s="96"/>
      <c r="AM223" s="96"/>
      <c r="AN223" s="96"/>
      <c r="AO223" s="96"/>
      <c r="AP223" s="96"/>
      <c r="AQ223" s="96"/>
      <c r="AR223" s="96"/>
      <c r="AS223" s="96"/>
    </row>
    <row r="224" spans="1:45" s="94" customFormat="1" ht="15.75" hidden="1" customHeight="1" outlineLevel="1" x14ac:dyDescent="0.2">
      <c r="A224" s="95"/>
      <c r="B224" s="148" t="s">
        <v>289</v>
      </c>
      <c r="C224" s="145"/>
      <c r="D224" s="147">
        <f>ROUND('Categorias de Ambito 3'!E125,6)</f>
        <v>0</v>
      </c>
      <c r="E224" s="147">
        <f>ROUND('Categorias de Ambito 3'!G125,6)</f>
        <v>0</v>
      </c>
      <c r="F224" s="147">
        <f>ROUND('Categorias de Ambito 3'!I125,6)</f>
        <v>0</v>
      </c>
      <c r="G224" s="195"/>
      <c r="H224" s="195"/>
      <c r="I224" s="194"/>
      <c r="J224" s="114"/>
      <c r="K224" s="114"/>
      <c r="L224" s="114"/>
      <c r="M224" s="102"/>
      <c r="N224" s="95"/>
      <c r="O224" s="96"/>
      <c r="P224" s="96"/>
      <c r="Q224" s="96"/>
      <c r="R224" s="96"/>
      <c r="S224" s="96"/>
      <c r="T224" s="96"/>
      <c r="U224" s="96"/>
      <c r="V224" s="96"/>
      <c r="W224" s="96"/>
      <c r="X224" s="96"/>
      <c r="Y224" s="96"/>
      <c r="Z224" s="96"/>
      <c r="AA224" s="96"/>
      <c r="AB224" s="96"/>
      <c r="AC224" s="96"/>
      <c r="AD224" s="96"/>
      <c r="AE224" s="96"/>
      <c r="AF224" s="96"/>
      <c r="AG224" s="96"/>
      <c r="AH224" s="96"/>
      <c r="AI224" s="96"/>
      <c r="AJ224" s="96"/>
      <c r="AK224" s="96"/>
      <c r="AL224" s="96"/>
      <c r="AM224" s="96"/>
      <c r="AN224" s="96"/>
      <c r="AO224" s="96"/>
      <c r="AP224" s="96"/>
      <c r="AQ224" s="96"/>
      <c r="AR224" s="96"/>
      <c r="AS224" s="96"/>
    </row>
    <row r="225" spans="1:45" s="94" customFormat="1" ht="15.75" hidden="1" customHeight="1" outlineLevel="1" x14ac:dyDescent="0.2">
      <c r="A225" s="95"/>
      <c r="B225" s="148" t="s">
        <v>108</v>
      </c>
      <c r="C225" s="145"/>
      <c r="D225" s="147">
        <f>ROUND('Categorias de Ambito 3'!E126,6)</f>
        <v>0</v>
      </c>
      <c r="E225" s="147">
        <f>ROUND('Categorias de Ambito 3'!G126,6)</f>
        <v>0</v>
      </c>
      <c r="F225" s="147">
        <f>ROUND('Categorias de Ambito 3'!I126,6)</f>
        <v>0</v>
      </c>
      <c r="G225" s="195"/>
      <c r="H225" s="195"/>
      <c r="I225" s="194"/>
      <c r="J225" s="114"/>
      <c r="K225" s="114"/>
      <c r="L225" s="114"/>
      <c r="M225" s="102"/>
      <c r="N225" s="95"/>
      <c r="O225" s="96"/>
      <c r="P225" s="96"/>
      <c r="Q225" s="96"/>
      <c r="R225" s="96"/>
      <c r="S225" s="96"/>
      <c r="T225" s="96"/>
      <c r="U225" s="96"/>
      <c r="V225" s="96"/>
      <c r="W225" s="96"/>
      <c r="X225" s="96"/>
      <c r="Y225" s="96"/>
      <c r="Z225" s="96"/>
      <c r="AA225" s="96"/>
      <c r="AB225" s="96"/>
      <c r="AC225" s="96"/>
      <c r="AD225" s="96"/>
      <c r="AE225" s="96"/>
      <c r="AF225" s="96"/>
      <c r="AG225" s="96"/>
      <c r="AH225" s="96"/>
      <c r="AI225" s="96"/>
      <c r="AJ225" s="96"/>
      <c r="AK225" s="96"/>
      <c r="AL225" s="96"/>
      <c r="AM225" s="96"/>
      <c r="AN225" s="96"/>
      <c r="AO225" s="96"/>
      <c r="AP225" s="96"/>
      <c r="AQ225" s="96"/>
      <c r="AR225" s="96"/>
      <c r="AS225" s="96"/>
    </row>
    <row r="226" spans="1:45" s="94" customFormat="1" ht="15.75" hidden="1" customHeight="1" outlineLevel="1" x14ac:dyDescent="0.2">
      <c r="A226" s="95"/>
      <c r="B226" s="148" t="s">
        <v>290</v>
      </c>
      <c r="C226" s="145"/>
      <c r="D226" s="147">
        <f>ROUND('Categorias de Ambito 3'!E127,6)</f>
        <v>0</v>
      </c>
      <c r="E226" s="147">
        <f>ROUND('Categorias de Ambito 3'!G127,6)</f>
        <v>0</v>
      </c>
      <c r="F226" s="147">
        <f>ROUND('Categorias de Ambito 3'!I127,6)</f>
        <v>0</v>
      </c>
      <c r="G226" s="195"/>
      <c r="H226" s="195"/>
      <c r="I226" s="194"/>
      <c r="J226" s="114"/>
      <c r="K226" s="114"/>
      <c r="L226" s="114"/>
      <c r="M226" s="102"/>
      <c r="N226" s="95"/>
      <c r="O226" s="96"/>
      <c r="P226" s="96"/>
      <c r="Q226" s="96"/>
      <c r="R226" s="96"/>
      <c r="S226" s="96"/>
      <c r="T226" s="96"/>
      <c r="U226" s="96"/>
      <c r="V226" s="96"/>
      <c r="W226" s="96"/>
      <c r="X226" s="96"/>
      <c r="Y226" s="96"/>
      <c r="Z226" s="96"/>
      <c r="AA226" s="96"/>
      <c r="AB226" s="96"/>
      <c r="AC226" s="96"/>
      <c r="AD226" s="96"/>
      <c r="AE226" s="96"/>
      <c r="AF226" s="96"/>
      <c r="AG226" s="96"/>
      <c r="AH226" s="96"/>
      <c r="AI226" s="96"/>
      <c r="AJ226" s="96"/>
      <c r="AK226" s="96"/>
      <c r="AL226" s="96"/>
      <c r="AM226" s="96"/>
      <c r="AN226" s="96"/>
      <c r="AO226" s="96"/>
      <c r="AP226" s="96"/>
      <c r="AQ226" s="96"/>
      <c r="AR226" s="96"/>
      <c r="AS226" s="96"/>
    </row>
    <row r="227" spans="1:45" s="94" customFormat="1" ht="15.75" hidden="1" customHeight="1" outlineLevel="1" x14ac:dyDescent="0.2">
      <c r="A227" s="95"/>
      <c r="B227" s="148" t="s">
        <v>291</v>
      </c>
      <c r="C227" s="145"/>
      <c r="D227" s="147">
        <f>ROUND('Categorias de Ambito 3'!E128,6)</f>
        <v>0</v>
      </c>
      <c r="E227" s="147">
        <f>ROUND('Categorias de Ambito 3'!G128,6)</f>
        <v>0</v>
      </c>
      <c r="F227" s="147">
        <f>ROUND('Categorias de Ambito 3'!I128,6)</f>
        <v>0</v>
      </c>
      <c r="G227" s="195"/>
      <c r="H227" s="195"/>
      <c r="I227" s="194"/>
      <c r="J227" s="114"/>
      <c r="K227" s="114"/>
      <c r="L227" s="114"/>
      <c r="M227" s="102"/>
      <c r="N227" s="95"/>
      <c r="O227" s="96"/>
      <c r="P227" s="96"/>
      <c r="Q227" s="96"/>
      <c r="R227" s="96"/>
      <c r="S227" s="96"/>
      <c r="T227" s="96"/>
      <c r="U227" s="96"/>
      <c r="V227" s="96"/>
      <c r="W227" s="96"/>
      <c r="X227" s="96"/>
      <c r="Y227" s="96"/>
      <c r="Z227" s="96"/>
      <c r="AA227" s="96"/>
      <c r="AB227" s="96"/>
      <c r="AC227" s="96"/>
      <c r="AD227" s="96"/>
      <c r="AE227" s="96"/>
      <c r="AF227" s="96"/>
      <c r="AG227" s="96"/>
      <c r="AH227" s="96"/>
      <c r="AI227" s="96"/>
      <c r="AJ227" s="96"/>
      <c r="AK227" s="96"/>
      <c r="AL227" s="96"/>
      <c r="AM227" s="96"/>
      <c r="AN227" s="96"/>
      <c r="AO227" s="96"/>
      <c r="AP227" s="96"/>
      <c r="AQ227" s="96"/>
      <c r="AR227" s="96"/>
      <c r="AS227" s="96"/>
    </row>
    <row r="228" spans="1:45" s="94" customFormat="1" ht="15.75" hidden="1" customHeight="1" outlineLevel="1" x14ac:dyDescent="0.2">
      <c r="A228" s="95"/>
      <c r="B228" s="148" t="s">
        <v>292</v>
      </c>
      <c r="C228" s="145"/>
      <c r="D228" s="147">
        <f>ROUND('Categorias de Ambito 3'!E129,6)</f>
        <v>0</v>
      </c>
      <c r="E228" s="147">
        <f>ROUND('Categorias de Ambito 3'!G129,6)</f>
        <v>0</v>
      </c>
      <c r="F228" s="147">
        <f>ROUND('Categorias de Ambito 3'!I129,6)</f>
        <v>0</v>
      </c>
      <c r="G228" s="195"/>
      <c r="H228" s="195"/>
      <c r="I228" s="194"/>
      <c r="J228" s="114"/>
      <c r="K228" s="114"/>
      <c r="L228" s="114"/>
      <c r="M228" s="102"/>
      <c r="N228" s="95"/>
      <c r="O228" s="96"/>
      <c r="P228" s="96"/>
      <c r="Q228" s="96"/>
      <c r="R228" s="96"/>
      <c r="S228" s="96"/>
      <c r="T228" s="96"/>
      <c r="U228" s="96"/>
      <c r="V228" s="96"/>
      <c r="W228" s="96"/>
      <c r="X228" s="96"/>
      <c r="Y228" s="96"/>
      <c r="Z228" s="96"/>
      <c r="AA228" s="96"/>
      <c r="AB228" s="96"/>
      <c r="AC228" s="96"/>
      <c r="AD228" s="96"/>
      <c r="AE228" s="96"/>
      <c r="AF228" s="96"/>
      <c r="AG228" s="96"/>
      <c r="AH228" s="96"/>
      <c r="AI228" s="96"/>
      <c r="AJ228" s="96"/>
      <c r="AK228" s="96"/>
      <c r="AL228" s="96"/>
      <c r="AM228" s="96"/>
      <c r="AN228" s="96"/>
      <c r="AO228" s="96"/>
      <c r="AP228" s="96"/>
      <c r="AQ228" s="96"/>
      <c r="AR228" s="96"/>
      <c r="AS228" s="96"/>
    </row>
    <row r="229" spans="1:45" s="94" customFormat="1" ht="15.75" hidden="1" customHeight="1" outlineLevel="1" x14ac:dyDescent="0.2">
      <c r="A229" s="95"/>
      <c r="B229" s="148" t="s">
        <v>293</v>
      </c>
      <c r="C229" s="145"/>
      <c r="D229" s="147">
        <f>ROUND('Categorias de Ambito 3'!E130,6)</f>
        <v>0</v>
      </c>
      <c r="E229" s="147">
        <f>ROUND('Categorias de Ambito 3'!G130,6)</f>
        <v>0</v>
      </c>
      <c r="F229" s="147">
        <f>ROUND('Categorias de Ambito 3'!I130,6)</f>
        <v>0</v>
      </c>
      <c r="G229" s="195"/>
      <c r="H229" s="195"/>
      <c r="I229" s="194"/>
      <c r="J229" s="114"/>
      <c r="K229" s="114"/>
      <c r="L229" s="114"/>
      <c r="M229" s="102"/>
      <c r="N229" s="95"/>
      <c r="O229" s="96"/>
      <c r="P229" s="96"/>
      <c r="Q229" s="96"/>
      <c r="R229" s="96"/>
      <c r="S229" s="96"/>
      <c r="T229" s="96"/>
      <c r="U229" s="96"/>
      <c r="V229" s="96"/>
      <c r="W229" s="96"/>
      <c r="X229" s="96"/>
      <c r="Y229" s="96"/>
      <c r="Z229" s="96"/>
      <c r="AA229" s="96"/>
      <c r="AB229" s="96"/>
      <c r="AC229" s="96"/>
      <c r="AD229" s="96"/>
      <c r="AE229" s="96"/>
      <c r="AF229" s="96"/>
      <c r="AG229" s="96"/>
      <c r="AH229" s="96"/>
      <c r="AI229" s="96"/>
      <c r="AJ229" s="96"/>
      <c r="AK229" s="96"/>
      <c r="AL229" s="96"/>
      <c r="AM229" s="96"/>
      <c r="AN229" s="96"/>
      <c r="AO229" s="96"/>
      <c r="AP229" s="96"/>
      <c r="AQ229" s="96"/>
      <c r="AR229" s="96"/>
      <c r="AS229" s="96"/>
    </row>
    <row r="230" spans="1:45" s="94" customFormat="1" ht="15.75" hidden="1" customHeight="1" outlineLevel="1" x14ac:dyDescent="0.2">
      <c r="A230" s="95"/>
      <c r="B230" s="148" t="s">
        <v>109</v>
      </c>
      <c r="C230" s="145"/>
      <c r="D230" s="147">
        <f>ROUND('Categorias de Ambito 3'!E131,6)</f>
        <v>0</v>
      </c>
      <c r="E230" s="147">
        <f>ROUND('Categorias de Ambito 3'!G131,6)</f>
        <v>0</v>
      </c>
      <c r="F230" s="147">
        <f>ROUND('Categorias de Ambito 3'!I131,6)</f>
        <v>0</v>
      </c>
      <c r="G230" s="195"/>
      <c r="H230" s="195"/>
      <c r="I230" s="194"/>
      <c r="J230" s="114"/>
      <c r="K230" s="114"/>
      <c r="L230" s="114"/>
      <c r="M230" s="102"/>
      <c r="N230" s="95"/>
      <c r="O230" s="96"/>
      <c r="P230" s="96"/>
      <c r="Q230" s="96"/>
      <c r="R230" s="96"/>
      <c r="S230" s="96"/>
      <c r="T230" s="96"/>
      <c r="U230" s="96"/>
      <c r="V230" s="96"/>
      <c r="W230" s="96"/>
      <c r="X230" s="96"/>
      <c r="Y230" s="96"/>
      <c r="Z230" s="96"/>
      <c r="AA230" s="96"/>
      <c r="AB230" s="96"/>
      <c r="AC230" s="96"/>
      <c r="AD230" s="96"/>
      <c r="AE230" s="96"/>
      <c r="AF230" s="96"/>
      <c r="AG230" s="96"/>
      <c r="AH230" s="96"/>
      <c r="AI230" s="96"/>
      <c r="AJ230" s="96"/>
      <c r="AK230" s="96"/>
      <c r="AL230" s="96"/>
      <c r="AM230" s="96"/>
      <c r="AN230" s="96"/>
      <c r="AO230" s="96"/>
      <c r="AP230" s="96"/>
      <c r="AQ230" s="96"/>
      <c r="AR230" s="96"/>
      <c r="AS230" s="96"/>
    </row>
    <row r="231" spans="1:45" s="94" customFormat="1" ht="15.75" hidden="1" customHeight="1" outlineLevel="1" x14ac:dyDescent="0.2">
      <c r="A231" s="95"/>
      <c r="B231" s="148" t="s">
        <v>294</v>
      </c>
      <c r="C231" s="145"/>
      <c r="D231" s="147">
        <f>ROUND('Categorias de Ambito 3'!E132,6)</f>
        <v>0</v>
      </c>
      <c r="E231" s="147">
        <f>ROUND('Categorias de Ambito 3'!G132,6)</f>
        <v>0</v>
      </c>
      <c r="F231" s="147">
        <f>ROUND('Categorias de Ambito 3'!I132,6)</f>
        <v>0</v>
      </c>
      <c r="G231" s="195"/>
      <c r="H231" s="195"/>
      <c r="I231" s="194"/>
      <c r="J231" s="114"/>
      <c r="K231" s="114"/>
      <c r="L231" s="114"/>
      <c r="M231" s="102"/>
      <c r="N231" s="95"/>
      <c r="O231" s="96"/>
      <c r="P231" s="96"/>
      <c r="Q231" s="96"/>
      <c r="R231" s="96"/>
      <c r="S231" s="96"/>
      <c r="T231" s="96"/>
      <c r="U231" s="96"/>
      <c r="V231" s="96"/>
      <c r="W231" s="96"/>
      <c r="X231" s="96"/>
      <c r="Y231" s="96"/>
      <c r="Z231" s="96"/>
      <c r="AA231" s="96"/>
      <c r="AB231" s="96"/>
      <c r="AC231" s="96"/>
      <c r="AD231" s="96"/>
      <c r="AE231" s="96"/>
      <c r="AF231" s="96"/>
      <c r="AG231" s="96"/>
      <c r="AH231" s="96"/>
      <c r="AI231" s="96"/>
      <c r="AJ231" s="96"/>
      <c r="AK231" s="96"/>
      <c r="AL231" s="96"/>
      <c r="AM231" s="96"/>
      <c r="AN231" s="96"/>
      <c r="AO231" s="96"/>
      <c r="AP231" s="96"/>
      <c r="AQ231" s="96"/>
      <c r="AR231" s="96"/>
      <c r="AS231" s="96"/>
    </row>
    <row r="232" spans="1:45" s="94" customFormat="1" ht="15.75" hidden="1" customHeight="1" outlineLevel="1" x14ac:dyDescent="0.2">
      <c r="A232" s="95"/>
      <c r="B232" s="148" t="s">
        <v>295</v>
      </c>
      <c r="C232" s="145"/>
      <c r="D232" s="147">
        <f>ROUND('Categorias de Ambito 3'!E133,6)</f>
        <v>0</v>
      </c>
      <c r="E232" s="147">
        <f>ROUND('Categorias de Ambito 3'!G133,6)</f>
        <v>0</v>
      </c>
      <c r="F232" s="147">
        <f>ROUND('Categorias de Ambito 3'!I133,6)</f>
        <v>0</v>
      </c>
      <c r="G232" s="195"/>
      <c r="H232" s="195"/>
      <c r="I232" s="194"/>
      <c r="J232" s="114"/>
      <c r="K232" s="114"/>
      <c r="L232" s="114"/>
      <c r="M232" s="102"/>
      <c r="N232" s="95"/>
      <c r="O232" s="96"/>
      <c r="P232" s="96"/>
      <c r="Q232" s="96"/>
      <c r="R232" s="96"/>
      <c r="S232" s="96"/>
      <c r="T232" s="96"/>
      <c r="U232" s="96"/>
      <c r="V232" s="96"/>
      <c r="W232" s="96"/>
      <c r="X232" s="96"/>
      <c r="Y232" s="96"/>
      <c r="Z232" s="96"/>
      <c r="AA232" s="96"/>
      <c r="AB232" s="96"/>
      <c r="AC232" s="96"/>
      <c r="AD232" s="96"/>
      <c r="AE232" s="96"/>
      <c r="AF232" s="96"/>
      <c r="AG232" s="96"/>
      <c r="AH232" s="96"/>
      <c r="AI232" s="96"/>
      <c r="AJ232" s="96"/>
      <c r="AK232" s="96"/>
      <c r="AL232" s="96"/>
      <c r="AM232" s="96"/>
      <c r="AN232" s="96"/>
      <c r="AO232" s="96"/>
      <c r="AP232" s="96"/>
      <c r="AQ232" s="96"/>
      <c r="AR232" s="96"/>
      <c r="AS232" s="96"/>
    </row>
    <row r="233" spans="1:45" s="94" customFormat="1" ht="15.75" hidden="1" customHeight="1" outlineLevel="1" x14ac:dyDescent="0.2">
      <c r="A233" s="95"/>
      <c r="B233" s="148" t="s">
        <v>296</v>
      </c>
      <c r="C233" s="145"/>
      <c r="D233" s="147">
        <f>ROUND('Categorias de Ambito 3'!E134,6)</f>
        <v>0</v>
      </c>
      <c r="E233" s="147">
        <f>ROUND('Categorias de Ambito 3'!G134,6)</f>
        <v>0</v>
      </c>
      <c r="F233" s="147">
        <f>ROUND('Categorias de Ambito 3'!I134,6)</f>
        <v>0</v>
      </c>
      <c r="G233" s="195"/>
      <c r="H233" s="195"/>
      <c r="I233" s="194"/>
      <c r="J233" s="114"/>
      <c r="K233" s="114"/>
      <c r="L233" s="114"/>
      <c r="M233" s="102"/>
      <c r="N233" s="95"/>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96"/>
      <c r="AP233" s="96"/>
      <c r="AQ233" s="96"/>
      <c r="AR233" s="96"/>
      <c r="AS233" s="96"/>
    </row>
    <row r="234" spans="1:45" s="94" customFormat="1" ht="15.75" hidden="1" customHeight="1" outlineLevel="1" x14ac:dyDescent="0.2">
      <c r="A234" s="95"/>
      <c r="B234" s="148" t="s">
        <v>286</v>
      </c>
      <c r="C234" s="145"/>
      <c r="D234" s="147">
        <f>ROUND('Categorias de Ambito 3'!E135,6)</f>
        <v>0</v>
      </c>
      <c r="E234" s="147">
        <f>ROUND('Categorias de Ambito 3'!G135,6)</f>
        <v>0</v>
      </c>
      <c r="F234" s="147">
        <f>ROUND('Categorias de Ambito 3'!I135,6)</f>
        <v>0</v>
      </c>
      <c r="G234" s="195"/>
      <c r="H234" s="195"/>
      <c r="I234" s="194"/>
      <c r="J234" s="114"/>
      <c r="K234" s="114"/>
      <c r="L234" s="114"/>
      <c r="M234" s="102"/>
      <c r="N234" s="95"/>
      <c r="O234" s="96"/>
      <c r="P234" s="96"/>
      <c r="Q234" s="96"/>
      <c r="R234" s="96"/>
      <c r="S234" s="96"/>
      <c r="T234" s="96"/>
      <c r="U234" s="96"/>
      <c r="V234" s="96"/>
      <c r="W234" s="96"/>
      <c r="X234" s="96"/>
      <c r="Y234" s="96"/>
      <c r="Z234" s="96"/>
      <c r="AA234" s="96"/>
      <c r="AB234" s="96"/>
      <c r="AC234" s="96"/>
      <c r="AD234" s="96"/>
      <c r="AE234" s="96"/>
      <c r="AF234" s="96"/>
      <c r="AG234" s="96"/>
      <c r="AH234" s="96"/>
      <c r="AI234" s="96"/>
      <c r="AJ234" s="96"/>
      <c r="AK234" s="96"/>
      <c r="AL234" s="96"/>
      <c r="AM234" s="96"/>
      <c r="AN234" s="96"/>
      <c r="AO234" s="96"/>
      <c r="AP234" s="96"/>
      <c r="AQ234" s="96"/>
      <c r="AR234" s="96"/>
      <c r="AS234" s="96"/>
    </row>
    <row r="235" spans="1:45" s="94" customFormat="1" ht="15.75" customHeight="1" collapsed="1" x14ac:dyDescent="0.2">
      <c r="A235" s="95"/>
      <c r="B235" s="146" t="s">
        <v>283</v>
      </c>
      <c r="C235" s="145"/>
      <c r="D235" s="147">
        <f>ROUND(total_Cat10_PFC,6)</f>
        <v>0</v>
      </c>
      <c r="E235" s="147">
        <f>ROUND(total_Cat11_PFC,6)</f>
        <v>0</v>
      </c>
      <c r="F235" s="147">
        <f>ROUND(total_Cat12_PFC,6)</f>
        <v>0</v>
      </c>
      <c r="G235" s="195"/>
      <c r="H235" s="195"/>
      <c r="I235" s="194"/>
      <c r="J235" s="114"/>
      <c r="K235" s="114"/>
      <c r="L235" s="114"/>
      <c r="M235" s="102"/>
      <c r="N235" s="95"/>
      <c r="O235" s="96"/>
      <c r="P235" s="96"/>
      <c r="Q235" s="96"/>
      <c r="R235" s="96"/>
      <c r="S235" s="96"/>
      <c r="T235" s="96"/>
      <c r="U235" s="96"/>
      <c r="V235" s="96"/>
      <c r="W235" s="96"/>
      <c r="X235" s="96"/>
      <c r="Y235" s="96"/>
      <c r="Z235" s="96"/>
      <c r="AA235" s="96"/>
      <c r="AB235" s="96"/>
      <c r="AC235" s="96"/>
      <c r="AD235" s="96"/>
      <c r="AE235" s="96"/>
      <c r="AF235" s="96"/>
      <c r="AG235" s="96"/>
      <c r="AH235" s="96"/>
      <c r="AI235" s="96"/>
      <c r="AJ235" s="96"/>
      <c r="AK235" s="96"/>
      <c r="AL235" s="96"/>
      <c r="AM235" s="96"/>
      <c r="AN235" s="96"/>
      <c r="AO235" s="96"/>
      <c r="AP235" s="96"/>
      <c r="AQ235" s="96"/>
      <c r="AR235" s="96"/>
      <c r="AS235" s="96"/>
    </row>
    <row r="236" spans="1:45" s="94" customFormat="1" ht="15.75" hidden="1" customHeight="1" outlineLevel="1" x14ac:dyDescent="0.2">
      <c r="A236" s="95"/>
      <c r="B236" s="148" t="s">
        <v>458</v>
      </c>
      <c r="C236" s="145"/>
      <c r="D236" s="147">
        <f>ROUND('Categorias de Ambito 3'!E137,6)</f>
        <v>0</v>
      </c>
      <c r="E236" s="147">
        <f>ROUND('Categorias de Ambito 3'!G137,6)</f>
        <v>0</v>
      </c>
      <c r="F236" s="147">
        <f>ROUND('Categorias de Ambito 3'!I137,6)</f>
        <v>0</v>
      </c>
      <c r="G236" s="195"/>
      <c r="H236" s="195"/>
      <c r="I236" s="194"/>
      <c r="J236" s="114"/>
      <c r="K236" s="114"/>
      <c r="L236" s="114"/>
      <c r="M236" s="102"/>
      <c r="N236" s="95"/>
      <c r="O236" s="96"/>
      <c r="P236" s="96"/>
      <c r="Q236" s="96"/>
      <c r="R236" s="96"/>
      <c r="S236" s="96"/>
      <c r="T236" s="96"/>
      <c r="U236" s="96"/>
      <c r="V236" s="96"/>
      <c r="W236" s="96"/>
      <c r="X236" s="96"/>
      <c r="Y236" s="96"/>
      <c r="Z236" s="96"/>
      <c r="AA236" s="96"/>
      <c r="AB236" s="96"/>
      <c r="AC236" s="96"/>
      <c r="AD236" s="96"/>
      <c r="AE236" s="96"/>
      <c r="AF236" s="96"/>
      <c r="AG236" s="96"/>
      <c r="AH236" s="96"/>
      <c r="AI236" s="96"/>
      <c r="AJ236" s="96"/>
      <c r="AK236" s="96"/>
      <c r="AL236" s="96"/>
      <c r="AM236" s="96"/>
      <c r="AN236" s="96"/>
      <c r="AO236" s="96"/>
      <c r="AP236" s="96"/>
      <c r="AQ236" s="96"/>
      <c r="AR236" s="96"/>
      <c r="AS236" s="96"/>
    </row>
    <row r="237" spans="1:45" s="94" customFormat="1" ht="15.75" hidden="1" customHeight="1" outlineLevel="1" x14ac:dyDescent="0.2">
      <c r="A237" s="95"/>
      <c r="B237" s="148" t="s">
        <v>459</v>
      </c>
      <c r="C237" s="145"/>
      <c r="D237" s="147">
        <f>ROUND('Categorias de Ambito 3'!E138,6)</f>
        <v>0</v>
      </c>
      <c r="E237" s="147">
        <f>ROUND('Categorias de Ambito 3'!G138,6)</f>
        <v>0</v>
      </c>
      <c r="F237" s="147">
        <f>ROUND('Categorias de Ambito 3'!I138,6)</f>
        <v>0</v>
      </c>
      <c r="G237" s="195"/>
      <c r="H237" s="195"/>
      <c r="I237" s="194"/>
      <c r="J237" s="114"/>
      <c r="K237" s="114"/>
      <c r="L237" s="114"/>
      <c r="M237" s="102"/>
      <c r="N237" s="95"/>
      <c r="O237" s="96"/>
      <c r="P237" s="96"/>
      <c r="Q237" s="96"/>
      <c r="R237" s="96"/>
      <c r="S237" s="96"/>
      <c r="T237" s="96"/>
      <c r="U237" s="96"/>
      <c r="V237" s="96"/>
      <c r="W237" s="96"/>
      <c r="X237" s="96"/>
      <c r="Y237" s="96"/>
      <c r="Z237" s="96"/>
      <c r="AA237" s="96"/>
      <c r="AB237" s="96"/>
      <c r="AC237" s="96"/>
      <c r="AD237" s="96"/>
      <c r="AE237" s="96"/>
      <c r="AF237" s="96"/>
      <c r="AG237" s="96"/>
      <c r="AH237" s="96"/>
      <c r="AI237" s="96"/>
      <c r="AJ237" s="96"/>
      <c r="AK237" s="96"/>
      <c r="AL237" s="96"/>
      <c r="AM237" s="96"/>
      <c r="AN237" s="96"/>
      <c r="AO237" s="96"/>
      <c r="AP237" s="96"/>
      <c r="AQ237" s="96"/>
      <c r="AR237" s="96"/>
      <c r="AS237" s="96"/>
    </row>
    <row r="238" spans="1:45" s="94" customFormat="1" ht="15.75" hidden="1" customHeight="1" outlineLevel="1" x14ac:dyDescent="0.2">
      <c r="A238" s="95"/>
      <c r="B238" s="148" t="s">
        <v>460</v>
      </c>
      <c r="C238" s="145"/>
      <c r="D238" s="147">
        <f>ROUND('Categorias de Ambito 3'!E139,6)</f>
        <v>0</v>
      </c>
      <c r="E238" s="147">
        <f>ROUND('Categorias de Ambito 3'!G139,6)</f>
        <v>0</v>
      </c>
      <c r="F238" s="147">
        <f>ROUND('Categorias de Ambito 3'!I139,6)</f>
        <v>0</v>
      </c>
      <c r="G238" s="195"/>
      <c r="H238" s="195"/>
      <c r="I238" s="194"/>
      <c r="J238" s="114"/>
      <c r="K238" s="114"/>
      <c r="L238" s="114"/>
      <c r="M238" s="102"/>
      <c r="N238" s="95"/>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row>
    <row r="239" spans="1:45" s="94" customFormat="1" ht="15.75" hidden="1" customHeight="1" outlineLevel="1" x14ac:dyDescent="0.2">
      <c r="A239" s="95"/>
      <c r="B239" s="148" t="s">
        <v>461</v>
      </c>
      <c r="C239" s="145"/>
      <c r="D239" s="147">
        <f>ROUND('Categorias de Ambito 3'!E140,6)</f>
        <v>0</v>
      </c>
      <c r="E239" s="147">
        <f>ROUND('Categorias de Ambito 3'!G140,6)</f>
        <v>0</v>
      </c>
      <c r="F239" s="147">
        <f>ROUND('Categorias de Ambito 3'!I140,6)</f>
        <v>0</v>
      </c>
      <c r="G239" s="195"/>
      <c r="H239" s="195"/>
      <c r="I239" s="194"/>
      <c r="J239" s="114"/>
      <c r="K239" s="114"/>
      <c r="L239" s="114"/>
      <c r="M239" s="102"/>
      <c r="N239" s="95"/>
      <c r="O239" s="96"/>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row>
    <row r="240" spans="1:45" s="94" customFormat="1" ht="15.75" hidden="1" customHeight="1" outlineLevel="1" x14ac:dyDescent="0.2">
      <c r="A240" s="95"/>
      <c r="B240" s="148" t="s">
        <v>462</v>
      </c>
      <c r="C240" s="145"/>
      <c r="D240" s="147">
        <f>ROUND('Categorias de Ambito 3'!E141,6)</f>
        <v>0</v>
      </c>
      <c r="E240" s="147">
        <f>ROUND('Categorias de Ambito 3'!G141,6)</f>
        <v>0</v>
      </c>
      <c r="F240" s="147">
        <f>ROUND('Categorias de Ambito 3'!I141,6)</f>
        <v>0</v>
      </c>
      <c r="G240" s="195"/>
      <c r="H240" s="195"/>
      <c r="I240" s="194"/>
      <c r="J240" s="114"/>
      <c r="K240" s="114"/>
      <c r="L240" s="114"/>
      <c r="M240" s="102"/>
      <c r="N240" s="95"/>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6"/>
      <c r="AN240" s="96"/>
      <c r="AO240" s="96"/>
      <c r="AP240" s="96"/>
      <c r="AQ240" s="96"/>
      <c r="AR240" s="96"/>
      <c r="AS240" s="96"/>
    </row>
    <row r="241" spans="1:45" s="94" customFormat="1" ht="15.75" hidden="1" customHeight="1" outlineLevel="1" x14ac:dyDescent="0.2">
      <c r="A241" s="95"/>
      <c r="B241" s="148" t="s">
        <v>463</v>
      </c>
      <c r="C241" s="145"/>
      <c r="D241" s="147">
        <f>ROUND('Categorias de Ambito 3'!E142,6)</f>
        <v>0</v>
      </c>
      <c r="E241" s="147">
        <f>ROUND('Categorias de Ambito 3'!G142,6)</f>
        <v>0</v>
      </c>
      <c r="F241" s="147">
        <f>ROUND('Categorias de Ambito 3'!I142,6)</f>
        <v>0</v>
      </c>
      <c r="G241" s="195"/>
      <c r="H241" s="195"/>
      <c r="I241" s="194"/>
      <c r="J241" s="114"/>
      <c r="K241" s="114"/>
      <c r="L241" s="114"/>
      <c r="M241" s="102"/>
      <c r="N241" s="95"/>
      <c r="O241" s="96"/>
      <c r="P241" s="96"/>
      <c r="Q241" s="96"/>
      <c r="R241" s="96"/>
      <c r="S241" s="96"/>
      <c r="T241" s="96"/>
      <c r="U241" s="96"/>
      <c r="V241" s="96"/>
      <c r="W241" s="96"/>
      <c r="X241" s="96"/>
      <c r="Y241" s="96"/>
      <c r="Z241" s="96"/>
      <c r="AA241" s="96"/>
      <c r="AB241" s="96"/>
      <c r="AC241" s="96"/>
      <c r="AD241" s="96"/>
      <c r="AE241" s="96"/>
      <c r="AF241" s="96"/>
      <c r="AG241" s="96"/>
      <c r="AH241" s="96"/>
      <c r="AI241" s="96"/>
      <c r="AJ241" s="96"/>
      <c r="AK241" s="96"/>
      <c r="AL241" s="96"/>
      <c r="AM241" s="96"/>
      <c r="AN241" s="96"/>
      <c r="AO241" s="96"/>
      <c r="AP241" s="96"/>
      <c r="AQ241" s="96"/>
      <c r="AR241" s="96"/>
      <c r="AS241" s="96"/>
    </row>
    <row r="242" spans="1:45" s="94" customFormat="1" ht="15.75" hidden="1" customHeight="1" outlineLevel="1" x14ac:dyDescent="0.2">
      <c r="A242" s="95"/>
      <c r="B242" s="148" t="s">
        <v>464</v>
      </c>
      <c r="C242" s="145"/>
      <c r="D242" s="147">
        <f>ROUND('Categorias de Ambito 3'!E143,6)</f>
        <v>0</v>
      </c>
      <c r="E242" s="147">
        <f>ROUND('Categorias de Ambito 3'!G143,6)</f>
        <v>0</v>
      </c>
      <c r="F242" s="147">
        <f>ROUND('Categorias de Ambito 3'!I143,6)</f>
        <v>0</v>
      </c>
      <c r="G242" s="195"/>
      <c r="H242" s="195"/>
      <c r="I242" s="194"/>
      <c r="J242" s="114"/>
      <c r="K242" s="114"/>
      <c r="L242" s="114"/>
      <c r="M242" s="102"/>
      <c r="N242" s="95"/>
      <c r="O242" s="96"/>
      <c r="P242" s="96"/>
      <c r="Q242" s="96"/>
      <c r="R242" s="96"/>
      <c r="S242" s="96"/>
      <c r="T242" s="96"/>
      <c r="U242" s="96"/>
      <c r="V242" s="96"/>
      <c r="W242" s="96"/>
      <c r="X242" s="96"/>
      <c r="Y242" s="96"/>
      <c r="Z242" s="96"/>
      <c r="AA242" s="96"/>
      <c r="AB242" s="96"/>
      <c r="AC242" s="96"/>
      <c r="AD242" s="96"/>
      <c r="AE242" s="96"/>
      <c r="AF242" s="96"/>
      <c r="AG242" s="96"/>
      <c r="AH242" s="96"/>
      <c r="AI242" s="96"/>
      <c r="AJ242" s="96"/>
      <c r="AK242" s="96"/>
      <c r="AL242" s="96"/>
      <c r="AM242" s="96"/>
      <c r="AN242" s="96"/>
      <c r="AO242" s="96"/>
      <c r="AP242" s="96"/>
      <c r="AQ242" s="96"/>
      <c r="AR242" s="96"/>
      <c r="AS242" s="96"/>
    </row>
    <row r="243" spans="1:45" s="94" customFormat="1" ht="15.75" hidden="1" customHeight="1" outlineLevel="1" x14ac:dyDescent="0.2">
      <c r="A243" s="95"/>
      <c r="B243" s="148" t="s">
        <v>465</v>
      </c>
      <c r="C243" s="145"/>
      <c r="D243" s="147">
        <f>ROUND('Categorias de Ambito 3'!E144,6)</f>
        <v>0</v>
      </c>
      <c r="E243" s="147">
        <f>ROUND('Categorias de Ambito 3'!G144,6)</f>
        <v>0</v>
      </c>
      <c r="F243" s="147">
        <f>ROUND('Categorias de Ambito 3'!I144,6)</f>
        <v>0</v>
      </c>
      <c r="G243" s="195"/>
      <c r="H243" s="195"/>
      <c r="I243" s="194"/>
      <c r="J243" s="114"/>
      <c r="K243" s="114"/>
      <c r="L243" s="114"/>
      <c r="M243" s="102"/>
      <c r="N243" s="95"/>
      <c r="O243" s="96"/>
      <c r="P243" s="96"/>
      <c r="Q243" s="96"/>
      <c r="R243" s="96"/>
      <c r="S243" s="96"/>
      <c r="T243" s="96"/>
      <c r="U243" s="96"/>
      <c r="V243" s="96"/>
      <c r="W243" s="96"/>
      <c r="X243" s="96"/>
      <c r="Y243" s="96"/>
      <c r="Z243" s="96"/>
      <c r="AA243" s="96"/>
      <c r="AB243" s="96"/>
      <c r="AC243" s="96"/>
      <c r="AD243" s="96"/>
      <c r="AE243" s="96"/>
      <c r="AF243" s="96"/>
      <c r="AG243" s="96"/>
      <c r="AH243" s="96"/>
      <c r="AI243" s="96"/>
      <c r="AJ243" s="96"/>
      <c r="AK243" s="96"/>
      <c r="AL243" s="96"/>
      <c r="AM243" s="96"/>
      <c r="AN243" s="96"/>
      <c r="AO243" s="96"/>
      <c r="AP243" s="96"/>
      <c r="AQ243" s="96"/>
      <c r="AR243" s="96"/>
      <c r="AS243" s="96"/>
    </row>
    <row r="244" spans="1:45" s="94" customFormat="1" ht="15.75" hidden="1" customHeight="1" outlineLevel="1" x14ac:dyDescent="0.2">
      <c r="A244" s="95"/>
      <c r="B244" s="148" t="s">
        <v>466</v>
      </c>
      <c r="C244" s="145"/>
      <c r="D244" s="147">
        <f>ROUND('Categorias de Ambito 3'!E145,6)</f>
        <v>0</v>
      </c>
      <c r="E244" s="147">
        <f>ROUND('Categorias de Ambito 3'!G145,6)</f>
        <v>0</v>
      </c>
      <c r="F244" s="147">
        <f>ROUND('Categorias de Ambito 3'!I145,6)</f>
        <v>0</v>
      </c>
      <c r="G244" s="195"/>
      <c r="H244" s="195"/>
      <c r="I244" s="194"/>
      <c r="J244" s="114"/>
      <c r="K244" s="114"/>
      <c r="L244" s="114"/>
      <c r="M244" s="102"/>
      <c r="N244" s="95"/>
      <c r="O244" s="96"/>
      <c r="P244" s="96"/>
      <c r="Q244" s="96"/>
      <c r="R244" s="96"/>
      <c r="S244" s="96"/>
      <c r="T244" s="96"/>
      <c r="U244" s="96"/>
      <c r="V244" s="96"/>
      <c r="W244" s="96"/>
      <c r="X244" s="96"/>
      <c r="Y244" s="96"/>
      <c r="Z244" s="96"/>
      <c r="AA244" s="96"/>
      <c r="AB244" s="96"/>
      <c r="AC244" s="96"/>
      <c r="AD244" s="96"/>
      <c r="AE244" s="96"/>
      <c r="AF244" s="96"/>
      <c r="AG244" s="96"/>
      <c r="AH244" s="96"/>
      <c r="AI244" s="96"/>
      <c r="AJ244" s="96"/>
      <c r="AK244" s="96"/>
      <c r="AL244" s="96"/>
      <c r="AM244" s="96"/>
      <c r="AN244" s="96"/>
      <c r="AO244" s="96"/>
      <c r="AP244" s="96"/>
      <c r="AQ244" s="96"/>
      <c r="AR244" s="96"/>
      <c r="AS244" s="96"/>
    </row>
    <row r="245" spans="1:45" s="94" customFormat="1" ht="15.75" hidden="1" customHeight="1" outlineLevel="1" x14ac:dyDescent="0.2">
      <c r="A245" s="95"/>
      <c r="B245" s="148" t="s">
        <v>467</v>
      </c>
      <c r="C245" s="145"/>
      <c r="D245" s="147">
        <f>ROUND('Categorias de Ambito 3'!E146,6)</f>
        <v>0</v>
      </c>
      <c r="E245" s="147">
        <f>ROUND('Categorias de Ambito 3'!G146,6)</f>
        <v>0</v>
      </c>
      <c r="F245" s="147">
        <f>ROUND('Categorias de Ambito 3'!I146,6)</f>
        <v>0</v>
      </c>
      <c r="G245" s="195"/>
      <c r="H245" s="195"/>
      <c r="I245" s="194"/>
      <c r="J245" s="114"/>
      <c r="K245" s="114"/>
      <c r="L245" s="114"/>
      <c r="M245" s="102"/>
      <c r="N245" s="95"/>
      <c r="O245" s="96"/>
      <c r="P245" s="96"/>
      <c r="Q245" s="96"/>
      <c r="R245" s="96"/>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row>
    <row r="246" spans="1:45" s="94" customFormat="1" ht="15.75" customHeight="1" x14ac:dyDescent="0.2">
      <c r="A246" s="95"/>
      <c r="B246" s="148" t="s">
        <v>1377</v>
      </c>
      <c r="C246" s="145"/>
      <c r="D246" s="152">
        <f>ROUND(total_Cat10_SF6,6)</f>
        <v>0</v>
      </c>
      <c r="E246" s="147">
        <f>ROUND(total_Cat11_SF6,6)</f>
        <v>0</v>
      </c>
      <c r="F246" s="147">
        <f>ROUND(total_Cat12_SF6,6)</f>
        <v>0</v>
      </c>
      <c r="G246" s="195"/>
      <c r="H246" s="195"/>
      <c r="I246" s="194"/>
      <c r="J246" s="114"/>
      <c r="K246" s="114"/>
      <c r="L246" s="114"/>
      <c r="M246" s="102"/>
      <c r="N246" s="95"/>
      <c r="O246" s="96"/>
      <c r="P246" s="96"/>
      <c r="Q246" s="96"/>
      <c r="R246" s="96"/>
      <c r="S246" s="96"/>
      <c r="T246" s="96"/>
      <c r="U246" s="96"/>
      <c r="V246" s="96"/>
      <c r="W246" s="96"/>
      <c r="X246" s="96"/>
      <c r="Y246" s="96"/>
      <c r="Z246" s="96"/>
      <c r="AA246" s="96"/>
      <c r="AB246" s="96"/>
      <c r="AC246" s="96"/>
      <c r="AD246" s="96"/>
      <c r="AE246" s="96"/>
      <c r="AF246" s="96"/>
      <c r="AG246" s="96"/>
      <c r="AH246" s="96"/>
      <c r="AI246" s="96"/>
      <c r="AJ246" s="96"/>
      <c r="AK246" s="96"/>
      <c r="AL246" s="96"/>
      <c r="AM246" s="96"/>
      <c r="AN246" s="96"/>
      <c r="AO246" s="96"/>
      <c r="AP246" s="96"/>
      <c r="AQ246" s="96"/>
      <c r="AR246" s="96"/>
      <c r="AS246" s="96"/>
    </row>
    <row r="247" spans="1:45" s="94" customFormat="1" ht="15.75" customHeight="1" x14ac:dyDescent="0.2">
      <c r="A247" s="95"/>
      <c r="B247" s="148" t="s">
        <v>1378</v>
      </c>
      <c r="C247" s="145"/>
      <c r="D247" s="147">
        <f>ROUND(total_Cat10_NF3,6)</f>
        <v>0</v>
      </c>
      <c r="E247" s="147">
        <f>ROUND(total_Cat11_NF3,6)</f>
        <v>0</v>
      </c>
      <c r="F247" s="147">
        <f>ROUND(total_Cat12_NF3,6)</f>
        <v>0</v>
      </c>
      <c r="G247" s="195"/>
      <c r="H247" s="195"/>
      <c r="I247" s="194"/>
      <c r="J247" s="114"/>
      <c r="K247" s="114"/>
      <c r="L247" s="114"/>
      <c r="M247" s="102"/>
      <c r="N247" s="95"/>
      <c r="O247" s="96"/>
      <c r="P247" s="96"/>
      <c r="Q247" s="96"/>
      <c r="R247" s="96"/>
      <c r="S247" s="96"/>
      <c r="T247" s="96"/>
      <c r="U247" s="96"/>
      <c r="V247" s="96"/>
      <c r="W247" s="96"/>
      <c r="X247" s="96"/>
      <c r="Y247" s="96"/>
      <c r="Z247" s="96"/>
      <c r="AA247" s="96"/>
      <c r="AB247" s="96"/>
      <c r="AC247" s="96"/>
      <c r="AD247" s="96"/>
      <c r="AE247" s="96"/>
      <c r="AF247" s="96"/>
      <c r="AG247" s="96"/>
      <c r="AH247" s="96"/>
      <c r="AI247" s="96"/>
      <c r="AJ247" s="96"/>
      <c r="AK247" s="96"/>
      <c r="AL247" s="96"/>
      <c r="AM247" s="96"/>
      <c r="AN247" s="96"/>
      <c r="AO247" s="96"/>
      <c r="AP247" s="96"/>
      <c r="AQ247" s="96"/>
      <c r="AR247" s="96"/>
      <c r="AS247" s="96"/>
    </row>
    <row r="248" spans="1:45" s="94" customFormat="1" ht="15.75" customHeight="1" x14ac:dyDescent="0.2">
      <c r="A248" s="95"/>
      <c r="B248" s="146" t="s">
        <v>1379</v>
      </c>
      <c r="C248" s="149">
        <f>C212+C213*gwp_CH4+C214*gwp_N2O+C216*gwp_HFC23+C217*gwp_HFC32+C218*gwp_HFC41+C219*gwp_HFC125+C220*gwp_HFC134+C221*gwp_HFC134a+C222*gwp_HFC143+C223*gwp_HFC143a+C224*gwp_HFC152+C225*gwp_HFC152a+C226*gwp_HFC161+C227*gwp_HFC227ea+C228*gwp_HFC236cb+C229*gwp_HFC236ea+C230*gwp_HFC236fa+C231*gwp_HFC245ca+C232*gwp_HFC245fa+C233*gwp_HFC365mfc+C234*gwp_HFC4310mee+C236*gwp_PFC14+C237*gwp_PFC116+C238*gwp_PFC218+C239*gwp_PFC318+C240*gwp_PFC3110+C241*gwp_PFC4112+C242*gwp_PFC5114+C243*gwp_PFC9118+C244*gwp_trifluorometil+C245*gwp_perfluorociclopropano+C246*gwp_SF6+C247*gwp_NF3</f>
        <v>0</v>
      </c>
      <c r="D248" s="149">
        <f>D212+D213*gwp_CH4+D214*gwp_N2O+D216*gwp_HFC23+D217*gwp_HFC32+D218*gwp_HFC41+D219*gwp_HFC125+D220*gwp_HFC134+D221*gwp_HFC134a+D222*gwp_HFC143+D223*gwp_HFC143a+D224*gwp_HFC152+D225*gwp_HFC152a+D226*gwp_HFC161+D227*gwp_HFC227ea+D228*gwp_HFC236cb+D229*gwp_HFC236ea+D230*gwp_HFC236fa+D231*gwp_HFC245ca+D232*gwp_HFC245fa+D233*gwp_HFC365mfc+D234*gwp_HFC4310mee+D236*gwp_PFC14+D237*gwp_PFC116+D238*gwp_PFC218+D239*gwp_PFC318+D240*gwp_PFC3110+D241*gwp_PFC4112+D242*gwp_PFC5114+D243*gwp_PFC9118+D244*gwp_trifluorometil+D245*gwp_perfluorociclopropano+D246*gwp_SF6+D247*gwp_NF3</f>
        <v>0</v>
      </c>
      <c r="E248" s="149">
        <f>E212+E213*gwp_CH4+E214*gwp_N2O+E216*gwp_HFC23+E217*gwp_HFC32+E218*gwp_HFC41+E219*gwp_HFC125+E220*gwp_HFC134+E221*gwp_HFC134a+E222*gwp_HFC143+E223*gwp_HFC143a+E224*gwp_HFC152+E225*gwp_HFC152a+E226*gwp_HFC161+E227*gwp_HFC227ea+E228*gwp_HFC236cb+E229*gwp_HFC236ea+E230*gwp_HFC236fa+E231*gwp_HFC245ca+E232*gwp_HFC245fa+E233*gwp_HFC365mfc+E234*gwp_HFC4310mee+E236*gwp_PFC14+E237*gwp_PFC116+E238*gwp_PFC218+E239*gwp_PFC318+E240*gwp_PFC3110+E241*gwp_PFC4112+E242*gwp_PFC5114+E243*gwp_PFC9118+E244*gwp_trifluorometil+E245*gwp_perfluorociclopropano+E246*gwp_SF6+E247*gwp_NF3</f>
        <v>0</v>
      </c>
      <c r="F248" s="149">
        <f>F212+F213*gwp_CH4+F214*gwp_N2O+F216*gwp_HFC23+F217*gwp_HFC32+F218*gwp_HFC41+F219*gwp_HFC125+F220*gwp_HFC134+F221*gwp_HFC134a+F222*gwp_HFC143+F223*gwp_HFC143a+F224*gwp_HFC152+F225*gwp_HFC152a+F226*gwp_HFC161+F227*gwp_HFC227ea+F228*gwp_HFC236cb+F229*gwp_HFC236ea+F230*gwp_HFC236fa+F231*gwp_HFC245ca+F232*gwp_HFC245fa+F233*gwp_HFC365mfc+F234*gwp_HFC4310mee+F236*gwp_PFC14+F237*gwp_PFC116+F238*gwp_PFC218+F239*gwp_PFC318+F240*gwp_PFC3110+F241*gwp_PFC4112+F242*gwp_PFC5114+F243*gwp_PFC9118+F244*gwp_trifluorometil+F245*gwp_perfluorociclopropano+F246*gwp_SF6+F247*gwp_NF3</f>
        <v>0</v>
      </c>
      <c r="G248" s="195"/>
      <c r="H248" s="195"/>
      <c r="I248" s="194"/>
      <c r="J248" s="114"/>
      <c r="K248" s="114"/>
      <c r="L248" s="114"/>
      <c r="M248" s="102"/>
      <c r="N248" s="95"/>
      <c r="O248" s="96"/>
      <c r="P248" s="96"/>
      <c r="Q248" s="96"/>
      <c r="R248" s="96"/>
      <c r="S248" s="96"/>
      <c r="T248" s="96"/>
      <c r="U248" s="96"/>
      <c r="V248" s="96"/>
      <c r="W248" s="96"/>
      <c r="X248" s="96"/>
      <c r="Y248" s="96"/>
      <c r="Z248" s="96"/>
      <c r="AA248" s="96"/>
      <c r="AB248" s="96"/>
      <c r="AC248" s="96"/>
      <c r="AD248" s="96"/>
      <c r="AE248" s="96"/>
      <c r="AF248" s="96"/>
      <c r="AG248" s="96"/>
      <c r="AH248" s="96"/>
      <c r="AI248" s="96"/>
      <c r="AJ248" s="96"/>
      <c r="AK248" s="96"/>
      <c r="AL248" s="96"/>
      <c r="AM248" s="96"/>
      <c r="AN248" s="96"/>
      <c r="AO248" s="96"/>
      <c r="AP248" s="96"/>
      <c r="AQ248" s="96"/>
      <c r="AR248" s="96"/>
      <c r="AS248" s="96"/>
    </row>
    <row r="249" spans="1:45" s="91" customFormat="1" ht="15.75" customHeight="1" x14ac:dyDescent="0.35">
      <c r="A249" s="95"/>
      <c r="B249" s="150" t="s">
        <v>1851</v>
      </c>
      <c r="C249" s="151">
        <f>total_Cat9_op_CO2_biomassa</f>
        <v>0</v>
      </c>
      <c r="D249" s="151">
        <f>ROUND(total_Cat10_CO2_biomassa,6)</f>
        <v>0</v>
      </c>
      <c r="E249" s="151">
        <f>ROUND(total_Cat11_CO2_biomassa,6)</f>
        <v>0</v>
      </c>
      <c r="F249" s="151">
        <f>ROUND(total_Cat12_CO2_biomassa,6)</f>
        <v>0</v>
      </c>
      <c r="G249" s="195"/>
      <c r="H249" s="195"/>
      <c r="I249" s="194"/>
      <c r="J249" s="114"/>
      <c r="K249" s="114"/>
      <c r="L249" s="114"/>
      <c r="M249" s="102"/>
      <c r="N249" s="95"/>
      <c r="O249" s="96"/>
      <c r="P249" s="96"/>
      <c r="Q249" s="96"/>
      <c r="R249" s="96"/>
      <c r="S249" s="96"/>
      <c r="T249" s="96"/>
      <c r="U249" s="96"/>
      <c r="V249" s="96"/>
      <c r="W249" s="96"/>
      <c r="X249" s="96"/>
      <c r="Y249" s="96"/>
      <c r="Z249" s="96"/>
      <c r="AA249" s="96"/>
      <c r="AB249" s="96"/>
      <c r="AC249" s="96"/>
      <c r="AD249" s="96"/>
      <c r="AE249" s="96"/>
      <c r="AF249" s="96"/>
      <c r="AG249" s="96"/>
      <c r="AH249" s="96"/>
      <c r="AI249" s="96"/>
      <c r="AJ249" s="96"/>
      <c r="AK249" s="96"/>
      <c r="AL249" s="96"/>
      <c r="AM249" s="96"/>
      <c r="AN249" s="96"/>
      <c r="AO249" s="96"/>
      <c r="AP249" s="96"/>
      <c r="AQ249" s="96"/>
      <c r="AR249" s="96"/>
      <c r="AS249" s="96"/>
    </row>
    <row r="250" spans="1:45" s="94" customFormat="1" ht="15.75" customHeight="1" x14ac:dyDescent="0.2">
      <c r="A250" s="95"/>
      <c r="B250" s="171"/>
      <c r="C250" s="171"/>
      <c r="D250" s="171"/>
      <c r="E250" s="171"/>
      <c r="F250" s="171"/>
      <c r="G250" s="171"/>
      <c r="H250" s="171"/>
      <c r="I250" s="171"/>
      <c r="J250" s="96"/>
      <c r="K250" s="96"/>
      <c r="L250" s="96"/>
      <c r="M250" s="96"/>
      <c r="N250" s="102"/>
      <c r="O250" s="95"/>
      <c r="P250" s="96"/>
      <c r="Q250" s="96"/>
      <c r="R250" s="96"/>
      <c r="S250" s="96"/>
      <c r="T250" s="96"/>
      <c r="U250" s="96"/>
      <c r="V250" s="96"/>
      <c r="W250" s="96"/>
      <c r="X250" s="96"/>
      <c r="Y250" s="96"/>
      <c r="Z250" s="96"/>
      <c r="AA250" s="96"/>
      <c r="AB250" s="96"/>
      <c r="AC250" s="96"/>
      <c r="AD250" s="96"/>
      <c r="AE250" s="96"/>
      <c r="AF250" s="96"/>
      <c r="AG250" s="96"/>
      <c r="AH250" s="96"/>
      <c r="AI250" s="96"/>
      <c r="AJ250" s="96"/>
      <c r="AK250" s="96"/>
      <c r="AL250" s="96"/>
      <c r="AM250" s="96"/>
      <c r="AN250" s="96"/>
      <c r="AO250" s="96"/>
      <c r="AP250" s="96"/>
      <c r="AQ250" s="96"/>
      <c r="AR250" s="96"/>
      <c r="AS250" s="96"/>
    </row>
    <row r="251" spans="1:45" s="94" customFormat="1" ht="16.5" customHeight="1" x14ac:dyDescent="0.2">
      <c r="A251" s="95"/>
      <c r="B251" s="190"/>
      <c r="C251" s="988" t="s">
        <v>322</v>
      </c>
      <c r="D251" s="991" t="s">
        <v>323</v>
      </c>
      <c r="E251" s="992" t="s">
        <v>324</v>
      </c>
      <c r="F251" s="1402" t="s">
        <v>2220</v>
      </c>
      <c r="G251" s="195"/>
      <c r="H251" s="195"/>
      <c r="J251" s="96"/>
      <c r="K251" s="96"/>
      <c r="L251" s="96"/>
      <c r="M251" s="96"/>
      <c r="N251" s="95"/>
      <c r="O251" s="96"/>
      <c r="P251" s="96"/>
      <c r="Q251" s="96"/>
      <c r="R251" s="96"/>
      <c r="S251" s="96"/>
      <c r="T251" s="96"/>
      <c r="U251" s="96"/>
      <c r="V251" s="96"/>
      <c r="W251" s="96"/>
      <c r="X251" s="96"/>
      <c r="Y251" s="96"/>
      <c r="Z251" s="96"/>
      <c r="AA251" s="96"/>
      <c r="AB251" s="96"/>
      <c r="AC251" s="96"/>
      <c r="AD251" s="96"/>
      <c r="AE251" s="96"/>
      <c r="AF251" s="96"/>
      <c r="AG251" s="96"/>
      <c r="AH251" s="96"/>
      <c r="AI251" s="96"/>
      <c r="AJ251" s="96"/>
      <c r="AK251" s="96"/>
      <c r="AL251" s="96"/>
      <c r="AM251" s="96"/>
      <c r="AN251" s="96"/>
      <c r="AO251" s="96"/>
      <c r="AP251" s="96"/>
      <c r="AQ251" s="96"/>
      <c r="AR251" s="96"/>
    </row>
    <row r="252" spans="1:45" s="94" customFormat="1" ht="45" customHeight="1" x14ac:dyDescent="0.2">
      <c r="A252" s="95"/>
      <c r="B252" s="190"/>
      <c r="C252" s="1000" t="str">
        <f>'Categorias de Ambito 3'!C155</f>
        <v>Bens arrendados 
(a organização como propriatária/ senhoria)</v>
      </c>
      <c r="D252" s="1000" t="str">
        <f>'Categorias de Ambito 3'!E155</f>
        <v>Franquias/ Franchisings</v>
      </c>
      <c r="E252" s="1000" t="str">
        <f>'Categorias de Ambito 3'!G155</f>
        <v>Investimentos</v>
      </c>
      <c r="F252" s="1403"/>
      <c r="G252" s="195"/>
      <c r="H252" s="195"/>
      <c r="J252" s="96"/>
      <c r="K252" s="96"/>
      <c r="L252" s="96"/>
      <c r="M252" s="96"/>
      <c r="N252" s="95"/>
      <c r="O252" s="96"/>
      <c r="P252" s="96"/>
      <c r="Q252" s="96"/>
      <c r="R252" s="96"/>
      <c r="S252" s="96"/>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96"/>
      <c r="AQ252" s="96"/>
      <c r="AR252" s="96"/>
    </row>
    <row r="253" spans="1:45" s="94" customFormat="1" ht="15.75" customHeight="1" x14ac:dyDescent="0.2">
      <c r="A253" s="95"/>
      <c r="B253" s="146" t="s">
        <v>1374</v>
      </c>
      <c r="C253" s="147">
        <f>ROUND(total_Cat13_CO2,6)</f>
        <v>0</v>
      </c>
      <c r="D253" s="147">
        <f>ROUND(total_Cat14_CO2,6)</f>
        <v>0</v>
      </c>
      <c r="E253" s="147">
        <f>ROUND(total_Cat15_CO2,6)</f>
        <v>0</v>
      </c>
      <c r="F253" s="147">
        <f t="shared" ref="F253:F290" si="6">SUM(C130:F130,C171:F171,C212:F212,C253:E253)</f>
        <v>0.59952084000000005</v>
      </c>
      <c r="G253" s="195"/>
      <c r="H253" s="195"/>
      <c r="J253" s="96"/>
      <c r="K253" s="96"/>
      <c r="L253" s="96"/>
      <c r="M253" s="96"/>
      <c r="N253" s="95"/>
      <c r="O253" s="96"/>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row>
    <row r="254" spans="1:45" ht="15.75" customHeight="1" x14ac:dyDescent="0.2">
      <c r="A254" s="98"/>
      <c r="B254" s="146" t="s">
        <v>1375</v>
      </c>
      <c r="C254" s="147">
        <f>ROUND(total_Cat13_CH4,6)</f>
        <v>0</v>
      </c>
      <c r="D254" s="147">
        <f>ROUND(total_Cat14_CH4,6)</f>
        <v>0</v>
      </c>
      <c r="E254" s="147">
        <f>ROUND(total_Cat15_CH4,6)</f>
        <v>0</v>
      </c>
      <c r="F254" s="147">
        <f t="shared" si="6"/>
        <v>1.14E-8</v>
      </c>
      <c r="G254" s="195"/>
      <c r="H254" s="195"/>
      <c r="J254" s="109"/>
      <c r="K254" s="109"/>
      <c r="L254" s="115"/>
      <c r="M254" s="99"/>
      <c r="N254" s="95"/>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row>
    <row r="255" spans="1:45" ht="15.75" customHeight="1" x14ac:dyDescent="0.2">
      <c r="A255" s="95"/>
      <c r="B255" s="146" t="s">
        <v>1376</v>
      </c>
      <c r="C255" s="147">
        <f>ROUND(total_Cat13_N2O,6)</f>
        <v>0</v>
      </c>
      <c r="D255" s="147">
        <f>ROUND(total_Cat14_N2O,6)</f>
        <v>0</v>
      </c>
      <c r="E255" s="147">
        <f>ROUND(total_Cat15_N2O,6)</f>
        <v>0</v>
      </c>
      <c r="F255" s="147">
        <f t="shared" si="6"/>
        <v>8.3999999999999991E-9</v>
      </c>
      <c r="G255" s="195"/>
      <c r="H255" s="195"/>
      <c r="J255" s="116"/>
      <c r="K255" s="116"/>
      <c r="L255" s="116"/>
      <c r="M255" s="102"/>
      <c r="N255" s="95"/>
      <c r="O255" s="96"/>
      <c r="P255" s="96"/>
      <c r="Q255" s="96"/>
      <c r="R255" s="96"/>
      <c r="S255" s="96"/>
      <c r="T255" s="96"/>
      <c r="U255" s="96"/>
      <c r="V255" s="96"/>
      <c r="W255" s="96"/>
      <c r="X255" s="96"/>
      <c r="Y255" s="96"/>
      <c r="Z255" s="96"/>
      <c r="AA255" s="96"/>
      <c r="AB255" s="96"/>
      <c r="AC255" s="96"/>
      <c r="AD255" s="96"/>
      <c r="AE255" s="96"/>
      <c r="AF255" s="96"/>
      <c r="AG255" s="96"/>
      <c r="AH255" s="96"/>
      <c r="AI255" s="96"/>
      <c r="AJ255" s="96"/>
      <c r="AK255" s="96"/>
      <c r="AL255" s="96"/>
      <c r="AM255" s="96"/>
      <c r="AN255" s="96"/>
      <c r="AO255" s="96"/>
      <c r="AP255" s="96"/>
      <c r="AQ255" s="96"/>
      <c r="AR255" s="96"/>
    </row>
    <row r="256" spans="1:45" s="91" customFormat="1" ht="15.75" customHeight="1" collapsed="1" x14ac:dyDescent="0.2">
      <c r="A256" s="95"/>
      <c r="B256" s="146" t="s">
        <v>282</v>
      </c>
      <c r="C256" s="147">
        <f>ROUND(total_Cat13_HFC,6)</f>
        <v>0</v>
      </c>
      <c r="D256" s="147">
        <f>ROUND(total_Cat14_HFC,6)</f>
        <v>0</v>
      </c>
      <c r="E256" s="147">
        <f>ROUND(total_Cat15_HFC,6)</f>
        <v>0</v>
      </c>
      <c r="F256" s="147">
        <f t="shared" si="6"/>
        <v>0</v>
      </c>
      <c r="G256" s="195"/>
      <c r="H256" s="195"/>
      <c r="J256" s="116"/>
      <c r="K256" s="116"/>
      <c r="L256" s="116"/>
      <c r="M256" s="102"/>
      <c r="N256" s="95"/>
      <c r="O256" s="96"/>
      <c r="P256" s="96"/>
      <c r="Q256" s="96"/>
      <c r="R256" s="96"/>
      <c r="S256" s="96"/>
      <c r="T256" s="96"/>
      <c r="U256" s="96"/>
      <c r="V256" s="96"/>
      <c r="W256" s="96"/>
      <c r="X256" s="96"/>
      <c r="Y256" s="96"/>
      <c r="Z256" s="96"/>
      <c r="AA256" s="96"/>
      <c r="AB256" s="96"/>
      <c r="AC256" s="96"/>
      <c r="AD256" s="96"/>
      <c r="AE256" s="96"/>
      <c r="AF256" s="96"/>
      <c r="AG256" s="96"/>
      <c r="AH256" s="96"/>
      <c r="AI256" s="96"/>
      <c r="AJ256" s="96"/>
      <c r="AK256" s="96"/>
      <c r="AL256" s="96"/>
      <c r="AM256" s="96"/>
      <c r="AN256" s="96"/>
      <c r="AO256" s="96"/>
      <c r="AP256" s="96"/>
      <c r="AQ256" s="96"/>
      <c r="AR256" s="96"/>
    </row>
    <row r="257" spans="1:44" s="94" customFormat="1" ht="15.75" hidden="1" customHeight="1" outlineLevel="1" x14ac:dyDescent="0.2">
      <c r="A257" s="95"/>
      <c r="B257" s="148" t="s">
        <v>85</v>
      </c>
      <c r="C257" s="147">
        <f>ROUND('Categorias de Ambito 3'!C161,6)</f>
        <v>0</v>
      </c>
      <c r="D257" s="147">
        <f>ROUND('Categorias de Ambito 3'!E161,6)</f>
        <v>0</v>
      </c>
      <c r="E257" s="147">
        <f>ROUND('Categorias de Ambito 3'!G161,6)</f>
        <v>0</v>
      </c>
      <c r="F257" s="147">
        <f t="shared" si="6"/>
        <v>0</v>
      </c>
      <c r="G257" s="195"/>
      <c r="H257" s="195"/>
      <c r="J257" s="116"/>
      <c r="K257" s="116"/>
      <c r="L257" s="116"/>
      <c r="M257" s="102"/>
      <c r="N257" s="95"/>
      <c r="O257" s="96"/>
      <c r="P257" s="96"/>
      <c r="Q257" s="96"/>
      <c r="R257" s="96"/>
      <c r="S257" s="96"/>
      <c r="T257" s="96"/>
      <c r="U257" s="96"/>
      <c r="V257" s="96"/>
      <c r="W257" s="96"/>
      <c r="X257" s="96"/>
      <c r="Y257" s="96"/>
      <c r="Z257" s="96"/>
      <c r="AA257" s="96"/>
      <c r="AB257" s="96"/>
      <c r="AC257" s="96"/>
      <c r="AD257" s="96"/>
      <c r="AE257" s="96"/>
      <c r="AF257" s="96"/>
      <c r="AG257" s="96"/>
      <c r="AH257" s="96"/>
      <c r="AI257" s="96"/>
      <c r="AJ257" s="96"/>
      <c r="AK257" s="96"/>
      <c r="AL257" s="96"/>
      <c r="AM257" s="96"/>
      <c r="AN257" s="96"/>
      <c r="AO257" s="96"/>
      <c r="AP257" s="96"/>
      <c r="AQ257" s="96"/>
      <c r="AR257" s="96"/>
    </row>
    <row r="258" spans="1:44" s="94" customFormat="1" ht="15.75" hidden="1" customHeight="1" outlineLevel="1" x14ac:dyDescent="0.2">
      <c r="A258" s="95"/>
      <c r="B258" s="148" t="s">
        <v>86</v>
      </c>
      <c r="C258" s="147">
        <f>ROUND('Categorias de Ambito 3'!C162,6)</f>
        <v>0</v>
      </c>
      <c r="D258" s="147">
        <f>ROUND('Categorias de Ambito 3'!E162,6)</f>
        <v>0</v>
      </c>
      <c r="E258" s="147">
        <f>ROUND('Categorias de Ambito 3'!G162,6)</f>
        <v>0</v>
      </c>
      <c r="F258" s="147">
        <f t="shared" si="6"/>
        <v>0</v>
      </c>
      <c r="G258" s="195"/>
      <c r="H258" s="195"/>
      <c r="J258" s="116"/>
      <c r="K258" s="116"/>
      <c r="L258" s="116"/>
      <c r="M258" s="102"/>
      <c r="N258" s="95"/>
      <c r="O258" s="96"/>
      <c r="P258" s="96"/>
      <c r="Q258" s="96"/>
      <c r="R258" s="96"/>
      <c r="S258" s="96"/>
      <c r="T258" s="96"/>
      <c r="U258" s="96"/>
      <c r="V258" s="96"/>
      <c r="W258" s="96"/>
      <c r="X258" s="96"/>
      <c r="Y258" s="96"/>
      <c r="Z258" s="96"/>
      <c r="AA258" s="96"/>
      <c r="AB258" s="96"/>
      <c r="AC258" s="96"/>
      <c r="AD258" s="96"/>
      <c r="AE258" s="96"/>
      <c r="AF258" s="96"/>
      <c r="AG258" s="96"/>
      <c r="AH258" s="96"/>
      <c r="AI258" s="96"/>
      <c r="AJ258" s="96"/>
      <c r="AK258" s="96"/>
      <c r="AL258" s="96"/>
      <c r="AM258" s="96"/>
      <c r="AN258" s="96"/>
      <c r="AO258" s="96"/>
      <c r="AP258" s="96"/>
      <c r="AQ258" s="96"/>
      <c r="AR258" s="96"/>
    </row>
    <row r="259" spans="1:44" s="94" customFormat="1" ht="15.75" hidden="1" customHeight="1" outlineLevel="1" x14ac:dyDescent="0.2">
      <c r="A259" s="95"/>
      <c r="B259" s="148" t="s">
        <v>285</v>
      </c>
      <c r="C259" s="147">
        <f>ROUND('Categorias de Ambito 3'!C163,6)</f>
        <v>0</v>
      </c>
      <c r="D259" s="147">
        <f>ROUND('Categorias de Ambito 3'!E163,6)</f>
        <v>0</v>
      </c>
      <c r="E259" s="147">
        <f>ROUND('Categorias de Ambito 3'!G163,6)</f>
        <v>0</v>
      </c>
      <c r="F259" s="147">
        <f t="shared" si="6"/>
        <v>0</v>
      </c>
      <c r="G259" s="195"/>
      <c r="H259" s="195"/>
      <c r="J259" s="116"/>
      <c r="K259" s="116"/>
      <c r="L259" s="116"/>
      <c r="M259" s="102"/>
      <c r="N259" s="95"/>
      <c r="O259" s="96"/>
      <c r="P259" s="96"/>
      <c r="Q259" s="96"/>
      <c r="R259" s="96"/>
      <c r="S259" s="96"/>
      <c r="T259" s="96"/>
      <c r="U259" s="96"/>
      <c r="V259" s="96"/>
      <c r="W259" s="96"/>
      <c r="X259" s="96"/>
      <c r="Y259" s="96"/>
      <c r="Z259" s="96"/>
      <c r="AA259" s="96"/>
      <c r="AB259" s="96"/>
      <c r="AC259" s="96"/>
      <c r="AD259" s="96"/>
      <c r="AE259" s="96"/>
      <c r="AF259" s="96"/>
      <c r="AG259" s="96"/>
      <c r="AH259" s="96"/>
      <c r="AI259" s="96"/>
      <c r="AJ259" s="96"/>
      <c r="AK259" s="96"/>
      <c r="AL259" s="96"/>
      <c r="AM259" s="96"/>
      <c r="AN259" s="96"/>
      <c r="AO259" s="96"/>
      <c r="AP259" s="96"/>
      <c r="AQ259" s="96"/>
      <c r="AR259" s="96"/>
    </row>
    <row r="260" spans="1:44" s="94" customFormat="1" ht="15.75" hidden="1" customHeight="1" outlineLevel="1" x14ac:dyDescent="0.2">
      <c r="A260" s="95"/>
      <c r="B260" s="148" t="s">
        <v>87</v>
      </c>
      <c r="C260" s="147">
        <f>ROUND('Categorias de Ambito 3'!C164,6)</f>
        <v>0</v>
      </c>
      <c r="D260" s="147">
        <f>ROUND('Categorias de Ambito 3'!E164,6)</f>
        <v>0</v>
      </c>
      <c r="E260" s="147">
        <f>ROUND('Categorias de Ambito 3'!G164,6)</f>
        <v>0</v>
      </c>
      <c r="F260" s="147">
        <f t="shared" si="6"/>
        <v>0</v>
      </c>
      <c r="G260" s="195"/>
      <c r="H260" s="195"/>
      <c r="J260" s="116"/>
      <c r="K260" s="116"/>
      <c r="L260" s="116"/>
      <c r="M260" s="102"/>
      <c r="N260" s="95"/>
      <c r="O260" s="96"/>
      <c r="P260" s="96"/>
      <c r="Q260" s="96"/>
      <c r="R260" s="96"/>
      <c r="S260" s="96"/>
      <c r="T260" s="96"/>
      <c r="U260" s="96"/>
      <c r="V260" s="96"/>
      <c r="W260" s="96"/>
      <c r="X260" s="96"/>
      <c r="Y260" s="96"/>
      <c r="Z260" s="96"/>
      <c r="AA260" s="96"/>
      <c r="AB260" s="96"/>
      <c r="AC260" s="96"/>
      <c r="AD260" s="96"/>
      <c r="AE260" s="96"/>
      <c r="AF260" s="96"/>
      <c r="AG260" s="96"/>
      <c r="AH260" s="96"/>
      <c r="AI260" s="96"/>
      <c r="AJ260" s="96"/>
      <c r="AK260" s="96"/>
      <c r="AL260" s="96"/>
      <c r="AM260" s="96"/>
      <c r="AN260" s="96"/>
      <c r="AO260" s="96"/>
      <c r="AP260" s="96"/>
      <c r="AQ260" s="96"/>
      <c r="AR260" s="96"/>
    </row>
    <row r="261" spans="1:44" s="94" customFormat="1" ht="15.75" hidden="1" customHeight="1" outlineLevel="1" x14ac:dyDescent="0.2">
      <c r="A261" s="95"/>
      <c r="B261" s="148" t="s">
        <v>287</v>
      </c>
      <c r="C261" s="147">
        <f>ROUND('Categorias de Ambito 3'!C165,6)</f>
        <v>0</v>
      </c>
      <c r="D261" s="147">
        <f>ROUND('Categorias de Ambito 3'!E165,6)</f>
        <v>0</v>
      </c>
      <c r="E261" s="147">
        <f>ROUND('Categorias de Ambito 3'!G165,6)</f>
        <v>0</v>
      </c>
      <c r="F261" s="147">
        <f t="shared" si="6"/>
        <v>0</v>
      </c>
      <c r="G261" s="195"/>
      <c r="H261" s="195"/>
      <c r="J261" s="116"/>
      <c r="K261" s="116"/>
      <c r="L261" s="116"/>
      <c r="M261" s="102"/>
      <c r="N261" s="95"/>
      <c r="O261" s="96"/>
      <c r="P261" s="96"/>
      <c r="Q261" s="96"/>
      <c r="R261" s="96"/>
      <c r="S261" s="96"/>
      <c r="T261" s="96"/>
      <c r="U261" s="96"/>
      <c r="V261" s="96"/>
      <c r="W261" s="96"/>
      <c r="X261" s="96"/>
      <c r="Y261" s="96"/>
      <c r="Z261" s="96"/>
      <c r="AA261" s="96"/>
      <c r="AB261" s="96"/>
      <c r="AC261" s="96"/>
      <c r="AD261" s="96"/>
      <c r="AE261" s="96"/>
      <c r="AF261" s="96"/>
      <c r="AG261" s="96"/>
      <c r="AH261" s="96"/>
      <c r="AI261" s="96"/>
      <c r="AJ261" s="96"/>
      <c r="AK261" s="96"/>
      <c r="AL261" s="96"/>
      <c r="AM261" s="96"/>
      <c r="AN261" s="96"/>
      <c r="AO261" s="96"/>
      <c r="AP261" s="96"/>
      <c r="AQ261" s="96"/>
      <c r="AR261" s="96"/>
    </row>
    <row r="262" spans="1:44" s="94" customFormat="1" ht="15.75" hidden="1" customHeight="1" outlineLevel="1" x14ac:dyDescent="0.2">
      <c r="A262" s="95"/>
      <c r="B262" s="148" t="s">
        <v>88</v>
      </c>
      <c r="C262" s="147">
        <f>ROUND('Categorias de Ambito 3'!C166,6)</f>
        <v>0</v>
      </c>
      <c r="D262" s="147">
        <f>ROUND('Categorias de Ambito 3'!E166,6)</f>
        <v>0</v>
      </c>
      <c r="E262" s="147">
        <f>ROUND('Categorias de Ambito 3'!G166,6)</f>
        <v>0</v>
      </c>
      <c r="F262" s="147">
        <f t="shared" si="6"/>
        <v>0</v>
      </c>
      <c r="G262" s="195"/>
      <c r="H262" s="195"/>
      <c r="J262" s="116"/>
      <c r="K262" s="116"/>
      <c r="L262" s="116"/>
      <c r="M262" s="102"/>
      <c r="N262" s="95"/>
      <c r="O262" s="96"/>
      <c r="P262" s="96"/>
      <c r="Q262" s="96"/>
      <c r="R262" s="96"/>
      <c r="S262" s="96"/>
      <c r="T262" s="96"/>
      <c r="U262" s="96"/>
      <c r="V262" s="96"/>
      <c r="W262" s="96"/>
      <c r="X262" s="96"/>
      <c r="Y262" s="96"/>
      <c r="Z262" s="96"/>
      <c r="AA262" s="96"/>
      <c r="AB262" s="96"/>
      <c r="AC262" s="96"/>
      <c r="AD262" s="96"/>
      <c r="AE262" s="96"/>
      <c r="AF262" s="96"/>
      <c r="AG262" s="96"/>
      <c r="AH262" s="96"/>
      <c r="AI262" s="96"/>
      <c r="AJ262" s="96"/>
      <c r="AK262" s="96"/>
      <c r="AL262" s="96"/>
      <c r="AM262" s="96"/>
      <c r="AN262" s="96"/>
      <c r="AO262" s="96"/>
      <c r="AP262" s="96"/>
      <c r="AQ262" s="96"/>
      <c r="AR262" s="96"/>
    </row>
    <row r="263" spans="1:44" s="94" customFormat="1" ht="15.75" hidden="1" customHeight="1" outlineLevel="1" x14ac:dyDescent="0.2">
      <c r="A263" s="95"/>
      <c r="B263" s="148" t="s">
        <v>288</v>
      </c>
      <c r="C263" s="147">
        <f>ROUND('Categorias de Ambito 3'!C167,6)</f>
        <v>0</v>
      </c>
      <c r="D263" s="147">
        <f>ROUND('Categorias de Ambito 3'!E167,6)</f>
        <v>0</v>
      </c>
      <c r="E263" s="147">
        <f>ROUND('Categorias de Ambito 3'!G167,6)</f>
        <v>0</v>
      </c>
      <c r="F263" s="147">
        <f t="shared" si="6"/>
        <v>0</v>
      </c>
      <c r="G263" s="195"/>
      <c r="H263" s="195"/>
      <c r="J263" s="116"/>
      <c r="K263" s="116"/>
      <c r="L263" s="116"/>
      <c r="M263" s="102"/>
      <c r="N263" s="95"/>
      <c r="O263" s="96"/>
      <c r="P263" s="96"/>
      <c r="Q263" s="96"/>
      <c r="R263" s="96"/>
      <c r="S263" s="96"/>
      <c r="T263" s="96"/>
      <c r="U263" s="96"/>
      <c r="V263" s="96"/>
      <c r="W263" s="96"/>
      <c r="X263" s="96"/>
      <c r="Y263" s="96"/>
      <c r="Z263" s="96"/>
      <c r="AA263" s="96"/>
      <c r="AB263" s="96"/>
      <c r="AC263" s="96"/>
      <c r="AD263" s="96"/>
      <c r="AE263" s="96"/>
      <c r="AF263" s="96"/>
      <c r="AG263" s="96"/>
      <c r="AH263" s="96"/>
      <c r="AI263" s="96"/>
      <c r="AJ263" s="96"/>
      <c r="AK263" s="96"/>
      <c r="AL263" s="96"/>
      <c r="AM263" s="96"/>
      <c r="AN263" s="96"/>
      <c r="AO263" s="96"/>
      <c r="AP263" s="96"/>
      <c r="AQ263" s="96"/>
      <c r="AR263" s="96"/>
    </row>
    <row r="264" spans="1:44" s="94" customFormat="1" ht="15.75" hidden="1" customHeight="1" outlineLevel="1" x14ac:dyDescent="0.2">
      <c r="A264" s="95"/>
      <c r="B264" s="148" t="s">
        <v>107</v>
      </c>
      <c r="C264" s="147">
        <f>ROUND('Categorias de Ambito 3'!C168,6)</f>
        <v>0</v>
      </c>
      <c r="D264" s="147">
        <f>ROUND('Categorias de Ambito 3'!E168,6)</f>
        <v>0</v>
      </c>
      <c r="E264" s="147">
        <f>ROUND('Categorias de Ambito 3'!G168,6)</f>
        <v>0</v>
      </c>
      <c r="F264" s="147">
        <f t="shared" si="6"/>
        <v>0</v>
      </c>
      <c r="G264" s="195"/>
      <c r="H264" s="195"/>
      <c r="J264" s="116"/>
      <c r="K264" s="116"/>
      <c r="L264" s="116"/>
      <c r="M264" s="102"/>
      <c r="N264" s="95"/>
      <c r="O264" s="96"/>
      <c r="P264" s="96"/>
      <c r="Q264" s="96"/>
      <c r="R264" s="96"/>
      <c r="S264" s="96"/>
      <c r="T264" s="96"/>
      <c r="U264" s="96"/>
      <c r="V264" s="96"/>
      <c r="W264" s="96"/>
      <c r="X264" s="96"/>
      <c r="Y264" s="96"/>
      <c r="Z264" s="96"/>
      <c r="AA264" s="96"/>
      <c r="AB264" s="96"/>
      <c r="AC264" s="96"/>
      <c r="AD264" s="96"/>
      <c r="AE264" s="96"/>
      <c r="AF264" s="96"/>
      <c r="AG264" s="96"/>
      <c r="AH264" s="96"/>
      <c r="AI264" s="96"/>
      <c r="AJ264" s="96"/>
      <c r="AK264" s="96"/>
      <c r="AL264" s="96"/>
      <c r="AM264" s="96"/>
      <c r="AN264" s="96"/>
      <c r="AO264" s="96"/>
      <c r="AP264" s="96"/>
      <c r="AQ264" s="96"/>
      <c r="AR264" s="96"/>
    </row>
    <row r="265" spans="1:44" s="94" customFormat="1" ht="15.75" hidden="1" customHeight="1" outlineLevel="1" x14ac:dyDescent="0.2">
      <c r="A265" s="95"/>
      <c r="B265" s="148" t="s">
        <v>289</v>
      </c>
      <c r="C265" s="147">
        <f>ROUND('Categorias de Ambito 3'!C169,6)</f>
        <v>0</v>
      </c>
      <c r="D265" s="147">
        <f>ROUND('Categorias de Ambito 3'!E169,6)</f>
        <v>0</v>
      </c>
      <c r="E265" s="147">
        <f>ROUND('Categorias de Ambito 3'!G169,6)</f>
        <v>0</v>
      </c>
      <c r="F265" s="147">
        <f t="shared" si="6"/>
        <v>0</v>
      </c>
      <c r="G265" s="195"/>
      <c r="H265" s="195"/>
      <c r="J265" s="116"/>
      <c r="K265" s="116"/>
      <c r="L265" s="116"/>
      <c r="M265" s="102"/>
      <c r="N265" s="95"/>
      <c r="O265" s="96"/>
      <c r="P265" s="96"/>
      <c r="Q265" s="96"/>
      <c r="R265" s="96"/>
      <c r="S265" s="96"/>
      <c r="T265" s="96"/>
      <c r="U265" s="96"/>
      <c r="V265" s="96"/>
      <c r="W265" s="96"/>
      <c r="X265" s="96"/>
      <c r="Y265" s="96"/>
      <c r="Z265" s="96"/>
      <c r="AA265" s="96"/>
      <c r="AB265" s="96"/>
      <c r="AC265" s="96"/>
      <c r="AD265" s="96"/>
      <c r="AE265" s="96"/>
      <c r="AF265" s="96"/>
      <c r="AG265" s="96"/>
      <c r="AH265" s="96"/>
      <c r="AI265" s="96"/>
      <c r="AJ265" s="96"/>
      <c r="AK265" s="96"/>
      <c r="AL265" s="96"/>
      <c r="AM265" s="96"/>
      <c r="AN265" s="96"/>
      <c r="AO265" s="96"/>
      <c r="AP265" s="96"/>
      <c r="AQ265" s="96"/>
      <c r="AR265" s="96"/>
    </row>
    <row r="266" spans="1:44" s="94" customFormat="1" ht="15.75" hidden="1" customHeight="1" outlineLevel="1" x14ac:dyDescent="0.2">
      <c r="A266" s="95"/>
      <c r="B266" s="148" t="s">
        <v>108</v>
      </c>
      <c r="C266" s="147">
        <f>ROUND('Categorias de Ambito 3'!C170,6)</f>
        <v>0</v>
      </c>
      <c r="D266" s="147">
        <f>ROUND('Categorias de Ambito 3'!E170,6)</f>
        <v>0</v>
      </c>
      <c r="E266" s="147">
        <f>ROUND('Categorias de Ambito 3'!G170,6)</f>
        <v>0</v>
      </c>
      <c r="F266" s="147">
        <f t="shared" si="6"/>
        <v>0</v>
      </c>
      <c r="G266" s="195"/>
      <c r="H266" s="195"/>
      <c r="J266" s="116"/>
      <c r="K266" s="116"/>
      <c r="L266" s="116"/>
      <c r="M266" s="102"/>
      <c r="N266" s="95"/>
      <c r="O266" s="96"/>
      <c r="P266" s="96"/>
      <c r="Q266" s="96"/>
      <c r="R266" s="96"/>
      <c r="S266" s="96"/>
      <c r="T266" s="96"/>
      <c r="U266" s="96"/>
      <c r="V266" s="96"/>
      <c r="W266" s="96"/>
      <c r="X266" s="96"/>
      <c r="Y266" s="96"/>
      <c r="Z266" s="96"/>
      <c r="AA266" s="96"/>
      <c r="AB266" s="96"/>
      <c r="AC266" s="96"/>
      <c r="AD266" s="96"/>
      <c r="AE266" s="96"/>
      <c r="AF266" s="96"/>
      <c r="AG266" s="96"/>
      <c r="AH266" s="96"/>
      <c r="AI266" s="96"/>
      <c r="AJ266" s="96"/>
      <c r="AK266" s="96"/>
      <c r="AL266" s="96"/>
      <c r="AM266" s="96"/>
      <c r="AN266" s="96"/>
      <c r="AO266" s="96"/>
      <c r="AP266" s="96"/>
      <c r="AQ266" s="96"/>
      <c r="AR266" s="96"/>
    </row>
    <row r="267" spans="1:44" s="94" customFormat="1" ht="15.75" hidden="1" customHeight="1" outlineLevel="1" x14ac:dyDescent="0.2">
      <c r="A267" s="95"/>
      <c r="B267" s="148" t="s">
        <v>290</v>
      </c>
      <c r="C267" s="147">
        <f>ROUND('Categorias de Ambito 3'!C171,6)</f>
        <v>0</v>
      </c>
      <c r="D267" s="147">
        <f>ROUND('Categorias de Ambito 3'!E171,6)</f>
        <v>0</v>
      </c>
      <c r="E267" s="147">
        <f>ROUND('Categorias de Ambito 3'!G171,6)</f>
        <v>0</v>
      </c>
      <c r="F267" s="147">
        <f t="shared" si="6"/>
        <v>0</v>
      </c>
      <c r="G267" s="195"/>
      <c r="H267" s="195"/>
      <c r="J267" s="116"/>
      <c r="K267" s="116"/>
      <c r="L267" s="116"/>
      <c r="M267" s="102"/>
      <c r="N267" s="95"/>
      <c r="O267" s="96"/>
      <c r="P267" s="96"/>
      <c r="Q267" s="96"/>
      <c r="R267" s="96"/>
      <c r="S267" s="96"/>
      <c r="T267" s="96"/>
      <c r="U267" s="96"/>
      <c r="V267" s="96"/>
      <c r="W267" s="96"/>
      <c r="X267" s="96"/>
      <c r="Y267" s="96"/>
      <c r="Z267" s="96"/>
      <c r="AA267" s="96"/>
      <c r="AB267" s="96"/>
      <c r="AC267" s="96"/>
      <c r="AD267" s="96"/>
      <c r="AE267" s="96"/>
      <c r="AF267" s="96"/>
      <c r="AG267" s="96"/>
      <c r="AH267" s="96"/>
      <c r="AI267" s="96"/>
      <c r="AJ267" s="96"/>
      <c r="AK267" s="96"/>
      <c r="AL267" s="96"/>
      <c r="AM267" s="96"/>
      <c r="AN267" s="96"/>
      <c r="AO267" s="96"/>
      <c r="AP267" s="96"/>
      <c r="AQ267" s="96"/>
      <c r="AR267" s="96"/>
    </row>
    <row r="268" spans="1:44" s="94" customFormat="1" ht="15.75" hidden="1" customHeight="1" outlineLevel="1" x14ac:dyDescent="0.2">
      <c r="A268" s="95"/>
      <c r="B268" s="148" t="s">
        <v>291</v>
      </c>
      <c r="C268" s="147">
        <f>ROUND('Categorias de Ambito 3'!C172,6)</f>
        <v>0</v>
      </c>
      <c r="D268" s="147">
        <f>ROUND('Categorias de Ambito 3'!E172,6)</f>
        <v>0</v>
      </c>
      <c r="E268" s="147">
        <f>ROUND('Categorias de Ambito 3'!G172,6)</f>
        <v>0</v>
      </c>
      <c r="F268" s="147">
        <f t="shared" si="6"/>
        <v>0</v>
      </c>
      <c r="G268" s="195"/>
      <c r="H268" s="195"/>
      <c r="J268" s="116"/>
      <c r="K268" s="116"/>
      <c r="L268" s="116"/>
      <c r="M268" s="102"/>
      <c r="N268" s="95"/>
      <c r="O268" s="96"/>
      <c r="P268" s="96"/>
      <c r="Q268" s="96"/>
      <c r="R268" s="96"/>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row>
    <row r="269" spans="1:44" s="94" customFormat="1" ht="15.75" hidden="1" customHeight="1" outlineLevel="1" x14ac:dyDescent="0.2">
      <c r="A269" s="95"/>
      <c r="B269" s="148" t="s">
        <v>292</v>
      </c>
      <c r="C269" s="147">
        <f>ROUND('Categorias de Ambito 3'!C173,6)</f>
        <v>0</v>
      </c>
      <c r="D269" s="147">
        <f>ROUND('Categorias de Ambito 3'!E173,6)</f>
        <v>0</v>
      </c>
      <c r="E269" s="147">
        <f>ROUND('Categorias de Ambito 3'!G173,6)</f>
        <v>0</v>
      </c>
      <c r="F269" s="147">
        <f t="shared" si="6"/>
        <v>0</v>
      </c>
      <c r="G269" s="195"/>
      <c r="H269" s="195"/>
      <c r="J269" s="116"/>
      <c r="K269" s="116"/>
      <c r="L269" s="116"/>
      <c r="M269" s="102"/>
      <c r="N269" s="95"/>
      <c r="O269" s="96"/>
      <c r="P269" s="96"/>
      <c r="Q269" s="96"/>
      <c r="R269" s="96"/>
      <c r="S269" s="96"/>
      <c r="T269" s="96"/>
      <c r="U269" s="96"/>
      <c r="V269" s="96"/>
      <c r="W269" s="96"/>
      <c r="X269" s="96"/>
      <c r="Y269" s="96"/>
      <c r="Z269" s="96"/>
      <c r="AA269" s="96"/>
      <c r="AB269" s="96"/>
      <c r="AC269" s="96"/>
      <c r="AD269" s="96"/>
      <c r="AE269" s="96"/>
      <c r="AF269" s="96"/>
      <c r="AG269" s="96"/>
      <c r="AH269" s="96"/>
      <c r="AI269" s="96"/>
      <c r="AJ269" s="96"/>
      <c r="AK269" s="96"/>
      <c r="AL269" s="96"/>
      <c r="AM269" s="96"/>
      <c r="AN269" s="96"/>
      <c r="AO269" s="96"/>
      <c r="AP269" s="96"/>
      <c r="AQ269" s="96"/>
      <c r="AR269" s="96"/>
    </row>
    <row r="270" spans="1:44" s="94" customFormat="1" ht="15.75" hidden="1" customHeight="1" outlineLevel="1" x14ac:dyDescent="0.2">
      <c r="A270" s="95"/>
      <c r="B270" s="148" t="s">
        <v>293</v>
      </c>
      <c r="C270" s="147">
        <f>ROUND('Categorias de Ambito 3'!C174,6)</f>
        <v>0</v>
      </c>
      <c r="D270" s="147">
        <f>ROUND('Categorias de Ambito 3'!E174,6)</f>
        <v>0</v>
      </c>
      <c r="E270" s="147">
        <f>ROUND('Categorias de Ambito 3'!G174,6)</f>
        <v>0</v>
      </c>
      <c r="F270" s="147">
        <f t="shared" si="6"/>
        <v>0</v>
      </c>
      <c r="G270" s="195"/>
      <c r="H270" s="195"/>
      <c r="J270" s="116"/>
      <c r="K270" s="116"/>
      <c r="L270" s="116"/>
      <c r="M270" s="102"/>
      <c r="N270" s="95"/>
      <c r="O270" s="96"/>
      <c r="P270" s="96"/>
      <c r="Q270" s="96"/>
      <c r="R270" s="96"/>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96"/>
      <c r="AQ270" s="96"/>
      <c r="AR270" s="96"/>
    </row>
    <row r="271" spans="1:44" s="94" customFormat="1" ht="15.75" hidden="1" customHeight="1" outlineLevel="1" x14ac:dyDescent="0.2">
      <c r="A271" s="95"/>
      <c r="B271" s="148" t="s">
        <v>109</v>
      </c>
      <c r="C271" s="147">
        <f>ROUND('Categorias de Ambito 3'!C175,6)</f>
        <v>0</v>
      </c>
      <c r="D271" s="147">
        <f>ROUND('Categorias de Ambito 3'!E175,6)</f>
        <v>0</v>
      </c>
      <c r="E271" s="147">
        <f>ROUND('Categorias de Ambito 3'!G175,6)</f>
        <v>0</v>
      </c>
      <c r="F271" s="147">
        <f t="shared" si="6"/>
        <v>0</v>
      </c>
      <c r="G271" s="195"/>
      <c r="H271" s="195"/>
      <c r="J271" s="116"/>
      <c r="K271" s="116"/>
      <c r="L271" s="116"/>
      <c r="M271" s="102"/>
      <c r="N271" s="95"/>
      <c r="O271" s="96"/>
      <c r="P271" s="96"/>
      <c r="Q271" s="96"/>
      <c r="R271" s="96"/>
      <c r="S271" s="96"/>
      <c r="T271" s="96"/>
      <c r="U271" s="96"/>
      <c r="V271" s="96"/>
      <c r="W271" s="96"/>
      <c r="X271" s="96"/>
      <c r="Y271" s="96"/>
      <c r="Z271" s="96"/>
      <c r="AA271" s="96"/>
      <c r="AB271" s="96"/>
      <c r="AC271" s="96"/>
      <c r="AD271" s="96"/>
      <c r="AE271" s="96"/>
      <c r="AF271" s="96"/>
      <c r="AG271" s="96"/>
      <c r="AH271" s="96"/>
      <c r="AI271" s="96"/>
      <c r="AJ271" s="96"/>
      <c r="AK271" s="96"/>
      <c r="AL271" s="96"/>
      <c r="AM271" s="96"/>
      <c r="AN271" s="96"/>
      <c r="AO271" s="96"/>
      <c r="AP271" s="96"/>
      <c r="AQ271" s="96"/>
      <c r="AR271" s="96"/>
    </row>
    <row r="272" spans="1:44" s="94" customFormat="1" ht="15.75" hidden="1" customHeight="1" outlineLevel="1" x14ac:dyDescent="0.2">
      <c r="A272" s="95"/>
      <c r="B272" s="148" t="s">
        <v>294</v>
      </c>
      <c r="C272" s="147">
        <f>ROUND('Categorias de Ambito 3'!C176,6)</f>
        <v>0</v>
      </c>
      <c r="D272" s="147">
        <f>ROUND('Categorias de Ambito 3'!E176,6)</f>
        <v>0</v>
      </c>
      <c r="E272" s="147">
        <f>ROUND('Categorias de Ambito 3'!G176,6)</f>
        <v>0</v>
      </c>
      <c r="F272" s="147">
        <f t="shared" si="6"/>
        <v>0</v>
      </c>
      <c r="G272" s="195"/>
      <c r="H272" s="195"/>
      <c r="J272" s="116"/>
      <c r="K272" s="116"/>
      <c r="L272" s="116"/>
      <c r="M272" s="102"/>
      <c r="N272" s="95"/>
      <c r="O272" s="96"/>
      <c r="P272" s="96"/>
      <c r="Q272" s="96"/>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96"/>
      <c r="AQ272" s="96"/>
      <c r="AR272" s="96"/>
    </row>
    <row r="273" spans="1:44" s="94" customFormat="1" ht="15.75" hidden="1" customHeight="1" outlineLevel="1" x14ac:dyDescent="0.2">
      <c r="A273" s="95"/>
      <c r="B273" s="148" t="s">
        <v>295</v>
      </c>
      <c r="C273" s="147">
        <f>ROUND('Categorias de Ambito 3'!C177,6)</f>
        <v>0</v>
      </c>
      <c r="D273" s="147">
        <f>ROUND('Categorias de Ambito 3'!E177,6)</f>
        <v>0</v>
      </c>
      <c r="E273" s="147">
        <f>ROUND('Categorias de Ambito 3'!G177,6)</f>
        <v>0</v>
      </c>
      <c r="F273" s="147">
        <f t="shared" si="6"/>
        <v>0</v>
      </c>
      <c r="G273" s="195"/>
      <c r="H273" s="195"/>
      <c r="J273" s="116"/>
      <c r="K273" s="116"/>
      <c r="L273" s="116"/>
      <c r="M273" s="102"/>
      <c r="N273" s="95"/>
      <c r="O273" s="96"/>
      <c r="P273" s="96"/>
      <c r="Q273" s="96"/>
      <c r="R273" s="96"/>
      <c r="S273" s="96"/>
      <c r="T273" s="96"/>
      <c r="U273" s="96"/>
      <c r="V273" s="96"/>
      <c r="W273" s="96"/>
      <c r="X273" s="96"/>
      <c r="Y273" s="96"/>
      <c r="Z273" s="96"/>
      <c r="AA273" s="96"/>
      <c r="AB273" s="96"/>
      <c r="AC273" s="96"/>
      <c r="AD273" s="96"/>
      <c r="AE273" s="96"/>
      <c r="AF273" s="96"/>
      <c r="AG273" s="96"/>
      <c r="AH273" s="96"/>
      <c r="AI273" s="96"/>
      <c r="AJ273" s="96"/>
      <c r="AK273" s="96"/>
      <c r="AL273" s="96"/>
      <c r="AM273" s="96"/>
      <c r="AN273" s="96"/>
      <c r="AO273" s="96"/>
      <c r="AP273" s="96"/>
      <c r="AQ273" s="96"/>
      <c r="AR273" s="96"/>
    </row>
    <row r="274" spans="1:44" s="94" customFormat="1" ht="15.75" hidden="1" customHeight="1" outlineLevel="1" x14ac:dyDescent="0.2">
      <c r="A274" s="95"/>
      <c r="B274" s="148" t="s">
        <v>296</v>
      </c>
      <c r="C274" s="147">
        <f>ROUND('Categorias de Ambito 3'!C178,6)</f>
        <v>0</v>
      </c>
      <c r="D274" s="147">
        <f>ROUND('Categorias de Ambito 3'!E178,6)</f>
        <v>0</v>
      </c>
      <c r="E274" s="147">
        <f>ROUND('Categorias de Ambito 3'!G178,6)</f>
        <v>0</v>
      </c>
      <c r="F274" s="147">
        <f t="shared" si="6"/>
        <v>0</v>
      </c>
      <c r="G274" s="195"/>
      <c r="H274" s="195"/>
      <c r="J274" s="116"/>
      <c r="K274" s="116"/>
      <c r="L274" s="116"/>
      <c r="M274" s="102"/>
      <c r="N274" s="95"/>
      <c r="O274" s="96"/>
      <c r="P274" s="96"/>
      <c r="Q274" s="96"/>
      <c r="R274" s="96"/>
      <c r="S274" s="96"/>
      <c r="T274" s="96"/>
      <c r="U274" s="96"/>
      <c r="V274" s="96"/>
      <c r="W274" s="96"/>
      <c r="X274" s="96"/>
      <c r="Y274" s="96"/>
      <c r="Z274" s="96"/>
      <c r="AA274" s="96"/>
      <c r="AB274" s="96"/>
      <c r="AC274" s="96"/>
      <c r="AD274" s="96"/>
      <c r="AE274" s="96"/>
      <c r="AF274" s="96"/>
      <c r="AG274" s="96"/>
      <c r="AH274" s="96"/>
      <c r="AI274" s="96"/>
      <c r="AJ274" s="96"/>
      <c r="AK274" s="96"/>
      <c r="AL274" s="96"/>
      <c r="AM274" s="96"/>
      <c r="AN274" s="96"/>
      <c r="AO274" s="96"/>
      <c r="AP274" s="96"/>
      <c r="AQ274" s="96"/>
      <c r="AR274" s="96"/>
    </row>
    <row r="275" spans="1:44" s="94" customFormat="1" ht="15.75" hidden="1" customHeight="1" outlineLevel="1" x14ac:dyDescent="0.2">
      <c r="A275" s="95"/>
      <c r="B275" s="148" t="s">
        <v>286</v>
      </c>
      <c r="C275" s="147">
        <f>ROUND('Categorias de Ambito 3'!C179,6)</f>
        <v>0</v>
      </c>
      <c r="D275" s="147">
        <f>ROUND('Categorias de Ambito 3'!E179,6)</f>
        <v>0</v>
      </c>
      <c r="E275" s="147">
        <f>ROUND('Categorias de Ambito 3'!G179,6)</f>
        <v>0</v>
      </c>
      <c r="F275" s="147">
        <f t="shared" si="6"/>
        <v>0</v>
      </c>
      <c r="G275" s="195"/>
      <c r="H275" s="195"/>
      <c r="J275" s="116"/>
      <c r="K275" s="116"/>
      <c r="L275" s="116"/>
      <c r="M275" s="102"/>
      <c r="N275" s="95"/>
      <c r="O275" s="96"/>
      <c r="P275" s="96"/>
      <c r="Q275" s="96"/>
      <c r="R275" s="96"/>
      <c r="S275" s="96"/>
      <c r="T275" s="96"/>
      <c r="U275" s="96"/>
      <c r="V275" s="96"/>
      <c r="W275" s="96"/>
      <c r="X275" s="96"/>
      <c r="Y275" s="96"/>
      <c r="Z275" s="96"/>
      <c r="AA275" s="96"/>
      <c r="AB275" s="96"/>
      <c r="AC275" s="96"/>
      <c r="AD275" s="96"/>
      <c r="AE275" s="96"/>
      <c r="AF275" s="96"/>
      <c r="AG275" s="96"/>
      <c r="AH275" s="96"/>
      <c r="AI275" s="96"/>
      <c r="AJ275" s="96"/>
      <c r="AK275" s="96"/>
      <c r="AL275" s="96"/>
      <c r="AM275" s="96"/>
      <c r="AN275" s="96"/>
      <c r="AO275" s="96"/>
      <c r="AP275" s="96"/>
      <c r="AQ275" s="96"/>
      <c r="AR275" s="96"/>
    </row>
    <row r="276" spans="1:44" ht="15.75" customHeight="1" collapsed="1" x14ac:dyDescent="0.2">
      <c r="A276" s="98"/>
      <c r="B276" s="146" t="s">
        <v>283</v>
      </c>
      <c r="C276" s="147">
        <f>ROUND(total_Cat13_PFC,6)</f>
        <v>0</v>
      </c>
      <c r="D276" s="147">
        <f>ROUND(total_Cat14_PFC,6)</f>
        <v>0</v>
      </c>
      <c r="E276" s="147">
        <f>ROUND(total_Cat15_PFC,6)</f>
        <v>0</v>
      </c>
      <c r="F276" s="147">
        <f t="shared" si="6"/>
        <v>0</v>
      </c>
      <c r="G276" s="195"/>
      <c r="H276" s="195"/>
      <c r="J276" s="96"/>
      <c r="K276" s="96"/>
      <c r="L276" s="98"/>
      <c r="M276" s="98"/>
      <c r="N276" s="95"/>
      <c r="O276" s="96"/>
      <c r="P276" s="96"/>
      <c r="Q276" s="96"/>
      <c r="R276" s="96"/>
      <c r="S276" s="96"/>
      <c r="T276" s="96"/>
      <c r="U276" s="96"/>
      <c r="V276" s="96"/>
      <c r="W276" s="96"/>
      <c r="X276" s="96"/>
      <c r="Y276" s="96"/>
      <c r="Z276" s="96"/>
      <c r="AA276" s="96"/>
      <c r="AB276" s="96"/>
      <c r="AC276" s="96"/>
      <c r="AD276" s="96"/>
      <c r="AE276" s="96"/>
      <c r="AF276" s="96"/>
      <c r="AG276" s="96"/>
      <c r="AH276" s="96"/>
      <c r="AI276" s="96"/>
      <c r="AJ276" s="96"/>
      <c r="AK276" s="96"/>
      <c r="AL276" s="96"/>
      <c r="AM276" s="96"/>
      <c r="AN276" s="96"/>
      <c r="AO276" s="96"/>
      <c r="AP276" s="96"/>
      <c r="AQ276" s="96"/>
      <c r="AR276" s="96"/>
    </row>
    <row r="277" spans="1:44" s="94" customFormat="1" ht="15.75" hidden="1" customHeight="1" outlineLevel="1" x14ac:dyDescent="0.2">
      <c r="A277" s="98"/>
      <c r="B277" s="148" t="s">
        <v>458</v>
      </c>
      <c r="C277" s="147">
        <f>ROUND('Categorias de Ambito 3'!C181,6)</f>
        <v>0</v>
      </c>
      <c r="D277" s="147">
        <f>ROUND('Categorias de Ambito 3'!E181,6)</f>
        <v>0</v>
      </c>
      <c r="E277" s="147">
        <f>ROUND('Categorias de Ambito 3'!G181,6)</f>
        <v>0</v>
      </c>
      <c r="F277" s="147">
        <f t="shared" si="6"/>
        <v>0</v>
      </c>
      <c r="G277" s="195"/>
      <c r="H277" s="195"/>
      <c r="J277" s="96"/>
      <c r="K277" s="96"/>
      <c r="L277" s="98"/>
      <c r="M277" s="98"/>
      <c r="N277" s="95"/>
      <c r="O277" s="96"/>
      <c r="P277" s="96"/>
      <c r="Q277" s="96"/>
      <c r="R277" s="96"/>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row>
    <row r="278" spans="1:44" s="94" customFormat="1" ht="15.75" hidden="1" customHeight="1" outlineLevel="1" x14ac:dyDescent="0.2">
      <c r="A278" s="98"/>
      <c r="B278" s="148" t="s">
        <v>459</v>
      </c>
      <c r="C278" s="147">
        <f>ROUND('Categorias de Ambito 3'!C182,6)</f>
        <v>0</v>
      </c>
      <c r="D278" s="147">
        <f>ROUND('Categorias de Ambito 3'!E182,6)</f>
        <v>0</v>
      </c>
      <c r="E278" s="147">
        <f>ROUND('Categorias de Ambito 3'!G182,6)</f>
        <v>0</v>
      </c>
      <c r="F278" s="147">
        <f t="shared" si="6"/>
        <v>0</v>
      </c>
      <c r="G278" s="195"/>
      <c r="H278" s="195"/>
      <c r="J278" s="96"/>
      <c r="K278" s="96"/>
      <c r="L278" s="98"/>
      <c r="M278" s="98"/>
      <c r="N278" s="95"/>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row>
    <row r="279" spans="1:44" s="94" customFormat="1" ht="15.75" hidden="1" customHeight="1" outlineLevel="1" x14ac:dyDescent="0.2">
      <c r="A279" s="98"/>
      <c r="B279" s="148" t="s">
        <v>460</v>
      </c>
      <c r="C279" s="147">
        <f>ROUND('Categorias de Ambito 3'!C183,6)</f>
        <v>0</v>
      </c>
      <c r="D279" s="147">
        <f>ROUND('Categorias de Ambito 3'!E183,6)</f>
        <v>0</v>
      </c>
      <c r="E279" s="147">
        <f>ROUND('Categorias de Ambito 3'!G183,6)</f>
        <v>0</v>
      </c>
      <c r="F279" s="147">
        <f t="shared" si="6"/>
        <v>0</v>
      </c>
      <c r="G279" s="195"/>
      <c r="H279" s="195"/>
      <c r="J279" s="96"/>
      <c r="K279" s="96"/>
      <c r="L279" s="98"/>
      <c r="M279" s="98"/>
      <c r="N279" s="95"/>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6"/>
      <c r="AN279" s="96"/>
      <c r="AO279" s="96"/>
      <c r="AP279" s="96"/>
      <c r="AQ279" s="96"/>
      <c r="AR279" s="96"/>
    </row>
    <row r="280" spans="1:44" s="94" customFormat="1" ht="15.75" hidden="1" customHeight="1" outlineLevel="1" x14ac:dyDescent="0.2">
      <c r="A280" s="98"/>
      <c r="B280" s="148" t="s">
        <v>461</v>
      </c>
      <c r="C280" s="147">
        <f>ROUND('Categorias de Ambito 3'!C184,6)</f>
        <v>0</v>
      </c>
      <c r="D280" s="147">
        <f>ROUND('Categorias de Ambito 3'!E184,6)</f>
        <v>0</v>
      </c>
      <c r="E280" s="147">
        <f>ROUND('Categorias de Ambito 3'!G184,6)</f>
        <v>0</v>
      </c>
      <c r="F280" s="147">
        <f t="shared" si="6"/>
        <v>0</v>
      </c>
      <c r="G280" s="195"/>
      <c r="H280" s="195"/>
      <c r="J280" s="96"/>
      <c r="K280" s="96"/>
      <c r="L280" s="98"/>
      <c r="M280" s="98"/>
      <c r="N280" s="95"/>
      <c r="O280" s="96"/>
      <c r="P280" s="96"/>
      <c r="Q280" s="96"/>
      <c r="R280" s="96"/>
      <c r="S280" s="96"/>
      <c r="T280" s="96"/>
      <c r="U280" s="96"/>
      <c r="V280" s="96"/>
      <c r="W280" s="96"/>
      <c r="X280" s="96"/>
      <c r="Y280" s="96"/>
      <c r="Z280" s="96"/>
      <c r="AA280" s="96"/>
      <c r="AB280" s="96"/>
      <c r="AC280" s="96"/>
      <c r="AD280" s="96"/>
      <c r="AE280" s="96"/>
      <c r="AF280" s="96"/>
      <c r="AG280" s="96"/>
      <c r="AH280" s="96"/>
      <c r="AI280" s="96"/>
      <c r="AJ280" s="96"/>
      <c r="AK280" s="96"/>
      <c r="AL280" s="96"/>
      <c r="AM280" s="96"/>
      <c r="AN280" s="96"/>
      <c r="AO280" s="96"/>
      <c r="AP280" s="96"/>
      <c r="AQ280" s="96"/>
      <c r="AR280" s="96"/>
    </row>
    <row r="281" spans="1:44" s="94" customFormat="1" ht="15.75" hidden="1" customHeight="1" outlineLevel="1" x14ac:dyDescent="0.2">
      <c r="A281" s="98"/>
      <c r="B281" s="148" t="s">
        <v>462</v>
      </c>
      <c r="C281" s="147">
        <f>ROUND('Categorias de Ambito 3'!C185,6)</f>
        <v>0</v>
      </c>
      <c r="D281" s="147">
        <f>ROUND('Categorias de Ambito 3'!E185,6)</f>
        <v>0</v>
      </c>
      <c r="E281" s="147">
        <f>ROUND('Categorias de Ambito 3'!G185,6)</f>
        <v>0</v>
      </c>
      <c r="F281" s="147">
        <f t="shared" si="6"/>
        <v>0</v>
      </c>
      <c r="G281" s="195"/>
      <c r="H281" s="195"/>
      <c r="J281" s="96"/>
      <c r="K281" s="96"/>
      <c r="L281" s="98"/>
      <c r="M281" s="98"/>
      <c r="N281" s="95"/>
      <c r="O281" s="96"/>
      <c r="P281" s="96"/>
      <c r="Q281" s="96"/>
      <c r="R281" s="96"/>
      <c r="S281" s="96"/>
      <c r="T281" s="96"/>
      <c r="U281" s="96"/>
      <c r="V281" s="96"/>
      <c r="W281" s="96"/>
      <c r="X281" s="96"/>
      <c r="Y281" s="96"/>
      <c r="Z281" s="96"/>
      <c r="AA281" s="96"/>
      <c r="AB281" s="96"/>
      <c r="AC281" s="96"/>
      <c r="AD281" s="96"/>
      <c r="AE281" s="96"/>
      <c r="AF281" s="96"/>
      <c r="AG281" s="96"/>
      <c r="AH281" s="96"/>
      <c r="AI281" s="96"/>
      <c r="AJ281" s="96"/>
      <c r="AK281" s="96"/>
      <c r="AL281" s="96"/>
      <c r="AM281" s="96"/>
      <c r="AN281" s="96"/>
      <c r="AO281" s="96"/>
      <c r="AP281" s="96"/>
      <c r="AQ281" s="96"/>
      <c r="AR281" s="96"/>
    </row>
    <row r="282" spans="1:44" s="94" customFormat="1" ht="15.75" hidden="1" customHeight="1" outlineLevel="1" x14ac:dyDescent="0.2">
      <c r="A282" s="98"/>
      <c r="B282" s="148" t="s">
        <v>463</v>
      </c>
      <c r="C282" s="147">
        <f>ROUND('Categorias de Ambito 3'!C186,6)</f>
        <v>0</v>
      </c>
      <c r="D282" s="147">
        <f>ROUND('Categorias de Ambito 3'!E186,6)</f>
        <v>0</v>
      </c>
      <c r="E282" s="147">
        <f>ROUND('Categorias de Ambito 3'!G186,6)</f>
        <v>0</v>
      </c>
      <c r="F282" s="147">
        <f t="shared" si="6"/>
        <v>0</v>
      </c>
      <c r="G282" s="195"/>
      <c r="H282" s="195"/>
      <c r="J282" s="96"/>
      <c r="K282" s="96"/>
      <c r="L282" s="98"/>
      <c r="M282" s="98"/>
      <c r="N282" s="95"/>
      <c r="O282" s="96"/>
      <c r="P282" s="96"/>
      <c r="Q282" s="96"/>
      <c r="R282" s="96"/>
      <c r="S282" s="96"/>
      <c r="T282" s="96"/>
      <c r="U282" s="96"/>
      <c r="V282" s="96"/>
      <c r="W282" s="96"/>
      <c r="X282" s="96"/>
      <c r="Y282" s="96"/>
      <c r="Z282" s="96"/>
      <c r="AA282" s="96"/>
      <c r="AB282" s="96"/>
      <c r="AC282" s="96"/>
      <c r="AD282" s="96"/>
      <c r="AE282" s="96"/>
      <c r="AF282" s="96"/>
      <c r="AG282" s="96"/>
      <c r="AH282" s="96"/>
      <c r="AI282" s="96"/>
      <c r="AJ282" s="96"/>
      <c r="AK282" s="96"/>
      <c r="AL282" s="96"/>
      <c r="AM282" s="96"/>
      <c r="AN282" s="96"/>
      <c r="AO282" s="96"/>
      <c r="AP282" s="96"/>
      <c r="AQ282" s="96"/>
      <c r="AR282" s="96"/>
    </row>
    <row r="283" spans="1:44" s="94" customFormat="1" ht="15.75" hidden="1" customHeight="1" outlineLevel="1" x14ac:dyDescent="0.2">
      <c r="A283" s="98"/>
      <c r="B283" s="148" t="s">
        <v>464</v>
      </c>
      <c r="C283" s="147">
        <f>ROUND('Categorias de Ambito 3'!C187,6)</f>
        <v>0</v>
      </c>
      <c r="D283" s="147">
        <f>ROUND('Categorias de Ambito 3'!E187,6)</f>
        <v>0</v>
      </c>
      <c r="E283" s="147">
        <f>ROUND('Categorias de Ambito 3'!G187,6)</f>
        <v>0</v>
      </c>
      <c r="F283" s="147">
        <f t="shared" si="6"/>
        <v>0</v>
      </c>
      <c r="G283" s="195"/>
      <c r="H283" s="195"/>
      <c r="J283" s="96"/>
      <c r="K283" s="96"/>
      <c r="L283" s="98"/>
      <c r="M283" s="98"/>
      <c r="N283" s="95"/>
      <c r="O283" s="96"/>
      <c r="P283" s="96"/>
      <c r="Q283" s="96"/>
      <c r="R283" s="96"/>
      <c r="S283" s="96"/>
      <c r="T283" s="96"/>
      <c r="U283" s="96"/>
      <c r="V283" s="96"/>
      <c r="W283" s="96"/>
      <c r="X283" s="96"/>
      <c r="Y283" s="96"/>
      <c r="Z283" s="96"/>
      <c r="AA283" s="96"/>
      <c r="AB283" s="96"/>
      <c r="AC283" s="96"/>
      <c r="AD283" s="96"/>
      <c r="AE283" s="96"/>
      <c r="AF283" s="96"/>
      <c r="AG283" s="96"/>
      <c r="AH283" s="96"/>
      <c r="AI283" s="96"/>
      <c r="AJ283" s="96"/>
      <c r="AK283" s="96"/>
      <c r="AL283" s="96"/>
      <c r="AM283" s="96"/>
      <c r="AN283" s="96"/>
      <c r="AO283" s="96"/>
      <c r="AP283" s="96"/>
      <c r="AQ283" s="96"/>
      <c r="AR283" s="96"/>
    </row>
    <row r="284" spans="1:44" s="94" customFormat="1" ht="15.75" hidden="1" customHeight="1" outlineLevel="1" x14ac:dyDescent="0.2">
      <c r="A284" s="98"/>
      <c r="B284" s="148" t="s">
        <v>465</v>
      </c>
      <c r="C284" s="147">
        <f>ROUND('Categorias de Ambito 3'!C188,6)</f>
        <v>0</v>
      </c>
      <c r="D284" s="147">
        <f>ROUND('Categorias de Ambito 3'!E188,6)</f>
        <v>0</v>
      </c>
      <c r="E284" s="147">
        <f>ROUND('Categorias de Ambito 3'!G188,6)</f>
        <v>0</v>
      </c>
      <c r="F284" s="147">
        <f t="shared" si="6"/>
        <v>0</v>
      </c>
      <c r="G284" s="195"/>
      <c r="H284" s="195"/>
      <c r="J284" s="96"/>
      <c r="K284" s="96"/>
      <c r="L284" s="98"/>
      <c r="M284" s="98"/>
      <c r="N284" s="95"/>
      <c r="O284" s="96"/>
      <c r="P284" s="96"/>
      <c r="Q284" s="96"/>
      <c r="R284" s="96"/>
      <c r="S284" s="96"/>
      <c r="T284" s="96"/>
      <c r="U284" s="96"/>
      <c r="V284" s="96"/>
      <c r="W284" s="96"/>
      <c r="X284" s="96"/>
      <c r="Y284" s="96"/>
      <c r="Z284" s="96"/>
      <c r="AA284" s="96"/>
      <c r="AB284" s="96"/>
      <c r="AC284" s="96"/>
      <c r="AD284" s="96"/>
      <c r="AE284" s="96"/>
      <c r="AF284" s="96"/>
      <c r="AG284" s="96"/>
      <c r="AH284" s="96"/>
      <c r="AI284" s="96"/>
      <c r="AJ284" s="96"/>
      <c r="AK284" s="96"/>
      <c r="AL284" s="96"/>
      <c r="AM284" s="96"/>
      <c r="AN284" s="96"/>
      <c r="AO284" s="96"/>
      <c r="AP284" s="96"/>
      <c r="AQ284" s="96"/>
      <c r="AR284" s="96"/>
    </row>
    <row r="285" spans="1:44" s="94" customFormat="1" ht="15.75" hidden="1" customHeight="1" outlineLevel="1" x14ac:dyDescent="0.2">
      <c r="A285" s="98"/>
      <c r="B285" s="148" t="s">
        <v>466</v>
      </c>
      <c r="C285" s="147">
        <f>ROUND('Categorias de Ambito 3'!C189,6)</f>
        <v>0</v>
      </c>
      <c r="D285" s="147">
        <f>ROUND('Categorias de Ambito 3'!E189,6)</f>
        <v>0</v>
      </c>
      <c r="E285" s="147">
        <f>ROUND('Categorias de Ambito 3'!G189,6)</f>
        <v>0</v>
      </c>
      <c r="F285" s="147">
        <f t="shared" si="6"/>
        <v>0</v>
      </c>
      <c r="G285" s="195"/>
      <c r="H285" s="195"/>
      <c r="J285" s="96"/>
      <c r="K285" s="96"/>
      <c r="L285" s="98"/>
      <c r="M285" s="98"/>
      <c r="N285" s="95"/>
      <c r="O285" s="96"/>
      <c r="P285" s="96"/>
      <c r="Q285" s="96"/>
      <c r="R285" s="96"/>
      <c r="S285" s="96"/>
      <c r="T285" s="96"/>
      <c r="U285" s="96"/>
      <c r="V285" s="96"/>
      <c r="W285" s="96"/>
      <c r="X285" s="96"/>
      <c r="Y285" s="96"/>
      <c r="Z285" s="96"/>
      <c r="AA285" s="96"/>
      <c r="AB285" s="96"/>
      <c r="AC285" s="96"/>
      <c r="AD285" s="96"/>
      <c r="AE285" s="96"/>
      <c r="AF285" s="96"/>
      <c r="AG285" s="96"/>
      <c r="AH285" s="96"/>
      <c r="AI285" s="96"/>
      <c r="AJ285" s="96"/>
      <c r="AK285" s="96"/>
      <c r="AL285" s="96"/>
      <c r="AM285" s="96"/>
      <c r="AN285" s="96"/>
      <c r="AO285" s="96"/>
      <c r="AP285" s="96"/>
      <c r="AQ285" s="96"/>
      <c r="AR285" s="96"/>
    </row>
    <row r="286" spans="1:44" s="94" customFormat="1" ht="15.75" hidden="1" customHeight="1" outlineLevel="1" x14ac:dyDescent="0.2">
      <c r="A286" s="98"/>
      <c r="B286" s="148" t="s">
        <v>467</v>
      </c>
      <c r="C286" s="147">
        <f>ROUND('Categorias de Ambito 3'!C190,6)</f>
        <v>0</v>
      </c>
      <c r="D286" s="147">
        <f>ROUND('Categorias de Ambito 3'!E190,6)</f>
        <v>0</v>
      </c>
      <c r="E286" s="147">
        <f>ROUND('Categorias de Ambito 3'!G190,6)</f>
        <v>0</v>
      </c>
      <c r="F286" s="147">
        <f t="shared" si="6"/>
        <v>0</v>
      </c>
      <c r="G286" s="195"/>
      <c r="H286" s="195"/>
      <c r="J286" s="96"/>
      <c r="K286" s="96"/>
      <c r="L286" s="98"/>
      <c r="M286" s="98"/>
      <c r="N286" s="95"/>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row>
    <row r="287" spans="1:44" ht="15.75" customHeight="1" x14ac:dyDescent="0.2">
      <c r="A287" s="98"/>
      <c r="B287" s="146" t="s">
        <v>1377</v>
      </c>
      <c r="C287" s="147">
        <f>ROUND(total_Cat13_SF6,6)</f>
        <v>0</v>
      </c>
      <c r="D287" s="147">
        <f>ROUND(total_Cat14_SF6,6)</f>
        <v>0</v>
      </c>
      <c r="E287" s="147">
        <f>ROUND(total_Cat15_SF6,6)</f>
        <v>0</v>
      </c>
      <c r="F287" s="147">
        <f t="shared" si="6"/>
        <v>0</v>
      </c>
      <c r="G287" s="195"/>
      <c r="H287" s="195"/>
      <c r="J287" s="96"/>
      <c r="K287" s="96"/>
      <c r="L287" s="98"/>
      <c r="M287" s="98"/>
      <c r="N287" s="95"/>
      <c r="O287" s="96"/>
      <c r="P287" s="96"/>
      <c r="Q287" s="96"/>
      <c r="R287" s="96"/>
      <c r="S287" s="96"/>
      <c r="T287" s="96"/>
      <c r="U287" s="96"/>
      <c r="V287" s="96"/>
      <c r="W287" s="96"/>
      <c r="X287" s="96"/>
      <c r="Y287" s="96"/>
      <c r="Z287" s="96"/>
      <c r="AA287" s="96"/>
      <c r="AB287" s="96"/>
      <c r="AC287" s="96"/>
      <c r="AD287" s="96"/>
      <c r="AE287" s="96"/>
      <c r="AF287" s="96"/>
      <c r="AG287" s="96"/>
      <c r="AH287" s="96"/>
      <c r="AI287" s="96"/>
      <c r="AJ287" s="96"/>
      <c r="AK287" s="96"/>
      <c r="AL287" s="96"/>
      <c r="AM287" s="96"/>
      <c r="AN287" s="96"/>
      <c r="AO287" s="96"/>
      <c r="AP287" s="96"/>
      <c r="AQ287" s="96"/>
      <c r="AR287" s="96"/>
    </row>
    <row r="288" spans="1:44" s="94" customFormat="1" ht="15.75" customHeight="1" x14ac:dyDescent="0.2">
      <c r="A288" s="98"/>
      <c r="B288" s="148" t="s">
        <v>1378</v>
      </c>
      <c r="C288" s="147">
        <f>ROUND(total_Cat13_NF3,6)</f>
        <v>0</v>
      </c>
      <c r="D288" s="147">
        <f>ROUND(total_Cat14_NF3,6)</f>
        <v>0</v>
      </c>
      <c r="E288" s="147">
        <f>ROUND(total_Cat15_NF3,6)</f>
        <v>0</v>
      </c>
      <c r="F288" s="147">
        <f t="shared" si="6"/>
        <v>0</v>
      </c>
      <c r="G288" s="195"/>
      <c r="H288" s="195"/>
      <c r="J288" s="96"/>
      <c r="K288" s="96"/>
      <c r="L288" s="98"/>
      <c r="M288" s="98"/>
      <c r="N288" s="95"/>
      <c r="O288" s="96"/>
      <c r="P288" s="96"/>
      <c r="Q288" s="96"/>
      <c r="R288" s="96"/>
      <c r="S288" s="96"/>
      <c r="T288" s="96"/>
      <c r="U288" s="96"/>
      <c r="V288" s="96"/>
      <c r="W288" s="96"/>
      <c r="X288" s="96"/>
      <c r="Y288" s="96"/>
      <c r="Z288" s="96"/>
      <c r="AA288" s="96"/>
      <c r="AB288" s="96"/>
      <c r="AC288" s="96"/>
      <c r="AD288" s="96"/>
      <c r="AE288" s="96"/>
      <c r="AF288" s="96"/>
      <c r="AG288" s="96"/>
      <c r="AH288" s="96"/>
      <c r="AI288" s="96"/>
      <c r="AJ288" s="96"/>
      <c r="AK288" s="96"/>
      <c r="AL288" s="96"/>
      <c r="AM288" s="96"/>
      <c r="AN288" s="96"/>
      <c r="AO288" s="96"/>
      <c r="AP288" s="96"/>
      <c r="AQ288" s="96"/>
      <c r="AR288" s="96"/>
    </row>
    <row r="289" spans="1:45" ht="15.75" customHeight="1" x14ac:dyDescent="0.2">
      <c r="A289" s="98"/>
      <c r="B289" s="146" t="s">
        <v>1379</v>
      </c>
      <c r="C289" s="149">
        <f>C253+C254*gwp_CH4+C255*gwp_N2O+C257*gwp_HFC23+C258*gwp_HFC32+C259*gwp_HFC41+C260*gwp_HFC125+C261*gwp_HFC134+C262*gwp_HFC134a+C263*gwp_HFC143+C264*gwp_HFC143a+C265*gwp_HFC152+C266*gwp_HFC152a+C267*gwp_HFC161+C268*gwp_HFC227ea+C269*gwp_HFC236cb+C270*gwp_HFC236ea+C271*gwp_HFC236fa+C272*gwp_HFC245ca+C273*gwp_HFC245fa+C274*gwp_HFC365mfc+C275*gwp_HFC4310mee+C277*gwp_PFC14+C278*gwp_PFC116+C279*gwp_PFC218+C280*gwp_PFC318+C281*gwp_PFC3110+C282*gwp_PFC4112+C283*gwp_PFC5114+C284*gwp_PFC9118+C285*gwp_trifluorometil+C286*gwp_perfluorociclopropano+C287*gwp_SF6+C288*gwp_NF3</f>
        <v>0</v>
      </c>
      <c r="D289" s="149">
        <f>D253+D254*gwp_CH4+D255*gwp_N2O+D257*gwp_HFC23+D258*gwp_HFC32+D259*gwp_HFC41+D260*gwp_HFC125+D261*gwp_HFC134+D262*gwp_HFC134a+D263*gwp_HFC143+D264*gwp_HFC143a+D265*gwp_HFC152+D266*gwp_HFC152a+D267*gwp_HFC161+D268*gwp_HFC227ea+D269*gwp_HFC236cb+D270*gwp_HFC236ea+D271*gwp_HFC236fa+D272*gwp_HFC245ca+D273*gwp_HFC245fa+D274*gwp_HFC365mfc+D275*gwp_HFC4310mee+D277*gwp_PFC14+D278*gwp_PFC116+D279*gwp_PFC218+D280*gwp_PFC318+D281*gwp_PFC3110+D282*gwp_PFC4112+D283*gwp_PFC5114+D284*gwp_PFC9118+D285*gwp_trifluorometil+D286*gwp_perfluorociclopropano+D287*gwp_SF6+D288*gwp_NF3</f>
        <v>0</v>
      </c>
      <c r="E289" s="149">
        <f>E253+E254*gwp_CH4+E255*gwp_N2O+E257*gwp_HFC23+E258*gwp_HFC32+E259*gwp_HFC41+E260*gwp_HFC125+E261*gwp_HFC134+E262*gwp_HFC134a+E263*gwp_HFC143+E264*gwp_HFC143a+E265*gwp_HFC152+E266*gwp_HFC152a+E267*gwp_HFC161+E268*gwp_HFC227ea+E269*gwp_HFC236cb+E270*gwp_HFC236ea+E271*gwp_HFC236fa+E272*gwp_HFC245ca+E273*gwp_HFC245fa+E274*gwp_HFC365mfc+E275*gwp_HFC4310mee+E277*gwp_PFC14+E278*gwp_PFC116+E279*gwp_PFC218+E280*gwp_PFC318+E281*gwp_PFC3110+E282*gwp_PFC4112+E283*gwp_PFC5114+E284*gwp_PFC9118+E285*gwp_trifluorometil+E286*gwp_perfluorociclopropano+E287*gwp_SF6+E288*gwp_NF3</f>
        <v>0</v>
      </c>
      <c r="F289" s="149">
        <f t="shared" si="6"/>
        <v>0.59952362820000005</v>
      </c>
      <c r="G289" s="195"/>
      <c r="H289" s="195"/>
      <c r="J289" s="96"/>
      <c r="K289" s="96"/>
      <c r="L289" s="98"/>
      <c r="M289" s="98"/>
      <c r="N289" s="95"/>
      <c r="O289" s="96"/>
      <c r="P289" s="96"/>
      <c r="Q289" s="96"/>
      <c r="R289" s="96"/>
      <c r="S289" s="96"/>
      <c r="T289" s="96"/>
      <c r="U289" s="96"/>
      <c r="V289" s="96"/>
      <c r="W289" s="96"/>
      <c r="X289" s="96"/>
      <c r="Y289" s="96"/>
      <c r="Z289" s="96"/>
      <c r="AA289" s="96"/>
      <c r="AB289" s="96"/>
      <c r="AC289" s="96"/>
      <c r="AD289" s="96"/>
      <c r="AE289" s="96"/>
      <c r="AF289" s="96"/>
      <c r="AG289" s="96"/>
      <c r="AH289" s="96"/>
      <c r="AI289" s="96"/>
      <c r="AJ289" s="96"/>
      <c r="AK289" s="96"/>
      <c r="AL289" s="96"/>
      <c r="AM289" s="96"/>
      <c r="AN289" s="96"/>
      <c r="AO289" s="96"/>
      <c r="AP289" s="96"/>
      <c r="AQ289" s="96"/>
      <c r="AR289" s="96"/>
    </row>
    <row r="290" spans="1:45" ht="15.75" customHeight="1" x14ac:dyDescent="0.35">
      <c r="A290" s="98"/>
      <c r="B290" s="150" t="s">
        <v>1851</v>
      </c>
      <c r="C290" s="151">
        <f>ROUND(total_Cat12_CO2_biomassa,6)</f>
        <v>0</v>
      </c>
      <c r="D290" s="151">
        <f>ROUND(total_Cat14_CO2_biomassa,6)</f>
        <v>0</v>
      </c>
      <c r="E290" s="151">
        <f>ROUND(total_Cat15_CO2_biomassa,6)</f>
        <v>0</v>
      </c>
      <c r="F290" s="151">
        <f t="shared" si="6"/>
        <v>0</v>
      </c>
      <c r="G290" s="195"/>
      <c r="H290" s="195"/>
      <c r="J290" s="96"/>
      <c r="K290" s="96"/>
      <c r="L290" s="98"/>
      <c r="M290" s="98"/>
      <c r="N290" s="95"/>
      <c r="O290" s="96"/>
      <c r="P290" s="96"/>
      <c r="Q290" s="96"/>
      <c r="R290" s="96"/>
      <c r="S290" s="96"/>
      <c r="T290" s="96"/>
      <c r="U290" s="96"/>
      <c r="V290" s="96"/>
      <c r="W290" s="96"/>
      <c r="X290" s="96"/>
      <c r="Y290" s="96"/>
      <c r="Z290" s="96"/>
      <c r="AA290" s="96"/>
      <c r="AB290" s="96"/>
      <c r="AC290" s="96"/>
      <c r="AD290" s="96"/>
      <c r="AE290" s="96"/>
      <c r="AF290" s="96"/>
      <c r="AG290" s="96"/>
      <c r="AH290" s="96"/>
      <c r="AI290" s="96"/>
      <c r="AJ290" s="96"/>
      <c r="AK290" s="96"/>
      <c r="AL290" s="96"/>
      <c r="AM290" s="96"/>
      <c r="AN290" s="96"/>
      <c r="AO290" s="96"/>
      <c r="AP290" s="96"/>
      <c r="AQ290" s="96"/>
      <c r="AR290" s="96"/>
    </row>
    <row r="291" spans="1:45" ht="24.95" customHeight="1" x14ac:dyDescent="0.2">
      <c r="A291" s="98"/>
      <c r="B291" s="171"/>
      <c r="C291" s="171"/>
      <c r="D291" s="171"/>
      <c r="E291" s="171"/>
      <c r="F291" s="171"/>
      <c r="G291" s="171"/>
      <c r="H291" s="171"/>
      <c r="I291" s="171"/>
      <c r="J291" s="96"/>
      <c r="K291" s="96"/>
      <c r="L291" s="96"/>
      <c r="M291" s="98"/>
      <c r="N291" s="98"/>
      <c r="O291" s="95"/>
      <c r="P291" s="96"/>
      <c r="Q291" s="96"/>
      <c r="R291" s="96"/>
      <c r="S291" s="96"/>
      <c r="T291" s="96"/>
      <c r="U291" s="96"/>
      <c r="V291" s="96"/>
      <c r="W291" s="96"/>
      <c r="X291" s="96"/>
      <c r="Y291" s="96"/>
      <c r="Z291" s="96"/>
      <c r="AA291" s="96"/>
      <c r="AB291" s="96"/>
      <c r="AC291" s="96"/>
      <c r="AD291" s="96"/>
      <c r="AE291" s="96"/>
      <c r="AF291" s="96"/>
      <c r="AG291" s="96"/>
      <c r="AH291" s="96"/>
      <c r="AI291" s="96"/>
      <c r="AJ291" s="96"/>
      <c r="AK291" s="96"/>
      <c r="AL291" s="96"/>
      <c r="AM291" s="96"/>
      <c r="AN291" s="96"/>
      <c r="AO291" s="96"/>
      <c r="AP291" s="96"/>
      <c r="AQ291" s="96"/>
      <c r="AR291" s="96"/>
      <c r="AS291" s="96"/>
    </row>
    <row r="292" spans="1:45" hidden="1" x14ac:dyDescent="0.2">
      <c r="A292" s="95"/>
      <c r="B292" s="96"/>
      <c r="C292" s="96"/>
      <c r="D292" s="96"/>
      <c r="E292" s="96"/>
      <c r="F292" s="96"/>
      <c r="G292" s="96"/>
      <c r="H292" s="96"/>
      <c r="I292" s="96"/>
      <c r="J292" s="96"/>
      <c r="K292" s="96"/>
      <c r="L292" s="96"/>
      <c r="M292" s="95"/>
      <c r="N292" s="95"/>
      <c r="O292" s="95"/>
      <c r="P292" s="96"/>
      <c r="Q292" s="96"/>
      <c r="R292" s="96"/>
      <c r="S292" s="96"/>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row>
    <row r="293" spans="1:45" hidden="1" x14ac:dyDescent="0.2">
      <c r="A293" s="95"/>
      <c r="B293" s="96"/>
      <c r="D293" s="96"/>
      <c r="E293" s="96"/>
      <c r="F293" s="96"/>
      <c r="G293" s="96"/>
      <c r="H293" s="96"/>
      <c r="I293" s="96"/>
      <c r="J293" s="96"/>
      <c r="K293" s="96"/>
      <c r="L293" s="96"/>
      <c r="M293" s="95"/>
      <c r="N293" s="95"/>
      <c r="O293" s="95"/>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row>
    <row r="294" spans="1:45" hidden="1" x14ac:dyDescent="0.2">
      <c r="A294" s="98"/>
      <c r="B294" s="96"/>
      <c r="D294" s="96"/>
      <c r="E294" s="96"/>
      <c r="F294" s="96"/>
      <c r="G294" s="96"/>
      <c r="H294" s="96"/>
      <c r="I294" s="96"/>
      <c r="J294" s="96"/>
      <c r="K294" s="96"/>
      <c r="L294" s="96"/>
      <c r="M294" s="98"/>
      <c r="N294" s="98"/>
      <c r="O294" s="98"/>
      <c r="P294" s="96"/>
      <c r="Q294" s="96"/>
      <c r="R294" s="96"/>
      <c r="S294" s="96"/>
      <c r="T294" s="96"/>
      <c r="U294" s="96"/>
      <c r="V294" s="96"/>
      <c r="W294" s="96"/>
      <c r="X294" s="96"/>
      <c r="Y294" s="96"/>
      <c r="Z294" s="96"/>
      <c r="AA294" s="96"/>
      <c r="AB294" s="96"/>
      <c r="AC294" s="96"/>
      <c r="AD294" s="96"/>
      <c r="AE294" s="96"/>
      <c r="AF294" s="96"/>
      <c r="AG294" s="96"/>
      <c r="AH294" s="96"/>
      <c r="AI294" s="96"/>
      <c r="AJ294" s="96"/>
      <c r="AK294" s="96"/>
      <c r="AL294" s="96"/>
      <c r="AM294" s="96"/>
      <c r="AN294" s="96"/>
      <c r="AO294" s="96"/>
      <c r="AP294" s="96"/>
      <c r="AQ294" s="96"/>
      <c r="AR294" s="96"/>
      <c r="AS294" s="96"/>
    </row>
    <row r="295" spans="1:45" hidden="1" x14ac:dyDescent="0.2">
      <c r="A295" s="98"/>
      <c r="B295" s="96"/>
      <c r="D295" s="96"/>
      <c r="E295" s="96"/>
      <c r="F295" s="96"/>
      <c r="G295" s="96"/>
      <c r="H295" s="96"/>
      <c r="I295" s="96"/>
      <c r="J295" s="96"/>
      <c r="K295" s="96"/>
      <c r="L295" s="96"/>
      <c r="M295" s="98"/>
      <c r="N295" s="98"/>
      <c r="O295" s="98"/>
      <c r="P295" s="96"/>
      <c r="Q295" s="96"/>
      <c r="R295" s="96"/>
      <c r="S295" s="96"/>
      <c r="T295" s="96"/>
      <c r="U295" s="96"/>
      <c r="V295" s="96"/>
      <c r="W295" s="96"/>
      <c r="X295" s="96"/>
      <c r="Y295" s="96"/>
      <c r="Z295" s="96"/>
      <c r="AA295" s="96"/>
      <c r="AB295" s="96"/>
      <c r="AC295" s="96"/>
      <c r="AD295" s="96"/>
      <c r="AE295" s="96"/>
      <c r="AF295" s="96"/>
      <c r="AG295" s="96"/>
      <c r="AH295" s="96"/>
      <c r="AI295" s="96"/>
      <c r="AJ295" s="96"/>
      <c r="AK295" s="96"/>
      <c r="AL295" s="96"/>
      <c r="AM295" s="96"/>
      <c r="AN295" s="96"/>
      <c r="AO295" s="96"/>
      <c r="AP295" s="96"/>
      <c r="AQ295" s="96"/>
      <c r="AR295" s="96"/>
      <c r="AS295" s="96"/>
    </row>
    <row r="296" spans="1:45" hidden="1" x14ac:dyDescent="0.2">
      <c r="A296" s="98"/>
      <c r="B296" s="96"/>
      <c r="D296" s="96"/>
      <c r="E296" s="96"/>
      <c r="F296" s="96"/>
      <c r="G296" s="96"/>
      <c r="H296" s="96"/>
      <c r="I296" s="96"/>
      <c r="J296" s="96"/>
      <c r="K296" s="96"/>
      <c r="L296" s="96"/>
      <c r="M296" s="95"/>
      <c r="N296" s="95"/>
      <c r="O296" s="95"/>
      <c r="P296" s="96"/>
      <c r="Q296" s="96"/>
      <c r="R296" s="96"/>
      <c r="S296" s="96"/>
      <c r="T296" s="96"/>
      <c r="U296" s="96"/>
      <c r="V296" s="96"/>
      <c r="W296" s="96"/>
      <c r="X296" s="96"/>
      <c r="Y296" s="96"/>
      <c r="Z296" s="96"/>
      <c r="AA296" s="96"/>
      <c r="AB296" s="96"/>
      <c r="AC296" s="96"/>
      <c r="AD296" s="96"/>
      <c r="AE296" s="96"/>
      <c r="AF296" s="96"/>
      <c r="AG296" s="96"/>
      <c r="AH296" s="96"/>
      <c r="AI296" s="96"/>
      <c r="AJ296" s="96"/>
      <c r="AK296" s="96"/>
      <c r="AL296" s="96"/>
      <c r="AM296" s="96"/>
      <c r="AN296" s="96"/>
      <c r="AO296" s="96"/>
      <c r="AP296" s="96"/>
      <c r="AQ296" s="96"/>
      <c r="AR296" s="96"/>
      <c r="AS296" s="96"/>
    </row>
    <row r="297" spans="1:45" hidden="1" x14ac:dyDescent="0.2">
      <c r="A297" s="98"/>
      <c r="B297" s="96"/>
      <c r="D297" s="96"/>
      <c r="E297" s="96"/>
      <c r="F297" s="96"/>
      <c r="G297" s="96"/>
      <c r="H297" s="96"/>
      <c r="I297" s="96"/>
      <c r="J297" s="96"/>
      <c r="K297" s="96"/>
      <c r="L297" s="98"/>
      <c r="M297" s="98"/>
      <c r="N297" s="98"/>
      <c r="O297" s="98"/>
      <c r="P297" s="96"/>
      <c r="Q297" s="96"/>
      <c r="R297" s="96"/>
      <c r="S297" s="96"/>
      <c r="T297" s="96"/>
      <c r="U297" s="96"/>
      <c r="V297" s="96"/>
      <c r="W297" s="96"/>
      <c r="X297" s="96"/>
      <c r="Y297" s="96"/>
      <c r="Z297" s="96"/>
      <c r="AA297" s="96"/>
      <c r="AB297" s="96"/>
      <c r="AC297" s="96"/>
      <c r="AD297" s="96"/>
      <c r="AE297" s="96"/>
      <c r="AF297" s="96"/>
      <c r="AG297" s="96"/>
      <c r="AH297" s="96"/>
      <c r="AI297" s="96"/>
      <c r="AJ297" s="96"/>
      <c r="AK297" s="96"/>
      <c r="AL297" s="96"/>
      <c r="AM297" s="96"/>
      <c r="AN297" s="96"/>
      <c r="AO297" s="96"/>
      <c r="AP297" s="96"/>
      <c r="AQ297" s="96"/>
      <c r="AR297" s="96"/>
      <c r="AS297" s="96"/>
    </row>
    <row r="298" spans="1:45" hidden="1" x14ac:dyDescent="0.2">
      <c r="A298" s="98"/>
      <c r="B298" s="96"/>
      <c r="D298" s="96"/>
      <c r="E298" s="96"/>
      <c r="F298" s="96"/>
      <c r="G298" s="96"/>
      <c r="H298" s="96"/>
      <c r="I298" s="96"/>
      <c r="J298" s="96"/>
      <c r="K298" s="96"/>
      <c r="L298" s="96"/>
      <c r="M298" s="96"/>
      <c r="N298" s="96"/>
      <c r="O298" s="98"/>
      <c r="P298" s="96"/>
      <c r="Q298" s="96"/>
      <c r="R298" s="96"/>
      <c r="S298" s="96"/>
      <c r="T298" s="96"/>
      <c r="U298" s="96"/>
      <c r="V298" s="96"/>
      <c r="W298" s="96"/>
      <c r="X298" s="96"/>
      <c r="Y298" s="96"/>
      <c r="Z298" s="96"/>
      <c r="AA298" s="96"/>
      <c r="AB298" s="96"/>
      <c r="AC298" s="96"/>
      <c r="AD298" s="96"/>
      <c r="AE298" s="96"/>
      <c r="AF298" s="96"/>
      <c r="AG298" s="96"/>
      <c r="AH298" s="96"/>
      <c r="AI298" s="96"/>
      <c r="AJ298" s="96"/>
      <c r="AK298" s="96"/>
      <c r="AL298" s="96"/>
      <c r="AM298" s="96"/>
      <c r="AN298" s="96"/>
      <c r="AO298" s="96"/>
      <c r="AP298" s="96"/>
      <c r="AQ298" s="96"/>
      <c r="AR298" s="96"/>
      <c r="AS298" s="96"/>
    </row>
    <row r="299" spans="1:45" hidden="1" x14ac:dyDescent="0.2">
      <c r="A299" s="98"/>
      <c r="B299" s="96"/>
      <c r="D299" s="96"/>
      <c r="E299" s="96"/>
      <c r="F299" s="96"/>
      <c r="G299" s="96"/>
      <c r="H299" s="96"/>
      <c r="I299" s="96"/>
      <c r="J299" s="96"/>
      <c r="K299" s="96"/>
      <c r="L299" s="96"/>
      <c r="M299" s="96"/>
      <c r="N299" s="96"/>
      <c r="O299" s="98"/>
      <c r="P299" s="96"/>
      <c r="Q299" s="96"/>
      <c r="R299" s="96"/>
      <c r="S299" s="96"/>
      <c r="T299" s="96"/>
      <c r="U299" s="96"/>
      <c r="V299" s="96"/>
      <c r="W299" s="96"/>
      <c r="X299" s="96"/>
      <c r="Y299" s="96"/>
      <c r="Z299" s="96"/>
      <c r="AA299" s="96"/>
      <c r="AB299" s="96"/>
      <c r="AC299" s="96"/>
      <c r="AD299" s="96"/>
      <c r="AE299" s="96"/>
      <c r="AF299" s="96"/>
      <c r="AG299" s="96"/>
      <c r="AH299" s="96"/>
      <c r="AI299" s="96"/>
      <c r="AJ299" s="96"/>
      <c r="AK299" s="96"/>
      <c r="AL299" s="96"/>
      <c r="AM299" s="96"/>
      <c r="AN299" s="96"/>
      <c r="AO299" s="96"/>
      <c r="AP299" s="96"/>
      <c r="AQ299" s="96"/>
      <c r="AR299" s="96"/>
      <c r="AS299" s="96"/>
    </row>
    <row r="300" spans="1:45" hidden="1" x14ac:dyDescent="0.2">
      <c r="A300" s="98"/>
      <c r="B300" s="98"/>
      <c r="D300" s="98"/>
      <c r="E300" s="96"/>
      <c r="F300" s="96"/>
      <c r="G300" s="96"/>
      <c r="H300" s="96"/>
      <c r="I300" s="96"/>
      <c r="J300" s="96"/>
      <c r="K300" s="96"/>
      <c r="L300" s="96"/>
      <c r="M300" s="96"/>
      <c r="N300" s="96"/>
      <c r="O300" s="98"/>
      <c r="P300" s="96"/>
      <c r="Q300" s="96"/>
      <c r="R300" s="96"/>
      <c r="S300" s="96"/>
      <c r="T300" s="96"/>
      <c r="U300" s="96"/>
      <c r="V300" s="96"/>
      <c r="W300" s="96"/>
      <c r="X300" s="96"/>
      <c r="Y300" s="96"/>
      <c r="Z300" s="96"/>
      <c r="AA300" s="96"/>
      <c r="AB300" s="96"/>
      <c r="AC300" s="96"/>
      <c r="AD300" s="96"/>
      <c r="AE300" s="96"/>
      <c r="AF300" s="96"/>
      <c r="AG300" s="96"/>
      <c r="AH300" s="96"/>
      <c r="AI300" s="96"/>
      <c r="AJ300" s="96"/>
      <c r="AK300" s="96"/>
      <c r="AL300" s="96"/>
      <c r="AM300" s="96"/>
      <c r="AN300" s="96"/>
      <c r="AO300" s="96"/>
      <c r="AP300" s="96"/>
      <c r="AQ300" s="96"/>
      <c r="AR300" s="96"/>
      <c r="AS300" s="96"/>
    </row>
    <row r="301" spans="1:45" hidden="1" x14ac:dyDescent="0.2">
      <c r="A301" s="96"/>
      <c r="B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c r="AA301" s="96"/>
      <c r="AB301" s="96"/>
      <c r="AC301" s="96"/>
      <c r="AD301" s="96"/>
      <c r="AE301" s="96"/>
      <c r="AF301" s="96"/>
      <c r="AG301" s="96"/>
      <c r="AH301" s="96"/>
      <c r="AI301" s="96"/>
      <c r="AJ301" s="96"/>
      <c r="AK301" s="96"/>
      <c r="AL301" s="96"/>
      <c r="AM301" s="96"/>
      <c r="AN301" s="96"/>
      <c r="AO301" s="96"/>
      <c r="AP301" s="96"/>
      <c r="AQ301" s="96"/>
      <c r="AR301" s="96"/>
      <c r="AS301" s="96"/>
    </row>
    <row r="302" spans="1:45" hidden="1" x14ac:dyDescent="0.2">
      <c r="A302" s="96"/>
      <c r="B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c r="AA302" s="96"/>
      <c r="AB302" s="96"/>
      <c r="AC302" s="96"/>
      <c r="AD302" s="96"/>
      <c r="AE302" s="96"/>
      <c r="AF302" s="96"/>
      <c r="AG302" s="96"/>
      <c r="AH302" s="96"/>
      <c r="AI302" s="96"/>
      <c r="AJ302" s="96"/>
      <c r="AK302" s="96"/>
      <c r="AL302" s="96"/>
      <c r="AM302" s="96"/>
      <c r="AN302" s="96"/>
      <c r="AO302" s="96"/>
      <c r="AP302" s="96"/>
      <c r="AQ302" s="96"/>
      <c r="AR302" s="96"/>
      <c r="AS302" s="96"/>
    </row>
    <row r="303" spans="1:45" hidden="1" x14ac:dyDescent="0.2">
      <c r="A303" s="96"/>
      <c r="B303" s="96"/>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c r="AA303" s="96"/>
      <c r="AB303" s="96"/>
      <c r="AC303" s="96"/>
      <c r="AD303" s="96"/>
      <c r="AE303" s="96"/>
      <c r="AF303" s="96"/>
      <c r="AG303" s="96"/>
      <c r="AH303" s="96"/>
      <c r="AI303" s="96"/>
      <c r="AJ303" s="96"/>
      <c r="AK303" s="96"/>
      <c r="AL303" s="96"/>
      <c r="AM303" s="96"/>
      <c r="AN303" s="96"/>
      <c r="AO303" s="96"/>
      <c r="AP303" s="96"/>
      <c r="AQ303" s="96"/>
      <c r="AR303" s="96"/>
      <c r="AS303" s="96"/>
    </row>
    <row r="304" spans="1:45" hidden="1" x14ac:dyDescent="0.2">
      <c r="A304" s="96"/>
      <c r="B304" s="96"/>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c r="AA304" s="96"/>
      <c r="AB304" s="96"/>
      <c r="AC304" s="96"/>
      <c r="AD304" s="96"/>
      <c r="AE304" s="96"/>
      <c r="AF304" s="96"/>
      <c r="AG304" s="96"/>
      <c r="AH304" s="96"/>
      <c r="AI304" s="96"/>
      <c r="AJ304" s="96"/>
      <c r="AK304" s="96"/>
      <c r="AL304" s="96"/>
      <c r="AM304" s="96"/>
      <c r="AN304" s="96"/>
      <c r="AO304" s="96"/>
      <c r="AP304" s="96"/>
      <c r="AQ304" s="96"/>
      <c r="AR304" s="96"/>
      <c r="AS304" s="96"/>
    </row>
    <row r="305" spans="1:45" hidden="1" x14ac:dyDescent="0.2">
      <c r="A305" s="96"/>
      <c r="B305" s="96"/>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c r="AA305" s="96"/>
      <c r="AB305" s="96"/>
      <c r="AC305" s="96"/>
      <c r="AD305" s="96"/>
      <c r="AE305" s="96"/>
      <c r="AF305" s="96"/>
      <c r="AG305" s="96"/>
      <c r="AH305" s="96"/>
      <c r="AI305" s="96"/>
      <c r="AJ305" s="96"/>
      <c r="AK305" s="96"/>
      <c r="AL305" s="96"/>
      <c r="AM305" s="96"/>
      <c r="AN305" s="96"/>
      <c r="AO305" s="96"/>
      <c r="AP305" s="96"/>
      <c r="AQ305" s="96"/>
      <c r="AR305" s="96"/>
      <c r="AS305" s="96"/>
    </row>
    <row r="306" spans="1:45" hidden="1" x14ac:dyDescent="0.2">
      <c r="A306" s="96"/>
      <c r="B306" s="96"/>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c r="AA306" s="96"/>
      <c r="AB306" s="96"/>
      <c r="AC306" s="96"/>
      <c r="AD306" s="96"/>
      <c r="AE306" s="96"/>
      <c r="AF306" s="96"/>
      <c r="AG306" s="96"/>
      <c r="AH306" s="96"/>
      <c r="AI306" s="96"/>
      <c r="AJ306" s="96"/>
      <c r="AK306" s="96"/>
      <c r="AL306" s="96"/>
      <c r="AM306" s="96"/>
      <c r="AN306" s="96"/>
      <c r="AO306" s="96"/>
      <c r="AP306" s="96"/>
      <c r="AQ306" s="96"/>
      <c r="AR306" s="96"/>
      <c r="AS306" s="96"/>
    </row>
    <row r="307" spans="1:45" hidden="1" x14ac:dyDescent="0.2">
      <c r="A307" s="96"/>
      <c r="B307" s="96"/>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c r="AA307" s="96"/>
      <c r="AB307" s="96"/>
      <c r="AC307" s="96"/>
      <c r="AD307" s="96"/>
      <c r="AE307" s="96"/>
      <c r="AF307" s="96"/>
      <c r="AG307" s="96"/>
      <c r="AH307" s="96"/>
      <c r="AI307" s="96"/>
      <c r="AJ307" s="96"/>
      <c r="AK307" s="96"/>
      <c r="AL307" s="96"/>
      <c r="AM307" s="96"/>
      <c r="AN307" s="96"/>
      <c r="AO307" s="96"/>
      <c r="AP307" s="96"/>
      <c r="AQ307" s="96"/>
      <c r="AR307" s="96"/>
      <c r="AS307" s="96"/>
    </row>
    <row r="308" spans="1:45" hidden="1" x14ac:dyDescent="0.2">
      <c r="A308" s="96"/>
      <c r="B308" s="96"/>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c r="AA308" s="96"/>
      <c r="AB308" s="96"/>
      <c r="AC308" s="96"/>
      <c r="AD308" s="96"/>
      <c r="AE308" s="96"/>
      <c r="AF308" s="96"/>
      <c r="AG308" s="96"/>
      <c r="AH308" s="96"/>
      <c r="AI308" s="96"/>
      <c r="AJ308" s="96"/>
      <c r="AK308" s="96"/>
      <c r="AL308" s="96"/>
      <c r="AM308" s="96"/>
      <c r="AN308" s="96"/>
      <c r="AO308" s="96"/>
      <c r="AP308" s="96"/>
      <c r="AQ308" s="96"/>
      <c r="AR308" s="96"/>
      <c r="AS308" s="96"/>
    </row>
    <row r="309" spans="1:45" hidden="1" x14ac:dyDescent="0.2">
      <c r="A309" s="96"/>
      <c r="B309" s="96"/>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c r="AA309" s="96"/>
      <c r="AB309" s="96"/>
      <c r="AC309" s="96"/>
      <c r="AD309" s="96"/>
      <c r="AE309" s="96"/>
      <c r="AF309" s="96"/>
      <c r="AG309" s="96"/>
      <c r="AH309" s="96"/>
      <c r="AI309" s="96"/>
      <c r="AJ309" s="96"/>
      <c r="AK309" s="96"/>
      <c r="AL309" s="96"/>
      <c r="AM309" s="96"/>
      <c r="AN309" s="96"/>
      <c r="AO309" s="96"/>
      <c r="AP309" s="96"/>
      <c r="AQ309" s="96"/>
      <c r="AR309" s="96"/>
      <c r="AS309" s="96"/>
    </row>
    <row r="310" spans="1:45" hidden="1" x14ac:dyDescent="0.2">
      <c r="A310" s="96"/>
      <c r="B310" s="96"/>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c r="AA310" s="96"/>
      <c r="AB310" s="96"/>
      <c r="AC310" s="96"/>
      <c r="AD310" s="96"/>
      <c r="AE310" s="96"/>
      <c r="AF310" s="96"/>
      <c r="AG310" s="96"/>
      <c r="AH310" s="96"/>
      <c r="AI310" s="96"/>
      <c r="AJ310" s="96"/>
      <c r="AK310" s="96"/>
      <c r="AL310" s="96"/>
      <c r="AM310" s="96"/>
      <c r="AN310" s="96"/>
      <c r="AO310" s="96"/>
      <c r="AP310" s="96"/>
      <c r="AQ310" s="96"/>
      <c r="AR310" s="96"/>
      <c r="AS310" s="96"/>
    </row>
    <row r="311" spans="1:45" hidden="1" x14ac:dyDescent="0.2">
      <c r="A311" s="96"/>
      <c r="B311" s="96"/>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c r="AA311" s="96"/>
      <c r="AB311" s="96"/>
      <c r="AC311" s="96"/>
      <c r="AD311" s="96"/>
      <c r="AE311" s="96"/>
      <c r="AF311" s="96"/>
      <c r="AG311" s="96"/>
      <c r="AH311" s="96"/>
      <c r="AI311" s="96"/>
      <c r="AJ311" s="96"/>
      <c r="AK311" s="96"/>
      <c r="AL311" s="96"/>
      <c r="AM311" s="96"/>
      <c r="AN311" s="96"/>
      <c r="AO311" s="96"/>
      <c r="AP311" s="96"/>
      <c r="AQ311" s="96"/>
      <c r="AR311" s="96"/>
      <c r="AS311" s="96"/>
    </row>
    <row r="312" spans="1:45" hidden="1" x14ac:dyDescent="0.2">
      <c r="A312" s="96"/>
      <c r="B312" s="96"/>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c r="AA312" s="96"/>
      <c r="AB312" s="96"/>
      <c r="AC312" s="96"/>
      <c r="AD312" s="96"/>
      <c r="AE312" s="96"/>
      <c r="AF312" s="96"/>
      <c r="AG312" s="96"/>
      <c r="AH312" s="96"/>
      <c r="AI312" s="96"/>
      <c r="AJ312" s="96"/>
      <c r="AK312" s="96"/>
      <c r="AL312" s="96"/>
      <c r="AM312" s="96"/>
      <c r="AN312" s="96"/>
      <c r="AO312" s="96"/>
      <c r="AP312" s="96"/>
      <c r="AQ312" s="96"/>
      <c r="AR312" s="96"/>
      <c r="AS312" s="96"/>
    </row>
    <row r="313" spans="1:45" hidden="1" x14ac:dyDescent="0.2">
      <c r="A313" s="96"/>
      <c r="B313" s="96"/>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c r="AA313" s="96"/>
      <c r="AB313" s="96"/>
      <c r="AC313" s="96"/>
      <c r="AD313" s="96"/>
      <c r="AE313" s="96"/>
      <c r="AF313" s="96"/>
      <c r="AG313" s="96"/>
      <c r="AH313" s="96"/>
      <c r="AI313" s="96"/>
      <c r="AJ313" s="96"/>
      <c r="AK313" s="96"/>
      <c r="AL313" s="96"/>
      <c r="AM313" s="96"/>
      <c r="AN313" s="96"/>
      <c r="AO313" s="96"/>
      <c r="AP313" s="96"/>
      <c r="AQ313" s="96"/>
      <c r="AR313" s="96"/>
      <c r="AS313" s="96"/>
    </row>
    <row r="314" spans="1:45" hidden="1" x14ac:dyDescent="0.2">
      <c r="A314" s="96"/>
      <c r="B314" s="96"/>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c r="AA314" s="96"/>
      <c r="AB314" s="96"/>
      <c r="AC314" s="96"/>
      <c r="AD314" s="96"/>
      <c r="AE314" s="96"/>
      <c r="AF314" s="96"/>
      <c r="AG314" s="96"/>
      <c r="AH314" s="96"/>
      <c r="AI314" s="96"/>
      <c r="AJ314" s="96"/>
      <c r="AK314" s="96"/>
      <c r="AL314" s="96"/>
      <c r="AM314" s="96"/>
      <c r="AN314" s="96"/>
      <c r="AO314" s="96"/>
      <c r="AP314" s="96"/>
      <c r="AQ314" s="96"/>
      <c r="AR314" s="96"/>
      <c r="AS314" s="96"/>
    </row>
    <row r="315" spans="1:45" hidden="1" x14ac:dyDescent="0.2">
      <c r="A315" s="96"/>
      <c r="B315" s="96"/>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c r="AA315" s="96"/>
      <c r="AB315" s="96"/>
      <c r="AC315" s="96"/>
      <c r="AD315" s="96"/>
      <c r="AE315" s="96"/>
      <c r="AF315" s="96"/>
      <c r="AG315" s="96"/>
      <c r="AH315" s="96"/>
      <c r="AI315" s="96"/>
      <c r="AJ315" s="96"/>
      <c r="AK315" s="96"/>
      <c r="AL315" s="96"/>
      <c r="AM315" s="96"/>
      <c r="AN315" s="96"/>
      <c r="AO315" s="96"/>
      <c r="AP315" s="96"/>
      <c r="AQ315" s="96"/>
      <c r="AR315" s="96"/>
      <c r="AS315" s="96"/>
    </row>
    <row r="316" spans="1:45" hidden="1" x14ac:dyDescent="0.2">
      <c r="A316" s="96"/>
      <c r="B316" s="96"/>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c r="AA316" s="96"/>
      <c r="AB316" s="96"/>
      <c r="AC316" s="96"/>
      <c r="AD316" s="96"/>
      <c r="AE316" s="96"/>
      <c r="AF316" s="96"/>
      <c r="AG316" s="96"/>
      <c r="AH316" s="96"/>
      <c r="AI316" s="96"/>
      <c r="AJ316" s="96"/>
      <c r="AK316" s="96"/>
      <c r="AL316" s="96"/>
      <c r="AM316" s="96"/>
      <c r="AN316" s="96"/>
      <c r="AO316" s="96"/>
      <c r="AP316" s="96"/>
      <c r="AQ316" s="96"/>
      <c r="AR316" s="96"/>
      <c r="AS316" s="96"/>
    </row>
    <row r="317" spans="1:45" hidden="1" x14ac:dyDescent="0.2">
      <c r="A317" s="96"/>
      <c r="B317" s="96"/>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row>
    <row r="318" spans="1:45" hidden="1" x14ac:dyDescent="0.2"/>
    <row r="319" spans="1:45" hidden="1" x14ac:dyDescent="0.2"/>
    <row r="320" spans="1:45" x14ac:dyDescent="0.2"/>
  </sheetData>
  <mergeCells count="3">
    <mergeCell ref="F251:F252"/>
    <mergeCell ref="C14:E14"/>
    <mergeCell ref="F14:H14"/>
  </mergeCells>
  <phoneticPr fontId="8" type="noConversion"/>
  <conditionalFormatting sqref="C210:D210 J71:J72 K126:K127 G168:M168 G209:M209 G123:M124 F119:L122 U68:U70 S71:T71 P68:R68 I210:L249 E125:J125 D251:E251 U19:U38 U50:U53 Q52:R53 C58:F65 C72:I109 C16:H52 C115:E122 C130:F167 C171:F208 C212:F249 C253:F290">
    <cfRule type="cellIs" dxfId="0" priority="127" operator="lessThan">
      <formula>0</formula>
    </cfRule>
  </conditionalFormatting>
  <pageMargins left="0.25" right="0.25" top="0.25" bottom="0.5" header="0.5" footer="0.25"/>
  <pageSetup orientation="portrait" r:id="rId1"/>
  <headerFooter alignWithMargins="0">
    <oddFooter>&amp;L&amp;"Arial,Italic"&amp;9EPA Climate Leaders Simplified GHG Emissions Calculator (Summary)&amp;R&amp;"Arial,Italic"&amp;9&amp;P of &amp;N</oddFooter>
  </headerFooter>
  <ignoredErrors>
    <ignoredError sqref="C39 E39 C19 E19" 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sheetPr>
  <dimension ref="A1:P52"/>
  <sheetViews>
    <sheetView showGridLines="0" showRowColHeaders="0" topLeftCell="A25" zoomScale="85" zoomScaleNormal="85" workbookViewId="0">
      <selection activeCell="G36" sqref="G36"/>
    </sheetView>
  </sheetViews>
  <sheetFormatPr defaultColWidth="0" defaultRowHeight="12.75" zeroHeight="1" x14ac:dyDescent="0.2"/>
  <cols>
    <col min="1" max="1" width="3.28515625" style="290" customWidth="1"/>
    <col min="2" max="2" width="8.42578125" style="290" customWidth="1"/>
    <col min="3" max="3" width="10.7109375" style="290" customWidth="1"/>
    <col min="4" max="4" width="27.7109375" style="290" customWidth="1"/>
    <col min="5" max="5" width="20.140625" style="290" customWidth="1"/>
    <col min="6" max="6" width="16.140625" style="290" customWidth="1"/>
    <col min="7" max="7" width="21.7109375" style="290" customWidth="1"/>
    <col min="8" max="8" width="18.28515625" style="290" customWidth="1"/>
    <col min="9" max="9" width="11.7109375" style="290" customWidth="1"/>
    <col min="10" max="10" width="12.7109375" style="290" customWidth="1"/>
    <col min="11" max="14" width="9.140625" style="290" customWidth="1"/>
    <col min="15" max="16384" width="9.140625" style="195" hidden="1"/>
  </cols>
  <sheetData>
    <row r="1" spans="1:14" customFormat="1" ht="6" customHeight="1" x14ac:dyDescent="0.2">
      <c r="A1" s="66"/>
      <c r="B1" s="66"/>
      <c r="C1" s="66"/>
      <c r="D1" s="66"/>
      <c r="E1" s="66"/>
      <c r="F1" s="66"/>
      <c r="G1" s="66"/>
      <c r="H1" s="66"/>
      <c r="I1" s="66"/>
      <c r="J1" s="66"/>
      <c r="K1" s="66"/>
      <c r="L1" s="66"/>
      <c r="M1" s="66"/>
      <c r="N1" s="66"/>
    </row>
    <row r="2" spans="1:14" customFormat="1" ht="14.1" customHeight="1" x14ac:dyDescent="0.2">
      <c r="A2" s="66"/>
      <c r="B2" s="66"/>
      <c r="C2" s="66"/>
      <c r="D2" s="66"/>
      <c r="E2" s="66"/>
      <c r="F2" s="66"/>
      <c r="G2" s="66"/>
      <c r="H2" s="66"/>
      <c r="I2" s="66"/>
      <c r="J2" s="66"/>
      <c r="K2" s="66"/>
      <c r="L2" s="66"/>
      <c r="M2" s="66"/>
      <c r="N2" s="66"/>
    </row>
    <row r="3" spans="1:14" customFormat="1" ht="15.75" customHeight="1" x14ac:dyDescent="0.25">
      <c r="A3" s="66"/>
      <c r="B3" s="66"/>
      <c r="C3" s="84"/>
      <c r="D3" s="66"/>
      <c r="E3" s="66"/>
      <c r="F3" s="66"/>
      <c r="G3" s="66"/>
      <c r="H3" s="66"/>
      <c r="I3" s="66"/>
      <c r="J3" s="66"/>
      <c r="K3" s="66"/>
      <c r="L3" s="66"/>
      <c r="M3" s="66"/>
      <c r="N3" s="66"/>
    </row>
    <row r="4" spans="1:14" customFormat="1" ht="15.75" customHeight="1" x14ac:dyDescent="0.25">
      <c r="A4" s="66"/>
      <c r="B4" s="66"/>
      <c r="C4" s="84"/>
      <c r="D4" s="66"/>
      <c r="E4" s="66"/>
      <c r="F4" s="66"/>
      <c r="G4" s="66"/>
      <c r="H4" s="66"/>
      <c r="I4" s="66"/>
      <c r="J4" s="66"/>
      <c r="K4" s="66"/>
      <c r="L4" s="66"/>
      <c r="M4" s="66"/>
      <c r="N4" s="66"/>
    </row>
    <row r="5" spans="1:14" ht="15.75" customHeight="1" x14ac:dyDescent="0.25">
      <c r="C5" s="291"/>
    </row>
    <row r="6" spans="1:14" ht="15.75" customHeight="1" x14ac:dyDescent="0.25">
      <c r="C6" s="291"/>
    </row>
    <row r="7" spans="1:14" ht="15.75" customHeight="1" x14ac:dyDescent="0.25">
      <c r="C7" s="291"/>
    </row>
    <row r="8" spans="1:14" ht="15.75" customHeight="1" x14ac:dyDescent="0.3">
      <c r="B8" s="210" t="s">
        <v>2159</v>
      </c>
      <c r="C8" s="352"/>
      <c r="D8" s="353"/>
    </row>
    <row r="9" spans="1:14" ht="15.75" customHeight="1" x14ac:dyDescent="0.3">
      <c r="B9" s="211"/>
      <c r="C9" s="352"/>
      <c r="D9" s="353"/>
    </row>
    <row r="10" spans="1:14" ht="15" customHeight="1" x14ac:dyDescent="0.25">
      <c r="C10" s="291"/>
    </row>
    <row r="11" spans="1:14" ht="15" customHeight="1" x14ac:dyDescent="0.25">
      <c r="B11" s="292" t="s">
        <v>116</v>
      </c>
      <c r="J11" s="293"/>
      <c r="K11" s="293"/>
      <c r="L11" s="293"/>
      <c r="M11" s="293"/>
    </row>
    <row r="12" spans="1:14" ht="15" customHeight="1" x14ac:dyDescent="0.2">
      <c r="B12" s="315" t="s">
        <v>2160</v>
      </c>
      <c r="C12" s="316"/>
      <c r="D12" s="294"/>
      <c r="E12" s="294"/>
      <c r="F12" s="294"/>
      <c r="G12" s="294"/>
      <c r="H12" s="294"/>
      <c r="I12" s="294"/>
      <c r="J12" s="294"/>
      <c r="K12" s="294"/>
      <c r="L12" s="294"/>
      <c r="M12" s="294"/>
    </row>
    <row r="13" spans="1:14" ht="15" customHeight="1" x14ac:dyDescent="0.2">
      <c r="B13" s="317" t="s">
        <v>2273</v>
      </c>
      <c r="C13" s="318"/>
      <c r="D13" s="296"/>
      <c r="E13" s="296"/>
      <c r="F13" s="296"/>
      <c r="G13" s="296"/>
      <c r="H13" s="296"/>
      <c r="I13" s="296"/>
      <c r="J13" s="296"/>
      <c r="K13" s="296"/>
      <c r="L13" s="296"/>
      <c r="M13" s="296"/>
      <c r="N13" s="296"/>
    </row>
    <row r="14" spans="1:14" ht="15" customHeight="1" x14ac:dyDescent="0.2">
      <c r="B14" s="317" t="s">
        <v>2175</v>
      </c>
      <c r="C14" s="318"/>
      <c r="D14" s="296"/>
      <c r="E14" s="296"/>
      <c r="F14" s="296"/>
      <c r="G14" s="296"/>
      <c r="H14" s="296"/>
      <c r="I14" s="296"/>
      <c r="J14" s="296"/>
      <c r="K14" s="296"/>
      <c r="L14" s="296"/>
      <c r="M14" s="296"/>
      <c r="N14" s="296"/>
    </row>
    <row r="15" spans="1:14" ht="15" customHeight="1" x14ac:dyDescent="0.25">
      <c r="B15" s="319" t="s">
        <v>2162</v>
      </c>
      <c r="C15" s="318"/>
      <c r="D15" s="296"/>
      <c r="E15" s="296"/>
      <c r="F15" s="296"/>
      <c r="G15" s="296"/>
      <c r="H15" s="296"/>
      <c r="I15" s="296"/>
      <c r="J15" s="296"/>
      <c r="K15" s="296"/>
      <c r="L15" s="296"/>
      <c r="M15" s="296"/>
      <c r="N15" s="296"/>
    </row>
    <row r="16" spans="1:14" ht="15" customHeight="1" x14ac:dyDescent="0.25">
      <c r="B16" s="320" t="s">
        <v>2161</v>
      </c>
      <c r="C16" s="318"/>
      <c r="D16" s="296"/>
      <c r="E16" s="296"/>
      <c r="F16" s="296"/>
      <c r="G16" s="296"/>
      <c r="H16" s="296"/>
      <c r="I16" s="296"/>
      <c r="J16" s="296"/>
      <c r="K16" s="296"/>
      <c r="L16" s="296"/>
      <c r="M16" s="296"/>
      <c r="N16" s="296"/>
    </row>
    <row r="17" spans="1:16" ht="15" customHeight="1" x14ac:dyDescent="0.25">
      <c r="B17" s="320" t="s">
        <v>2163</v>
      </c>
      <c r="C17" s="205"/>
    </row>
    <row r="18" spans="1:16" ht="15" customHeight="1" x14ac:dyDescent="0.25">
      <c r="B18" s="320" t="s">
        <v>2164</v>
      </c>
      <c r="C18" s="205"/>
    </row>
    <row r="19" spans="1:16" ht="15" customHeight="1" x14ac:dyDescent="0.25">
      <c r="B19" s="205" t="s">
        <v>2172</v>
      </c>
      <c r="C19" s="205"/>
    </row>
    <row r="20" spans="1:16" ht="15" customHeight="1" x14ac:dyDescent="0.25">
      <c r="B20" s="315" t="s">
        <v>2173</v>
      </c>
      <c r="C20" s="205"/>
    </row>
    <row r="21" spans="1:16" ht="15" customHeight="1" x14ac:dyDescent="0.25">
      <c r="B21" s="315" t="s">
        <v>2174</v>
      </c>
      <c r="C21" s="205"/>
    </row>
    <row r="22" spans="1:16" ht="15" customHeight="1" x14ac:dyDescent="0.2">
      <c r="B22" s="297" t="s">
        <v>2320</v>
      </c>
    </row>
    <row r="23" spans="1:16" ht="15" customHeight="1" x14ac:dyDescent="0.2">
      <c r="B23" s="297"/>
    </row>
    <row r="24" spans="1:16" ht="15" customHeight="1" x14ac:dyDescent="0.2">
      <c r="B24" s="298"/>
    </row>
    <row r="25" spans="1:16" ht="21" customHeight="1" x14ac:dyDescent="0.2">
      <c r="A25" s="295"/>
      <c r="B25" s="299"/>
      <c r="C25" s="295"/>
      <c r="D25" s="313" t="s">
        <v>346</v>
      </c>
      <c r="E25" s="1231"/>
      <c r="F25" s="1231"/>
      <c r="G25" s="1231"/>
      <c r="H25" s="1231"/>
      <c r="I25" s="1231"/>
      <c r="J25" s="295"/>
      <c r="K25" s="300"/>
      <c r="L25" s="295"/>
      <c r="M25" s="295"/>
      <c r="N25" s="295"/>
    </row>
    <row r="26" spans="1:16" ht="21" customHeight="1" x14ac:dyDescent="0.2">
      <c r="A26" s="295"/>
      <c r="B26" s="297"/>
      <c r="C26" s="295"/>
      <c r="D26" s="313" t="s">
        <v>2165</v>
      </c>
      <c r="E26" s="1232"/>
      <c r="F26" s="1232"/>
      <c r="G26" s="1232"/>
      <c r="H26" s="1232"/>
      <c r="I26" s="1232"/>
      <c r="J26" s="295"/>
      <c r="K26" s="295"/>
      <c r="L26" s="295"/>
      <c r="M26" s="295"/>
      <c r="N26" s="295"/>
      <c r="P26" s="301"/>
    </row>
    <row r="27" spans="1:16" ht="15" customHeight="1" x14ac:dyDescent="0.2">
      <c r="B27" s="302"/>
      <c r="C27" s="303"/>
      <c r="D27" s="314"/>
      <c r="E27" s="303"/>
      <c r="F27" s="303"/>
      <c r="G27" s="303"/>
      <c r="H27" s="303"/>
      <c r="I27" s="303"/>
      <c r="J27" s="303"/>
      <c r="P27" s="301"/>
    </row>
    <row r="28" spans="1:16" ht="30" customHeight="1" x14ac:dyDescent="0.2">
      <c r="B28" s="302"/>
      <c r="D28" s="314" t="s">
        <v>340</v>
      </c>
      <c r="E28" s="987">
        <v>2030</v>
      </c>
      <c r="F28" s="1227" t="s">
        <v>2274</v>
      </c>
      <c r="G28" s="1239"/>
      <c r="H28" s="1240"/>
      <c r="I28" s="1241"/>
      <c r="J28" s="303"/>
      <c r="P28" s="301"/>
    </row>
    <row r="29" spans="1:16" ht="15" customHeight="1" x14ac:dyDescent="0.2">
      <c r="B29" s="302"/>
      <c r="C29" s="303"/>
      <c r="D29" s="314"/>
      <c r="E29" s="303"/>
      <c r="F29" s="303"/>
      <c r="G29" s="303"/>
      <c r="H29" s="303"/>
      <c r="I29" s="303"/>
      <c r="J29" s="303"/>
      <c r="P29" s="301"/>
    </row>
    <row r="30" spans="1:16" ht="21" customHeight="1" x14ac:dyDescent="0.2">
      <c r="B30" s="302"/>
      <c r="D30" s="314" t="s">
        <v>253</v>
      </c>
      <c r="E30" s="1233"/>
      <c r="F30" s="1234"/>
      <c r="G30" s="1235"/>
      <c r="P30" s="301"/>
    </row>
    <row r="31" spans="1:16" ht="21" customHeight="1" x14ac:dyDescent="0.2">
      <c r="B31" s="302"/>
      <c r="D31" s="314" t="s">
        <v>2166</v>
      </c>
      <c r="E31" s="1236"/>
      <c r="F31" s="1237"/>
      <c r="G31" s="1238"/>
      <c r="P31" s="301"/>
    </row>
    <row r="32" spans="1:16" ht="21" customHeight="1" x14ac:dyDescent="0.25">
      <c r="B32" s="302"/>
      <c r="D32" s="314" t="s">
        <v>254</v>
      </c>
      <c r="E32" s="354"/>
      <c r="F32" s="212"/>
      <c r="G32" s="212"/>
      <c r="P32" s="301"/>
    </row>
    <row r="33" spans="1:16" ht="15" customHeight="1" x14ac:dyDescent="0.25">
      <c r="C33" s="291"/>
      <c r="P33" s="301"/>
    </row>
    <row r="34" spans="1:16" ht="15" customHeight="1" x14ac:dyDescent="0.25">
      <c r="B34" s="292" t="s">
        <v>195</v>
      </c>
    </row>
    <row r="35" spans="1:16" ht="15" customHeight="1" thickBot="1" x14ac:dyDescent="0.3">
      <c r="B35" s="304"/>
    </row>
    <row r="36" spans="1:16" ht="15" customHeight="1" thickTop="1" thickBot="1" x14ac:dyDescent="0.3">
      <c r="B36" s="1173"/>
      <c r="C36" s="311" t="s">
        <v>2167</v>
      </c>
      <c r="D36" s="312"/>
    </row>
    <row r="37" spans="1:16" ht="15" customHeight="1" thickTop="1" thickBot="1" x14ac:dyDescent="0.3">
      <c r="B37" s="306"/>
      <c r="C37" s="311" t="s">
        <v>2168</v>
      </c>
      <c r="D37" s="312"/>
    </row>
    <row r="38" spans="1:16" ht="15" customHeight="1" thickTop="1" thickBot="1" x14ac:dyDescent="0.3">
      <c r="B38" s="307"/>
      <c r="C38" s="311" t="s">
        <v>2169</v>
      </c>
      <c r="D38" s="312"/>
    </row>
    <row r="39" spans="1:16" ht="16.5" customHeight="1" thickTop="1" thickBot="1" x14ac:dyDescent="0.3">
      <c r="B39" s="308"/>
      <c r="C39" s="311" t="s">
        <v>2170</v>
      </c>
      <c r="D39" s="312"/>
      <c r="E39" s="303"/>
      <c r="F39" s="303"/>
      <c r="G39" s="303"/>
      <c r="H39" s="303"/>
    </row>
    <row r="40" spans="1:16" ht="16.5" customHeight="1" thickTop="1" thickBot="1" x14ac:dyDescent="0.3">
      <c r="B40" s="309"/>
      <c r="C40" s="311" t="s">
        <v>2171</v>
      </c>
      <c r="D40" s="312"/>
      <c r="E40" s="303"/>
      <c r="F40" s="303"/>
      <c r="G40" s="303"/>
      <c r="H40" s="303"/>
    </row>
    <row r="41" spans="1:16" ht="16.5" customHeight="1" thickTop="1" x14ac:dyDescent="0.2">
      <c r="A41" s="310"/>
      <c r="B41" s="305"/>
      <c r="C41" s="305"/>
      <c r="D41" s="303"/>
      <c r="E41" s="303"/>
      <c r="F41" s="303"/>
      <c r="G41" s="303"/>
      <c r="H41" s="303"/>
    </row>
    <row r="42" spans="1:16" ht="16.5" hidden="1" customHeight="1" x14ac:dyDescent="0.2">
      <c r="E42" s="303"/>
      <c r="F42" s="303"/>
      <c r="G42" s="303"/>
      <c r="H42" s="303"/>
    </row>
    <row r="43" spans="1:16" ht="16.5" hidden="1" customHeight="1" x14ac:dyDescent="0.2">
      <c r="E43" s="303"/>
      <c r="F43" s="303"/>
      <c r="G43" s="303"/>
      <c r="H43" s="303"/>
    </row>
    <row r="44" spans="1:16" ht="16.5" hidden="1" customHeight="1" x14ac:dyDescent="0.2">
      <c r="E44" s="303"/>
      <c r="F44" s="303"/>
      <c r="G44" s="303"/>
      <c r="H44" s="303"/>
    </row>
    <row r="45" spans="1:16" ht="15" hidden="1" customHeight="1" x14ac:dyDescent="0.2"/>
    <row r="46" spans="1:16" ht="15" hidden="1" customHeight="1" x14ac:dyDescent="0.2"/>
    <row r="47" spans="1:16" ht="15" hidden="1" customHeight="1" x14ac:dyDescent="0.2"/>
    <row r="48" spans="1:16" ht="15" hidden="1" customHeight="1" x14ac:dyDescent="0.2"/>
    <row r="49" ht="15" hidden="1" customHeight="1" x14ac:dyDescent="0.2"/>
    <row r="50" ht="15" hidden="1" customHeight="1" x14ac:dyDescent="0.2"/>
    <row r="51" ht="15" hidden="1" customHeight="1" x14ac:dyDescent="0.2"/>
    <row r="52" ht="15" hidden="1" customHeight="1" x14ac:dyDescent="0.2"/>
  </sheetData>
  <mergeCells count="5">
    <mergeCell ref="E25:I25"/>
    <mergeCell ref="E26:I26"/>
    <mergeCell ref="E30:G30"/>
    <mergeCell ref="E31:G31"/>
    <mergeCell ref="G28:I28"/>
  </mergeCells>
  <phoneticPr fontId="8" type="noConversion"/>
  <dataValidations xWindow="469" yWindow="606" count="3">
    <dataValidation type="textLength" allowBlank="1" showInputMessage="1" errorTitle="Erro!" error="Digite um telefone válido (utilize apenas números)." promptTitle="Ex.: (11) 5555-5555" prompt=" " sqref="E31:G31">
      <formula1>1</formula1>
      <formula2>99</formula2>
    </dataValidation>
    <dataValidation type="textLength" allowBlank="1" showInputMessage="1" showErrorMessage="1" sqref="E30:G30">
      <formula1>1</formula1>
      <formula2>99</formula2>
    </dataValidation>
    <dataValidation type="date" operator="lessThanOrEqual" allowBlank="1" showInputMessage="1" showErrorMessage="1" errorTitle="Erro!" error="Insira uma data no padrão dd/mm/aaaa" promptTitle="dd/mm/aaaa" prompt=" _x000a_" sqref="E32">
      <formula1>401404</formula1>
    </dataValidation>
  </dataValidations>
  <pageMargins left="0.25" right="0.25" top="0.25" bottom="0.5" header="0.5" footer="0.25"/>
  <pageSetup scale="55" orientation="portrait" r:id="rId1"/>
  <headerFooter alignWithMargins="0">
    <oddFooter>&amp;L&amp;"Arial,Italic"&amp;9EPA Climate Leaders Simplified GHG Emissions Calculator (Introduction)&amp;R&amp;"Arial,Italic"&amp;9&amp;P of &amp;N</oddFooter>
  </headerFooter>
  <drawing r:id="rId2"/>
  <extLst>
    <ext xmlns:x14="http://schemas.microsoft.com/office/spreadsheetml/2009/9/main" uri="{CCE6A557-97BC-4b89-ADB6-D9C93CAAB3DF}">
      <x14:dataValidations xmlns:xm="http://schemas.microsoft.com/office/excel/2006/main" xWindow="469" yWindow="606" count="1">
        <x14:dataValidation type="list" allowBlank="1" showInputMessage="1" showErrorMessage="1" errorTitle="Selecione um ano válido" error="O ano deve ser escolhido na lista suspensa." promptTitle="Selecione o ano do inventário." prompt=" ">
          <x14:formula1>
            <xm:f>Listas!$B$2:$B$23</xm:f>
          </x14:formula1>
          <xm:sqref>E28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6:BF92"/>
  <sheetViews>
    <sheetView zoomScale="70" zoomScaleNormal="70" workbookViewId="0"/>
  </sheetViews>
  <sheetFormatPr defaultColWidth="9.140625" defaultRowHeight="12.75" x14ac:dyDescent="0.2"/>
  <cols>
    <col min="1" max="1" width="9.140625" style="1012"/>
    <col min="2" max="2" width="96.42578125" style="1012" bestFit="1" customWidth="1"/>
    <col min="3" max="3" width="26.5703125" style="1012" bestFit="1" customWidth="1"/>
    <col min="4" max="4" width="22.140625" style="1012" bestFit="1" customWidth="1"/>
    <col min="5" max="5" width="21.42578125" style="1012" customWidth="1"/>
    <col min="6" max="16384" width="9.140625" style="1012"/>
  </cols>
  <sheetData>
    <row r="6" spans="2:3" x14ac:dyDescent="0.2">
      <c r="B6" s="1171"/>
    </row>
    <row r="8" spans="2:3" x14ac:dyDescent="0.2">
      <c r="B8" s="1171"/>
      <c r="C8" s="1171"/>
    </row>
    <row r="10" spans="2:3" x14ac:dyDescent="0.2">
      <c r="B10" s="1171"/>
      <c r="C10" s="1172"/>
    </row>
    <row r="15" spans="2:3" ht="18.75" x14ac:dyDescent="0.3">
      <c r="B15" s="208" t="s">
        <v>2221</v>
      </c>
    </row>
    <row r="18" spans="1:58" s="195" customFormat="1" ht="18" customHeight="1" x14ac:dyDescent="0.2">
      <c r="A18" s="411"/>
      <c r="B18" s="358" t="s">
        <v>2275</v>
      </c>
      <c r="C18" s="412"/>
      <c r="D18" s="413"/>
      <c r="E18" s="413"/>
      <c r="F18" s="413"/>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414"/>
    </row>
    <row r="20" spans="1:58" ht="15.75" x14ac:dyDescent="0.25">
      <c r="B20" s="1200" t="s">
        <v>2276</v>
      </c>
    </row>
    <row r="21" spans="1:58" ht="15.75" x14ac:dyDescent="0.25">
      <c r="B21" s="1410" t="s">
        <v>2222</v>
      </c>
      <c r="C21" s="1411" t="s">
        <v>2223</v>
      </c>
      <c r="D21" s="1411"/>
      <c r="E21" s="1411"/>
    </row>
    <row r="22" spans="1:58" ht="15.75" x14ac:dyDescent="0.25">
      <c r="B22" s="1410"/>
      <c r="C22" s="1201" t="s">
        <v>2288</v>
      </c>
      <c r="D22" s="1201" t="s">
        <v>2225</v>
      </c>
      <c r="E22" s="1201" t="s">
        <v>2224</v>
      </c>
    </row>
    <row r="23" spans="1:58" ht="19.5" x14ac:dyDescent="0.35">
      <c r="B23" s="1202" t="s">
        <v>2277</v>
      </c>
      <c r="C23" s="1204" t="s">
        <v>2226</v>
      </c>
      <c r="D23" s="1204" t="s">
        <v>2227</v>
      </c>
      <c r="E23" s="1204">
        <v>52</v>
      </c>
    </row>
    <row r="24" spans="1:58" ht="19.5" x14ac:dyDescent="0.35">
      <c r="B24" s="1202" t="s">
        <v>2278</v>
      </c>
      <c r="C24" s="1204" t="s">
        <v>2226</v>
      </c>
      <c r="D24" s="1204" t="s">
        <v>37</v>
      </c>
      <c r="E24" s="1205" t="s">
        <v>92</v>
      </c>
    </row>
    <row r="25" spans="1:58" ht="19.5" x14ac:dyDescent="0.35">
      <c r="B25" s="1202" t="s">
        <v>2279</v>
      </c>
      <c r="C25" s="1204" t="s">
        <v>2226</v>
      </c>
      <c r="D25" s="1204" t="s">
        <v>38</v>
      </c>
      <c r="E25" s="1204">
        <v>65</v>
      </c>
    </row>
    <row r="26" spans="1:58" ht="15" x14ac:dyDescent="0.2">
      <c r="B26" s="1202" t="s">
        <v>2280</v>
      </c>
      <c r="C26" s="1204" t="s">
        <v>2228</v>
      </c>
      <c r="D26" s="1205" t="s">
        <v>92</v>
      </c>
      <c r="E26" s="1205" t="s">
        <v>92</v>
      </c>
    </row>
    <row r="27" spans="1:58" ht="15" x14ac:dyDescent="0.2">
      <c r="B27" s="1202" t="s">
        <v>2281</v>
      </c>
      <c r="C27" s="1206" t="s">
        <v>2228</v>
      </c>
      <c r="D27" s="1206" t="s">
        <v>92</v>
      </c>
      <c r="E27" s="1206" t="s">
        <v>92</v>
      </c>
    </row>
    <row r="28" spans="1:58" ht="15" x14ac:dyDescent="0.2">
      <c r="B28" s="1202" t="s">
        <v>2282</v>
      </c>
      <c r="C28" s="1204" t="s">
        <v>2226</v>
      </c>
      <c r="D28" s="1204" t="s">
        <v>2227</v>
      </c>
      <c r="E28" s="1204">
        <v>52</v>
      </c>
    </row>
    <row r="29" spans="1:58" ht="30" x14ac:dyDescent="0.2">
      <c r="B29" s="1203" t="s">
        <v>2283</v>
      </c>
      <c r="C29" s="1414" t="s">
        <v>2287</v>
      </c>
      <c r="D29" s="1414"/>
      <c r="E29" s="1414"/>
    </row>
    <row r="30" spans="1:58" ht="30" x14ac:dyDescent="0.2">
      <c r="B30" s="1203" t="s">
        <v>2284</v>
      </c>
      <c r="C30" s="1207" t="s">
        <v>2229</v>
      </c>
      <c r="D30" s="1415" t="s">
        <v>2289</v>
      </c>
      <c r="E30" s="1415"/>
    </row>
    <row r="31" spans="1:58" ht="30" x14ac:dyDescent="0.2">
      <c r="B31" s="1203" t="s">
        <v>2285</v>
      </c>
      <c r="C31" s="1414" t="s">
        <v>2287</v>
      </c>
      <c r="D31" s="1414"/>
      <c r="E31" s="1414"/>
    </row>
    <row r="32" spans="1:58" ht="15" x14ac:dyDescent="0.2">
      <c r="B32" s="1202" t="s">
        <v>2286</v>
      </c>
      <c r="C32" s="1416" t="s">
        <v>2230</v>
      </c>
      <c r="D32" s="1417"/>
      <c r="E32" s="1418"/>
    </row>
    <row r="35" spans="2:5" ht="15.75" x14ac:dyDescent="0.25">
      <c r="B35" s="1200" t="s">
        <v>2290</v>
      </c>
    </row>
    <row r="36" spans="2:5" ht="15.75" x14ac:dyDescent="0.25">
      <c r="B36" s="1412" t="s">
        <v>2222</v>
      </c>
      <c r="C36" s="1413" t="s">
        <v>2223</v>
      </c>
      <c r="D36" s="1413"/>
      <c r="E36" s="1413"/>
    </row>
    <row r="37" spans="2:5" ht="15.75" x14ac:dyDescent="0.25">
      <c r="B37" s="1412"/>
      <c r="C37" s="1210" t="s">
        <v>2288</v>
      </c>
      <c r="D37" s="1210" t="s">
        <v>2225</v>
      </c>
      <c r="E37" s="1210" t="s">
        <v>2224</v>
      </c>
    </row>
    <row r="38" spans="2:5" ht="34.5" x14ac:dyDescent="0.35">
      <c r="B38" s="1209" t="s">
        <v>2291</v>
      </c>
      <c r="C38" s="1425" t="s">
        <v>2316</v>
      </c>
      <c r="D38" s="1425"/>
      <c r="E38" s="1425"/>
    </row>
    <row r="39" spans="2:5" ht="34.5" x14ac:dyDescent="0.35">
      <c r="B39" s="1209" t="s">
        <v>2292</v>
      </c>
      <c r="C39" s="1425"/>
      <c r="D39" s="1425"/>
      <c r="E39" s="1425"/>
    </row>
    <row r="40" spans="2:5" ht="39" x14ac:dyDescent="0.35">
      <c r="B40" s="1209" t="s">
        <v>2293</v>
      </c>
      <c r="C40" s="1207" t="s">
        <v>2226</v>
      </c>
      <c r="D40" s="1207" t="s">
        <v>37</v>
      </c>
      <c r="E40" s="1208" t="s">
        <v>2232</v>
      </c>
    </row>
    <row r="41" spans="2:5" ht="15" x14ac:dyDescent="0.2">
      <c r="B41" s="1202" t="s">
        <v>2280</v>
      </c>
      <c r="C41" s="1204" t="s">
        <v>2228</v>
      </c>
      <c r="D41" s="1205" t="s">
        <v>92</v>
      </c>
      <c r="E41" s="1205" t="s">
        <v>92</v>
      </c>
    </row>
    <row r="42" spans="2:5" ht="15" x14ac:dyDescent="0.2">
      <c r="B42" s="1202" t="s">
        <v>2281</v>
      </c>
      <c r="C42" s="1206" t="s">
        <v>2228</v>
      </c>
      <c r="D42" s="1206" t="s">
        <v>92</v>
      </c>
      <c r="E42" s="1206" t="s">
        <v>92</v>
      </c>
    </row>
    <row r="43" spans="2:5" ht="15" x14ac:dyDescent="0.2">
      <c r="B43" s="1202" t="s">
        <v>2282</v>
      </c>
      <c r="C43" s="1204" t="s">
        <v>2226</v>
      </c>
      <c r="D43" s="1204" t="s">
        <v>2231</v>
      </c>
      <c r="E43" s="1204">
        <v>52</v>
      </c>
    </row>
    <row r="44" spans="2:5" ht="30" x14ac:dyDescent="0.2">
      <c r="B44" s="1203" t="s">
        <v>2283</v>
      </c>
      <c r="C44" s="1414" t="s">
        <v>2287</v>
      </c>
      <c r="D44" s="1414"/>
      <c r="E44" s="1414"/>
    </row>
    <row r="45" spans="2:5" ht="30" x14ac:dyDescent="0.2">
      <c r="B45" s="1203" t="s">
        <v>2284</v>
      </c>
      <c r="C45" s="1207" t="s">
        <v>2229</v>
      </c>
      <c r="D45" s="1415" t="s">
        <v>2289</v>
      </c>
      <c r="E45" s="1415"/>
    </row>
    <row r="46" spans="2:5" ht="30" x14ac:dyDescent="0.2">
      <c r="B46" s="1203" t="s">
        <v>2285</v>
      </c>
      <c r="C46" s="1414" t="s">
        <v>2287</v>
      </c>
      <c r="D46" s="1414"/>
      <c r="E46" s="1414"/>
    </row>
    <row r="47" spans="2:5" ht="15" x14ac:dyDescent="0.2">
      <c r="B47" s="1202" t="s">
        <v>2286</v>
      </c>
      <c r="C47" s="1416" t="s">
        <v>2230</v>
      </c>
      <c r="D47" s="1417"/>
      <c r="E47" s="1418"/>
    </row>
    <row r="50" spans="2:5" ht="15.75" x14ac:dyDescent="0.25">
      <c r="B50" s="1200" t="s">
        <v>2294</v>
      </c>
    </row>
    <row r="51" spans="2:5" ht="15.75" x14ac:dyDescent="0.25">
      <c r="B51" s="1423" t="s">
        <v>2222</v>
      </c>
      <c r="C51" s="1424" t="s">
        <v>2223</v>
      </c>
      <c r="D51" s="1424"/>
      <c r="E51" s="1424"/>
    </row>
    <row r="52" spans="2:5" ht="15.75" x14ac:dyDescent="0.25">
      <c r="B52" s="1423"/>
      <c r="C52" s="1211" t="s">
        <v>2288</v>
      </c>
      <c r="D52" s="1211" t="s">
        <v>2225</v>
      </c>
      <c r="E52" s="1211" t="s">
        <v>2224</v>
      </c>
    </row>
    <row r="53" spans="2:5" ht="30" x14ac:dyDescent="0.2">
      <c r="B53" s="1226" t="s">
        <v>2295</v>
      </c>
      <c r="C53" s="1207" t="s">
        <v>2226</v>
      </c>
      <c r="D53" s="1207" t="s">
        <v>2233</v>
      </c>
      <c r="E53" s="1207">
        <v>52</v>
      </c>
    </row>
    <row r="54" spans="2:5" ht="39" x14ac:dyDescent="0.2">
      <c r="B54" s="1208" t="s">
        <v>2296</v>
      </c>
      <c r="C54" s="1207" t="s">
        <v>2226</v>
      </c>
      <c r="D54" s="1207" t="s">
        <v>37</v>
      </c>
      <c r="E54" s="1208" t="s">
        <v>2234</v>
      </c>
    </row>
    <row r="55" spans="2:5" ht="19.5" x14ac:dyDescent="0.35">
      <c r="B55" s="1202" t="s">
        <v>2279</v>
      </c>
      <c r="C55" s="1207" t="s">
        <v>2226</v>
      </c>
      <c r="D55" s="1207" t="s">
        <v>40</v>
      </c>
      <c r="E55" s="1207">
        <v>65</v>
      </c>
    </row>
    <row r="56" spans="2:5" ht="30" x14ac:dyDescent="0.2">
      <c r="B56" s="1208" t="s">
        <v>2297</v>
      </c>
      <c r="C56" s="1419" t="s">
        <v>2300</v>
      </c>
      <c r="D56" s="1420"/>
      <c r="E56" s="1421"/>
    </row>
    <row r="57" spans="2:5" ht="15" x14ac:dyDescent="0.2">
      <c r="B57" s="1202" t="s">
        <v>2298</v>
      </c>
      <c r="C57" s="1207" t="s">
        <v>2228</v>
      </c>
      <c r="D57" s="1212" t="s">
        <v>92</v>
      </c>
      <c r="E57" s="1212" t="s">
        <v>92</v>
      </c>
    </row>
    <row r="58" spans="2:5" ht="15" x14ac:dyDescent="0.2">
      <c r="B58" s="1202" t="s">
        <v>2281</v>
      </c>
      <c r="C58" s="1206" t="s">
        <v>2301</v>
      </c>
      <c r="D58" s="1206" t="s">
        <v>92</v>
      </c>
      <c r="E58" s="1206" t="s">
        <v>92</v>
      </c>
    </row>
    <row r="59" spans="2:5" ht="15" x14ac:dyDescent="0.2">
      <c r="B59" s="1202" t="s">
        <v>2282</v>
      </c>
      <c r="C59" s="1207" t="s">
        <v>2226</v>
      </c>
      <c r="D59" s="1207" t="s">
        <v>2231</v>
      </c>
      <c r="E59" s="1207">
        <v>52</v>
      </c>
    </row>
    <row r="60" spans="2:5" ht="30" x14ac:dyDescent="0.2">
      <c r="B60" s="1203" t="s">
        <v>2283</v>
      </c>
      <c r="C60" s="1414" t="s">
        <v>2287</v>
      </c>
      <c r="D60" s="1414"/>
      <c r="E60" s="1414"/>
    </row>
    <row r="61" spans="2:5" ht="30" x14ac:dyDescent="0.2">
      <c r="B61" s="1203" t="s">
        <v>2299</v>
      </c>
      <c r="C61" s="1207" t="s">
        <v>2229</v>
      </c>
      <c r="D61" s="1415" t="s">
        <v>2289</v>
      </c>
      <c r="E61" s="1415"/>
    </row>
    <row r="62" spans="2:5" ht="15" x14ac:dyDescent="0.2">
      <c r="B62" s="1202" t="s">
        <v>2286</v>
      </c>
      <c r="C62" s="1426" t="s">
        <v>2230</v>
      </c>
      <c r="D62" s="1427"/>
      <c r="E62" s="1428"/>
    </row>
    <row r="65" spans="2:7" ht="15.75" x14ac:dyDescent="0.25">
      <c r="B65" s="1200" t="s">
        <v>2302</v>
      </c>
    </row>
    <row r="66" spans="2:7" ht="42" customHeight="1" x14ac:dyDescent="0.2">
      <c r="B66" s="1429" t="s">
        <v>2306</v>
      </c>
      <c r="C66" s="1429"/>
      <c r="D66" s="1429"/>
      <c r="E66" s="1429"/>
    </row>
    <row r="67" spans="2:7" x14ac:dyDescent="0.2">
      <c r="B67" s="1422" t="s">
        <v>2222</v>
      </c>
      <c r="C67" s="1432" t="s">
        <v>2235</v>
      </c>
      <c r="D67" s="1432" t="s">
        <v>143</v>
      </c>
      <c r="E67" s="1432" t="s">
        <v>2236</v>
      </c>
      <c r="G67" s="1171"/>
    </row>
    <row r="68" spans="2:7" x14ac:dyDescent="0.2">
      <c r="B68" s="1422"/>
      <c r="C68" s="1432"/>
      <c r="D68" s="1432"/>
      <c r="E68" s="1432"/>
    </row>
    <row r="69" spans="2:7" ht="15" x14ac:dyDescent="0.2">
      <c r="B69" s="1207" t="s">
        <v>2303</v>
      </c>
      <c r="C69" s="1207"/>
      <c r="D69" s="1207"/>
      <c r="E69" s="1207"/>
    </row>
    <row r="70" spans="2:7" ht="15" x14ac:dyDescent="0.2">
      <c r="B70" s="1214" t="s">
        <v>1848</v>
      </c>
      <c r="C70" s="1207" t="str">
        <f>IF($C$73="","",Resumo!F52/GRI!$C$73)</f>
        <v/>
      </c>
      <c r="D70" s="1207" t="s">
        <v>2239</v>
      </c>
      <c r="E70" s="1207"/>
    </row>
    <row r="71" spans="2:7" ht="15" x14ac:dyDescent="0.2">
      <c r="B71" s="1214" t="s">
        <v>2237</v>
      </c>
      <c r="C71" s="1207" t="str">
        <f>IF($C$73="","",(Resumo!F53+Resumo!G52)/GRI!$C$73)</f>
        <v/>
      </c>
      <c r="D71" s="1207" t="s">
        <v>2239</v>
      </c>
      <c r="E71" s="1207"/>
    </row>
    <row r="72" spans="2:7" ht="15" x14ac:dyDescent="0.2">
      <c r="B72" s="1214" t="s">
        <v>2238</v>
      </c>
      <c r="C72" s="1207" t="str">
        <f>IF($C$73="","",(Resumo!F54+Resumo!G52+Resumo!H52)/GRI!$C$73)</f>
        <v/>
      </c>
      <c r="D72" s="1207" t="s">
        <v>2239</v>
      </c>
      <c r="E72" s="1207"/>
    </row>
    <row r="73" spans="2:7" ht="30" x14ac:dyDescent="0.2">
      <c r="B73" s="1208" t="s">
        <v>2304</v>
      </c>
      <c r="C73" s="1215"/>
      <c r="D73" s="1215"/>
      <c r="E73" s="1228" t="s">
        <v>2240</v>
      </c>
    </row>
    <row r="74" spans="2:7" ht="30" x14ac:dyDescent="0.2">
      <c r="B74" s="1208" t="s">
        <v>2307</v>
      </c>
      <c r="C74" s="1207" t="s">
        <v>2241</v>
      </c>
      <c r="D74" s="1207" t="s">
        <v>2242</v>
      </c>
      <c r="E74" s="1207" t="s">
        <v>2243</v>
      </c>
    </row>
    <row r="75" spans="2:7" ht="19.5" x14ac:dyDescent="0.2">
      <c r="B75" s="1208" t="s">
        <v>2305</v>
      </c>
      <c r="C75" s="1206" t="s">
        <v>2241</v>
      </c>
      <c r="D75" s="1206" t="s">
        <v>2244</v>
      </c>
      <c r="E75" s="1206" t="s">
        <v>2245</v>
      </c>
    </row>
    <row r="78" spans="2:7" ht="15.75" x14ac:dyDescent="0.25">
      <c r="B78" s="1200" t="s">
        <v>2309</v>
      </c>
    </row>
    <row r="79" spans="2:7" x14ac:dyDescent="0.2">
      <c r="B79" s="1171" t="s">
        <v>2308</v>
      </c>
    </row>
    <row r="82" spans="2:5" ht="15.75" x14ac:dyDescent="0.25">
      <c r="B82" s="1200" t="s">
        <v>2310</v>
      </c>
    </row>
    <row r="83" spans="2:5" ht="15.75" x14ac:dyDescent="0.25">
      <c r="B83" s="1422" t="s">
        <v>2222</v>
      </c>
      <c r="C83" s="1431" t="s">
        <v>2223</v>
      </c>
      <c r="D83" s="1431"/>
      <c r="E83" s="1431"/>
    </row>
    <row r="84" spans="2:5" ht="15.75" x14ac:dyDescent="0.25">
      <c r="B84" s="1422"/>
      <c r="C84" s="1213" t="s">
        <v>2288</v>
      </c>
      <c r="D84" s="1213" t="s">
        <v>2225</v>
      </c>
      <c r="E84" s="1213" t="s">
        <v>2224</v>
      </c>
    </row>
    <row r="85" spans="2:5" ht="30" x14ac:dyDescent="0.2">
      <c r="B85" s="1208" t="s">
        <v>2311</v>
      </c>
      <c r="C85" s="1207" t="s">
        <v>257</v>
      </c>
      <c r="D85" s="1207" t="s">
        <v>2246</v>
      </c>
      <c r="E85" s="1207" t="s">
        <v>2247</v>
      </c>
    </row>
    <row r="86" spans="2:5" ht="15" x14ac:dyDescent="0.2">
      <c r="B86" s="1208" t="s">
        <v>2312</v>
      </c>
      <c r="C86" s="1207" t="s">
        <v>257</v>
      </c>
      <c r="D86" s="1207" t="s">
        <v>2246</v>
      </c>
      <c r="E86" s="1207" t="s">
        <v>2247</v>
      </c>
    </row>
    <row r="87" spans="2:5" ht="15" x14ac:dyDescent="0.2">
      <c r="B87" s="1208" t="s">
        <v>2313</v>
      </c>
      <c r="C87" s="1207" t="s">
        <v>2229</v>
      </c>
      <c r="D87" s="1415" t="s">
        <v>2289</v>
      </c>
      <c r="E87" s="1415"/>
    </row>
    <row r="88" spans="2:5" ht="15" x14ac:dyDescent="0.2">
      <c r="B88" s="1207" t="s">
        <v>2314</v>
      </c>
      <c r="C88" s="1207" t="s">
        <v>257</v>
      </c>
      <c r="D88" s="1207" t="s">
        <v>37</v>
      </c>
      <c r="E88" s="1207" t="s">
        <v>2248</v>
      </c>
    </row>
    <row r="91" spans="2:5" ht="15.75" x14ac:dyDescent="0.2">
      <c r="B91" s="1430" t="s">
        <v>2315</v>
      </c>
      <c r="C91" s="1430"/>
      <c r="D91" s="1430"/>
      <c r="E91" s="1430"/>
    </row>
    <row r="92" spans="2:5" x14ac:dyDescent="0.2">
      <c r="B92" s="1171" t="s">
        <v>2249</v>
      </c>
    </row>
  </sheetData>
  <mergeCells count="28">
    <mergeCell ref="B91:E91"/>
    <mergeCell ref="B83:B84"/>
    <mergeCell ref="C83:E83"/>
    <mergeCell ref="D87:E87"/>
    <mergeCell ref="C67:C68"/>
    <mergeCell ref="D67:D68"/>
    <mergeCell ref="E67:E68"/>
    <mergeCell ref="C44:E44"/>
    <mergeCell ref="C32:E32"/>
    <mergeCell ref="C56:E56"/>
    <mergeCell ref="B67:B68"/>
    <mergeCell ref="B51:B52"/>
    <mergeCell ref="C51:E51"/>
    <mergeCell ref="C60:E60"/>
    <mergeCell ref="D61:E61"/>
    <mergeCell ref="C38:E39"/>
    <mergeCell ref="C47:E47"/>
    <mergeCell ref="C62:E62"/>
    <mergeCell ref="B66:E66"/>
    <mergeCell ref="D45:E45"/>
    <mergeCell ref="C46:E46"/>
    <mergeCell ref="B21:B22"/>
    <mergeCell ref="C21:E21"/>
    <mergeCell ref="B36:B37"/>
    <mergeCell ref="C36:E36"/>
    <mergeCell ref="C29:E29"/>
    <mergeCell ref="D30:E30"/>
    <mergeCell ref="C31:E31"/>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3">
    <tabColor theme="6"/>
    <outlinePr summaryBelow="0" summaryRight="0"/>
  </sheetPr>
  <dimension ref="A1:CZ2106"/>
  <sheetViews>
    <sheetView showGridLines="0" topLeftCell="A216" zoomScale="60" zoomScaleNormal="60" zoomScalePageLayoutView="55" workbookViewId="0">
      <selection activeCell="F269" sqref="F269:F350"/>
    </sheetView>
  </sheetViews>
  <sheetFormatPr defaultColWidth="0" defaultRowHeight="12.75" zeroHeight="1" outlineLevelRow="1" x14ac:dyDescent="0.2"/>
  <cols>
    <col min="1" max="1" width="5.28515625" style="25" customWidth="1"/>
    <col min="2" max="2" width="8.28515625" style="25" customWidth="1"/>
    <col min="3" max="3" width="49.5703125" style="25" customWidth="1"/>
    <col min="4" max="4" width="41.140625" style="25" customWidth="1"/>
    <col min="5" max="5" width="41" style="25" bestFit="1" customWidth="1"/>
    <col min="6" max="6" width="18.28515625" style="25" customWidth="1"/>
    <col min="7" max="7" width="25.5703125" style="25" customWidth="1"/>
    <col min="8" max="8" width="12.85546875" style="25" bestFit="1" customWidth="1"/>
    <col min="9" max="9" width="25.5703125" style="25" bestFit="1" customWidth="1"/>
    <col min="10" max="10" width="12.85546875" style="25" bestFit="1" customWidth="1"/>
    <col min="11" max="11" width="11.140625" style="25" customWidth="1"/>
    <col min="12" max="12" width="15.140625" style="25" customWidth="1"/>
    <col min="13" max="13" width="10.28515625" style="25" bestFit="1" customWidth="1"/>
    <col min="14" max="14" width="24" style="25" customWidth="1"/>
    <col min="15" max="15" width="20.85546875" style="25" customWidth="1"/>
    <col min="16" max="16" width="17.5703125" style="25" customWidth="1"/>
    <col min="17" max="17" width="26.28515625" style="25" bestFit="1" customWidth="1"/>
    <col min="18" max="18" width="7.28515625" style="25" bestFit="1" customWidth="1"/>
    <col min="19" max="19" width="18.7109375" style="25" customWidth="1"/>
    <col min="20" max="20" width="19.42578125" style="25" customWidth="1"/>
    <col min="21" max="21" width="16.42578125" style="25" customWidth="1"/>
    <col min="22" max="22" width="26.28515625" style="25" bestFit="1" customWidth="1"/>
    <col min="23" max="23" width="13.7109375" style="25" bestFit="1" customWidth="1"/>
    <col min="24" max="24" width="11.85546875" style="25" customWidth="1"/>
    <col min="25" max="25" width="11.42578125" style="25" bestFit="1" customWidth="1"/>
    <col min="26" max="26" width="14.7109375" style="25" bestFit="1" customWidth="1"/>
    <col min="27" max="27" width="13.7109375" style="25" bestFit="1" customWidth="1"/>
    <col min="28" max="28" width="24.140625" style="25" bestFit="1" customWidth="1"/>
    <col min="29" max="29" width="6.42578125" style="25" bestFit="1" customWidth="1"/>
    <col min="30" max="31" width="11.5703125" style="25" customWidth="1"/>
    <col min="32" max="36" width="10.7109375" style="25" customWidth="1"/>
    <col min="37" max="37" width="6.42578125" style="25" bestFit="1" customWidth="1"/>
    <col min="38" max="38" width="7" style="25" customWidth="1"/>
    <col min="39" max="39" width="3.5703125" style="25" customWidth="1"/>
    <col min="40" max="40" width="30.7109375" style="25" bestFit="1" customWidth="1"/>
    <col min="41" max="41" width="30.85546875" style="25" bestFit="1" customWidth="1"/>
    <col min="42" max="42" width="8.28515625" style="25" customWidth="1"/>
    <col min="43" max="43" width="8.140625" style="25" customWidth="1"/>
    <col min="44" max="44" width="8.28515625" style="25" customWidth="1"/>
    <col min="45" max="45" width="9.140625" style="25" customWidth="1"/>
    <col min="46" max="47" width="8.85546875" style="25" customWidth="1"/>
    <col min="48" max="48" width="8.7109375" style="25" customWidth="1"/>
    <col min="49" max="49" width="8.28515625" style="25" customWidth="1"/>
    <col min="50" max="50" width="8.85546875" style="25" customWidth="1"/>
    <col min="51" max="51" width="8.28515625" style="25" customWidth="1"/>
    <col min="52" max="52" width="8" style="25" customWidth="1"/>
    <col min="53" max="53" width="9.140625" style="25" customWidth="1"/>
    <col min="54" max="54" width="8" style="25" customWidth="1"/>
    <col min="55" max="55" width="16.140625" style="25" customWidth="1"/>
    <col min="56" max="56" width="8.7109375" style="25" bestFit="1" customWidth="1"/>
    <col min="57" max="57" width="8.28515625" style="25" customWidth="1"/>
    <col min="58" max="59" width="15.28515625" style="25" bestFit="1" customWidth="1"/>
    <col min="60" max="60" width="7.28515625" style="25" customWidth="1"/>
    <col min="61" max="61" width="7.85546875" style="25" customWidth="1"/>
    <col min="62" max="62" width="7.7109375" style="25" customWidth="1"/>
    <col min="63" max="63" width="8" style="25" customWidth="1"/>
    <col min="64" max="64" width="8.140625" style="25" customWidth="1"/>
    <col min="65" max="65" width="8.42578125" style="25" customWidth="1"/>
    <col min="66" max="66" width="11.140625" style="25" bestFit="1" customWidth="1"/>
    <col min="67" max="67" width="8.28515625" style="25" customWidth="1"/>
    <col min="68" max="68" width="9.28515625" style="25" customWidth="1"/>
    <col min="69" max="69" width="8.140625" style="25" customWidth="1"/>
    <col min="70" max="70" width="8.28515625" style="25" customWidth="1"/>
    <col min="71" max="71" width="7.85546875" style="25" customWidth="1"/>
    <col min="72" max="74" width="8.42578125" style="25" customWidth="1"/>
    <col min="75" max="75" width="9.85546875" style="25" bestFit="1" customWidth="1"/>
    <col min="76" max="86" width="6.7109375" style="25" customWidth="1"/>
    <col min="87" max="87" width="6.7109375" customWidth="1"/>
    <col min="88" max="104" width="9.140625" customWidth="1"/>
    <col min="105" max="16384" width="9.140625" hidden="1"/>
  </cols>
  <sheetData>
    <row r="1" spans="1:92" ht="14.1" hidden="1" customHeight="1" x14ac:dyDescent="0.2">
      <c r="A1" s="12"/>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35"/>
      <c r="AF1" s="17"/>
      <c r="AG1" s="17"/>
      <c r="AH1" s="17"/>
      <c r="AI1" s="17"/>
      <c r="AJ1" s="17"/>
      <c r="AK1" s="17"/>
      <c r="AL1" s="17"/>
      <c r="AM1" s="17"/>
      <c r="AN1" s="17"/>
      <c r="AO1" s="17"/>
      <c r="AP1" s="17"/>
      <c r="AQ1" s="17"/>
      <c r="AR1" s="17"/>
      <c r="AS1" s="17"/>
      <c r="AT1" s="17"/>
      <c r="AU1" s="17"/>
      <c r="AV1" s="17"/>
      <c r="AW1" s="17"/>
      <c r="AX1" s="17"/>
      <c r="AY1" s="17"/>
      <c r="AZ1" s="17"/>
      <c r="BA1" s="17"/>
      <c r="BB1" s="35"/>
      <c r="BC1" s="17"/>
      <c r="BD1" s="17"/>
      <c r="BE1" s="17"/>
      <c r="BF1" s="17"/>
      <c r="BG1" s="17"/>
      <c r="BH1" s="17"/>
      <c r="BI1" s="17"/>
      <c r="BJ1" s="17"/>
      <c r="BK1" s="17"/>
      <c r="BL1" s="17"/>
      <c r="BM1" s="17"/>
      <c r="BN1" s="17"/>
      <c r="BO1" s="17"/>
      <c r="BP1" s="17"/>
      <c r="BQ1" s="17"/>
      <c r="BR1" s="17"/>
      <c r="BS1" s="17"/>
      <c r="BT1" s="17"/>
      <c r="BU1" s="17"/>
      <c r="BV1" s="17"/>
      <c r="BW1" s="17"/>
      <c r="BX1" s="17"/>
      <c r="BY1" s="35"/>
      <c r="BZ1" s="17"/>
      <c r="CA1" s="17"/>
      <c r="CB1" s="35"/>
      <c r="CC1" s="35"/>
      <c r="CD1" s="17"/>
      <c r="CE1" s="17"/>
      <c r="CF1" s="17"/>
      <c r="CG1" s="17"/>
      <c r="CH1" s="17"/>
    </row>
    <row r="2" spans="1:92" ht="15.75" customHeight="1" x14ac:dyDescent="0.2">
      <c r="A2" s="12"/>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35"/>
      <c r="AF2" s="17"/>
      <c r="AG2" s="17"/>
      <c r="AH2" s="17"/>
      <c r="AI2" s="17"/>
      <c r="AJ2" s="17"/>
      <c r="AK2" s="17"/>
      <c r="AL2" s="17"/>
      <c r="AM2" s="17"/>
      <c r="AN2" s="17"/>
      <c r="AO2" s="17"/>
      <c r="AP2" s="17"/>
      <c r="AQ2" s="17"/>
      <c r="AR2" s="17"/>
      <c r="AS2" s="17"/>
      <c r="AT2" s="17"/>
      <c r="AU2" s="17"/>
      <c r="AV2" s="17"/>
      <c r="AW2" s="17"/>
      <c r="AX2" s="17"/>
      <c r="AY2" s="17"/>
      <c r="AZ2" s="17"/>
      <c r="BA2" s="17"/>
      <c r="BB2" s="35"/>
      <c r="BC2" s="17"/>
      <c r="BD2" s="17"/>
      <c r="BE2" s="17"/>
      <c r="BF2" s="17"/>
      <c r="BG2" s="17"/>
      <c r="BH2" s="17"/>
      <c r="BI2" s="17"/>
      <c r="BJ2" s="17"/>
      <c r="BK2" s="17"/>
      <c r="BL2" s="17"/>
      <c r="BM2" s="17"/>
      <c r="BN2" s="17"/>
      <c r="BO2" s="17"/>
      <c r="BP2" s="17"/>
      <c r="BQ2" s="17"/>
      <c r="BR2" s="17"/>
      <c r="BS2" s="17"/>
      <c r="BT2" s="17"/>
      <c r="BU2" s="17"/>
      <c r="BV2" s="17"/>
      <c r="BW2" s="17"/>
      <c r="BX2" s="17"/>
      <c r="BY2" s="35"/>
      <c r="BZ2" s="17"/>
      <c r="CA2" s="17"/>
      <c r="CB2" s="35"/>
      <c r="CC2" s="35"/>
      <c r="CD2" s="17"/>
      <c r="CE2" s="17"/>
      <c r="CF2" s="17"/>
      <c r="CG2" s="17"/>
      <c r="CH2" s="17"/>
    </row>
    <row r="3" spans="1:92" ht="15.75" customHeight="1" x14ac:dyDescent="0.2">
      <c r="A3" s="12"/>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35"/>
      <c r="AF3" s="17"/>
      <c r="AG3" s="17"/>
      <c r="AH3" s="17"/>
      <c r="AI3" s="17"/>
      <c r="AJ3" s="17"/>
      <c r="AK3" s="17"/>
      <c r="AL3" s="17"/>
      <c r="AM3" s="17"/>
      <c r="AN3" s="17"/>
      <c r="AO3" s="17"/>
      <c r="AP3" s="17"/>
      <c r="AQ3" s="17"/>
      <c r="AR3" s="17"/>
      <c r="AS3" s="17"/>
      <c r="AT3" s="17"/>
      <c r="AU3" s="17"/>
      <c r="AV3" s="17"/>
      <c r="AW3" s="17"/>
      <c r="AX3" s="17"/>
      <c r="AY3" s="17"/>
      <c r="AZ3" s="17"/>
      <c r="BA3" s="17"/>
      <c r="BB3" s="35"/>
      <c r="BC3" s="17"/>
      <c r="BD3" s="17"/>
      <c r="BE3" s="17"/>
      <c r="BF3" s="17"/>
      <c r="BG3" s="17"/>
      <c r="BH3" s="17"/>
      <c r="BI3" s="17"/>
      <c r="BJ3" s="17"/>
      <c r="BK3" s="17"/>
      <c r="BL3" s="17"/>
      <c r="BM3" s="17"/>
      <c r="BN3" s="17"/>
      <c r="BO3" s="17"/>
      <c r="BP3" s="17"/>
      <c r="BQ3" s="17"/>
      <c r="BR3" s="17"/>
      <c r="BS3" s="17"/>
      <c r="BT3" s="17"/>
      <c r="BU3" s="17"/>
      <c r="BV3" s="17"/>
      <c r="BW3" s="17"/>
      <c r="BX3" s="17"/>
      <c r="BY3" s="35"/>
      <c r="BZ3" s="17"/>
      <c r="CA3" s="17"/>
      <c r="CB3" s="35"/>
      <c r="CC3" s="35"/>
      <c r="CD3" s="17"/>
      <c r="CE3" s="17"/>
      <c r="CF3" s="17"/>
      <c r="CG3" s="17"/>
      <c r="CH3" s="17"/>
    </row>
    <row r="4" spans="1:92" ht="15.75" customHeight="1" x14ac:dyDescent="0.2">
      <c r="A4" s="12"/>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35"/>
      <c r="AF4" s="17"/>
      <c r="AG4" s="17"/>
      <c r="AH4" s="17"/>
      <c r="AI4" s="17"/>
      <c r="AJ4" s="17"/>
      <c r="AK4" s="17"/>
      <c r="AL4" s="17"/>
      <c r="AM4" s="16"/>
      <c r="AN4" s="17"/>
      <c r="AO4" s="17"/>
      <c r="AP4" s="17"/>
      <c r="AQ4" s="17"/>
      <c r="AR4" s="17"/>
      <c r="AS4" s="17"/>
      <c r="AT4" s="17"/>
      <c r="AU4" s="17"/>
      <c r="AV4" s="17"/>
      <c r="AW4" s="17"/>
      <c r="AX4" s="17"/>
      <c r="AY4" s="17"/>
      <c r="AZ4" s="17"/>
      <c r="BA4" s="17"/>
      <c r="BB4" s="35"/>
      <c r="BC4" s="17"/>
      <c r="BD4" s="17"/>
      <c r="BE4" s="17"/>
      <c r="BF4" s="17"/>
      <c r="BG4" s="17"/>
      <c r="BH4" s="17"/>
      <c r="BI4" s="17"/>
      <c r="BJ4" s="17"/>
      <c r="BK4" s="17"/>
      <c r="BL4" s="17"/>
      <c r="BM4" s="17"/>
      <c r="BN4" s="17"/>
      <c r="BO4" s="17"/>
      <c r="BP4" s="17"/>
      <c r="BQ4" s="17"/>
      <c r="BR4" s="17"/>
      <c r="BS4" s="17"/>
      <c r="BT4" s="17"/>
      <c r="BU4" s="17"/>
      <c r="BV4" s="17"/>
      <c r="BW4" s="17"/>
      <c r="BX4" s="17"/>
      <c r="BY4" s="35"/>
      <c r="BZ4" s="17"/>
      <c r="CA4" s="17"/>
      <c r="CB4" s="35"/>
      <c r="CC4" s="35"/>
      <c r="CD4" s="17"/>
      <c r="CE4" s="17"/>
      <c r="CF4" s="17"/>
      <c r="CG4" s="17"/>
      <c r="CH4" s="17"/>
    </row>
    <row r="5" spans="1:92" ht="15.75" customHeight="1" x14ac:dyDescent="0.2">
      <c r="A5" s="12"/>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35"/>
      <c r="AF5" s="17"/>
      <c r="AG5" s="17"/>
      <c r="AH5" s="17"/>
      <c r="AI5" s="17"/>
      <c r="AJ5" s="17"/>
      <c r="AK5" s="17"/>
      <c r="AL5" s="17"/>
      <c r="AM5" s="16"/>
      <c r="AN5" s="17"/>
      <c r="AO5" s="17"/>
      <c r="AP5" s="17"/>
      <c r="AQ5" s="17"/>
      <c r="AR5" s="17"/>
      <c r="AS5" s="17"/>
      <c r="AT5" s="17"/>
      <c r="AU5" s="17"/>
      <c r="AV5" s="17"/>
      <c r="AW5" s="17"/>
      <c r="AX5" s="17"/>
      <c r="AY5" s="17"/>
      <c r="AZ5" s="17"/>
      <c r="BA5" s="17"/>
      <c r="BB5" s="35"/>
      <c r="BC5" s="17"/>
      <c r="BD5" s="17"/>
      <c r="BE5" s="17"/>
      <c r="BF5" s="17"/>
      <c r="BG5" s="17"/>
      <c r="BH5" s="17"/>
      <c r="BI5" s="17"/>
      <c r="BJ5" s="17"/>
      <c r="BK5" s="17"/>
      <c r="BL5" s="17"/>
      <c r="BM5" s="17"/>
      <c r="BN5" s="17"/>
      <c r="BO5" s="17"/>
      <c r="BP5" s="17"/>
      <c r="BQ5" s="17"/>
      <c r="BR5" s="17"/>
      <c r="BS5" s="17"/>
      <c r="BT5" s="17"/>
      <c r="BU5" s="17"/>
      <c r="BV5" s="17"/>
      <c r="BW5" s="17"/>
      <c r="BX5" s="17"/>
      <c r="BY5" s="35"/>
      <c r="BZ5" s="17"/>
      <c r="CA5" s="17"/>
      <c r="CB5" s="35"/>
      <c r="CC5" s="35"/>
      <c r="CD5" s="17"/>
      <c r="CE5" s="17"/>
      <c r="CF5" s="17"/>
      <c r="CG5" s="17"/>
      <c r="CH5" s="17"/>
    </row>
    <row r="6" spans="1:92" ht="15.75" customHeight="1" x14ac:dyDescent="0.2">
      <c r="A6" s="12"/>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35"/>
      <c r="AF6" s="17"/>
      <c r="AG6" s="17"/>
      <c r="AH6" s="17"/>
      <c r="AI6" s="17"/>
      <c r="AJ6" s="17"/>
      <c r="AK6" s="17"/>
      <c r="AL6" s="17"/>
      <c r="AM6" s="16"/>
      <c r="AN6" s="17"/>
      <c r="AO6" s="17"/>
      <c r="AP6" s="17"/>
      <c r="AQ6" s="17"/>
      <c r="AR6" s="17"/>
      <c r="AS6" s="17"/>
      <c r="AT6" s="17"/>
      <c r="AU6" s="17"/>
      <c r="AV6" s="17"/>
      <c r="AW6" s="17"/>
      <c r="AX6" s="17"/>
      <c r="AY6" s="17"/>
      <c r="AZ6" s="17"/>
      <c r="BA6" s="17"/>
      <c r="BB6" s="35"/>
      <c r="BC6" s="17"/>
      <c r="BD6" s="17"/>
      <c r="BE6" s="17"/>
      <c r="BF6" s="17"/>
      <c r="BG6" s="17"/>
      <c r="BH6" s="17"/>
      <c r="BI6" s="17"/>
      <c r="BJ6" s="17"/>
      <c r="BK6" s="17"/>
      <c r="BL6" s="17"/>
      <c r="BM6" s="17"/>
      <c r="BN6" s="17"/>
      <c r="BO6" s="17"/>
      <c r="BP6" s="17"/>
      <c r="BQ6" s="17"/>
      <c r="BR6" s="17"/>
      <c r="BS6" s="17"/>
      <c r="BT6" s="17"/>
      <c r="BU6" s="17"/>
      <c r="BV6" s="17"/>
      <c r="BW6" s="17"/>
      <c r="BX6" s="17"/>
      <c r="BY6" s="35"/>
      <c r="BZ6" s="17"/>
      <c r="CA6" s="17"/>
      <c r="CB6" s="35"/>
      <c r="CC6" s="35"/>
      <c r="CD6" s="17"/>
      <c r="CE6" s="17"/>
      <c r="CF6" s="17"/>
      <c r="CG6" s="17"/>
      <c r="CH6" s="17"/>
    </row>
    <row r="7" spans="1:92" ht="15.75" customHeight="1" x14ac:dyDescent="0.2">
      <c r="A7" s="12"/>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35"/>
      <c r="AF7" s="17"/>
      <c r="AG7" s="17"/>
      <c r="AH7" s="17"/>
      <c r="AI7" s="17"/>
      <c r="AJ7" s="17"/>
      <c r="AK7" s="17"/>
      <c r="AL7" s="17"/>
      <c r="AM7" s="16"/>
      <c r="AN7" s="17"/>
      <c r="AO7" s="17"/>
      <c r="AP7" s="17"/>
      <c r="AQ7" s="17"/>
      <c r="AR7" s="17"/>
      <c r="AS7" s="17"/>
      <c r="AT7" s="17"/>
      <c r="AU7" s="17"/>
      <c r="AV7" s="17"/>
      <c r="AW7" s="17"/>
      <c r="AX7" s="17"/>
      <c r="AY7" s="17"/>
      <c r="AZ7" s="17"/>
      <c r="BA7" s="17"/>
      <c r="BB7" s="35"/>
      <c r="BC7" s="17"/>
      <c r="BD7" s="17"/>
      <c r="BE7" s="17"/>
      <c r="BF7" s="17"/>
      <c r="BG7" s="17"/>
      <c r="BH7" s="17"/>
      <c r="BI7" s="17"/>
      <c r="BJ7" s="17"/>
      <c r="BK7" s="17"/>
      <c r="BL7" s="17"/>
      <c r="BM7" s="17"/>
      <c r="BN7" s="17"/>
      <c r="BO7" s="17"/>
      <c r="BP7" s="17"/>
      <c r="BQ7" s="17"/>
      <c r="BR7" s="17"/>
      <c r="BS7" s="17"/>
      <c r="BT7" s="17"/>
      <c r="BU7" s="17"/>
      <c r="BV7" s="17"/>
      <c r="BW7" s="17"/>
      <c r="BX7" s="17"/>
      <c r="BY7" s="35"/>
      <c r="BZ7" s="17"/>
      <c r="CA7" s="17"/>
      <c r="CB7" s="35"/>
      <c r="CC7" s="35"/>
      <c r="CD7" s="17"/>
      <c r="CE7" s="17"/>
      <c r="CF7" s="17"/>
      <c r="CG7" s="17"/>
      <c r="CH7" s="17"/>
    </row>
    <row r="8" spans="1:92" ht="15.75" customHeight="1" x14ac:dyDescent="0.2">
      <c r="A8" s="12"/>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35"/>
      <c r="AF8" s="17"/>
      <c r="AG8" s="17"/>
      <c r="AH8" s="17"/>
      <c r="AI8" s="17"/>
      <c r="AJ8" s="17"/>
      <c r="AK8" s="17"/>
      <c r="AL8" s="17"/>
      <c r="AM8" s="16"/>
      <c r="AN8" s="17"/>
      <c r="AO8" s="17"/>
      <c r="AP8" s="17"/>
      <c r="AQ8" s="17"/>
      <c r="AR8" s="17"/>
      <c r="AS8" s="17"/>
      <c r="AT8" s="17"/>
      <c r="AU8" s="17"/>
      <c r="AV8" s="17"/>
      <c r="AW8" s="17"/>
      <c r="AX8" s="17"/>
      <c r="AY8" s="17"/>
      <c r="AZ8" s="17"/>
      <c r="BA8" s="17"/>
      <c r="BB8" s="35"/>
      <c r="BC8" s="17"/>
      <c r="BD8" s="17"/>
      <c r="BE8" s="17"/>
      <c r="BF8" s="17"/>
      <c r="BG8" s="17"/>
      <c r="BH8" s="17"/>
      <c r="BI8" s="17"/>
      <c r="BJ8" s="17"/>
      <c r="BK8" s="17"/>
      <c r="BL8" s="17"/>
      <c r="BM8" s="17"/>
      <c r="BN8" s="17"/>
      <c r="BO8" s="17"/>
      <c r="BP8" s="17"/>
      <c r="BQ8" s="17"/>
      <c r="BR8" s="17"/>
      <c r="BS8" s="17"/>
      <c r="BT8" s="17"/>
      <c r="BU8" s="17"/>
      <c r="BV8" s="17"/>
      <c r="BW8" s="17"/>
      <c r="BX8" s="17"/>
      <c r="BY8" s="35"/>
      <c r="BZ8" s="17"/>
      <c r="CA8" s="17"/>
      <c r="CB8" s="35"/>
      <c r="CC8" s="35"/>
      <c r="CD8" s="17"/>
      <c r="CE8" s="17"/>
      <c r="CF8" s="17"/>
      <c r="CG8" s="17"/>
      <c r="CH8" s="17"/>
    </row>
    <row r="9" spans="1:92" s="94" customFormat="1" ht="15.75" customHeight="1" x14ac:dyDescent="0.2">
      <c r="A9" s="36"/>
      <c r="B9" s="35"/>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4"/>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3"/>
      <c r="BX9" s="33"/>
      <c r="BY9" s="33"/>
      <c r="BZ9" s="33"/>
      <c r="CA9" s="33"/>
      <c r="CB9" s="35"/>
      <c r="CC9" s="35"/>
      <c r="CD9" s="35"/>
      <c r="CE9" s="35"/>
      <c r="CF9" s="35"/>
      <c r="CG9" s="35"/>
      <c r="CH9" s="35"/>
    </row>
    <row r="10" spans="1:92" ht="15.75" customHeight="1" x14ac:dyDescent="0.2">
      <c r="A10" s="12"/>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35"/>
      <c r="AF10" s="17"/>
      <c r="AG10" s="17"/>
      <c r="AH10" s="17"/>
      <c r="AI10" s="17"/>
      <c r="AJ10" s="17"/>
      <c r="AK10" s="17"/>
      <c r="AL10" s="17"/>
      <c r="AM10" s="16"/>
      <c r="AN10" s="17"/>
      <c r="AO10" s="17"/>
      <c r="AP10" s="17"/>
      <c r="AQ10" s="17"/>
      <c r="AR10" s="17"/>
      <c r="AS10" s="17"/>
      <c r="AT10" s="17"/>
      <c r="AU10" s="17"/>
      <c r="AV10" s="17"/>
      <c r="AW10" s="17"/>
      <c r="AX10" s="17"/>
      <c r="AY10" s="17"/>
      <c r="AZ10" s="17"/>
      <c r="BA10" s="17"/>
      <c r="BB10" s="35"/>
      <c r="BC10" s="17"/>
      <c r="BD10" s="17"/>
      <c r="BE10" s="17"/>
      <c r="BF10" s="17"/>
      <c r="BG10" s="17"/>
      <c r="BH10" s="17"/>
      <c r="BI10" s="17"/>
      <c r="BJ10" s="17"/>
      <c r="BK10" s="17"/>
      <c r="BL10" s="17"/>
      <c r="BM10" s="17"/>
      <c r="BN10" s="17"/>
      <c r="BO10" s="17"/>
      <c r="BP10" s="17"/>
      <c r="BQ10" s="17"/>
      <c r="BR10" s="17"/>
      <c r="BS10" s="17"/>
      <c r="BT10" s="17"/>
      <c r="BU10" s="17"/>
      <c r="BV10" s="17"/>
      <c r="BW10" s="33"/>
      <c r="BX10" s="33"/>
      <c r="BY10" s="33"/>
      <c r="BZ10" s="33"/>
      <c r="CA10" s="33"/>
      <c r="CB10" s="35"/>
      <c r="CC10" s="35"/>
      <c r="CD10" s="17"/>
      <c r="CE10" s="17"/>
      <c r="CF10" s="17"/>
      <c r="CG10" s="17"/>
      <c r="CH10" s="17"/>
    </row>
    <row r="11" spans="1:92" s="94" customFormat="1" ht="15" customHeight="1" outlineLevel="1" x14ac:dyDescent="0.2">
      <c r="A11" s="36"/>
      <c r="B11" s="128"/>
      <c r="C11" s="129"/>
      <c r="D11" s="130"/>
      <c r="E11" s="130"/>
      <c r="F11" s="130"/>
      <c r="G11" s="130"/>
      <c r="H11" s="51"/>
      <c r="I11" s="35"/>
      <c r="J11" s="35"/>
      <c r="K11" s="35"/>
      <c r="L11" s="35"/>
      <c r="M11" s="35"/>
      <c r="N11" s="35"/>
      <c r="O11" s="35"/>
      <c r="P11" s="35"/>
      <c r="Q11" s="35"/>
      <c r="R11" s="35"/>
      <c r="S11" s="35"/>
      <c r="T11" s="35"/>
      <c r="U11" s="35"/>
      <c r="V11" s="35"/>
      <c r="W11" s="35"/>
      <c r="X11" s="35"/>
      <c r="Y11" s="35"/>
      <c r="Z11" s="35"/>
      <c r="AA11" s="35"/>
      <c r="AB11" s="35"/>
      <c r="AC11" s="34"/>
      <c r="AD11" s="35"/>
      <c r="AE11" s="35"/>
      <c r="AF11" s="35"/>
      <c r="AG11" s="35"/>
      <c r="AH11" s="35"/>
      <c r="AI11" s="35"/>
      <c r="AJ11" s="35"/>
      <c r="AK11" s="35"/>
      <c r="AL11" s="35"/>
      <c r="AM11" s="34"/>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row>
    <row r="12" spans="1:92" ht="15.75" customHeight="1" x14ac:dyDescent="0.2">
      <c r="A12" s="12"/>
      <c r="B12" s="12"/>
      <c r="C12" s="12"/>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6"/>
      <c r="AD12" s="17"/>
      <c r="AE12" s="35"/>
      <c r="AF12" s="17"/>
      <c r="AG12" s="17"/>
      <c r="AH12" s="17"/>
      <c r="AI12" s="17"/>
      <c r="AJ12" s="17"/>
      <c r="AK12" s="17"/>
      <c r="AL12" s="17"/>
      <c r="AM12" s="17"/>
      <c r="AN12" s="17"/>
      <c r="AO12" s="17"/>
      <c r="AP12" s="17"/>
      <c r="AQ12" s="17"/>
      <c r="AR12" s="17"/>
      <c r="AS12" s="17"/>
      <c r="AT12" s="17"/>
      <c r="AU12" s="17"/>
      <c r="AV12" s="17"/>
      <c r="AW12" s="17"/>
      <c r="AX12" s="17"/>
      <c r="AY12" s="17"/>
      <c r="AZ12" s="17"/>
      <c r="BA12" s="17"/>
      <c r="BB12" s="35"/>
      <c r="BC12" s="17"/>
      <c r="BD12" s="17"/>
      <c r="BE12" s="17"/>
      <c r="BF12" s="17"/>
      <c r="BG12" s="17"/>
      <c r="BH12" s="17"/>
      <c r="BI12" s="17"/>
      <c r="BJ12" s="17"/>
      <c r="BK12" s="17"/>
      <c r="BL12" s="17"/>
      <c r="BM12" s="17"/>
      <c r="BN12" s="17"/>
      <c r="BO12" s="17"/>
      <c r="BP12" s="17"/>
      <c r="BQ12" s="17"/>
      <c r="BR12" s="17"/>
      <c r="BS12" s="17"/>
      <c r="BT12" s="17"/>
      <c r="BU12" s="17"/>
      <c r="BV12" s="17"/>
      <c r="BW12" s="33"/>
      <c r="BX12" s="33"/>
      <c r="BY12" s="33"/>
      <c r="BZ12" s="33"/>
      <c r="CA12" s="33"/>
      <c r="CB12" s="35"/>
      <c r="CC12" s="35"/>
      <c r="CD12" s="17"/>
      <c r="CE12" s="17"/>
      <c r="CF12" s="17"/>
      <c r="CG12" s="17"/>
      <c r="CH12" s="17"/>
    </row>
    <row r="13" spans="1:92" ht="18.75" x14ac:dyDescent="0.2">
      <c r="A13" s="79"/>
      <c r="B13" s="222" t="s">
        <v>2267</v>
      </c>
      <c r="C13" s="78"/>
      <c r="D13" s="80"/>
      <c r="E13" s="81"/>
      <c r="F13" s="81"/>
      <c r="G13" s="81"/>
      <c r="H13" s="81"/>
      <c r="I13" s="81"/>
      <c r="J13" s="81"/>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117"/>
      <c r="BY13" s="117"/>
      <c r="BZ13" s="117"/>
      <c r="CA13" s="118"/>
      <c r="CB13"/>
      <c r="CC13"/>
      <c r="CD13"/>
      <c r="CE13"/>
      <c r="CF13"/>
      <c r="CG13"/>
      <c r="CH13"/>
    </row>
    <row r="14" spans="1:92" ht="15.75" customHeight="1" outlineLevel="1" x14ac:dyDescent="0.2">
      <c r="A14" s="9"/>
      <c r="B14" s="47"/>
      <c r="C14" s="22"/>
      <c r="D14" s="22"/>
      <c r="E14" s="22"/>
      <c r="F14" s="20"/>
      <c r="G14" s="20"/>
      <c r="H14" s="20"/>
      <c r="I14" s="20"/>
      <c r="J14" s="20"/>
      <c r="K14" s="20"/>
      <c r="L14" s="20"/>
      <c r="M14" s="20"/>
      <c r="N14" s="20"/>
      <c r="O14" s="22"/>
      <c r="P14" s="22"/>
      <c r="Q14" s="22"/>
      <c r="R14" s="22"/>
      <c r="S14" s="22"/>
      <c r="T14" s="22"/>
      <c r="U14" s="22"/>
      <c r="V14" s="22"/>
      <c r="W14" s="22"/>
      <c r="X14" s="22"/>
      <c r="Y14" s="17"/>
      <c r="Z14" s="17"/>
      <c r="AA14" s="17"/>
      <c r="AB14" s="17"/>
      <c r="AC14" s="14"/>
      <c r="AD14" s="14"/>
      <c r="AE14" s="33"/>
      <c r="AF14" s="14"/>
      <c r="AG14" s="26"/>
      <c r="AH14" s="14"/>
      <c r="AI14" s="14"/>
      <c r="AJ14" s="14"/>
      <c r="AK14" s="14"/>
      <c r="AL14" s="27"/>
      <c r="AM14" s="14"/>
      <c r="AN14" s="14"/>
      <c r="AO14" s="14"/>
      <c r="AP14" s="14"/>
      <c r="AQ14" s="14"/>
      <c r="AR14" s="14"/>
      <c r="AS14" s="14"/>
      <c r="AT14" s="14"/>
      <c r="AU14" s="14"/>
      <c r="AV14" s="14"/>
      <c r="AW14" s="14"/>
      <c r="AX14" s="17"/>
      <c r="AY14" s="17"/>
      <c r="AZ14" s="17"/>
      <c r="BA14" s="17"/>
      <c r="BB14" s="35"/>
      <c r="BC14" s="17"/>
      <c r="BD14" s="17"/>
      <c r="BE14" s="17"/>
      <c r="BF14" s="17"/>
      <c r="BG14" s="17"/>
      <c r="BH14" s="17"/>
      <c r="BI14" s="17"/>
      <c r="BJ14" s="17"/>
      <c r="BK14" s="17"/>
      <c r="BL14" s="17"/>
      <c r="BM14" s="17"/>
      <c r="BN14" s="17"/>
      <c r="BO14" s="17"/>
      <c r="BP14" s="17"/>
      <c r="BQ14" s="17"/>
      <c r="BR14" s="17"/>
      <c r="BS14" s="17"/>
      <c r="BT14" s="17"/>
      <c r="BU14" s="17"/>
      <c r="BV14" s="17"/>
      <c r="BW14" s="82"/>
      <c r="BX14" s="82"/>
      <c r="BY14" s="82"/>
      <c r="BZ14" s="82"/>
      <c r="CA14" s="82"/>
      <c r="CB14" s="35"/>
      <c r="CC14" s="35"/>
      <c r="CD14" s="17"/>
      <c r="CE14" s="17"/>
      <c r="CF14" s="17"/>
      <c r="CG14" s="17"/>
      <c r="CH14" s="17"/>
    </row>
    <row r="15" spans="1:92" ht="15.75" customHeight="1" outlineLevel="1" x14ac:dyDescent="0.25">
      <c r="A15" s="9"/>
      <c r="B15" s="47"/>
      <c r="C15" s="217" t="s">
        <v>1796</v>
      </c>
      <c r="D15" s="19"/>
      <c r="E15" s="22"/>
      <c r="F15" s="20"/>
      <c r="G15" s="20"/>
      <c r="H15" s="20"/>
      <c r="I15" s="20"/>
      <c r="J15" s="20"/>
      <c r="K15" s="20"/>
      <c r="L15" s="20"/>
      <c r="M15" s="20"/>
      <c r="N15" s="20"/>
      <c r="O15" s="22"/>
      <c r="P15" s="22"/>
      <c r="Q15" s="22"/>
      <c r="R15" s="22"/>
      <c r="S15" s="22"/>
      <c r="T15" s="22"/>
      <c r="U15" s="22"/>
      <c r="V15" s="22"/>
      <c r="W15" s="22"/>
      <c r="X15" s="22"/>
      <c r="Y15" s="14"/>
      <c r="Z15" s="14"/>
      <c r="AA15" s="14"/>
      <c r="AB15" s="14"/>
      <c r="AC15" s="14"/>
      <c r="AD15" s="14"/>
      <c r="AE15" s="33"/>
      <c r="AF15" s="14"/>
      <c r="AG15" s="26"/>
      <c r="AH15" s="14"/>
      <c r="AI15" s="14"/>
      <c r="AJ15" s="14"/>
      <c r="AK15" s="14"/>
      <c r="AL15" s="27"/>
      <c r="AM15" s="14"/>
      <c r="AN15" s="14"/>
      <c r="AO15" s="14"/>
      <c r="AP15" s="14"/>
      <c r="AQ15" s="14"/>
      <c r="AR15" s="14"/>
      <c r="AS15" s="14"/>
      <c r="AT15" s="14"/>
      <c r="AU15" s="14"/>
      <c r="AV15" s="14"/>
      <c r="AW15" s="14"/>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17"/>
      <c r="BX15" s="17"/>
      <c r="BY15" s="35"/>
      <c r="BZ15" s="17"/>
      <c r="CA15" s="17"/>
      <c r="CB15" s="35"/>
      <c r="CC15" s="35"/>
      <c r="CD15" s="17"/>
      <c r="CE15" s="17"/>
      <c r="CF15" s="17"/>
      <c r="CG15" s="17"/>
      <c r="CH15" s="17"/>
    </row>
    <row r="16" spans="1:92" ht="15.75" customHeight="1" outlineLevel="1" x14ac:dyDescent="0.2">
      <c r="A16" s="24"/>
      <c r="B16" s="1475" t="s">
        <v>18</v>
      </c>
      <c r="C16" s="1526" t="s">
        <v>457</v>
      </c>
      <c r="D16" s="1530" t="s">
        <v>444</v>
      </c>
      <c r="E16" s="1497" t="s">
        <v>96</v>
      </c>
      <c r="F16" s="1530" t="s">
        <v>377</v>
      </c>
      <c r="G16" s="1475" t="s">
        <v>75</v>
      </c>
      <c r="H16" s="1278" t="s">
        <v>68</v>
      </c>
      <c r="I16" s="1280"/>
      <c r="J16" s="1079"/>
      <c r="K16" s="1475" t="s">
        <v>18</v>
      </c>
      <c r="L16" s="1457" t="s">
        <v>580</v>
      </c>
      <c r="M16" s="1458"/>
      <c r="N16" s="1458"/>
      <c r="O16" s="1458"/>
      <c r="P16" s="1458"/>
      <c r="Q16" s="1458"/>
      <c r="R16" s="1458"/>
      <c r="S16" s="1458"/>
      <c r="T16" s="1458"/>
      <c r="U16" s="1458"/>
      <c r="V16" s="1459"/>
      <c r="W16"/>
      <c r="X16" s="94" t="s">
        <v>2184</v>
      </c>
      <c r="Y16" s="94"/>
      <c r="Z16" s="94"/>
      <c r="AA16" s="94"/>
      <c r="AB16" s="94"/>
      <c r="AC16" s="94"/>
      <c r="AD16" s="94"/>
      <c r="AE16" s="94"/>
      <c r="AF16" s="94"/>
      <c r="AG16" s="94"/>
      <c r="AH16" s="94"/>
      <c r="AI16" s="94"/>
      <c r="AJ16" s="1445" t="s">
        <v>95</v>
      </c>
      <c r="AK16" s="1446"/>
      <c r="AL16" s="1446"/>
      <c r="AM16" s="1447"/>
      <c r="AN16" s="1436" t="s">
        <v>445</v>
      </c>
      <c r="AO16" s="1437"/>
      <c r="AP16" s="1437"/>
      <c r="AQ16" s="1437"/>
      <c r="AR16" s="1437"/>
      <c r="AS16" s="1437"/>
      <c r="AT16" s="1437"/>
      <c r="AU16" s="1437"/>
      <c r="AV16" s="1437"/>
      <c r="AW16" s="1437"/>
      <c r="AX16" s="1437"/>
      <c r="AY16" s="1437"/>
      <c r="AZ16" s="1437"/>
      <c r="BA16" s="1437"/>
      <c r="BB16" s="1437"/>
      <c r="BC16" s="1437"/>
      <c r="BD16" s="1437"/>
      <c r="BE16" s="1437"/>
      <c r="BF16" s="1437"/>
      <c r="BG16" s="1437"/>
      <c r="BH16" s="1437"/>
      <c r="BI16" s="1437"/>
      <c r="BJ16" s="1437"/>
      <c r="BK16" s="1437"/>
      <c r="BL16" s="1437"/>
      <c r="BM16" s="1437"/>
      <c r="BN16" s="1437"/>
      <c r="BO16" s="1437"/>
      <c r="BP16" s="1437"/>
      <c r="BQ16" s="1437"/>
      <c r="BR16" s="1437"/>
      <c r="BS16" s="1437"/>
      <c r="BT16" s="1437"/>
      <c r="BU16" s="1437"/>
      <c r="BV16" s="1437"/>
      <c r="BW16" s="1437"/>
      <c r="BX16" s="1437"/>
      <c r="BY16" s="1437"/>
      <c r="BZ16" s="1437"/>
      <c r="CA16" s="1437"/>
      <c r="CB16" s="1438"/>
      <c r="CC16" s="1433" t="s">
        <v>75</v>
      </c>
      <c r="CD16" s="17"/>
      <c r="CE16" s="35"/>
      <c r="CF16" s="17"/>
      <c r="CG16" s="17"/>
      <c r="CH16" s="35"/>
      <c r="CI16" s="35"/>
      <c r="CJ16" s="17"/>
      <c r="CK16" s="17"/>
      <c r="CL16" s="17"/>
      <c r="CM16" s="17"/>
      <c r="CN16" s="17"/>
    </row>
    <row r="17" spans="1:92" ht="15.75" customHeight="1" outlineLevel="1" x14ac:dyDescent="0.2">
      <c r="A17" s="24"/>
      <c r="B17" s="1476"/>
      <c r="C17" s="1497"/>
      <c r="D17" s="1531"/>
      <c r="E17" s="1497"/>
      <c r="F17" s="1532"/>
      <c r="G17" s="1476"/>
      <c r="H17" s="1538" t="s">
        <v>1382</v>
      </c>
      <c r="I17" s="1533" t="s">
        <v>75</v>
      </c>
      <c r="J17" s="1079"/>
      <c r="K17" s="1476"/>
      <c r="L17" s="1536" t="s">
        <v>1745</v>
      </c>
      <c r="M17" s="1454" t="s">
        <v>1746</v>
      </c>
      <c r="N17" s="1455"/>
      <c r="O17" s="1455"/>
      <c r="P17" s="1455"/>
      <c r="Q17" s="1456"/>
      <c r="R17" s="1460" t="s">
        <v>1747</v>
      </c>
      <c r="S17" s="1461"/>
      <c r="T17" s="1461"/>
      <c r="U17" s="1461"/>
      <c r="V17" s="1462"/>
      <c r="W17"/>
      <c r="X17" s="94" t="s">
        <v>1536</v>
      </c>
      <c r="Y17" s="94" t="s">
        <v>2185</v>
      </c>
      <c r="Z17" s="94" t="s">
        <v>2186</v>
      </c>
      <c r="AA17" s="94"/>
      <c r="AB17" s="94"/>
      <c r="AC17" s="94"/>
      <c r="AD17" s="94"/>
      <c r="AE17" s="94"/>
      <c r="AF17" s="94"/>
      <c r="AG17" s="94"/>
      <c r="AH17" s="94"/>
      <c r="AI17" s="94"/>
      <c r="AJ17" s="1448"/>
      <c r="AK17" s="1449"/>
      <c r="AL17" s="1449"/>
      <c r="AM17" s="1450"/>
      <c r="AN17" s="1439"/>
      <c r="AO17" s="1440"/>
      <c r="AP17" s="1440"/>
      <c r="AQ17" s="1440"/>
      <c r="AR17" s="1440"/>
      <c r="AS17" s="1440"/>
      <c r="AT17" s="1440"/>
      <c r="AU17" s="1440"/>
      <c r="AV17" s="1440"/>
      <c r="AW17" s="1440"/>
      <c r="AX17" s="1440"/>
      <c r="AY17" s="1440"/>
      <c r="AZ17" s="1440"/>
      <c r="BA17" s="1440"/>
      <c r="BB17" s="1440"/>
      <c r="BC17" s="1440"/>
      <c r="BD17" s="1440"/>
      <c r="BE17" s="1440"/>
      <c r="BF17" s="1440"/>
      <c r="BG17" s="1440"/>
      <c r="BH17" s="1440"/>
      <c r="BI17" s="1440"/>
      <c r="BJ17" s="1440"/>
      <c r="BK17" s="1440"/>
      <c r="BL17" s="1440"/>
      <c r="BM17" s="1440"/>
      <c r="BN17" s="1440"/>
      <c r="BO17" s="1440"/>
      <c r="BP17" s="1440"/>
      <c r="BQ17" s="1440"/>
      <c r="BR17" s="1440"/>
      <c r="BS17" s="1440"/>
      <c r="BT17" s="1440"/>
      <c r="BU17" s="1440"/>
      <c r="BV17" s="1440"/>
      <c r="BW17" s="1440"/>
      <c r="BX17" s="1440"/>
      <c r="BY17" s="1440"/>
      <c r="BZ17" s="1440"/>
      <c r="CA17" s="1440"/>
      <c r="CB17" s="1441"/>
      <c r="CC17" s="1434"/>
      <c r="CD17" s="17"/>
      <c r="CE17" s="35"/>
      <c r="CF17" s="17"/>
      <c r="CG17" s="17"/>
      <c r="CH17" s="35"/>
      <c r="CI17" s="35"/>
      <c r="CJ17" s="17"/>
      <c r="CK17" s="17"/>
      <c r="CL17" s="17"/>
      <c r="CM17" s="17"/>
      <c r="CN17" s="17"/>
    </row>
    <row r="18" spans="1:92" ht="30" outlineLevel="1" x14ac:dyDescent="0.2">
      <c r="A18" s="24"/>
      <c r="B18" s="1477"/>
      <c r="C18" s="1497"/>
      <c r="D18" s="1532"/>
      <c r="E18" s="1497"/>
      <c r="F18" s="229" t="s">
        <v>1819</v>
      </c>
      <c r="G18" s="1477"/>
      <c r="H18" s="1535"/>
      <c r="I18" s="1534"/>
      <c r="J18" s="1079"/>
      <c r="K18" s="1477"/>
      <c r="L18" s="1536"/>
      <c r="M18" s="233" t="s">
        <v>1846</v>
      </c>
      <c r="N18" s="233" t="str">
        <f>Listas!$D$3</f>
        <v>Energia</v>
      </c>
      <c r="O18" s="231" t="str">
        <f>Listas!$D$4</f>
        <v>Manufatura ou Construção</v>
      </c>
      <c r="P18" s="233" t="str">
        <f>Listas!$D$5</f>
        <v>Comercial ou Institucional</v>
      </c>
      <c r="Q18" s="231" t="str">
        <f>Listas!$D$6</f>
        <v>Residencial, Agricultura, Florestal ou Pesca</v>
      </c>
      <c r="R18" s="1091" t="str">
        <f>M18</f>
        <v>N.º ref.</v>
      </c>
      <c r="S18" s="234" t="str">
        <f>Listas!$D$3</f>
        <v>Energia</v>
      </c>
      <c r="T18" s="232" t="str">
        <f>Listas!$D$4</f>
        <v>Manufatura ou Construção</v>
      </c>
      <c r="U18" s="234" t="str">
        <f>Listas!$D$5</f>
        <v>Comercial ou Institucional</v>
      </c>
      <c r="V18" s="232" t="str">
        <f>Listas!$D$6</f>
        <v>Residencial, Agricultura, Florestal ou Pesca</v>
      </c>
      <c r="W18"/>
      <c r="X18" s="94"/>
      <c r="Y18" s="94"/>
      <c r="Z18" s="94"/>
      <c r="AA18" s="94"/>
      <c r="AB18" s="94"/>
      <c r="AC18" s="94"/>
      <c r="AD18" s="94"/>
      <c r="AE18" s="94"/>
      <c r="AF18" s="94"/>
      <c r="AG18" s="94"/>
      <c r="AH18" s="94"/>
      <c r="AI18" s="94"/>
      <c r="AJ18" s="1451"/>
      <c r="AK18" s="1452"/>
      <c r="AL18" s="1452"/>
      <c r="AM18" s="1453"/>
      <c r="AN18" s="1442"/>
      <c r="AO18" s="1443"/>
      <c r="AP18" s="1443"/>
      <c r="AQ18" s="1443"/>
      <c r="AR18" s="1443"/>
      <c r="AS18" s="1443"/>
      <c r="AT18" s="1443"/>
      <c r="AU18" s="1443"/>
      <c r="AV18" s="1443"/>
      <c r="AW18" s="1443"/>
      <c r="AX18" s="1443"/>
      <c r="AY18" s="1443"/>
      <c r="AZ18" s="1443"/>
      <c r="BA18" s="1443"/>
      <c r="BB18" s="1443"/>
      <c r="BC18" s="1443"/>
      <c r="BD18" s="1443"/>
      <c r="BE18" s="1443"/>
      <c r="BF18" s="1443"/>
      <c r="BG18" s="1443"/>
      <c r="BH18" s="1443"/>
      <c r="BI18" s="1443"/>
      <c r="BJ18" s="1443"/>
      <c r="BK18" s="1443"/>
      <c r="BL18" s="1443"/>
      <c r="BM18" s="1443"/>
      <c r="BN18" s="1443"/>
      <c r="BO18" s="1443"/>
      <c r="BP18" s="1443"/>
      <c r="BQ18" s="1443"/>
      <c r="BR18" s="1443"/>
      <c r="BS18" s="1443"/>
      <c r="BT18" s="1443"/>
      <c r="BU18" s="1443"/>
      <c r="BV18" s="1443"/>
      <c r="BW18" s="1443"/>
      <c r="BX18" s="1443"/>
      <c r="BY18" s="1443"/>
      <c r="BZ18" s="1443"/>
      <c r="CA18" s="1443"/>
      <c r="CB18" s="1444"/>
      <c r="CC18" s="1435"/>
      <c r="CD18" s="17"/>
      <c r="CE18" s="35"/>
      <c r="CF18" s="17"/>
      <c r="CG18" s="17"/>
      <c r="CH18" s="35"/>
      <c r="CI18" s="35"/>
      <c r="CJ18" s="17"/>
      <c r="CK18" s="17"/>
      <c r="CL18" s="17"/>
      <c r="CM18" s="17"/>
      <c r="CN18" s="17"/>
    </row>
    <row r="19" spans="1:92" s="1025" customFormat="1" ht="15.75" customHeight="1" outlineLevel="1" x14ac:dyDescent="0.2">
      <c r="A19" s="1024"/>
      <c r="B19" s="1032">
        <v>1</v>
      </c>
      <c r="C19" s="1034" t="s">
        <v>1793</v>
      </c>
      <c r="D19" s="1035" t="s">
        <v>1795</v>
      </c>
      <c r="E19" s="1034" t="s">
        <v>16</v>
      </c>
      <c r="F19" s="1043">
        <v>26.7</v>
      </c>
      <c r="G19" s="1031" t="s">
        <v>1744</v>
      </c>
      <c r="H19" s="1060">
        <f>98.2*1000</f>
        <v>98200</v>
      </c>
      <c r="I19" s="1061" t="s">
        <v>1744</v>
      </c>
      <c r="J19" s="1080"/>
      <c r="K19" s="1084">
        <f>B19</f>
        <v>1</v>
      </c>
      <c r="L19" s="1071">
        <f>2.62461</f>
        <v>2.6246100000000001</v>
      </c>
      <c r="M19" s="1089">
        <f>K19</f>
        <v>1</v>
      </c>
      <c r="N19" s="1064">
        <v>2.6699999999999998E-5</v>
      </c>
      <c r="O19" s="1064">
        <v>2.6699999999999998E-4</v>
      </c>
      <c r="P19" s="1064">
        <v>2.6699999999999998E-4</v>
      </c>
      <c r="Q19" s="1064">
        <v>8.0099999999999998E-3</v>
      </c>
      <c r="R19" s="1093">
        <f>M19</f>
        <v>1</v>
      </c>
      <c r="S19" s="1074">
        <v>4.0049999999999998E-5</v>
      </c>
      <c r="T19" s="1074">
        <v>4.0049999999999998E-5</v>
      </c>
      <c r="U19" s="1074">
        <v>4.0049999999999998E-5</v>
      </c>
      <c r="V19" s="1074">
        <v>4.0049999999999998E-5</v>
      </c>
      <c r="W19" s="1044"/>
      <c r="X19" s="1044"/>
      <c r="Y19" s="1044"/>
      <c r="Z19" s="1044"/>
      <c r="AA19" s="1044"/>
      <c r="AB19" s="1044"/>
      <c r="AC19" s="1044"/>
      <c r="AD19" s="1044"/>
      <c r="AE19" s="1044"/>
      <c r="AF19" s="1044"/>
      <c r="AG19" s="1044"/>
      <c r="AH19" s="1044"/>
      <c r="AI19" s="1044"/>
      <c r="AJ19" s="1562" t="s">
        <v>1793</v>
      </c>
      <c r="AK19" s="1563"/>
      <c r="AL19" s="1563"/>
      <c r="AM19" s="1564"/>
      <c r="AN19" s="1565" t="s">
        <v>1821</v>
      </c>
      <c r="AO19" s="1566"/>
      <c r="AP19" s="1566"/>
      <c r="AQ19" s="1566"/>
      <c r="AR19" s="1566"/>
      <c r="AS19" s="1566"/>
      <c r="AT19" s="1566"/>
      <c r="AU19" s="1566"/>
      <c r="AV19" s="1566"/>
      <c r="AW19" s="1566"/>
      <c r="AX19" s="1566"/>
      <c r="AY19" s="1566"/>
      <c r="AZ19" s="1566"/>
      <c r="BA19" s="1566"/>
      <c r="BB19" s="1566"/>
      <c r="BC19" s="1566"/>
      <c r="BD19" s="1566"/>
      <c r="BE19" s="1566"/>
      <c r="BF19" s="1566"/>
      <c r="BG19" s="1566"/>
      <c r="BH19" s="1566"/>
      <c r="BI19" s="1566"/>
      <c r="BJ19" s="1566"/>
      <c r="BK19" s="1566"/>
      <c r="BL19" s="1566"/>
      <c r="BM19" s="1566"/>
      <c r="BN19" s="1566"/>
      <c r="BO19" s="1566"/>
      <c r="BP19" s="1566"/>
      <c r="BQ19" s="1566"/>
      <c r="BR19" s="1566"/>
      <c r="BS19" s="1566"/>
      <c r="BT19" s="1566"/>
      <c r="BU19" s="1566"/>
      <c r="BV19" s="1566"/>
      <c r="BW19" s="1566"/>
      <c r="BX19" s="1566"/>
      <c r="BY19" s="1566"/>
      <c r="BZ19" s="1566"/>
      <c r="CA19" s="1566"/>
      <c r="CB19" s="1567"/>
      <c r="CC19" s="1045"/>
      <c r="CD19" s="1026"/>
      <c r="CE19" s="1076" t="str">
        <f t="shared" ref="CE19:CE55" si="0">C19</f>
        <v>Antracite</v>
      </c>
      <c r="CF19" s="1026"/>
      <c r="CG19" s="1026"/>
      <c r="CH19" s="1026"/>
      <c r="CI19" s="1026"/>
      <c r="CJ19" s="1026"/>
      <c r="CK19" s="1026"/>
      <c r="CL19" s="1026"/>
      <c r="CM19" s="1026"/>
      <c r="CN19" s="1026"/>
    </row>
    <row r="20" spans="1:92" s="1022" customFormat="1" ht="15.75" customHeight="1" outlineLevel="1" x14ac:dyDescent="0.2">
      <c r="A20" s="1027"/>
      <c r="B20" s="1033">
        <v>2</v>
      </c>
      <c r="C20" s="245" t="s">
        <v>354</v>
      </c>
      <c r="D20" s="1039" t="s">
        <v>395</v>
      </c>
      <c r="E20" s="245" t="s">
        <v>16</v>
      </c>
      <c r="F20" s="1046">
        <f>F21</f>
        <v>40.200000000000003</v>
      </c>
      <c r="G20" s="1031" t="s">
        <v>1744</v>
      </c>
      <c r="H20" s="1047">
        <f>H21</f>
        <v>806000</v>
      </c>
      <c r="I20" s="1061" t="s">
        <v>1744</v>
      </c>
      <c r="J20" s="1080"/>
      <c r="K20" s="1084">
        <f t="shared" ref="K20:K55" si="1">B20</f>
        <v>2</v>
      </c>
      <c r="L20" s="1063">
        <v>2.2595999999999998</v>
      </c>
      <c r="M20" s="1089">
        <f t="shared" ref="M20:M55" si="2">K20</f>
        <v>2</v>
      </c>
      <c r="N20" s="1064">
        <v>2.8E-5</v>
      </c>
      <c r="O20" s="1064">
        <v>2.7999999999999998E-4</v>
      </c>
      <c r="P20" s="1064">
        <v>2.7999999999999998E-4</v>
      </c>
      <c r="Q20" s="1064">
        <v>8.3999999999999995E-3</v>
      </c>
      <c r="R20" s="1093">
        <f t="shared" ref="R20:R55" si="3">M20</f>
        <v>2</v>
      </c>
      <c r="S20" s="1065">
        <v>4.1999999999999998E-5</v>
      </c>
      <c r="T20" s="1065">
        <v>4.1999999999999998E-5</v>
      </c>
      <c r="U20" s="1065">
        <v>4.1999999999999998E-5</v>
      </c>
      <c r="V20" s="1065">
        <v>4.1999999999999998E-5</v>
      </c>
      <c r="W20" s="1048"/>
      <c r="X20" s="1048"/>
      <c r="Y20" s="1048"/>
      <c r="Z20" s="1048"/>
      <c r="AA20" s="1048"/>
      <c r="AB20" s="1048"/>
      <c r="AC20" s="1048"/>
      <c r="AD20" s="1048"/>
      <c r="AE20" s="1048"/>
      <c r="AF20" s="1048"/>
      <c r="AG20" s="1048"/>
      <c r="AH20" s="1048"/>
      <c r="AI20" s="1048"/>
      <c r="AJ20" s="1470" t="s">
        <v>354</v>
      </c>
      <c r="AK20" s="1470"/>
      <c r="AL20" s="1470"/>
      <c r="AM20" s="1470"/>
      <c r="AN20" s="1469" t="s">
        <v>446</v>
      </c>
      <c r="AO20" s="1469"/>
      <c r="AP20" s="1469"/>
      <c r="AQ20" s="1469"/>
      <c r="AR20" s="1469"/>
      <c r="AS20" s="1469"/>
      <c r="AT20" s="1469"/>
      <c r="AU20" s="1469"/>
      <c r="AV20" s="1469"/>
      <c r="AW20" s="1469"/>
      <c r="AX20" s="1469"/>
      <c r="AY20" s="1469"/>
      <c r="AZ20" s="1469"/>
      <c r="BA20" s="1469"/>
      <c r="BB20" s="1469"/>
      <c r="BC20" s="1469"/>
      <c r="BD20" s="1469"/>
      <c r="BE20" s="1469"/>
      <c r="BF20" s="1469"/>
      <c r="BG20" s="1469"/>
      <c r="BH20" s="1469"/>
      <c r="BI20" s="1469"/>
      <c r="BJ20" s="1469"/>
      <c r="BK20" s="1469"/>
      <c r="BL20" s="1469"/>
      <c r="BM20" s="1469"/>
      <c r="BN20" s="1469"/>
      <c r="BO20" s="1469"/>
      <c r="BP20" s="1469"/>
      <c r="BQ20" s="1469"/>
      <c r="BR20" s="1469"/>
      <c r="BS20" s="1469"/>
      <c r="BT20" s="1469"/>
      <c r="BU20" s="1469"/>
      <c r="BV20" s="1469"/>
      <c r="BW20" s="1469"/>
      <c r="BX20" s="1469"/>
      <c r="BY20" s="1469"/>
      <c r="BZ20" s="1469"/>
      <c r="CA20" s="1469"/>
      <c r="CB20" s="1469"/>
      <c r="CC20" s="1049" t="s">
        <v>378</v>
      </c>
      <c r="CD20" s="1023"/>
      <c r="CE20" s="1076" t="str">
        <f t="shared" si="0"/>
        <v>Alcatrão</v>
      </c>
      <c r="CF20" s="1023"/>
      <c r="CG20" s="1023"/>
      <c r="CH20" s="1023"/>
      <c r="CI20" s="1023"/>
      <c r="CJ20" s="1023"/>
      <c r="CK20" s="1023"/>
      <c r="CL20" s="1023"/>
      <c r="CM20" s="1023"/>
      <c r="CN20" s="1023"/>
    </row>
    <row r="21" spans="1:92" s="1022" customFormat="1" ht="15.75" customHeight="1" outlineLevel="1" x14ac:dyDescent="0.2">
      <c r="A21" s="1021"/>
      <c r="B21" s="1033">
        <v>3</v>
      </c>
      <c r="C21" s="245" t="s">
        <v>1750</v>
      </c>
      <c r="D21" s="1039" t="s">
        <v>396</v>
      </c>
      <c r="E21" s="245" t="s">
        <v>16</v>
      </c>
      <c r="F21" s="1046">
        <v>40.200000000000003</v>
      </c>
      <c r="G21" s="1031" t="s">
        <v>1744</v>
      </c>
      <c r="H21" s="1047">
        <v>806000</v>
      </c>
      <c r="I21" s="1061" t="s">
        <v>1744</v>
      </c>
      <c r="J21" s="1080"/>
      <c r="K21" s="1084">
        <f t="shared" si="1"/>
        <v>3</v>
      </c>
      <c r="L21" s="1063">
        <v>3.2441399999999998</v>
      </c>
      <c r="M21" s="1089">
        <f t="shared" si="2"/>
        <v>3</v>
      </c>
      <c r="N21" s="1064">
        <v>1.206E-4</v>
      </c>
      <c r="O21" s="1064">
        <v>1.206E-4</v>
      </c>
      <c r="P21" s="1064">
        <v>4.0199999999999996E-4</v>
      </c>
      <c r="Q21" s="1064">
        <v>4.0199999999999996E-4</v>
      </c>
      <c r="R21" s="1093">
        <f t="shared" si="3"/>
        <v>3</v>
      </c>
      <c r="S21" s="1065">
        <v>2.4119999999999999E-5</v>
      </c>
      <c r="T21" s="1065">
        <v>2.4119999999999999E-5</v>
      </c>
      <c r="U21" s="1065">
        <v>2.4119999999999999E-5</v>
      </c>
      <c r="V21" s="1065">
        <v>2.4119999999999999E-5</v>
      </c>
      <c r="W21" s="1048"/>
      <c r="X21" s="1048"/>
      <c r="Y21" s="1048"/>
      <c r="Z21" s="1048"/>
      <c r="AA21" s="1048"/>
      <c r="AB21" s="1048"/>
      <c r="AC21" s="1048"/>
      <c r="AD21" s="1048"/>
      <c r="AE21" s="1048"/>
      <c r="AF21" s="1048"/>
      <c r="AG21" s="1048"/>
      <c r="AH21" s="1048"/>
      <c r="AI21" s="1048"/>
      <c r="AJ21" s="1470" t="s">
        <v>1750</v>
      </c>
      <c r="AK21" s="1470"/>
      <c r="AL21" s="1470"/>
      <c r="AM21" s="1470"/>
      <c r="AN21" s="1469" t="s">
        <v>447</v>
      </c>
      <c r="AO21" s="1469"/>
      <c r="AP21" s="1469"/>
      <c r="AQ21" s="1469"/>
      <c r="AR21" s="1469"/>
      <c r="AS21" s="1469"/>
      <c r="AT21" s="1469"/>
      <c r="AU21" s="1469"/>
      <c r="AV21" s="1469"/>
      <c r="AW21" s="1469"/>
      <c r="AX21" s="1469"/>
      <c r="AY21" s="1469"/>
      <c r="AZ21" s="1469"/>
      <c r="BA21" s="1469"/>
      <c r="BB21" s="1469"/>
      <c r="BC21" s="1469"/>
      <c r="BD21" s="1469"/>
      <c r="BE21" s="1469"/>
      <c r="BF21" s="1469"/>
      <c r="BG21" s="1469"/>
      <c r="BH21" s="1469"/>
      <c r="BI21" s="1469"/>
      <c r="BJ21" s="1469"/>
      <c r="BK21" s="1469"/>
      <c r="BL21" s="1469"/>
      <c r="BM21" s="1469"/>
      <c r="BN21" s="1469"/>
      <c r="BO21" s="1469"/>
      <c r="BP21" s="1469"/>
      <c r="BQ21" s="1469"/>
      <c r="BR21" s="1469"/>
      <c r="BS21" s="1469"/>
      <c r="BT21" s="1469"/>
      <c r="BU21" s="1469"/>
      <c r="BV21" s="1469"/>
      <c r="BW21" s="1469"/>
      <c r="BX21" s="1469"/>
      <c r="BY21" s="1469"/>
      <c r="BZ21" s="1469"/>
      <c r="CA21" s="1469"/>
      <c r="CB21" s="1469"/>
      <c r="CC21" s="1049" t="s">
        <v>441</v>
      </c>
      <c r="CD21" s="1023"/>
      <c r="CE21" s="1076" t="str">
        <f t="shared" si="0"/>
        <v>Betume</v>
      </c>
      <c r="CF21" s="1023"/>
      <c r="CG21" s="1023"/>
      <c r="CH21" s="1023"/>
      <c r="CI21" s="1023"/>
      <c r="CJ21" s="1023"/>
      <c r="CK21" s="1023"/>
      <c r="CL21" s="1023"/>
      <c r="CM21" s="1023"/>
      <c r="CN21" s="1023"/>
    </row>
    <row r="22" spans="1:92" s="1022" customFormat="1" ht="15.75" customHeight="1" outlineLevel="1" x14ac:dyDescent="0.2">
      <c r="A22" s="1021"/>
      <c r="B22" s="1032">
        <v>4</v>
      </c>
      <c r="C22" s="245" t="s">
        <v>1754</v>
      </c>
      <c r="D22" s="1039" t="s">
        <v>1748</v>
      </c>
      <c r="E22" s="245" t="s">
        <v>16</v>
      </c>
      <c r="F22" s="1050">
        <v>20</v>
      </c>
      <c r="G22" s="982" t="s">
        <v>1744</v>
      </c>
      <c r="H22" s="1047">
        <f>101.1*1000</f>
        <v>101100</v>
      </c>
      <c r="I22" s="1061" t="s">
        <v>1744</v>
      </c>
      <c r="J22" s="1080"/>
      <c r="K22" s="1084">
        <f t="shared" si="1"/>
        <v>4</v>
      </c>
      <c r="L22" s="1063">
        <v>2.0182500000000001</v>
      </c>
      <c r="M22" s="1089">
        <f t="shared" si="2"/>
        <v>4</v>
      </c>
      <c r="N22" s="1064">
        <v>2.0699999999999998E-5</v>
      </c>
      <c r="O22" s="1064">
        <v>2.0699999999999999E-4</v>
      </c>
      <c r="P22" s="1064">
        <v>2.0699999999999999E-4</v>
      </c>
      <c r="Q22" s="1064">
        <v>6.2099999999999994E-3</v>
      </c>
      <c r="R22" s="1093">
        <f t="shared" si="3"/>
        <v>4</v>
      </c>
      <c r="S22" s="1065">
        <v>3.1049999999999996E-5</v>
      </c>
      <c r="T22" s="1065">
        <v>3.1049999999999996E-5</v>
      </c>
      <c r="U22" s="1065">
        <v>3.1049999999999996E-5</v>
      </c>
      <c r="V22" s="1065">
        <v>3.1049999999999996E-5</v>
      </c>
      <c r="W22" s="1048"/>
      <c r="X22" s="1048"/>
      <c r="Y22" s="1048"/>
      <c r="Z22" s="1048"/>
      <c r="AA22" s="1048"/>
      <c r="AB22" s="1048"/>
      <c r="AC22" s="1048"/>
      <c r="AD22" s="1048"/>
      <c r="AE22" s="1048"/>
      <c r="AF22" s="1048"/>
      <c r="AG22" s="1048"/>
      <c r="AH22" s="1048"/>
      <c r="AI22" s="1048"/>
      <c r="AJ22" s="1463" t="s">
        <v>1749</v>
      </c>
      <c r="AK22" s="1464"/>
      <c r="AL22" s="1464"/>
      <c r="AM22" s="1465"/>
      <c r="AN22" s="1466" t="s">
        <v>1823</v>
      </c>
      <c r="AO22" s="1467"/>
      <c r="AP22" s="1467"/>
      <c r="AQ22" s="1467"/>
      <c r="AR22" s="1467"/>
      <c r="AS22" s="1467"/>
      <c r="AT22" s="1467"/>
      <c r="AU22" s="1467"/>
      <c r="AV22" s="1467"/>
      <c r="AW22" s="1467"/>
      <c r="AX22" s="1467"/>
      <c r="AY22" s="1467"/>
      <c r="AZ22" s="1467"/>
      <c r="BA22" s="1467"/>
      <c r="BB22" s="1467"/>
      <c r="BC22" s="1467"/>
      <c r="BD22" s="1467"/>
      <c r="BE22" s="1467"/>
      <c r="BF22" s="1467"/>
      <c r="BG22" s="1467"/>
      <c r="BH22" s="1467"/>
      <c r="BI22" s="1467"/>
      <c r="BJ22" s="1467"/>
      <c r="BK22" s="1467"/>
      <c r="BL22" s="1467"/>
      <c r="BM22" s="1467"/>
      <c r="BN22" s="1467"/>
      <c r="BO22" s="1467"/>
      <c r="BP22" s="1467"/>
      <c r="BQ22" s="1467"/>
      <c r="BR22" s="1467"/>
      <c r="BS22" s="1467"/>
      <c r="BT22" s="1467"/>
      <c r="BU22" s="1467"/>
      <c r="BV22" s="1467"/>
      <c r="BW22" s="1467"/>
      <c r="BX22" s="1467"/>
      <c r="BY22" s="1467"/>
      <c r="BZ22" s="1467"/>
      <c r="CA22" s="1467"/>
      <c r="CB22" s="1468"/>
      <c r="CC22" s="1049"/>
      <c r="CD22" s="1023"/>
      <c r="CE22" s="1076" t="str">
        <f t="shared" si="0"/>
        <v>Briquetes de Lignite Castanha</v>
      </c>
      <c r="CF22" s="1023"/>
      <c r="CG22" s="1023"/>
      <c r="CH22" s="1023"/>
      <c r="CI22" s="1023"/>
      <c r="CJ22" s="1023"/>
      <c r="CK22" s="1023"/>
      <c r="CL22" s="1023"/>
      <c r="CM22" s="1023"/>
      <c r="CN22" s="1023"/>
    </row>
    <row r="23" spans="1:92" s="1022" customFormat="1" ht="15.75" customHeight="1" outlineLevel="1" x14ac:dyDescent="0.2">
      <c r="A23" s="1021"/>
      <c r="B23" s="1033">
        <v>5</v>
      </c>
      <c r="C23" s="1040" t="s">
        <v>1761</v>
      </c>
      <c r="D23" s="1039" t="s">
        <v>1762</v>
      </c>
      <c r="E23" s="245" t="s">
        <v>16</v>
      </c>
      <c r="F23" s="1046">
        <v>18.899999999999999</v>
      </c>
      <c r="G23" s="982" t="s">
        <v>1744</v>
      </c>
      <c r="H23" s="1047">
        <f>96*1000</f>
        <v>96000</v>
      </c>
      <c r="I23" s="1061" t="s">
        <v>1744</v>
      </c>
      <c r="J23" s="1080"/>
      <c r="K23" s="1084">
        <f t="shared" si="1"/>
        <v>5</v>
      </c>
      <c r="L23" s="1063">
        <v>1.8162899999999997</v>
      </c>
      <c r="M23" s="1089">
        <f t="shared" si="2"/>
        <v>5</v>
      </c>
      <c r="N23" s="1064">
        <v>1.8899999999999999E-5</v>
      </c>
      <c r="O23" s="1064">
        <v>1.8899999999999999E-4</v>
      </c>
      <c r="P23" s="1064">
        <v>1.8899999999999999E-4</v>
      </c>
      <c r="Q23" s="1064">
        <v>5.6699999999999997E-3</v>
      </c>
      <c r="R23" s="1093">
        <f t="shared" si="3"/>
        <v>5</v>
      </c>
      <c r="S23" s="1065">
        <v>2.8349999999999998E-5</v>
      </c>
      <c r="T23" s="1065">
        <v>2.8349999999999998E-5</v>
      </c>
      <c r="U23" s="1065">
        <v>2.8349999999999998E-5</v>
      </c>
      <c r="V23" s="1065">
        <v>2.8349999999999998E-5</v>
      </c>
      <c r="W23" s="1048"/>
      <c r="X23" s="1048"/>
      <c r="Y23" s="1048"/>
      <c r="Z23" s="1048"/>
      <c r="AA23" s="1048"/>
      <c r="AB23" s="1048"/>
      <c r="AC23" s="1048"/>
      <c r="AD23" s="1048"/>
      <c r="AE23" s="1048"/>
      <c r="AF23" s="1048"/>
      <c r="AG23" s="1048"/>
      <c r="AH23" s="1048"/>
      <c r="AI23" s="1048"/>
      <c r="AJ23" s="1470" t="str">
        <f>C23</f>
        <v>Carvão Sub-betuminoso</v>
      </c>
      <c r="AK23" s="1470"/>
      <c r="AL23" s="1470"/>
      <c r="AM23" s="1470"/>
      <c r="AN23" s="1469" t="s">
        <v>1822</v>
      </c>
      <c r="AO23" s="1469"/>
      <c r="AP23" s="1469"/>
      <c r="AQ23" s="1469"/>
      <c r="AR23" s="1469"/>
      <c r="AS23" s="1469"/>
      <c r="AT23" s="1469"/>
      <c r="AU23" s="1469"/>
      <c r="AV23" s="1469"/>
      <c r="AW23" s="1469"/>
      <c r="AX23" s="1469"/>
      <c r="AY23" s="1469"/>
      <c r="AZ23" s="1469"/>
      <c r="BA23" s="1469"/>
      <c r="BB23" s="1469"/>
      <c r="BC23" s="1469"/>
      <c r="BD23" s="1469"/>
      <c r="BE23" s="1469"/>
      <c r="BF23" s="1469"/>
      <c r="BG23" s="1469"/>
      <c r="BH23" s="1469"/>
      <c r="BI23" s="1469"/>
      <c r="BJ23" s="1469"/>
      <c r="BK23" s="1469"/>
      <c r="BL23" s="1469"/>
      <c r="BM23" s="1469"/>
      <c r="BN23" s="1469"/>
      <c r="BO23" s="1469"/>
      <c r="BP23" s="1469"/>
      <c r="BQ23" s="1469"/>
      <c r="BR23" s="1469"/>
      <c r="BS23" s="1469"/>
      <c r="BT23" s="1469"/>
      <c r="BU23" s="1469"/>
      <c r="BV23" s="1469"/>
      <c r="BW23" s="1469"/>
      <c r="BX23" s="1469"/>
      <c r="BY23" s="1469"/>
      <c r="BZ23" s="1469"/>
      <c r="CA23" s="1469"/>
      <c r="CB23" s="1469"/>
      <c r="CC23" s="1049"/>
      <c r="CD23" s="1023"/>
      <c r="CE23" s="1076" t="str">
        <f t="shared" si="0"/>
        <v>Carvão Sub-betuminoso</v>
      </c>
      <c r="CF23" s="1023"/>
      <c r="CG23" s="1023"/>
      <c r="CH23" s="1023"/>
      <c r="CI23" s="1023"/>
      <c r="CJ23" s="1023"/>
      <c r="CK23" s="1023"/>
      <c r="CL23" s="1023"/>
      <c r="CM23" s="1023"/>
      <c r="CN23" s="1023"/>
    </row>
    <row r="24" spans="1:92" s="1022" customFormat="1" ht="30" customHeight="1" outlineLevel="1" x14ac:dyDescent="0.2">
      <c r="A24" s="1021"/>
      <c r="B24" s="1032">
        <v>6</v>
      </c>
      <c r="C24" s="245" t="s">
        <v>1834</v>
      </c>
      <c r="D24" s="1039" t="s">
        <v>414</v>
      </c>
      <c r="E24" s="245" t="s">
        <v>16</v>
      </c>
      <c r="F24" s="1050">
        <v>40.200000000000003</v>
      </c>
      <c r="G24" s="982" t="s">
        <v>1759</v>
      </c>
      <c r="H24" s="1047">
        <v>73300</v>
      </c>
      <c r="I24" s="235" t="s">
        <v>1759</v>
      </c>
      <c r="J24" s="1081"/>
      <c r="K24" s="1084">
        <f t="shared" si="1"/>
        <v>6</v>
      </c>
      <c r="L24" s="1063">
        <v>2.9466600000000001</v>
      </c>
      <c r="M24" s="1089">
        <f t="shared" si="2"/>
        <v>6</v>
      </c>
      <c r="N24" s="1064">
        <v>1.206E-4</v>
      </c>
      <c r="O24" s="1064">
        <v>1.206E-4</v>
      </c>
      <c r="P24" s="1064">
        <v>4.0199999999999996E-4</v>
      </c>
      <c r="Q24" s="1064">
        <v>4.0199999999999996E-4</v>
      </c>
      <c r="R24" s="1093">
        <f t="shared" si="3"/>
        <v>6</v>
      </c>
      <c r="S24" s="1065">
        <v>2.4119999999999999E-5</v>
      </c>
      <c r="T24" s="1065">
        <v>2.4119999999999999E-5</v>
      </c>
      <c r="U24" s="1065">
        <v>2.4119999999999999E-5</v>
      </c>
      <c r="V24" s="1065">
        <v>2.4119999999999999E-5</v>
      </c>
      <c r="W24" s="1048"/>
      <c r="X24" s="1048"/>
      <c r="Y24" s="1048"/>
      <c r="Z24" s="1048"/>
      <c r="AA24" s="1048"/>
      <c r="AB24" s="1048"/>
      <c r="AC24" s="1048"/>
      <c r="AD24" s="1048"/>
      <c r="AE24" s="1048"/>
      <c r="AF24" s="1048"/>
      <c r="AG24" s="1048"/>
      <c r="AH24" s="1048"/>
      <c r="AI24" s="1048"/>
      <c r="AJ24" s="1470" t="str">
        <f>C24</f>
        <v>Ceras Parafínicas e Outros Produtos Petrolíferos</v>
      </c>
      <c r="AK24" s="1470"/>
      <c r="AL24" s="1470"/>
      <c r="AM24" s="1470"/>
      <c r="AN24" s="1469" t="s">
        <v>455</v>
      </c>
      <c r="AO24" s="1469"/>
      <c r="AP24" s="1469"/>
      <c r="AQ24" s="1469"/>
      <c r="AR24" s="1469"/>
      <c r="AS24" s="1469"/>
      <c r="AT24" s="1469"/>
      <c r="AU24" s="1469"/>
      <c r="AV24" s="1469"/>
      <c r="AW24" s="1469"/>
      <c r="AX24" s="1469"/>
      <c r="AY24" s="1469"/>
      <c r="AZ24" s="1469"/>
      <c r="BA24" s="1469"/>
      <c r="BB24" s="1469"/>
      <c r="BC24" s="1469"/>
      <c r="BD24" s="1469"/>
      <c r="BE24" s="1469"/>
      <c r="BF24" s="1469"/>
      <c r="BG24" s="1469"/>
      <c r="BH24" s="1469"/>
      <c r="BI24" s="1469"/>
      <c r="BJ24" s="1469"/>
      <c r="BK24" s="1469"/>
      <c r="BL24" s="1469"/>
      <c r="BM24" s="1469"/>
      <c r="BN24" s="1469"/>
      <c r="BO24" s="1469"/>
      <c r="BP24" s="1469"/>
      <c r="BQ24" s="1469"/>
      <c r="BR24" s="1469"/>
      <c r="BS24" s="1469"/>
      <c r="BT24" s="1469"/>
      <c r="BU24" s="1469"/>
      <c r="BV24" s="1469"/>
      <c r="BW24" s="1469"/>
      <c r="BX24" s="1469"/>
      <c r="BY24" s="1469"/>
      <c r="BZ24" s="1469"/>
      <c r="CA24" s="1469"/>
      <c r="CB24" s="1469"/>
      <c r="CC24" s="1049" t="s">
        <v>441</v>
      </c>
      <c r="CD24" s="1023"/>
      <c r="CE24" s="1076" t="str">
        <f t="shared" si="0"/>
        <v>Ceras Parafínicas e Outros Produtos Petrolíferos</v>
      </c>
      <c r="CF24" s="1023"/>
      <c r="CG24" s="1023"/>
      <c r="CH24" s="1023"/>
      <c r="CI24" s="1023"/>
      <c r="CJ24" s="1023"/>
      <c r="CK24" s="1023"/>
      <c r="CL24" s="1023"/>
      <c r="CM24" s="1023"/>
      <c r="CN24" s="1023"/>
    </row>
    <row r="25" spans="1:92" s="1029" customFormat="1" ht="30" outlineLevel="1" x14ac:dyDescent="0.2">
      <c r="A25" s="1028"/>
      <c r="B25" s="1033">
        <v>7</v>
      </c>
      <c r="C25" s="245" t="s">
        <v>1833</v>
      </c>
      <c r="D25" s="1039" t="s">
        <v>406</v>
      </c>
      <c r="E25" s="245" t="s">
        <v>11</v>
      </c>
      <c r="F25" s="1050">
        <f>(44+45)/2</f>
        <v>44.5</v>
      </c>
      <c r="G25" s="982" t="s">
        <v>1744</v>
      </c>
      <c r="H25" s="1047">
        <v>69200</v>
      </c>
      <c r="I25" s="235" t="s">
        <v>1759</v>
      </c>
      <c r="J25" s="1081"/>
      <c r="K25" s="1084">
        <f t="shared" si="1"/>
        <v>7</v>
      </c>
      <c r="L25" s="1063">
        <v>2.2717925999999997E-3</v>
      </c>
      <c r="M25" s="1089">
        <f t="shared" si="2"/>
        <v>7</v>
      </c>
      <c r="N25" s="1064">
        <v>9.8345999999999986E-8</v>
      </c>
      <c r="O25" s="1064">
        <v>9.8345999999999986E-8</v>
      </c>
      <c r="P25" s="1064">
        <v>3.2781999999999998E-7</v>
      </c>
      <c r="Q25" s="1064">
        <v>3.2781999999999998E-7</v>
      </c>
      <c r="R25" s="1093">
        <f t="shared" si="3"/>
        <v>7</v>
      </c>
      <c r="S25" s="1065">
        <v>1.9669199999999997E-8</v>
      </c>
      <c r="T25" s="1065">
        <v>1.9669199999999997E-8</v>
      </c>
      <c r="U25" s="1065">
        <v>1.9669199999999997E-8</v>
      </c>
      <c r="V25" s="1065">
        <v>1.9669199999999997E-8</v>
      </c>
      <c r="W25" s="1048"/>
      <c r="X25" s="1048">
        <v>1.7831841740713317E-4</v>
      </c>
      <c r="Y25" s="1048" t="s">
        <v>2187</v>
      </c>
      <c r="Z25" s="1048" t="s">
        <v>2188</v>
      </c>
      <c r="AA25" s="1048"/>
      <c r="AB25" s="1048"/>
      <c r="AC25" s="1048"/>
      <c r="AD25" s="1048"/>
      <c r="AE25" s="1048"/>
      <c r="AF25" s="1048"/>
      <c r="AG25" s="1048"/>
      <c r="AH25" s="1048"/>
      <c r="AI25" s="1048"/>
      <c r="AJ25" s="1470" t="str">
        <f>C25</f>
        <v>Combustível para Motor (Gasolina)</v>
      </c>
      <c r="AK25" s="1470"/>
      <c r="AL25" s="1470"/>
      <c r="AM25" s="1470"/>
      <c r="AN25" s="1469" t="s">
        <v>1835</v>
      </c>
      <c r="AO25" s="1469"/>
      <c r="AP25" s="1469"/>
      <c r="AQ25" s="1469"/>
      <c r="AR25" s="1469"/>
      <c r="AS25" s="1469"/>
      <c r="AT25" s="1469"/>
      <c r="AU25" s="1469"/>
      <c r="AV25" s="1469"/>
      <c r="AW25" s="1469"/>
      <c r="AX25" s="1469"/>
      <c r="AY25" s="1469"/>
      <c r="AZ25" s="1469"/>
      <c r="BA25" s="1469"/>
      <c r="BB25" s="1469"/>
      <c r="BC25" s="1469"/>
      <c r="BD25" s="1469"/>
      <c r="BE25" s="1469"/>
      <c r="BF25" s="1469"/>
      <c r="BG25" s="1469"/>
      <c r="BH25" s="1469"/>
      <c r="BI25" s="1469"/>
      <c r="BJ25" s="1469"/>
      <c r="BK25" s="1469"/>
      <c r="BL25" s="1469"/>
      <c r="BM25" s="1469"/>
      <c r="BN25" s="1469"/>
      <c r="BO25" s="1469"/>
      <c r="BP25" s="1469"/>
      <c r="BQ25" s="1469"/>
      <c r="BR25" s="1469"/>
      <c r="BS25" s="1469"/>
      <c r="BT25" s="1469"/>
      <c r="BU25" s="1469"/>
      <c r="BV25" s="1469"/>
      <c r="BW25" s="1469"/>
      <c r="BX25" s="1469"/>
      <c r="BY25" s="1469"/>
      <c r="BZ25" s="1469"/>
      <c r="CA25" s="1469"/>
      <c r="CB25" s="1469"/>
      <c r="CC25" s="1049" t="s">
        <v>441</v>
      </c>
      <c r="CD25" s="1030"/>
      <c r="CE25" s="1076" t="str">
        <f t="shared" si="0"/>
        <v>Combustível para Motor (Gasolina)</v>
      </c>
      <c r="CF25" s="1030"/>
      <c r="CG25" s="1030"/>
      <c r="CH25" s="1030"/>
      <c r="CI25" s="1030"/>
      <c r="CJ25" s="1030"/>
      <c r="CK25" s="1030"/>
      <c r="CL25" s="1030"/>
      <c r="CM25" s="1030"/>
      <c r="CN25" s="1030"/>
    </row>
    <row r="26" spans="1:92" s="1022" customFormat="1" ht="15.75" customHeight="1" outlineLevel="1" x14ac:dyDescent="0.2">
      <c r="A26" s="1021"/>
      <c r="B26" s="1033">
        <v>8</v>
      </c>
      <c r="C26" s="245" t="s">
        <v>1753</v>
      </c>
      <c r="D26" s="1039" t="s">
        <v>397</v>
      </c>
      <c r="E26" s="245" t="s">
        <v>16</v>
      </c>
      <c r="F26" s="1046">
        <v>28.2</v>
      </c>
      <c r="G26" s="982" t="s">
        <v>1744</v>
      </c>
      <c r="H26" s="1047">
        <f>94.5*100</f>
        <v>9450</v>
      </c>
      <c r="I26" s="1061" t="s">
        <v>1744</v>
      </c>
      <c r="J26" s="1080"/>
      <c r="K26" s="1084">
        <f t="shared" si="1"/>
        <v>8</v>
      </c>
      <c r="L26" s="1063">
        <v>2.6677200000000001</v>
      </c>
      <c r="M26" s="1089">
        <f t="shared" si="2"/>
        <v>8</v>
      </c>
      <c r="N26" s="1064">
        <v>2.8199999999999998E-5</v>
      </c>
      <c r="O26" s="1064">
        <v>2.8199999999999997E-4</v>
      </c>
      <c r="P26" s="1064">
        <v>2.8199999999999997E-4</v>
      </c>
      <c r="Q26" s="1064">
        <v>8.4599999999999988E-3</v>
      </c>
      <c r="R26" s="1093">
        <f t="shared" si="3"/>
        <v>8</v>
      </c>
      <c r="S26" s="1065">
        <v>4.2299999999999998E-5</v>
      </c>
      <c r="T26" s="1065">
        <v>4.2299999999999998E-5</v>
      </c>
      <c r="U26" s="1065">
        <v>4.2299999999999998E-5</v>
      </c>
      <c r="V26" s="1065">
        <v>4.2299999999999998E-5</v>
      </c>
      <c r="W26" s="1048"/>
      <c r="X26" s="1048"/>
      <c r="Y26" s="1048"/>
      <c r="Z26" s="1048"/>
      <c r="AA26" s="1048"/>
      <c r="AB26" s="1048"/>
      <c r="AC26" s="1048"/>
      <c r="AD26" s="1048"/>
      <c r="AE26" s="1048"/>
      <c r="AF26" s="1048"/>
      <c r="AG26" s="1048"/>
      <c r="AH26" s="1048"/>
      <c r="AI26" s="1048"/>
      <c r="AJ26" s="1463" t="s">
        <v>1755</v>
      </c>
      <c r="AK26" s="1464"/>
      <c r="AL26" s="1464"/>
      <c r="AM26" s="1465"/>
      <c r="AN26" s="1568" t="s">
        <v>1824</v>
      </c>
      <c r="AO26" s="1480"/>
      <c r="AP26" s="1480"/>
      <c r="AQ26" s="1480"/>
      <c r="AR26" s="1480"/>
      <c r="AS26" s="1480"/>
      <c r="AT26" s="1480"/>
      <c r="AU26" s="1480"/>
      <c r="AV26" s="1480"/>
      <c r="AW26" s="1480"/>
      <c r="AX26" s="1480"/>
      <c r="AY26" s="1480"/>
      <c r="AZ26" s="1480"/>
      <c r="BA26" s="1480"/>
      <c r="BB26" s="1480"/>
      <c r="BC26" s="1480"/>
      <c r="BD26" s="1480"/>
      <c r="BE26" s="1480"/>
      <c r="BF26" s="1480"/>
      <c r="BG26" s="1480"/>
      <c r="BH26" s="1480"/>
      <c r="BI26" s="1480"/>
      <c r="BJ26" s="1480"/>
      <c r="BK26" s="1480"/>
      <c r="BL26" s="1480"/>
      <c r="BM26" s="1480"/>
      <c r="BN26" s="1480"/>
      <c r="BO26" s="1480"/>
      <c r="BP26" s="1480"/>
      <c r="BQ26" s="1480"/>
      <c r="BR26" s="1480"/>
      <c r="BS26" s="1480"/>
      <c r="BT26" s="1480"/>
      <c r="BU26" s="1480"/>
      <c r="BV26" s="1480"/>
      <c r="BW26" s="1480"/>
      <c r="BX26" s="1480"/>
      <c r="BY26" s="1480"/>
      <c r="BZ26" s="1480"/>
      <c r="CA26" s="1480"/>
      <c r="CB26" s="1481"/>
      <c r="CC26" s="1049"/>
      <c r="CD26" s="1023"/>
      <c r="CE26" s="1076" t="str">
        <f t="shared" si="0"/>
        <v>Coque de Carvão</v>
      </c>
      <c r="CF26" s="1023"/>
      <c r="CG26" s="1023"/>
      <c r="CH26" s="1023"/>
      <c r="CI26" s="1023"/>
      <c r="CJ26" s="1023"/>
      <c r="CK26" s="1023"/>
      <c r="CL26" s="1023"/>
      <c r="CM26" s="1023"/>
      <c r="CN26" s="1023"/>
    </row>
    <row r="27" spans="1:92" s="1022" customFormat="1" ht="15.75" customHeight="1" outlineLevel="1" x14ac:dyDescent="0.2">
      <c r="A27" s="1021"/>
      <c r="B27" s="1032">
        <v>9</v>
      </c>
      <c r="C27" s="245" t="s">
        <v>1751</v>
      </c>
      <c r="D27" s="1039" t="s">
        <v>399</v>
      </c>
      <c r="E27" s="245" t="s">
        <v>16</v>
      </c>
      <c r="F27" s="1046">
        <f>(28.2+28.5)/2</f>
        <v>28.35</v>
      </c>
      <c r="G27" s="982" t="s">
        <v>1744</v>
      </c>
      <c r="H27" s="1047">
        <v>107000</v>
      </c>
      <c r="I27" s="1061" t="s">
        <v>1744</v>
      </c>
      <c r="J27" s="1080"/>
      <c r="K27" s="1084">
        <f t="shared" si="1"/>
        <v>9</v>
      </c>
      <c r="L27" s="1063">
        <v>3.0173999999999999</v>
      </c>
      <c r="M27" s="1089">
        <f t="shared" si="2"/>
        <v>9</v>
      </c>
      <c r="N27" s="1064">
        <v>2.8199999999999998E-5</v>
      </c>
      <c r="O27" s="1064">
        <v>2.8199999999999997E-4</v>
      </c>
      <c r="P27" s="1064">
        <v>2.8199999999999997E-4</v>
      </c>
      <c r="Q27" s="1064">
        <v>8.4599999999999988E-3</v>
      </c>
      <c r="R27" s="1093">
        <f t="shared" si="3"/>
        <v>9</v>
      </c>
      <c r="S27" s="1065">
        <v>4.2299999999999998E-5</v>
      </c>
      <c r="T27" s="1065">
        <v>4.2299999999999998E-5</v>
      </c>
      <c r="U27" s="1065">
        <v>4.2299999999999998E-5</v>
      </c>
      <c r="V27" s="1065">
        <v>4.2299999999999998E-5</v>
      </c>
      <c r="W27" s="1048"/>
      <c r="X27" s="1048"/>
      <c r="Y27" s="1048"/>
      <c r="Z27" s="1048"/>
      <c r="AA27" s="1048"/>
      <c r="AB27" s="1048"/>
      <c r="AC27" s="1048"/>
      <c r="AD27" s="1048"/>
      <c r="AE27" s="1048"/>
      <c r="AF27" s="1048"/>
      <c r="AG27" s="1048"/>
      <c r="AH27" s="1048"/>
      <c r="AI27" s="1048"/>
      <c r="AJ27" s="1470" t="s">
        <v>1752</v>
      </c>
      <c r="AK27" s="1470"/>
      <c r="AL27" s="1470"/>
      <c r="AM27" s="1470"/>
      <c r="AN27" s="1485" t="s">
        <v>92</v>
      </c>
      <c r="AO27" s="1469"/>
      <c r="AP27" s="1469"/>
      <c r="AQ27" s="1469"/>
      <c r="AR27" s="1469"/>
      <c r="AS27" s="1469"/>
      <c r="AT27" s="1469"/>
      <c r="AU27" s="1469"/>
      <c r="AV27" s="1469"/>
      <c r="AW27" s="1469"/>
      <c r="AX27" s="1469"/>
      <c r="AY27" s="1469"/>
      <c r="AZ27" s="1469"/>
      <c r="BA27" s="1469"/>
      <c r="BB27" s="1469"/>
      <c r="BC27" s="1469"/>
      <c r="BD27" s="1469"/>
      <c r="BE27" s="1469"/>
      <c r="BF27" s="1469"/>
      <c r="BG27" s="1469"/>
      <c r="BH27" s="1469"/>
      <c r="BI27" s="1469"/>
      <c r="BJ27" s="1469"/>
      <c r="BK27" s="1469"/>
      <c r="BL27" s="1469"/>
      <c r="BM27" s="1469"/>
      <c r="BN27" s="1469"/>
      <c r="BO27" s="1469"/>
      <c r="BP27" s="1469"/>
      <c r="BQ27" s="1469"/>
      <c r="BR27" s="1469"/>
      <c r="BS27" s="1469"/>
      <c r="BT27" s="1469"/>
      <c r="BU27" s="1469"/>
      <c r="BV27" s="1469"/>
      <c r="BW27" s="1469"/>
      <c r="BX27" s="1469"/>
      <c r="BY27" s="1469"/>
      <c r="BZ27" s="1469"/>
      <c r="CA27" s="1469"/>
      <c r="CB27" s="1469"/>
      <c r="CC27" s="1049"/>
      <c r="CD27" s="1023"/>
      <c r="CE27" s="1076" t="str">
        <f t="shared" si="0"/>
        <v>Coque de Forno ou Lignite</v>
      </c>
      <c r="CF27" s="1023"/>
      <c r="CG27" s="1023"/>
      <c r="CH27" s="1023"/>
      <c r="CI27" s="1023"/>
      <c r="CJ27" s="1023"/>
      <c r="CK27" s="1023"/>
      <c r="CL27" s="1023"/>
      <c r="CM27" s="1023"/>
      <c r="CN27" s="1023"/>
    </row>
    <row r="28" spans="1:92" s="1022" customFormat="1" ht="15.75" customHeight="1" outlineLevel="1" x14ac:dyDescent="0.2">
      <c r="A28" s="1021"/>
      <c r="B28" s="1033">
        <v>10</v>
      </c>
      <c r="C28" s="245" t="s">
        <v>362</v>
      </c>
      <c r="D28" s="1039" t="s">
        <v>400</v>
      </c>
      <c r="E28" s="245" t="s">
        <v>16</v>
      </c>
      <c r="F28" s="1046">
        <f>(31+32.5)/2</f>
        <v>31.75</v>
      </c>
      <c r="G28" s="982" t="s">
        <v>1744</v>
      </c>
      <c r="H28" s="1047">
        <v>97500</v>
      </c>
      <c r="I28" s="1061" t="s">
        <v>1744</v>
      </c>
      <c r="J28" s="1080"/>
      <c r="K28" s="1084">
        <f t="shared" si="1"/>
        <v>10</v>
      </c>
      <c r="L28" s="1063">
        <v>3.1687499999999997</v>
      </c>
      <c r="M28" s="1089">
        <f t="shared" si="2"/>
        <v>10</v>
      </c>
      <c r="N28" s="1064">
        <v>9.7499999999999998E-5</v>
      </c>
      <c r="O28" s="1064">
        <v>9.7499999999999998E-5</v>
      </c>
      <c r="P28" s="1064">
        <v>3.2499999999999999E-4</v>
      </c>
      <c r="Q28" s="1064">
        <v>3.2499999999999999E-4</v>
      </c>
      <c r="R28" s="1093">
        <f t="shared" si="3"/>
        <v>10</v>
      </c>
      <c r="S28" s="1065">
        <v>1.95E-5</v>
      </c>
      <c r="T28" s="1065">
        <v>1.95E-5</v>
      </c>
      <c r="U28" s="1065">
        <v>1.95E-5</v>
      </c>
      <c r="V28" s="1065">
        <v>1.95E-5</v>
      </c>
      <c r="W28" s="1048"/>
      <c r="X28" s="1048"/>
      <c r="Y28" s="1048"/>
      <c r="Z28" s="1048"/>
      <c r="AA28" s="1048"/>
      <c r="AB28" s="1048"/>
      <c r="AC28" s="1048"/>
      <c r="AD28" s="1048"/>
      <c r="AE28" s="1048"/>
      <c r="AF28" s="1048"/>
      <c r="AG28" s="1048"/>
      <c r="AH28" s="1048"/>
      <c r="AI28" s="1048"/>
      <c r="AJ28" s="1470" t="str">
        <f t="shared" ref="AJ28:AJ55" si="4">C28</f>
        <v>Coque de Petróleo</v>
      </c>
      <c r="AK28" s="1470"/>
      <c r="AL28" s="1470"/>
      <c r="AM28" s="1470"/>
      <c r="AN28" s="1469" t="s">
        <v>1760</v>
      </c>
      <c r="AO28" s="1469"/>
      <c r="AP28" s="1469"/>
      <c r="AQ28" s="1469"/>
      <c r="AR28" s="1469"/>
      <c r="AS28" s="1469"/>
      <c r="AT28" s="1469"/>
      <c r="AU28" s="1469"/>
      <c r="AV28" s="1469"/>
      <c r="AW28" s="1469"/>
      <c r="AX28" s="1469"/>
      <c r="AY28" s="1469"/>
      <c r="AZ28" s="1469"/>
      <c r="BA28" s="1469"/>
      <c r="BB28" s="1469"/>
      <c r="BC28" s="1469"/>
      <c r="BD28" s="1469"/>
      <c r="BE28" s="1469"/>
      <c r="BF28" s="1469"/>
      <c r="BG28" s="1469"/>
      <c r="BH28" s="1469"/>
      <c r="BI28" s="1469"/>
      <c r="BJ28" s="1469"/>
      <c r="BK28" s="1469"/>
      <c r="BL28" s="1469"/>
      <c r="BM28" s="1469"/>
      <c r="BN28" s="1469"/>
      <c r="BO28" s="1469"/>
      <c r="BP28" s="1469"/>
      <c r="BQ28" s="1469"/>
      <c r="BR28" s="1469"/>
      <c r="BS28" s="1469"/>
      <c r="BT28" s="1469"/>
      <c r="BU28" s="1469"/>
      <c r="BV28" s="1469"/>
      <c r="BW28" s="1469"/>
      <c r="BX28" s="1469"/>
      <c r="BY28" s="1469"/>
      <c r="BZ28" s="1469"/>
      <c r="CA28" s="1469"/>
      <c r="CB28" s="1469"/>
      <c r="CC28" s="1049" t="s">
        <v>441</v>
      </c>
      <c r="CD28" s="1023"/>
      <c r="CE28" s="1076" t="str">
        <f t="shared" si="0"/>
        <v>Coque de Petróleo</v>
      </c>
      <c r="CF28" s="1023"/>
      <c r="CG28" s="1023"/>
      <c r="CH28" s="1023"/>
      <c r="CI28" s="1023"/>
      <c r="CJ28" s="1023"/>
      <c r="CK28" s="1023"/>
      <c r="CL28" s="1023"/>
      <c r="CM28" s="1023"/>
      <c r="CN28" s="1023"/>
    </row>
    <row r="29" spans="1:92" s="1029" customFormat="1" ht="30" outlineLevel="1" x14ac:dyDescent="0.2">
      <c r="A29" s="1028"/>
      <c r="B29" s="1032">
        <v>11</v>
      </c>
      <c r="C29" s="245" t="s">
        <v>70</v>
      </c>
      <c r="D29" s="1039" t="s">
        <v>401</v>
      </c>
      <c r="E29" s="245" t="s">
        <v>10</v>
      </c>
      <c r="F29" s="1050"/>
      <c r="G29" s="1058" t="s">
        <v>92</v>
      </c>
      <c r="H29" s="1047">
        <v>61600</v>
      </c>
      <c r="I29" s="235" t="s">
        <v>1759</v>
      </c>
      <c r="J29" s="1081"/>
      <c r="K29" s="1084">
        <f t="shared" si="1"/>
        <v>11</v>
      </c>
      <c r="L29" s="1063">
        <v>3.7157120000000004E-3</v>
      </c>
      <c r="M29" s="1089">
        <f t="shared" si="2"/>
        <v>11</v>
      </c>
      <c r="N29" s="1064">
        <v>6.032E-8</v>
      </c>
      <c r="O29" s="1064">
        <v>6.032E-8</v>
      </c>
      <c r="P29" s="1064">
        <v>3.016E-7</v>
      </c>
      <c r="Q29" s="1064">
        <v>3.016E-7</v>
      </c>
      <c r="R29" s="1093">
        <f t="shared" si="3"/>
        <v>11</v>
      </c>
      <c r="S29" s="1065">
        <v>6.0319999999999998E-9</v>
      </c>
      <c r="T29" s="1065">
        <v>6.0319999999999998E-9</v>
      </c>
      <c r="U29" s="1065">
        <v>6.0319999999999998E-9</v>
      </c>
      <c r="V29" s="1065">
        <v>6.0319999999999998E-9</v>
      </c>
      <c r="W29" s="1048"/>
      <c r="X29" s="1048"/>
      <c r="Y29" s="1048"/>
      <c r="Z29" s="1048"/>
      <c r="AA29" s="1048"/>
      <c r="AB29" s="1048"/>
      <c r="AC29" s="1048"/>
      <c r="AD29" s="1048"/>
      <c r="AE29" s="1048"/>
      <c r="AF29" s="1048"/>
      <c r="AG29" s="1048"/>
      <c r="AH29" s="1048"/>
      <c r="AI29" s="1048"/>
      <c r="AJ29" s="1470" t="str">
        <f t="shared" si="4"/>
        <v>Etano</v>
      </c>
      <c r="AK29" s="1470"/>
      <c r="AL29" s="1470"/>
      <c r="AM29" s="1470"/>
      <c r="AN29" s="1469" t="s">
        <v>448</v>
      </c>
      <c r="AO29" s="1469"/>
      <c r="AP29" s="1469"/>
      <c r="AQ29" s="1469"/>
      <c r="AR29" s="1469"/>
      <c r="AS29" s="1469"/>
      <c r="AT29" s="1469"/>
      <c r="AU29" s="1469"/>
      <c r="AV29" s="1469"/>
      <c r="AW29" s="1469"/>
      <c r="AX29" s="1469"/>
      <c r="AY29" s="1469"/>
      <c r="AZ29" s="1469"/>
      <c r="BA29" s="1469"/>
      <c r="BB29" s="1469"/>
      <c r="BC29" s="1469"/>
      <c r="BD29" s="1469"/>
      <c r="BE29" s="1469"/>
      <c r="BF29" s="1469"/>
      <c r="BG29" s="1469"/>
      <c r="BH29" s="1469"/>
      <c r="BI29" s="1469"/>
      <c r="BJ29" s="1469"/>
      <c r="BK29" s="1469"/>
      <c r="BL29" s="1469"/>
      <c r="BM29" s="1469"/>
      <c r="BN29" s="1469"/>
      <c r="BO29" s="1469"/>
      <c r="BP29" s="1469"/>
      <c r="BQ29" s="1469"/>
      <c r="BR29" s="1469"/>
      <c r="BS29" s="1469"/>
      <c r="BT29" s="1469"/>
      <c r="BU29" s="1469"/>
      <c r="BV29" s="1469"/>
      <c r="BW29" s="1469"/>
      <c r="BX29" s="1469"/>
      <c r="BY29" s="1469"/>
      <c r="BZ29" s="1469"/>
      <c r="CA29" s="1469"/>
      <c r="CB29" s="1469"/>
      <c r="CC29" s="1049" t="s">
        <v>441</v>
      </c>
      <c r="CD29" s="1030"/>
      <c r="CE29" s="1076" t="str">
        <f t="shared" si="0"/>
        <v>Etano</v>
      </c>
      <c r="CF29" s="1030"/>
      <c r="CG29" s="1030"/>
      <c r="CH29" s="1030"/>
      <c r="CI29" s="1030"/>
      <c r="CJ29" s="1030"/>
      <c r="CK29" s="1030"/>
      <c r="CL29" s="1030"/>
      <c r="CM29" s="1030"/>
      <c r="CN29" s="1030"/>
    </row>
    <row r="30" spans="1:92" s="1029" customFormat="1" ht="30" outlineLevel="1" x14ac:dyDescent="0.2">
      <c r="A30" s="1028"/>
      <c r="B30" s="1033">
        <v>12</v>
      </c>
      <c r="C30" s="245" t="s">
        <v>1779</v>
      </c>
      <c r="D30" s="1039" t="s">
        <v>411</v>
      </c>
      <c r="E30" s="245" t="s">
        <v>11</v>
      </c>
      <c r="F30" s="1050">
        <f>(40+40.4)/2</f>
        <v>40.200000000000003</v>
      </c>
      <c r="G30" s="982" t="s">
        <v>1744</v>
      </c>
      <c r="H30" s="1047">
        <v>77300</v>
      </c>
      <c r="I30" s="235" t="s">
        <v>1759</v>
      </c>
      <c r="J30" s="1081"/>
      <c r="K30" s="1084">
        <f t="shared" si="1"/>
        <v>12</v>
      </c>
      <c r="L30" s="1063">
        <v>2.9393423999999994E-3</v>
      </c>
      <c r="M30" s="1089">
        <f t="shared" si="2"/>
        <v>12</v>
      </c>
      <c r="N30" s="1064">
        <v>1.13928E-7</v>
      </c>
      <c r="O30" s="1064">
        <v>1.13928E-7</v>
      </c>
      <c r="P30" s="1064">
        <v>3.7976000000000001E-7</v>
      </c>
      <c r="Q30" s="1064">
        <v>3.7976000000000001E-7</v>
      </c>
      <c r="R30" s="1093">
        <f t="shared" si="3"/>
        <v>12</v>
      </c>
      <c r="S30" s="1065">
        <v>2.2785599999999995E-8</v>
      </c>
      <c r="T30" s="1065">
        <v>2.2785599999999995E-8</v>
      </c>
      <c r="U30" s="1065">
        <v>2.2785599999999995E-8</v>
      </c>
      <c r="V30" s="1065">
        <v>2.2785599999999995E-8</v>
      </c>
      <c r="W30" s="1048"/>
      <c r="X30" s="1048"/>
      <c r="Y30" s="1048"/>
      <c r="Z30" s="1048"/>
      <c r="AA30" s="1048"/>
      <c r="AB30" s="1048"/>
      <c r="AC30" s="1048"/>
      <c r="AD30" s="1048"/>
      <c r="AE30" s="1048"/>
      <c r="AF30" s="1048"/>
      <c r="AG30" s="1048"/>
      <c r="AH30" s="1048"/>
      <c r="AI30" s="1048"/>
      <c r="AJ30" s="1470" t="str">
        <f t="shared" si="4"/>
        <v>Fuelóleo Pesado</v>
      </c>
      <c r="AK30" s="1470"/>
      <c r="AL30" s="1470"/>
      <c r="AM30" s="1470"/>
      <c r="AN30" s="1469" t="s">
        <v>453</v>
      </c>
      <c r="AO30" s="1469"/>
      <c r="AP30" s="1469"/>
      <c r="AQ30" s="1469"/>
      <c r="AR30" s="1469"/>
      <c r="AS30" s="1469"/>
      <c r="AT30" s="1469"/>
      <c r="AU30" s="1469"/>
      <c r="AV30" s="1469"/>
      <c r="AW30" s="1469"/>
      <c r="AX30" s="1469"/>
      <c r="AY30" s="1469"/>
      <c r="AZ30" s="1469"/>
      <c r="BA30" s="1469"/>
      <c r="BB30" s="1469"/>
      <c r="BC30" s="1469"/>
      <c r="BD30" s="1469"/>
      <c r="BE30" s="1469"/>
      <c r="BF30" s="1469"/>
      <c r="BG30" s="1469"/>
      <c r="BH30" s="1469"/>
      <c r="BI30" s="1469"/>
      <c r="BJ30" s="1469"/>
      <c r="BK30" s="1469"/>
      <c r="BL30" s="1469"/>
      <c r="BM30" s="1469"/>
      <c r="BN30" s="1469"/>
      <c r="BO30" s="1469"/>
      <c r="BP30" s="1469"/>
      <c r="BQ30" s="1469"/>
      <c r="BR30" s="1469"/>
      <c r="BS30" s="1469"/>
      <c r="BT30" s="1469"/>
      <c r="BU30" s="1469"/>
      <c r="BV30" s="1469"/>
      <c r="BW30" s="1469"/>
      <c r="BX30" s="1469"/>
      <c r="BY30" s="1469"/>
      <c r="BZ30" s="1469"/>
      <c r="CA30" s="1469"/>
      <c r="CB30" s="1469"/>
      <c r="CC30" s="1049" t="s">
        <v>441</v>
      </c>
      <c r="CD30" s="1030"/>
      <c r="CE30" s="1076" t="str">
        <f t="shared" si="0"/>
        <v>Fuelóleo Pesado</v>
      </c>
      <c r="CF30" s="1030"/>
      <c r="CG30" s="1030"/>
      <c r="CH30" s="1030"/>
      <c r="CI30" s="1030"/>
      <c r="CJ30" s="1030"/>
      <c r="CK30" s="1030"/>
      <c r="CL30" s="1030"/>
      <c r="CM30" s="1030"/>
      <c r="CN30" s="1030"/>
    </row>
    <row r="31" spans="1:92" s="1029" customFormat="1" ht="30" outlineLevel="1" x14ac:dyDescent="0.2">
      <c r="A31" s="1028"/>
      <c r="B31" s="1033">
        <v>13</v>
      </c>
      <c r="C31" s="245" t="s">
        <v>1782</v>
      </c>
      <c r="D31" s="1039" t="s">
        <v>1783</v>
      </c>
      <c r="E31" s="245" t="s">
        <v>16</v>
      </c>
      <c r="F31" s="1050">
        <v>2.5</v>
      </c>
      <c r="G31" s="982" t="s">
        <v>1744</v>
      </c>
      <c r="H31" s="1047">
        <f>259.4*1000</f>
        <v>259399.99999999997</v>
      </c>
      <c r="I31" s="235" t="s">
        <v>1759</v>
      </c>
      <c r="J31" s="1081"/>
      <c r="K31" s="1084">
        <f t="shared" si="1"/>
        <v>13</v>
      </c>
      <c r="L31" s="1063">
        <v>0.64219999999999999</v>
      </c>
      <c r="M31" s="1089">
        <f t="shared" si="2"/>
        <v>13</v>
      </c>
      <c r="N31" s="1064">
        <v>2.4700000000000001E-6</v>
      </c>
      <c r="O31" s="1064">
        <v>2.4700000000000001E-6</v>
      </c>
      <c r="P31" s="1064">
        <v>1.235E-5</v>
      </c>
      <c r="Q31" s="1064">
        <v>1.235E-5</v>
      </c>
      <c r="R31" s="1093">
        <f t="shared" si="3"/>
        <v>13</v>
      </c>
      <c r="S31" s="1065">
        <v>2.4700000000000003E-7</v>
      </c>
      <c r="T31" s="1065">
        <v>2.4700000000000003E-7</v>
      </c>
      <c r="U31" s="1065">
        <v>2.4700000000000003E-7</v>
      </c>
      <c r="V31" s="1065">
        <v>2.4700000000000003E-7</v>
      </c>
      <c r="W31" s="1048"/>
      <c r="X31" s="1048"/>
      <c r="Y31" s="1048"/>
      <c r="Z31" s="1048"/>
      <c r="AA31" s="1048"/>
      <c r="AB31" s="1048"/>
      <c r="AC31" s="1048"/>
      <c r="AD31" s="1048"/>
      <c r="AE31" s="1048"/>
      <c r="AF31" s="1048"/>
      <c r="AG31" s="1048"/>
      <c r="AH31" s="1048"/>
      <c r="AI31" s="1048"/>
      <c r="AJ31" s="1463" t="str">
        <f t="shared" si="4"/>
        <v>Gás de Alto Forno</v>
      </c>
      <c r="AK31" s="1464"/>
      <c r="AL31" s="1464"/>
      <c r="AM31" s="1465"/>
      <c r="AN31" s="1466" t="s">
        <v>1825</v>
      </c>
      <c r="AO31" s="1467"/>
      <c r="AP31" s="1467"/>
      <c r="AQ31" s="1467"/>
      <c r="AR31" s="1467"/>
      <c r="AS31" s="1467"/>
      <c r="AT31" s="1467"/>
      <c r="AU31" s="1467"/>
      <c r="AV31" s="1467"/>
      <c r="AW31" s="1467"/>
      <c r="AX31" s="1467"/>
      <c r="AY31" s="1467"/>
      <c r="AZ31" s="1467"/>
      <c r="BA31" s="1467"/>
      <c r="BB31" s="1467"/>
      <c r="BC31" s="1467"/>
      <c r="BD31" s="1467"/>
      <c r="BE31" s="1467"/>
      <c r="BF31" s="1467"/>
      <c r="BG31" s="1467"/>
      <c r="BH31" s="1467"/>
      <c r="BI31" s="1467"/>
      <c r="BJ31" s="1467"/>
      <c r="BK31" s="1467"/>
      <c r="BL31" s="1467"/>
      <c r="BM31" s="1467"/>
      <c r="BN31" s="1467"/>
      <c r="BO31" s="1467"/>
      <c r="BP31" s="1467"/>
      <c r="BQ31" s="1467"/>
      <c r="BR31" s="1467"/>
      <c r="BS31" s="1467"/>
      <c r="BT31" s="1467"/>
      <c r="BU31" s="1467"/>
      <c r="BV31" s="1467"/>
      <c r="BW31" s="1467"/>
      <c r="BX31" s="1467"/>
      <c r="BY31" s="1467"/>
      <c r="BZ31" s="1467"/>
      <c r="CA31" s="1467"/>
      <c r="CB31" s="1468"/>
      <c r="CC31" s="1049"/>
      <c r="CD31" s="1030"/>
      <c r="CE31" s="1076" t="str">
        <f t="shared" si="0"/>
        <v>Gás de Alto Forno</v>
      </c>
      <c r="CF31" s="1030"/>
      <c r="CG31" s="1030"/>
      <c r="CH31" s="1030"/>
      <c r="CI31" s="1030"/>
      <c r="CJ31" s="1030"/>
      <c r="CK31" s="1030"/>
      <c r="CL31" s="1030"/>
      <c r="CM31" s="1030"/>
      <c r="CN31" s="1030"/>
    </row>
    <row r="32" spans="1:92" s="1022" customFormat="1" ht="15.75" customHeight="1" outlineLevel="1" x14ac:dyDescent="0.2">
      <c r="A32" s="1021"/>
      <c r="B32" s="1032">
        <v>14</v>
      </c>
      <c r="C32" s="245" t="s">
        <v>1784</v>
      </c>
      <c r="D32" s="1039" t="s">
        <v>402</v>
      </c>
      <c r="E32" s="245" t="s">
        <v>16</v>
      </c>
      <c r="F32" s="1050">
        <v>38.700000000000003</v>
      </c>
      <c r="G32" s="982" t="s">
        <v>1744</v>
      </c>
      <c r="H32" s="1047">
        <f>44.7*1000</f>
        <v>44700</v>
      </c>
      <c r="I32" s="1061" t="s">
        <v>1744</v>
      </c>
      <c r="J32" s="1080"/>
      <c r="K32" s="1084">
        <f t="shared" si="1"/>
        <v>14</v>
      </c>
      <c r="L32" s="1063">
        <v>3.0173999999999999</v>
      </c>
      <c r="M32" s="1089">
        <f t="shared" si="2"/>
        <v>14</v>
      </c>
      <c r="N32" s="1064">
        <v>2.8199999999999998E-5</v>
      </c>
      <c r="O32" s="1064">
        <v>2.8199999999999998E-5</v>
      </c>
      <c r="P32" s="1064">
        <v>1.4099999999999998E-4</v>
      </c>
      <c r="Q32" s="1064">
        <v>1.4099999999999998E-4</v>
      </c>
      <c r="R32" s="1093">
        <f t="shared" si="3"/>
        <v>14</v>
      </c>
      <c r="S32" s="1065">
        <v>2.8200000000000001E-6</v>
      </c>
      <c r="T32" s="1065">
        <v>2.8200000000000001E-6</v>
      </c>
      <c r="U32" s="1065">
        <v>2.8200000000000001E-6</v>
      </c>
      <c r="V32" s="1065">
        <v>2.8200000000000001E-6</v>
      </c>
      <c r="W32" s="1048"/>
      <c r="X32" s="1048"/>
      <c r="Y32" s="1048"/>
      <c r="Z32" s="1048"/>
      <c r="AA32" s="1048"/>
      <c r="AB32" s="1048"/>
      <c r="AC32" s="1048"/>
      <c r="AD32" s="1048"/>
      <c r="AE32" s="1048"/>
      <c r="AF32" s="1048"/>
      <c r="AG32" s="1048"/>
      <c r="AH32" s="1048"/>
      <c r="AI32" s="1048"/>
      <c r="AJ32" s="1470" t="str">
        <f t="shared" si="4"/>
        <v xml:space="preserve">Gás de Coqueria </v>
      </c>
      <c r="AK32" s="1470"/>
      <c r="AL32" s="1470"/>
      <c r="AM32" s="1470"/>
      <c r="AN32" s="1469" t="s">
        <v>1826</v>
      </c>
      <c r="AO32" s="1469"/>
      <c r="AP32" s="1469"/>
      <c r="AQ32" s="1469"/>
      <c r="AR32" s="1469"/>
      <c r="AS32" s="1469"/>
      <c r="AT32" s="1469"/>
      <c r="AU32" s="1469"/>
      <c r="AV32" s="1469"/>
      <c r="AW32" s="1469"/>
      <c r="AX32" s="1469"/>
      <c r="AY32" s="1469"/>
      <c r="AZ32" s="1469"/>
      <c r="BA32" s="1469"/>
      <c r="BB32" s="1469"/>
      <c r="BC32" s="1469"/>
      <c r="BD32" s="1469"/>
      <c r="BE32" s="1469"/>
      <c r="BF32" s="1469"/>
      <c r="BG32" s="1469"/>
      <c r="BH32" s="1469"/>
      <c r="BI32" s="1469"/>
      <c r="BJ32" s="1469"/>
      <c r="BK32" s="1469"/>
      <c r="BL32" s="1469"/>
      <c r="BM32" s="1469"/>
      <c r="BN32" s="1469"/>
      <c r="BO32" s="1469"/>
      <c r="BP32" s="1469"/>
      <c r="BQ32" s="1469"/>
      <c r="BR32" s="1469"/>
      <c r="BS32" s="1469"/>
      <c r="BT32" s="1469"/>
      <c r="BU32" s="1469"/>
      <c r="BV32" s="1469"/>
      <c r="BW32" s="1469"/>
      <c r="BX32" s="1469"/>
      <c r="BY32" s="1469"/>
      <c r="BZ32" s="1469"/>
      <c r="CA32" s="1469"/>
      <c r="CB32" s="1469"/>
      <c r="CC32" s="1049"/>
      <c r="CD32" s="1023"/>
      <c r="CE32" s="1076" t="str">
        <f t="shared" si="0"/>
        <v xml:space="preserve">Gás de Coqueria </v>
      </c>
      <c r="CF32" s="1023"/>
      <c r="CG32" s="1023"/>
      <c r="CH32" s="1023"/>
      <c r="CI32" s="1023"/>
      <c r="CJ32" s="1023"/>
      <c r="CK32" s="1023"/>
      <c r="CL32" s="1023"/>
      <c r="CM32" s="1023"/>
      <c r="CN32" s="1023"/>
    </row>
    <row r="33" spans="1:92" s="1022" customFormat="1" ht="15.75" customHeight="1" outlineLevel="1" x14ac:dyDescent="0.2">
      <c r="A33" s="1021"/>
      <c r="B33" s="1033">
        <v>15</v>
      </c>
      <c r="C33" s="245" t="s">
        <v>1785</v>
      </c>
      <c r="D33" s="1039" t="s">
        <v>1786</v>
      </c>
      <c r="E33" s="245" t="s">
        <v>16</v>
      </c>
      <c r="F33" s="1050">
        <v>38.700000000000003</v>
      </c>
      <c r="G33" s="982" t="s">
        <v>1744</v>
      </c>
      <c r="H33" s="1047">
        <f>44.7*1000</f>
        <v>44700</v>
      </c>
      <c r="I33" s="1061" t="s">
        <v>1744</v>
      </c>
      <c r="J33" s="1080"/>
      <c r="K33" s="1084">
        <f t="shared" si="1"/>
        <v>15</v>
      </c>
      <c r="L33" s="1063">
        <v>1.7182800000000003</v>
      </c>
      <c r="M33" s="1089">
        <f t="shared" si="2"/>
        <v>15</v>
      </c>
      <c r="N33" s="1064">
        <v>3.8699999999999999E-5</v>
      </c>
      <c r="O33" s="1064">
        <v>3.8699999999999999E-5</v>
      </c>
      <c r="P33" s="1064">
        <v>1.9349999999999999E-4</v>
      </c>
      <c r="Q33" s="1064">
        <v>1.9349999999999999E-4</v>
      </c>
      <c r="R33" s="1093">
        <f t="shared" si="3"/>
        <v>15</v>
      </c>
      <c r="S33" s="1065">
        <v>3.8700000000000002E-6</v>
      </c>
      <c r="T33" s="1065">
        <v>3.8700000000000002E-6</v>
      </c>
      <c r="U33" s="1065">
        <v>3.8700000000000002E-6</v>
      </c>
      <c r="V33" s="1065">
        <v>3.8700000000000002E-6</v>
      </c>
      <c r="W33" s="1048"/>
      <c r="X33" s="1048"/>
      <c r="Y33" s="1048"/>
      <c r="Z33" s="1048"/>
      <c r="AA33" s="1048"/>
      <c r="AB33" s="1048"/>
      <c r="AC33" s="1048"/>
      <c r="AD33" s="1048"/>
      <c r="AE33" s="1048"/>
      <c r="AF33" s="1048"/>
      <c r="AG33" s="1048"/>
      <c r="AH33" s="1048"/>
      <c r="AI33" s="1048"/>
      <c r="AJ33" s="1463" t="str">
        <f t="shared" si="4"/>
        <v>Gás de Fábricas de Gás</v>
      </c>
      <c r="AK33" s="1464"/>
      <c r="AL33" s="1464"/>
      <c r="AM33" s="1465"/>
      <c r="AN33" s="1466" t="s">
        <v>1827</v>
      </c>
      <c r="AO33" s="1467"/>
      <c r="AP33" s="1467"/>
      <c r="AQ33" s="1467"/>
      <c r="AR33" s="1467"/>
      <c r="AS33" s="1467"/>
      <c r="AT33" s="1467"/>
      <c r="AU33" s="1467"/>
      <c r="AV33" s="1467"/>
      <c r="AW33" s="1467"/>
      <c r="AX33" s="1467"/>
      <c r="AY33" s="1467"/>
      <c r="AZ33" s="1467"/>
      <c r="BA33" s="1467"/>
      <c r="BB33" s="1467"/>
      <c r="BC33" s="1467"/>
      <c r="BD33" s="1467"/>
      <c r="BE33" s="1467"/>
      <c r="BF33" s="1467"/>
      <c r="BG33" s="1467"/>
      <c r="BH33" s="1467"/>
      <c r="BI33" s="1467"/>
      <c r="BJ33" s="1467"/>
      <c r="BK33" s="1467"/>
      <c r="BL33" s="1467"/>
      <c r="BM33" s="1467"/>
      <c r="BN33" s="1467"/>
      <c r="BO33" s="1467"/>
      <c r="BP33" s="1467"/>
      <c r="BQ33" s="1467"/>
      <c r="BR33" s="1467"/>
      <c r="BS33" s="1467"/>
      <c r="BT33" s="1467"/>
      <c r="BU33" s="1467"/>
      <c r="BV33" s="1467"/>
      <c r="BW33" s="1467"/>
      <c r="BX33" s="1467"/>
      <c r="BY33" s="1467"/>
      <c r="BZ33" s="1467"/>
      <c r="CA33" s="1467"/>
      <c r="CB33" s="1468"/>
      <c r="CC33" s="1049"/>
      <c r="CD33" s="1023"/>
      <c r="CE33" s="1076" t="str">
        <f t="shared" si="0"/>
        <v>Gás de Fábricas de Gás</v>
      </c>
      <c r="CF33" s="1023"/>
      <c r="CG33" s="1023"/>
      <c r="CH33" s="1023"/>
      <c r="CI33" s="1023"/>
      <c r="CJ33" s="1023"/>
      <c r="CK33" s="1023"/>
      <c r="CL33" s="1023"/>
      <c r="CM33" s="1023"/>
      <c r="CN33" s="1023"/>
    </row>
    <row r="34" spans="1:92" s="1029" customFormat="1" ht="15" outlineLevel="1" x14ac:dyDescent="0.2">
      <c r="A34" s="1028"/>
      <c r="B34" s="1032">
        <v>16</v>
      </c>
      <c r="C34" s="245" t="s">
        <v>1789</v>
      </c>
      <c r="D34" s="1039" t="s">
        <v>1790</v>
      </c>
      <c r="E34" s="245" t="s">
        <v>16</v>
      </c>
      <c r="F34" s="1050">
        <v>7.1</v>
      </c>
      <c r="G34" s="982" t="s">
        <v>1744</v>
      </c>
      <c r="H34" s="1047">
        <f>171.8*1000</f>
        <v>171800</v>
      </c>
      <c r="I34" s="1061" t="s">
        <v>1744</v>
      </c>
      <c r="J34" s="1080"/>
      <c r="K34" s="1084">
        <f t="shared" si="1"/>
        <v>16</v>
      </c>
      <c r="L34" s="1063">
        <v>1.2849199999999998</v>
      </c>
      <c r="M34" s="1089">
        <f t="shared" si="2"/>
        <v>16</v>
      </c>
      <c r="N34" s="1064">
        <v>7.0599999999999993E-6</v>
      </c>
      <c r="O34" s="1064">
        <v>7.0599999999999993E-6</v>
      </c>
      <c r="P34" s="1064">
        <v>3.5299999999999997E-5</v>
      </c>
      <c r="Q34" s="1064">
        <v>3.5299999999999997E-5</v>
      </c>
      <c r="R34" s="1093">
        <f t="shared" si="3"/>
        <v>16</v>
      </c>
      <c r="S34" s="1065">
        <v>7.0599999999999989E-7</v>
      </c>
      <c r="T34" s="1065">
        <v>7.0599999999999989E-7</v>
      </c>
      <c r="U34" s="1065">
        <v>7.0599999999999989E-7</v>
      </c>
      <c r="V34" s="1065">
        <v>7.0599999999999989E-7</v>
      </c>
      <c r="W34" s="1048"/>
      <c r="X34" s="1048"/>
      <c r="Y34" s="1048"/>
      <c r="Z34" s="1048"/>
      <c r="AA34" s="1048"/>
      <c r="AB34" s="1048"/>
      <c r="AC34" s="1048"/>
      <c r="AD34" s="1048"/>
      <c r="AE34" s="1048"/>
      <c r="AF34" s="1048"/>
      <c r="AG34" s="1048"/>
      <c r="AH34" s="1048"/>
      <c r="AI34" s="1048"/>
      <c r="AJ34" s="1463" t="str">
        <f t="shared" si="4"/>
        <v>Gás de forno de acearia a oxigénio</v>
      </c>
      <c r="AK34" s="1464"/>
      <c r="AL34" s="1464"/>
      <c r="AM34" s="1465"/>
      <c r="AN34" s="1466" t="s">
        <v>1828</v>
      </c>
      <c r="AO34" s="1467"/>
      <c r="AP34" s="1467"/>
      <c r="AQ34" s="1467"/>
      <c r="AR34" s="1467"/>
      <c r="AS34" s="1467"/>
      <c r="AT34" s="1467"/>
      <c r="AU34" s="1467"/>
      <c r="AV34" s="1467"/>
      <c r="AW34" s="1467"/>
      <c r="AX34" s="1467"/>
      <c r="AY34" s="1467"/>
      <c r="AZ34" s="1467"/>
      <c r="BA34" s="1467"/>
      <c r="BB34" s="1467"/>
      <c r="BC34" s="1467"/>
      <c r="BD34" s="1467"/>
      <c r="BE34" s="1467"/>
      <c r="BF34" s="1467"/>
      <c r="BG34" s="1467"/>
      <c r="BH34" s="1467"/>
      <c r="BI34" s="1467"/>
      <c r="BJ34" s="1467"/>
      <c r="BK34" s="1467"/>
      <c r="BL34" s="1467"/>
      <c r="BM34" s="1467"/>
      <c r="BN34" s="1467"/>
      <c r="BO34" s="1467"/>
      <c r="BP34" s="1467"/>
      <c r="BQ34" s="1467"/>
      <c r="BR34" s="1467"/>
      <c r="BS34" s="1467"/>
      <c r="BT34" s="1467"/>
      <c r="BU34" s="1467"/>
      <c r="BV34" s="1467"/>
      <c r="BW34" s="1467"/>
      <c r="BX34" s="1467"/>
      <c r="BY34" s="1467"/>
      <c r="BZ34" s="1467"/>
      <c r="CA34" s="1467"/>
      <c r="CB34" s="1468"/>
      <c r="CC34" s="1049"/>
      <c r="CD34" s="1030"/>
      <c r="CE34" s="1076" t="str">
        <f t="shared" si="0"/>
        <v>Gás de forno de acearia a oxigénio</v>
      </c>
      <c r="CF34" s="1030"/>
      <c r="CG34" s="1030"/>
      <c r="CH34" s="1030"/>
      <c r="CI34" s="1030"/>
      <c r="CJ34" s="1030"/>
      <c r="CK34" s="1030"/>
      <c r="CL34" s="1030"/>
      <c r="CM34" s="1030"/>
      <c r="CN34" s="1030"/>
    </row>
    <row r="35" spans="1:92" s="1029" customFormat="1" ht="15.75" customHeight="1" outlineLevel="1" x14ac:dyDescent="0.2">
      <c r="A35" s="1028"/>
      <c r="B35" s="1033">
        <v>17</v>
      </c>
      <c r="C35" s="245" t="s">
        <v>1739</v>
      </c>
      <c r="D35" s="1039" t="s">
        <v>404</v>
      </c>
      <c r="E35" s="245" t="s">
        <v>11</v>
      </c>
      <c r="F35" s="1050">
        <f>(46+47.3)/2</f>
        <v>46.65</v>
      </c>
      <c r="G35" s="982" t="s">
        <v>1744</v>
      </c>
      <c r="H35" s="1047">
        <v>63000</v>
      </c>
      <c r="I35" s="1061" t="s">
        <v>1744</v>
      </c>
      <c r="J35" s="1080"/>
      <c r="K35" s="1084">
        <f t="shared" si="1"/>
        <v>17</v>
      </c>
      <c r="L35" s="1063">
        <v>1.6117002E-3</v>
      </c>
      <c r="M35" s="1089">
        <f t="shared" si="2"/>
        <v>17</v>
      </c>
      <c r="N35" s="1064">
        <v>2.5542000000000001E-8</v>
      </c>
      <c r="O35" s="1064">
        <v>2.5542000000000001E-8</v>
      </c>
      <c r="P35" s="1064">
        <v>1.2771000000000002E-7</v>
      </c>
      <c r="Q35" s="1064">
        <v>1.2771000000000002E-7</v>
      </c>
      <c r="R35" s="1093">
        <f t="shared" si="3"/>
        <v>17</v>
      </c>
      <c r="S35" s="1065">
        <v>2.5541999999999997E-9</v>
      </c>
      <c r="T35" s="1065">
        <v>2.5541999999999997E-9</v>
      </c>
      <c r="U35" s="1065">
        <v>2.5541999999999997E-9</v>
      </c>
      <c r="V35" s="1065">
        <v>2.5541999999999997E-9</v>
      </c>
      <c r="W35" s="1048"/>
      <c r="X35" s="1048"/>
      <c r="Y35" s="1048"/>
      <c r="Z35" s="1048"/>
      <c r="AA35" s="1048"/>
      <c r="AB35" s="1048"/>
      <c r="AC35" s="1048"/>
      <c r="AD35" s="1048"/>
      <c r="AE35" s="1048"/>
      <c r="AF35" s="1048"/>
      <c r="AG35" s="1048"/>
      <c r="AH35" s="1048"/>
      <c r="AI35" s="1048"/>
      <c r="AJ35" s="1470" t="str">
        <f t="shared" si="4"/>
        <v>Gás de Petróleo Liquefeito (GPL)</v>
      </c>
      <c r="AK35" s="1470"/>
      <c r="AL35" s="1470"/>
      <c r="AM35" s="1470"/>
      <c r="AN35" s="1469" t="s">
        <v>450</v>
      </c>
      <c r="AO35" s="1469"/>
      <c r="AP35" s="1469"/>
      <c r="AQ35" s="1469"/>
      <c r="AR35" s="1469"/>
      <c r="AS35" s="1469"/>
      <c r="AT35" s="1469"/>
      <c r="AU35" s="1469"/>
      <c r="AV35" s="1469"/>
      <c r="AW35" s="1469"/>
      <c r="AX35" s="1469"/>
      <c r="AY35" s="1469"/>
      <c r="AZ35" s="1469"/>
      <c r="BA35" s="1469"/>
      <c r="BB35" s="1469"/>
      <c r="BC35" s="1469"/>
      <c r="BD35" s="1469"/>
      <c r="BE35" s="1469"/>
      <c r="BF35" s="1469"/>
      <c r="BG35" s="1469"/>
      <c r="BH35" s="1469"/>
      <c r="BI35" s="1469"/>
      <c r="BJ35" s="1469"/>
      <c r="BK35" s="1469"/>
      <c r="BL35" s="1469"/>
      <c r="BM35" s="1469"/>
      <c r="BN35" s="1469"/>
      <c r="BO35" s="1469"/>
      <c r="BP35" s="1469"/>
      <c r="BQ35" s="1469"/>
      <c r="BR35" s="1469"/>
      <c r="BS35" s="1469"/>
      <c r="BT35" s="1469"/>
      <c r="BU35" s="1469"/>
      <c r="BV35" s="1469"/>
      <c r="BW35" s="1469"/>
      <c r="BX35" s="1469"/>
      <c r="BY35" s="1469"/>
      <c r="BZ35" s="1469"/>
      <c r="CA35" s="1469"/>
      <c r="CB35" s="1469"/>
      <c r="CC35" s="1049" t="s">
        <v>441</v>
      </c>
      <c r="CD35" s="1030"/>
      <c r="CE35" s="1076" t="str">
        <f t="shared" si="0"/>
        <v>Gás de Petróleo Liquefeito (GPL)</v>
      </c>
      <c r="CF35" s="1030"/>
      <c r="CG35" s="1030"/>
      <c r="CH35" s="1030"/>
      <c r="CI35" s="1030"/>
      <c r="CJ35" s="1030"/>
      <c r="CK35" s="1030"/>
      <c r="CL35" s="1030"/>
      <c r="CM35" s="1030"/>
      <c r="CN35" s="1030"/>
    </row>
    <row r="36" spans="1:92" s="1029" customFormat="1" ht="30" outlineLevel="1" x14ac:dyDescent="0.2">
      <c r="A36" s="1028"/>
      <c r="B36" s="1033">
        <v>18</v>
      </c>
      <c r="C36" s="245" t="s">
        <v>73</v>
      </c>
      <c r="D36" s="1039" t="s">
        <v>403</v>
      </c>
      <c r="E36" s="245" t="s">
        <v>16</v>
      </c>
      <c r="F36" s="1050">
        <v>49.5</v>
      </c>
      <c r="G36" s="982" t="s">
        <v>1759</v>
      </c>
      <c r="H36" s="1047">
        <f>51.3*1000</f>
        <v>51300</v>
      </c>
      <c r="I36" s="1061" t="s">
        <v>1744</v>
      </c>
      <c r="J36" s="1080"/>
      <c r="K36" s="1084">
        <f t="shared" si="1"/>
        <v>18</v>
      </c>
      <c r="L36" s="1063">
        <v>2.8512</v>
      </c>
      <c r="M36" s="1089">
        <f t="shared" si="2"/>
        <v>18</v>
      </c>
      <c r="N36" s="1064">
        <v>4.9499999999999997E-5</v>
      </c>
      <c r="O36" s="1064">
        <v>4.9499999999999997E-5</v>
      </c>
      <c r="P36" s="1064">
        <v>2.475E-4</v>
      </c>
      <c r="Q36" s="1064">
        <v>2.475E-4</v>
      </c>
      <c r="R36" s="1093">
        <f t="shared" si="3"/>
        <v>18</v>
      </c>
      <c r="S36" s="1065">
        <v>4.95E-6</v>
      </c>
      <c r="T36" s="1065">
        <v>4.95E-6</v>
      </c>
      <c r="U36" s="1065">
        <v>4.95E-6</v>
      </c>
      <c r="V36" s="1065">
        <v>4.95E-6</v>
      </c>
      <c r="W36" s="1048"/>
      <c r="X36" s="1048"/>
      <c r="Y36" s="1048"/>
      <c r="Z36" s="1048"/>
      <c r="AA36" s="1048"/>
      <c r="AB36" s="1048"/>
      <c r="AC36" s="1048"/>
      <c r="AD36" s="1048"/>
      <c r="AE36" s="1048"/>
      <c r="AF36" s="1048"/>
      <c r="AG36" s="1048"/>
      <c r="AH36" s="1048"/>
      <c r="AI36" s="1048"/>
      <c r="AJ36" s="1470" t="str">
        <f t="shared" si="4"/>
        <v>Gás de Refinaria</v>
      </c>
      <c r="AK36" s="1470"/>
      <c r="AL36" s="1470"/>
      <c r="AM36" s="1470"/>
      <c r="AN36" s="1469" t="s">
        <v>449</v>
      </c>
      <c r="AO36" s="1469"/>
      <c r="AP36" s="1469"/>
      <c r="AQ36" s="1469"/>
      <c r="AR36" s="1469"/>
      <c r="AS36" s="1469"/>
      <c r="AT36" s="1469"/>
      <c r="AU36" s="1469"/>
      <c r="AV36" s="1469"/>
      <c r="AW36" s="1469"/>
      <c r="AX36" s="1469"/>
      <c r="AY36" s="1469"/>
      <c r="AZ36" s="1469"/>
      <c r="BA36" s="1469"/>
      <c r="BB36" s="1469"/>
      <c r="BC36" s="1469"/>
      <c r="BD36" s="1469"/>
      <c r="BE36" s="1469"/>
      <c r="BF36" s="1469"/>
      <c r="BG36" s="1469"/>
      <c r="BH36" s="1469"/>
      <c r="BI36" s="1469"/>
      <c r="BJ36" s="1469"/>
      <c r="BK36" s="1469"/>
      <c r="BL36" s="1469"/>
      <c r="BM36" s="1469"/>
      <c r="BN36" s="1469"/>
      <c r="BO36" s="1469"/>
      <c r="BP36" s="1469"/>
      <c r="BQ36" s="1469"/>
      <c r="BR36" s="1469"/>
      <c r="BS36" s="1469"/>
      <c r="BT36" s="1469"/>
      <c r="BU36" s="1469"/>
      <c r="BV36" s="1469"/>
      <c r="BW36" s="1469"/>
      <c r="BX36" s="1469"/>
      <c r="BY36" s="1469"/>
      <c r="BZ36" s="1469"/>
      <c r="CA36" s="1469"/>
      <c r="CB36" s="1469"/>
      <c r="CC36" s="1049" t="s">
        <v>441</v>
      </c>
      <c r="CD36" s="1030"/>
      <c r="CE36" s="1076" t="str">
        <f t="shared" si="0"/>
        <v>Gás de Refinaria</v>
      </c>
      <c r="CF36" s="1030"/>
      <c r="CG36" s="1030"/>
      <c r="CH36" s="1030"/>
      <c r="CI36" s="1030"/>
      <c r="CJ36" s="1030"/>
      <c r="CK36" s="1030"/>
      <c r="CL36" s="1030"/>
      <c r="CM36" s="1030"/>
      <c r="CN36" s="1030"/>
    </row>
    <row r="37" spans="1:92" s="1029" customFormat="1" ht="15.75" customHeight="1" outlineLevel="1" x14ac:dyDescent="0.2">
      <c r="A37" s="1028"/>
      <c r="B37" s="1032">
        <v>19</v>
      </c>
      <c r="C37" s="245" t="s">
        <v>1787</v>
      </c>
      <c r="D37" s="1039" t="s">
        <v>405</v>
      </c>
      <c r="E37" s="245" t="s">
        <v>1794</v>
      </c>
      <c r="F37" s="1050"/>
      <c r="G37" s="1058" t="s">
        <v>92</v>
      </c>
      <c r="H37" s="1047">
        <f>64.1*1000</f>
        <v>64099.999999999993</v>
      </c>
      <c r="I37" s="1061" t="s">
        <v>1744</v>
      </c>
      <c r="J37" s="1080"/>
      <c r="K37" s="1084">
        <f t="shared" si="1"/>
        <v>19</v>
      </c>
      <c r="L37" s="1078">
        <f>H37/1000*(45.1/1000000)*0.8404</f>
        <v>2.4295207639999997E-3</v>
      </c>
      <c r="M37" s="1089">
        <f t="shared" si="2"/>
        <v>19</v>
      </c>
      <c r="N37" s="1064"/>
      <c r="O37" s="1064"/>
      <c r="P37" s="1064"/>
      <c r="Q37" s="1064"/>
      <c r="R37" s="1093">
        <f t="shared" si="3"/>
        <v>19</v>
      </c>
      <c r="S37" s="1065"/>
      <c r="T37" s="1065"/>
      <c r="U37" s="1065"/>
      <c r="V37" s="1065"/>
      <c r="W37" s="1048"/>
      <c r="X37" s="1048">
        <v>1.759262433046875E-5</v>
      </c>
      <c r="Y37" s="1048" t="s">
        <v>2190</v>
      </c>
      <c r="Z37" s="1048" t="s">
        <v>2191</v>
      </c>
      <c r="AA37" s="1048"/>
      <c r="AB37" s="1048"/>
      <c r="AC37" s="1048"/>
      <c r="AD37" s="1048"/>
      <c r="AE37" s="1048"/>
      <c r="AF37" s="1048"/>
      <c r="AG37" s="1048"/>
      <c r="AH37" s="1048"/>
      <c r="AI37" s="1048"/>
      <c r="AJ37" s="1470" t="str">
        <f t="shared" si="4"/>
        <v>Gás Natural</v>
      </c>
      <c r="AK37" s="1470"/>
      <c r="AL37" s="1470"/>
      <c r="AM37" s="1470"/>
      <c r="AN37" s="1478" t="s">
        <v>92</v>
      </c>
      <c r="AO37" s="1467"/>
      <c r="AP37" s="1467"/>
      <c r="AQ37" s="1467"/>
      <c r="AR37" s="1467"/>
      <c r="AS37" s="1467"/>
      <c r="AT37" s="1467"/>
      <c r="AU37" s="1467"/>
      <c r="AV37" s="1467"/>
      <c r="AW37" s="1467"/>
      <c r="AX37" s="1467"/>
      <c r="AY37" s="1467"/>
      <c r="AZ37" s="1467"/>
      <c r="BA37" s="1467"/>
      <c r="BB37" s="1467"/>
      <c r="BC37" s="1467"/>
      <c r="BD37" s="1467"/>
      <c r="BE37" s="1467"/>
      <c r="BF37" s="1467"/>
      <c r="BG37" s="1467"/>
      <c r="BH37" s="1467"/>
      <c r="BI37" s="1467"/>
      <c r="BJ37" s="1467"/>
      <c r="BK37" s="1467"/>
      <c r="BL37" s="1467"/>
      <c r="BM37" s="1467"/>
      <c r="BN37" s="1467"/>
      <c r="BO37" s="1467"/>
      <c r="BP37" s="1467"/>
      <c r="BQ37" s="1467"/>
      <c r="BR37" s="1467"/>
      <c r="BS37" s="1467"/>
      <c r="BT37" s="1467"/>
      <c r="BU37" s="1467"/>
      <c r="BV37" s="1467"/>
      <c r="BW37" s="1467"/>
      <c r="BX37" s="1467"/>
      <c r="BY37" s="1467"/>
      <c r="BZ37" s="1467"/>
      <c r="CA37" s="1467"/>
      <c r="CB37" s="1468"/>
      <c r="CC37" s="1049"/>
      <c r="CD37" s="1030"/>
      <c r="CE37" s="1076" t="str">
        <f t="shared" si="0"/>
        <v>Gás Natural</v>
      </c>
      <c r="CF37" s="1030"/>
      <c r="CG37" s="1030"/>
      <c r="CH37" s="1030"/>
      <c r="CI37" s="1030"/>
      <c r="CJ37" s="1030"/>
      <c r="CK37" s="1030"/>
      <c r="CL37" s="1030"/>
      <c r="CM37" s="1030"/>
      <c r="CN37" s="1030"/>
    </row>
    <row r="38" spans="1:92" s="1029" customFormat="1" ht="30" outlineLevel="1" x14ac:dyDescent="0.2">
      <c r="A38" s="1028"/>
      <c r="B38" s="1033">
        <v>20</v>
      </c>
      <c r="C38" s="245" t="s">
        <v>1788</v>
      </c>
      <c r="D38" s="1039" t="s">
        <v>405</v>
      </c>
      <c r="E38" s="245" t="s">
        <v>10</v>
      </c>
      <c r="F38" s="1050"/>
      <c r="G38" s="1058" t="s">
        <v>92</v>
      </c>
      <c r="H38" s="1047">
        <v>56100</v>
      </c>
      <c r="I38" s="235" t="s">
        <v>1759</v>
      </c>
      <c r="J38" s="1081"/>
      <c r="K38" s="1084">
        <f t="shared" si="1"/>
        <v>20</v>
      </c>
      <c r="L38" s="1063">
        <v>1.8849599999999998E-3</v>
      </c>
      <c r="M38" s="1089">
        <f t="shared" si="2"/>
        <v>20</v>
      </c>
      <c r="N38" s="1064">
        <v>3.3599999999999996E-8</v>
      </c>
      <c r="O38" s="1064">
        <v>3.3599999999999996E-8</v>
      </c>
      <c r="P38" s="1064">
        <v>1.6799999999999997E-7</v>
      </c>
      <c r="Q38" s="1064">
        <v>1.6799999999999997E-7</v>
      </c>
      <c r="R38" s="1093">
        <f t="shared" si="3"/>
        <v>20</v>
      </c>
      <c r="S38" s="1065">
        <v>3.3600000000000004E-9</v>
      </c>
      <c r="T38" s="1065">
        <v>3.3600000000000004E-9</v>
      </c>
      <c r="U38" s="1065">
        <v>3.3600000000000004E-9</v>
      </c>
      <c r="V38" s="1065">
        <v>3.3600000000000004E-9</v>
      </c>
      <c r="W38" s="1048"/>
      <c r="X38" s="1048">
        <f t="shared" ref="X38:Z39" si="5">X37</f>
        <v>1.759262433046875E-5</v>
      </c>
      <c r="Y38" s="1048" t="str">
        <f t="shared" si="5"/>
        <v>t CO2eq/ m3</v>
      </c>
      <c r="Z38" s="1048" t="str">
        <f t="shared" si="5"/>
        <v>Rel Contas REN; DGEG; Simapro (extração de gás da Rússia)</v>
      </c>
      <c r="AA38" s="1048"/>
      <c r="AB38" s="1048"/>
      <c r="AC38" s="1048"/>
      <c r="AD38" s="1048"/>
      <c r="AE38" s="1048"/>
      <c r="AF38" s="1048"/>
      <c r="AG38" s="1048"/>
      <c r="AH38" s="1048"/>
      <c r="AI38" s="1048"/>
      <c r="AJ38" s="1470" t="str">
        <f t="shared" si="4"/>
        <v>Gás Natural (superior a 93% de metano)</v>
      </c>
      <c r="AK38" s="1470"/>
      <c r="AL38" s="1470"/>
      <c r="AM38" s="1470"/>
      <c r="AN38" s="1469" t="s">
        <v>451</v>
      </c>
      <c r="AO38" s="1469"/>
      <c r="AP38" s="1469"/>
      <c r="AQ38" s="1469"/>
      <c r="AR38" s="1469"/>
      <c r="AS38" s="1469"/>
      <c r="AT38" s="1469"/>
      <c r="AU38" s="1469"/>
      <c r="AV38" s="1469"/>
      <c r="AW38" s="1469"/>
      <c r="AX38" s="1469"/>
      <c r="AY38" s="1469"/>
      <c r="AZ38" s="1469"/>
      <c r="BA38" s="1469"/>
      <c r="BB38" s="1469"/>
      <c r="BC38" s="1469"/>
      <c r="BD38" s="1469"/>
      <c r="BE38" s="1469"/>
      <c r="BF38" s="1469"/>
      <c r="BG38" s="1469"/>
      <c r="BH38" s="1469"/>
      <c r="BI38" s="1469"/>
      <c r="BJ38" s="1469"/>
      <c r="BK38" s="1469"/>
      <c r="BL38" s="1469"/>
      <c r="BM38" s="1469"/>
      <c r="BN38" s="1469"/>
      <c r="BO38" s="1469"/>
      <c r="BP38" s="1469"/>
      <c r="BQ38" s="1469"/>
      <c r="BR38" s="1469"/>
      <c r="BS38" s="1469"/>
      <c r="BT38" s="1469"/>
      <c r="BU38" s="1469"/>
      <c r="BV38" s="1469"/>
      <c r="BW38" s="1469"/>
      <c r="BX38" s="1469"/>
      <c r="BY38" s="1469"/>
      <c r="BZ38" s="1469"/>
      <c r="CA38" s="1469"/>
      <c r="CB38" s="1469"/>
      <c r="CC38" s="1049" t="s">
        <v>441</v>
      </c>
      <c r="CD38" s="1030"/>
      <c r="CE38" s="1076" t="str">
        <f t="shared" si="0"/>
        <v>Gás Natural (superior a 93% de metano)</v>
      </c>
      <c r="CF38" s="1030"/>
      <c r="CG38" s="1030"/>
      <c r="CH38" s="1030"/>
      <c r="CI38" s="1030"/>
      <c r="CJ38" s="1030"/>
      <c r="CK38" s="1030"/>
      <c r="CL38" s="1030"/>
      <c r="CM38" s="1030"/>
      <c r="CN38" s="1030"/>
    </row>
    <row r="39" spans="1:92" s="1029" customFormat="1" ht="30" outlineLevel="1" x14ac:dyDescent="0.2">
      <c r="A39" s="1028"/>
      <c r="B39" s="1032">
        <v>21</v>
      </c>
      <c r="C39" s="245" t="s">
        <v>1772</v>
      </c>
      <c r="D39" s="1039" t="s">
        <v>408</v>
      </c>
      <c r="E39" s="245" t="s">
        <v>16</v>
      </c>
      <c r="F39" s="1050">
        <f>(44.2+45.2)/2</f>
        <v>44.7</v>
      </c>
      <c r="G39" s="982" t="s">
        <v>1759</v>
      </c>
      <c r="H39" s="1047">
        <v>64100</v>
      </c>
      <c r="I39" s="235" t="s">
        <v>1759</v>
      </c>
      <c r="J39" s="1081"/>
      <c r="K39" s="1084">
        <f t="shared" si="1"/>
        <v>21</v>
      </c>
      <c r="L39" s="1063">
        <v>2.8376399999999999</v>
      </c>
      <c r="M39" s="1089">
        <f t="shared" si="2"/>
        <v>21</v>
      </c>
      <c r="N39" s="1064">
        <v>1.3260000000000002E-4</v>
      </c>
      <c r="O39" s="1064">
        <v>1.3260000000000002E-4</v>
      </c>
      <c r="P39" s="1064">
        <v>4.4199999999999996E-4</v>
      </c>
      <c r="Q39" s="1064">
        <v>4.4199999999999996E-4</v>
      </c>
      <c r="R39" s="1093">
        <f t="shared" si="3"/>
        <v>21</v>
      </c>
      <c r="S39" s="1065">
        <v>2.6519999999999997E-5</v>
      </c>
      <c r="T39" s="1065">
        <v>2.6519999999999997E-5</v>
      </c>
      <c r="U39" s="1065">
        <v>2.6519999999999997E-5</v>
      </c>
      <c r="V39" s="1065">
        <v>2.6519999999999997E-5</v>
      </c>
      <c r="W39" s="1048"/>
      <c r="X39" s="1048">
        <f t="shared" si="5"/>
        <v>1.759262433046875E-5</v>
      </c>
      <c r="Y39" s="1048" t="str">
        <f t="shared" si="5"/>
        <v>t CO2eq/ m3</v>
      </c>
      <c r="Z39" s="1048" t="str">
        <f t="shared" si="5"/>
        <v>Rel Contas REN; DGEG; Simapro (extração de gás da Rússia)</v>
      </c>
      <c r="AA39" s="1048"/>
      <c r="AB39" s="1048"/>
      <c r="AC39" s="1048"/>
      <c r="AD39" s="1048"/>
      <c r="AE39" s="1048"/>
      <c r="AF39" s="1048"/>
      <c r="AG39" s="1048"/>
      <c r="AH39" s="1048"/>
      <c r="AI39" s="1048"/>
      <c r="AJ39" s="1470" t="str">
        <f t="shared" si="4"/>
        <v>Gás Natural Liquefeito</v>
      </c>
      <c r="AK39" s="1470"/>
      <c r="AL39" s="1470"/>
      <c r="AM39" s="1470"/>
      <c r="AN39" s="1469" t="s">
        <v>1773</v>
      </c>
      <c r="AO39" s="1469"/>
      <c r="AP39" s="1469"/>
      <c r="AQ39" s="1469"/>
      <c r="AR39" s="1469"/>
      <c r="AS39" s="1469"/>
      <c r="AT39" s="1469"/>
      <c r="AU39" s="1469"/>
      <c r="AV39" s="1469"/>
      <c r="AW39" s="1469"/>
      <c r="AX39" s="1469"/>
      <c r="AY39" s="1469"/>
      <c r="AZ39" s="1469"/>
      <c r="BA39" s="1469"/>
      <c r="BB39" s="1469"/>
      <c r="BC39" s="1469"/>
      <c r="BD39" s="1469"/>
      <c r="BE39" s="1469"/>
      <c r="BF39" s="1469"/>
      <c r="BG39" s="1469"/>
      <c r="BH39" s="1469"/>
      <c r="BI39" s="1469"/>
      <c r="BJ39" s="1469"/>
      <c r="BK39" s="1469"/>
      <c r="BL39" s="1469"/>
      <c r="BM39" s="1469"/>
      <c r="BN39" s="1469"/>
      <c r="BO39" s="1469"/>
      <c r="BP39" s="1469"/>
      <c r="BQ39" s="1469"/>
      <c r="BR39" s="1469"/>
      <c r="BS39" s="1469"/>
      <c r="BT39" s="1469"/>
      <c r="BU39" s="1469"/>
      <c r="BV39" s="1469"/>
      <c r="BW39" s="1469"/>
      <c r="BX39" s="1469"/>
      <c r="BY39" s="1469"/>
      <c r="BZ39" s="1469"/>
      <c r="CA39" s="1469"/>
      <c r="CB39" s="1469"/>
      <c r="CC39" s="1049" t="s">
        <v>441</v>
      </c>
      <c r="CD39" s="1030"/>
      <c r="CE39" s="1076" t="str">
        <f t="shared" si="0"/>
        <v>Gás Natural Liquefeito</v>
      </c>
      <c r="CF39" s="1030"/>
      <c r="CG39" s="1030"/>
      <c r="CH39" s="1030"/>
      <c r="CI39" s="1030"/>
      <c r="CJ39" s="1030"/>
      <c r="CK39" s="1030"/>
      <c r="CL39" s="1030"/>
      <c r="CM39" s="1030"/>
      <c r="CN39" s="1030"/>
    </row>
    <row r="40" spans="1:92" s="1022" customFormat="1" ht="15" outlineLevel="1" x14ac:dyDescent="0.2">
      <c r="A40" s="1021"/>
      <c r="B40" s="1033">
        <v>22</v>
      </c>
      <c r="C40" s="245" t="s">
        <v>1765</v>
      </c>
      <c r="D40" s="1039" t="s">
        <v>1764</v>
      </c>
      <c r="E40" s="245" t="s">
        <v>11</v>
      </c>
      <c r="F40" s="1050"/>
      <c r="G40" s="1058" t="s">
        <v>92</v>
      </c>
      <c r="H40" s="1047">
        <v>74000</v>
      </c>
      <c r="I40" s="1061" t="s">
        <v>1744</v>
      </c>
      <c r="J40" s="1080"/>
      <c r="K40" s="1084">
        <f t="shared" si="1"/>
        <v>22</v>
      </c>
      <c r="L40" s="1063">
        <v>2.6764919999999999E-3</v>
      </c>
      <c r="M40" s="1089">
        <f t="shared" si="2"/>
        <v>22</v>
      </c>
      <c r="N40" s="1064">
        <v>1.0836E-7</v>
      </c>
      <c r="O40" s="1064">
        <v>1.0836E-7</v>
      </c>
      <c r="P40" s="1064">
        <v>3.6119999999999998E-7</v>
      </c>
      <c r="Q40" s="1064">
        <v>3.6119999999999998E-7</v>
      </c>
      <c r="R40" s="1093">
        <f t="shared" si="3"/>
        <v>22</v>
      </c>
      <c r="S40" s="1065">
        <v>2.1671999999999997E-8</v>
      </c>
      <c r="T40" s="1065">
        <v>2.1671999999999997E-8</v>
      </c>
      <c r="U40" s="1065">
        <v>2.1671999999999997E-8</v>
      </c>
      <c r="V40" s="1065">
        <v>2.1671999999999997E-8</v>
      </c>
      <c r="W40" s="1048"/>
      <c r="X40" s="1048">
        <v>1.9966891688263604E-4</v>
      </c>
      <c r="Y40" s="1048" t="s">
        <v>2187</v>
      </c>
      <c r="Z40" s="1048" t="s">
        <v>2188</v>
      </c>
      <c r="AA40" s="1048"/>
      <c r="AB40" s="1048"/>
      <c r="AC40" s="1048"/>
      <c r="AD40" s="1048"/>
      <c r="AE40" s="1048"/>
      <c r="AF40" s="1048"/>
      <c r="AG40" s="1048"/>
      <c r="AH40" s="1048"/>
      <c r="AI40" s="1048"/>
      <c r="AJ40" s="1470" t="str">
        <f t="shared" si="4"/>
        <v>Gasóleo/ Diesel</v>
      </c>
      <c r="AK40" s="1470"/>
      <c r="AL40" s="1470"/>
      <c r="AM40" s="1470"/>
      <c r="AN40" s="1471" t="s">
        <v>1836</v>
      </c>
      <c r="AO40" s="1469"/>
      <c r="AP40" s="1469"/>
      <c r="AQ40" s="1469"/>
      <c r="AR40" s="1469"/>
      <c r="AS40" s="1469"/>
      <c r="AT40" s="1469"/>
      <c r="AU40" s="1469"/>
      <c r="AV40" s="1469"/>
      <c r="AW40" s="1469"/>
      <c r="AX40" s="1469"/>
      <c r="AY40" s="1469"/>
      <c r="AZ40" s="1469"/>
      <c r="BA40" s="1469"/>
      <c r="BB40" s="1469"/>
      <c r="BC40" s="1469"/>
      <c r="BD40" s="1469"/>
      <c r="BE40" s="1469"/>
      <c r="BF40" s="1469"/>
      <c r="BG40" s="1469"/>
      <c r="BH40" s="1469"/>
      <c r="BI40" s="1469"/>
      <c r="BJ40" s="1469"/>
      <c r="BK40" s="1469"/>
      <c r="BL40" s="1469"/>
      <c r="BM40" s="1469"/>
      <c r="BN40" s="1469"/>
      <c r="BO40" s="1469"/>
      <c r="BP40" s="1469"/>
      <c r="BQ40" s="1469"/>
      <c r="BR40" s="1469"/>
      <c r="BS40" s="1469"/>
      <c r="BT40" s="1469"/>
      <c r="BU40" s="1469"/>
      <c r="BV40" s="1469"/>
      <c r="BW40" s="1469"/>
      <c r="BX40" s="1469"/>
      <c r="BY40" s="1469"/>
      <c r="BZ40" s="1469"/>
      <c r="CA40" s="1469"/>
      <c r="CB40" s="1469"/>
      <c r="CC40" s="1049" t="s">
        <v>441</v>
      </c>
      <c r="CD40" s="1023"/>
      <c r="CE40" s="1076" t="str">
        <f t="shared" si="0"/>
        <v>Gasóleo/ Diesel</v>
      </c>
      <c r="CF40" s="1023"/>
      <c r="CG40" s="1023"/>
      <c r="CH40" s="1023"/>
      <c r="CI40" s="1023"/>
      <c r="CJ40" s="1023"/>
      <c r="CK40" s="1023"/>
      <c r="CL40" s="1023"/>
      <c r="CM40" s="1023"/>
      <c r="CN40" s="1023"/>
    </row>
    <row r="41" spans="1:92" s="1022" customFormat="1" ht="15.75" customHeight="1" outlineLevel="1" x14ac:dyDescent="0.2">
      <c r="A41" s="1021"/>
      <c r="B41" s="1033">
        <v>23</v>
      </c>
      <c r="C41" s="245" t="s">
        <v>83</v>
      </c>
      <c r="D41" s="1039" t="s">
        <v>407</v>
      </c>
      <c r="E41" s="245" t="s">
        <v>11</v>
      </c>
      <c r="F41" s="1050">
        <f>10600*4.1868/1000</f>
        <v>44.38008</v>
      </c>
      <c r="G41" s="982" t="s">
        <v>621</v>
      </c>
      <c r="H41" s="1047">
        <f>70*1000</f>
        <v>70000</v>
      </c>
      <c r="I41" s="235" t="s">
        <v>394</v>
      </c>
      <c r="J41" s="1081"/>
      <c r="K41" s="1084">
        <f t="shared" si="1"/>
        <v>23</v>
      </c>
      <c r="L41" s="1063">
        <v>2.20171E-3</v>
      </c>
      <c r="M41" s="1089">
        <f t="shared" si="2"/>
        <v>23</v>
      </c>
      <c r="N41" s="1064">
        <v>9.4358999999999978E-8</v>
      </c>
      <c r="O41" s="1064">
        <v>9.4358999999999978E-8</v>
      </c>
      <c r="P41" s="1064">
        <v>3.1453E-7</v>
      </c>
      <c r="Q41" s="1064">
        <v>3.1453E-7</v>
      </c>
      <c r="R41" s="1093">
        <f t="shared" si="3"/>
        <v>23</v>
      </c>
      <c r="S41" s="1065">
        <v>1.8871799999999998E-8</v>
      </c>
      <c r="T41" s="1065">
        <v>1.8871799999999998E-8</v>
      </c>
      <c r="U41" s="1065">
        <v>1.8871799999999998E-8</v>
      </c>
      <c r="V41" s="1065">
        <v>1.8871799999999998E-8</v>
      </c>
      <c r="W41" s="1048"/>
      <c r="X41" s="1048">
        <f>X25</f>
        <v>1.7831841740713317E-4</v>
      </c>
      <c r="Y41" s="1048" t="str">
        <f>Y25</f>
        <v>t CO2/ litro combustível</v>
      </c>
      <c r="Z41" s="1048" t="s">
        <v>2189</v>
      </c>
      <c r="AA41" s="1048"/>
      <c r="AB41" s="1048"/>
      <c r="AC41" s="1048"/>
      <c r="AD41" s="1048"/>
      <c r="AE41" s="1048"/>
      <c r="AF41" s="1048"/>
      <c r="AG41" s="1048"/>
      <c r="AH41" s="1048"/>
      <c r="AI41" s="1048"/>
      <c r="AJ41" s="1470" t="str">
        <f t="shared" si="4"/>
        <v>Gasolina de Aviação</v>
      </c>
      <c r="AK41" s="1470"/>
      <c r="AL41" s="1470"/>
      <c r="AM41" s="1470"/>
      <c r="AN41" s="1469" t="s">
        <v>452</v>
      </c>
      <c r="AO41" s="1469"/>
      <c r="AP41" s="1469"/>
      <c r="AQ41" s="1469"/>
      <c r="AR41" s="1469"/>
      <c r="AS41" s="1469"/>
      <c r="AT41" s="1469"/>
      <c r="AU41" s="1469"/>
      <c r="AV41" s="1469"/>
      <c r="AW41" s="1469"/>
      <c r="AX41" s="1469"/>
      <c r="AY41" s="1469"/>
      <c r="AZ41" s="1469"/>
      <c r="BA41" s="1469"/>
      <c r="BB41" s="1469"/>
      <c r="BC41" s="1469"/>
      <c r="BD41" s="1469"/>
      <c r="BE41" s="1469"/>
      <c r="BF41" s="1469"/>
      <c r="BG41" s="1469"/>
      <c r="BH41" s="1469"/>
      <c r="BI41" s="1469"/>
      <c r="BJ41" s="1469"/>
      <c r="BK41" s="1469"/>
      <c r="BL41" s="1469"/>
      <c r="BM41" s="1469"/>
      <c r="BN41" s="1469"/>
      <c r="BO41" s="1469"/>
      <c r="BP41" s="1469"/>
      <c r="BQ41" s="1469"/>
      <c r="BR41" s="1469"/>
      <c r="BS41" s="1469"/>
      <c r="BT41" s="1469"/>
      <c r="BU41" s="1469"/>
      <c r="BV41" s="1469"/>
      <c r="BW41" s="1469"/>
      <c r="BX41" s="1469"/>
      <c r="BY41" s="1469"/>
      <c r="BZ41" s="1469"/>
      <c r="CA41" s="1469"/>
      <c r="CB41" s="1469"/>
      <c r="CC41" s="1049" t="s">
        <v>441</v>
      </c>
      <c r="CD41" s="1023"/>
      <c r="CE41" s="1076" t="str">
        <f t="shared" si="0"/>
        <v>Gasolina de Aviação</v>
      </c>
      <c r="CF41" s="1023"/>
      <c r="CG41" s="1023"/>
      <c r="CH41" s="1023"/>
      <c r="CI41" s="1023"/>
      <c r="CJ41" s="1023"/>
      <c r="CK41" s="1023"/>
      <c r="CL41" s="1023"/>
      <c r="CM41" s="1023"/>
      <c r="CN41" s="1023"/>
    </row>
    <row r="42" spans="1:92" s="1022" customFormat="1" ht="15" outlineLevel="1" x14ac:dyDescent="0.2">
      <c r="A42" s="1021"/>
      <c r="B42" s="1032">
        <v>24</v>
      </c>
      <c r="C42" s="245" t="s">
        <v>1766</v>
      </c>
      <c r="D42" s="1039" t="s">
        <v>1767</v>
      </c>
      <c r="E42" s="245" t="s">
        <v>16</v>
      </c>
      <c r="F42" s="1050"/>
      <c r="G42" s="1058" t="s">
        <v>92</v>
      </c>
      <c r="H42" s="1047">
        <v>70000</v>
      </c>
      <c r="I42" s="235" t="s">
        <v>394</v>
      </c>
      <c r="J42" s="1081"/>
      <c r="K42" s="1084">
        <f t="shared" si="1"/>
        <v>24</v>
      </c>
      <c r="L42" s="1063">
        <v>3.101</v>
      </c>
      <c r="M42" s="1089">
        <f t="shared" si="2"/>
        <v>24</v>
      </c>
      <c r="N42" s="1064">
        <v>1.3289999999999998E-4</v>
      </c>
      <c r="O42" s="1064">
        <v>1.3289999999999998E-4</v>
      </c>
      <c r="P42" s="1064">
        <v>4.4299999999999998E-4</v>
      </c>
      <c r="Q42" s="1064">
        <v>4.4299999999999998E-4</v>
      </c>
      <c r="R42" s="1093">
        <f t="shared" si="3"/>
        <v>24</v>
      </c>
      <c r="S42" s="1065">
        <v>2.6579999999999996E-5</v>
      </c>
      <c r="T42" s="1065">
        <v>2.6579999999999996E-5</v>
      </c>
      <c r="U42" s="1065">
        <v>2.6579999999999996E-5</v>
      </c>
      <c r="V42" s="1065">
        <v>2.6579999999999996E-5</v>
      </c>
      <c r="W42" s="1048"/>
      <c r="X42" s="1048">
        <f>X41</f>
        <v>1.7831841740713317E-4</v>
      </c>
      <c r="Y42" s="1048" t="str">
        <f>Y41</f>
        <v>t CO2/ litro combustível</v>
      </c>
      <c r="Z42" s="1048" t="s">
        <v>2189</v>
      </c>
      <c r="AA42" s="1048"/>
      <c r="AB42" s="1048"/>
      <c r="AC42" s="1048"/>
      <c r="AD42" s="1048"/>
      <c r="AE42" s="1048"/>
      <c r="AF42" s="1048"/>
      <c r="AG42" s="1048"/>
      <c r="AH42" s="1048"/>
      <c r="AI42" s="1048"/>
      <c r="AJ42" s="1463" t="str">
        <f t="shared" si="4"/>
        <v>Gasolina para Motores de Reação (Jet B)</v>
      </c>
      <c r="AK42" s="1464"/>
      <c r="AL42" s="1464"/>
      <c r="AM42" s="1465"/>
      <c r="AN42" s="1466"/>
      <c r="AO42" s="1467"/>
      <c r="AP42" s="1467"/>
      <c r="AQ42" s="1467"/>
      <c r="AR42" s="1467"/>
      <c r="AS42" s="1467"/>
      <c r="AT42" s="1467"/>
      <c r="AU42" s="1467"/>
      <c r="AV42" s="1467"/>
      <c r="AW42" s="1467"/>
      <c r="AX42" s="1467"/>
      <c r="AY42" s="1467"/>
      <c r="AZ42" s="1467"/>
      <c r="BA42" s="1467"/>
      <c r="BB42" s="1467"/>
      <c r="BC42" s="1467"/>
      <c r="BD42" s="1467"/>
      <c r="BE42" s="1467"/>
      <c r="BF42" s="1467"/>
      <c r="BG42" s="1467"/>
      <c r="BH42" s="1467"/>
      <c r="BI42" s="1467"/>
      <c r="BJ42" s="1467"/>
      <c r="BK42" s="1467"/>
      <c r="BL42" s="1467"/>
      <c r="BM42" s="1467"/>
      <c r="BN42" s="1467"/>
      <c r="BO42" s="1467"/>
      <c r="BP42" s="1467"/>
      <c r="BQ42" s="1467"/>
      <c r="BR42" s="1467"/>
      <c r="BS42" s="1467"/>
      <c r="BT42" s="1467"/>
      <c r="BU42" s="1467"/>
      <c r="BV42" s="1467"/>
      <c r="BW42" s="1467"/>
      <c r="BX42" s="1467"/>
      <c r="BY42" s="1467"/>
      <c r="BZ42" s="1467"/>
      <c r="CA42" s="1467"/>
      <c r="CB42" s="1468"/>
      <c r="CC42" s="1049"/>
      <c r="CD42" s="1023"/>
      <c r="CE42" s="1076" t="str">
        <f t="shared" si="0"/>
        <v>Gasolina para Motores de Reação (Jet B)</v>
      </c>
      <c r="CF42" s="1023"/>
      <c r="CG42" s="1023"/>
      <c r="CH42" s="1023"/>
      <c r="CI42" s="1023"/>
      <c r="CJ42" s="1023"/>
      <c r="CK42" s="1023"/>
      <c r="CL42" s="1023"/>
      <c r="CM42" s="1023"/>
      <c r="CN42" s="1023"/>
    </row>
    <row r="43" spans="1:92" s="1022" customFormat="1" ht="15" x14ac:dyDescent="0.2">
      <c r="B43" s="1033">
        <v>25</v>
      </c>
      <c r="C43" s="1051" t="s">
        <v>1791</v>
      </c>
      <c r="D43" s="1051" t="s">
        <v>1816</v>
      </c>
      <c r="E43" s="1051" t="s">
        <v>16</v>
      </c>
      <c r="F43" s="1052">
        <f>(5.6+10.5)/2</f>
        <v>8.0500000000000007</v>
      </c>
      <c r="G43" s="982" t="s">
        <v>1744</v>
      </c>
      <c r="H43" s="1062">
        <f>101.1*1000</f>
        <v>101100</v>
      </c>
      <c r="I43" s="1061" t="s">
        <v>1744</v>
      </c>
      <c r="J43" s="1080"/>
      <c r="K43" s="1084">
        <f t="shared" si="1"/>
        <v>25</v>
      </c>
      <c r="L43" s="1072">
        <v>1.2019</v>
      </c>
      <c r="M43" s="1089">
        <f t="shared" si="2"/>
        <v>25</v>
      </c>
      <c r="N43" s="1073">
        <v>1.19E-5</v>
      </c>
      <c r="O43" s="1073">
        <v>1.1899999999999999E-4</v>
      </c>
      <c r="P43" s="1073">
        <v>1.1899999999999999E-4</v>
      </c>
      <c r="Q43" s="1073">
        <v>3.5699999999999998E-3</v>
      </c>
      <c r="R43" s="1093">
        <f t="shared" si="3"/>
        <v>25</v>
      </c>
      <c r="S43" s="1075">
        <v>1.785E-5</v>
      </c>
      <c r="T43" s="1075">
        <v>1.785E-5</v>
      </c>
      <c r="U43" s="1075">
        <v>1.785E-5</v>
      </c>
      <c r="V43" s="1075">
        <v>1.785E-5</v>
      </c>
      <c r="W43" s="1048"/>
      <c r="X43" s="1048"/>
      <c r="Y43" s="1048"/>
      <c r="Z43" s="1048"/>
      <c r="AA43" s="1048"/>
      <c r="AB43" s="1048"/>
      <c r="AC43" s="1048"/>
      <c r="AD43" s="1048"/>
      <c r="AE43" s="1048"/>
      <c r="AF43" s="1048"/>
      <c r="AG43" s="1048"/>
      <c r="AH43" s="1048"/>
      <c r="AI43" s="1048"/>
      <c r="AJ43" s="1569" t="str">
        <f t="shared" si="4"/>
        <v>Lignite Castanha</v>
      </c>
      <c r="AK43" s="1570"/>
      <c r="AL43" s="1570"/>
      <c r="AM43" s="1571"/>
      <c r="AN43" s="1472" t="s">
        <v>1829</v>
      </c>
      <c r="AO43" s="1473"/>
      <c r="AP43" s="1473"/>
      <c r="AQ43" s="1473"/>
      <c r="AR43" s="1473"/>
      <c r="AS43" s="1473"/>
      <c r="AT43" s="1473"/>
      <c r="AU43" s="1473"/>
      <c r="AV43" s="1473"/>
      <c r="AW43" s="1473"/>
      <c r="AX43" s="1473"/>
      <c r="AY43" s="1473"/>
      <c r="AZ43" s="1473"/>
      <c r="BA43" s="1473"/>
      <c r="BB43" s="1473"/>
      <c r="BC43" s="1473"/>
      <c r="BD43" s="1473"/>
      <c r="BE43" s="1473"/>
      <c r="BF43" s="1473"/>
      <c r="BG43" s="1473"/>
      <c r="BH43" s="1473"/>
      <c r="BI43" s="1473"/>
      <c r="BJ43" s="1473"/>
      <c r="BK43" s="1473"/>
      <c r="BL43" s="1473"/>
      <c r="BM43" s="1473"/>
      <c r="BN43" s="1473"/>
      <c r="BO43" s="1473"/>
      <c r="BP43" s="1473"/>
      <c r="BQ43" s="1473"/>
      <c r="BR43" s="1473"/>
      <c r="BS43" s="1473"/>
      <c r="BT43" s="1473"/>
      <c r="BU43" s="1473"/>
      <c r="BV43" s="1473"/>
      <c r="BW43" s="1473"/>
      <c r="BX43" s="1473"/>
      <c r="BY43" s="1473"/>
      <c r="BZ43" s="1473"/>
      <c r="CA43" s="1473"/>
      <c r="CB43" s="1474"/>
      <c r="CC43" s="1051"/>
      <c r="CE43" s="1076" t="str">
        <f t="shared" si="0"/>
        <v>Lignite Castanha</v>
      </c>
    </row>
    <row r="44" spans="1:92" s="1022" customFormat="1" ht="15" x14ac:dyDescent="0.2">
      <c r="B44" s="1032">
        <v>26</v>
      </c>
      <c r="C44" s="1051" t="s">
        <v>1792</v>
      </c>
      <c r="D44" s="1051" t="s">
        <v>1817</v>
      </c>
      <c r="E44" s="1051" t="s">
        <v>16</v>
      </c>
      <c r="F44" s="1052">
        <f>(10+21)/2</f>
        <v>15.5</v>
      </c>
      <c r="G44" s="982" t="s">
        <v>1744</v>
      </c>
      <c r="H44" s="1062">
        <f>101.1*1000</f>
        <v>101100</v>
      </c>
      <c r="I44" s="1061" t="s">
        <v>1744</v>
      </c>
      <c r="J44" s="1080"/>
      <c r="K44" s="1084">
        <f t="shared" si="1"/>
        <v>26</v>
      </c>
      <c r="L44" s="1072">
        <v>3.0173999999999999</v>
      </c>
      <c r="M44" s="1089">
        <f t="shared" si="2"/>
        <v>26</v>
      </c>
      <c r="N44" s="1073">
        <v>2.8199999999999998E-5</v>
      </c>
      <c r="O44" s="1073">
        <v>2.8199999999999997E-4</v>
      </c>
      <c r="P44" s="1073">
        <v>2.8199999999999997E-4</v>
      </c>
      <c r="Q44" s="1073">
        <v>8.4599999999999988E-3</v>
      </c>
      <c r="R44" s="1093">
        <f t="shared" si="3"/>
        <v>26</v>
      </c>
      <c r="S44" s="1075">
        <v>4.2299999999999998E-5</v>
      </c>
      <c r="T44" s="1075">
        <v>4.2299999999999998E-5</v>
      </c>
      <c r="U44" s="1075">
        <v>4.2299999999999998E-5</v>
      </c>
      <c r="V44" s="1075">
        <v>4.2299999999999998E-5</v>
      </c>
      <c r="W44" s="1048"/>
      <c r="X44" s="1048"/>
      <c r="Y44" s="1048"/>
      <c r="Z44" s="1048"/>
      <c r="AA44" s="1048"/>
      <c r="AB44" s="1048"/>
      <c r="AC44" s="1048"/>
      <c r="AD44" s="1048"/>
      <c r="AE44" s="1048"/>
      <c r="AF44" s="1048"/>
      <c r="AG44" s="1048"/>
      <c r="AH44" s="1048"/>
      <c r="AI44" s="1048"/>
      <c r="AJ44" s="1569" t="str">
        <f t="shared" si="4"/>
        <v>Lignite Negra</v>
      </c>
      <c r="AK44" s="1570"/>
      <c r="AL44" s="1570"/>
      <c r="AM44" s="1571"/>
      <c r="AN44" s="1472" t="s">
        <v>1829</v>
      </c>
      <c r="AO44" s="1473"/>
      <c r="AP44" s="1473"/>
      <c r="AQ44" s="1473"/>
      <c r="AR44" s="1473"/>
      <c r="AS44" s="1473"/>
      <c r="AT44" s="1473"/>
      <c r="AU44" s="1473"/>
      <c r="AV44" s="1473"/>
      <c r="AW44" s="1473"/>
      <c r="AX44" s="1473"/>
      <c r="AY44" s="1473"/>
      <c r="AZ44" s="1473"/>
      <c r="BA44" s="1473"/>
      <c r="BB44" s="1473"/>
      <c r="BC44" s="1473"/>
      <c r="BD44" s="1473"/>
      <c r="BE44" s="1473"/>
      <c r="BF44" s="1473"/>
      <c r="BG44" s="1473"/>
      <c r="BH44" s="1473"/>
      <c r="BI44" s="1473"/>
      <c r="BJ44" s="1473"/>
      <c r="BK44" s="1473"/>
      <c r="BL44" s="1473"/>
      <c r="BM44" s="1473"/>
      <c r="BN44" s="1473"/>
      <c r="BO44" s="1473"/>
      <c r="BP44" s="1473"/>
      <c r="BQ44" s="1473"/>
      <c r="BR44" s="1473"/>
      <c r="BS44" s="1473"/>
      <c r="BT44" s="1473"/>
      <c r="BU44" s="1473"/>
      <c r="BV44" s="1473"/>
      <c r="BW44" s="1473"/>
      <c r="BX44" s="1473"/>
      <c r="BY44" s="1473"/>
      <c r="BZ44" s="1473"/>
      <c r="CA44" s="1473"/>
      <c r="CB44" s="1474"/>
      <c r="CC44" s="1041"/>
      <c r="CE44" s="1076" t="str">
        <f t="shared" si="0"/>
        <v>Lignite Negra</v>
      </c>
    </row>
    <row r="45" spans="1:92" s="1029" customFormat="1" ht="30" outlineLevel="1" x14ac:dyDescent="0.2">
      <c r="A45" s="1028"/>
      <c r="B45" s="1033">
        <v>27</v>
      </c>
      <c r="C45" s="245" t="s">
        <v>72</v>
      </c>
      <c r="D45" s="1039" t="s">
        <v>409</v>
      </c>
      <c r="E45" s="245" t="s">
        <v>11</v>
      </c>
      <c r="F45" s="1050">
        <f>F24</f>
        <v>40.200000000000003</v>
      </c>
      <c r="G45" s="982" t="s">
        <v>1744</v>
      </c>
      <c r="H45" s="1047">
        <v>73300</v>
      </c>
      <c r="I45" s="235" t="s">
        <v>1759</v>
      </c>
      <c r="J45" s="1081"/>
      <c r="K45" s="1084">
        <f t="shared" si="1"/>
        <v>27</v>
      </c>
      <c r="L45" s="1063">
        <v>2.9466599999999998E-3</v>
      </c>
      <c r="M45" s="1089">
        <f t="shared" si="2"/>
        <v>27</v>
      </c>
      <c r="N45" s="1064">
        <v>1.2060000000000001E-7</v>
      </c>
      <c r="O45" s="1064">
        <v>1.2060000000000001E-7</v>
      </c>
      <c r="P45" s="1064">
        <v>4.0200000000000003E-7</v>
      </c>
      <c r="Q45" s="1064">
        <v>4.0200000000000003E-7</v>
      </c>
      <c r="R45" s="1093">
        <f t="shared" si="3"/>
        <v>27</v>
      </c>
      <c r="S45" s="1065">
        <v>2.412E-8</v>
      </c>
      <c r="T45" s="1065">
        <v>2.412E-8</v>
      </c>
      <c r="U45" s="1065">
        <v>2.412E-8</v>
      </c>
      <c r="V45" s="1065">
        <v>2.412E-8</v>
      </c>
      <c r="W45" s="1048"/>
      <c r="X45" s="1048"/>
      <c r="Y45" s="1048"/>
      <c r="Z45" s="1048"/>
      <c r="AA45" s="1048"/>
      <c r="AB45" s="1048"/>
      <c r="AC45" s="1048"/>
      <c r="AD45" s="1048"/>
      <c r="AE45" s="1048"/>
      <c r="AF45" s="1048"/>
      <c r="AG45" s="1048"/>
      <c r="AH45" s="1048"/>
      <c r="AI45" s="1048"/>
      <c r="AJ45" s="1470" t="str">
        <f t="shared" si="4"/>
        <v>Lubrificantes</v>
      </c>
      <c r="AK45" s="1470"/>
      <c r="AL45" s="1470"/>
      <c r="AM45" s="1470"/>
      <c r="AN45" s="1469" t="s">
        <v>1769</v>
      </c>
      <c r="AO45" s="1469"/>
      <c r="AP45" s="1469"/>
      <c r="AQ45" s="1469"/>
      <c r="AR45" s="1469"/>
      <c r="AS45" s="1469"/>
      <c r="AT45" s="1469"/>
      <c r="AU45" s="1469"/>
      <c r="AV45" s="1469"/>
      <c r="AW45" s="1469"/>
      <c r="AX45" s="1469"/>
      <c r="AY45" s="1469"/>
      <c r="AZ45" s="1469"/>
      <c r="BA45" s="1469"/>
      <c r="BB45" s="1469"/>
      <c r="BC45" s="1469"/>
      <c r="BD45" s="1469"/>
      <c r="BE45" s="1469"/>
      <c r="BF45" s="1469"/>
      <c r="BG45" s="1469"/>
      <c r="BH45" s="1469"/>
      <c r="BI45" s="1469"/>
      <c r="BJ45" s="1469"/>
      <c r="BK45" s="1469"/>
      <c r="BL45" s="1469"/>
      <c r="BM45" s="1469"/>
      <c r="BN45" s="1469"/>
      <c r="BO45" s="1469"/>
      <c r="BP45" s="1469"/>
      <c r="BQ45" s="1469"/>
      <c r="BR45" s="1469"/>
      <c r="BS45" s="1469"/>
      <c r="BT45" s="1469"/>
      <c r="BU45" s="1469"/>
      <c r="BV45" s="1469"/>
      <c r="BW45" s="1469"/>
      <c r="BX45" s="1469"/>
      <c r="BY45" s="1469"/>
      <c r="BZ45" s="1469"/>
      <c r="CA45" s="1469"/>
      <c r="CB45" s="1469"/>
      <c r="CC45" s="1049" t="s">
        <v>441</v>
      </c>
      <c r="CD45" s="1030"/>
      <c r="CE45" s="1076" t="str">
        <f t="shared" si="0"/>
        <v>Lubrificantes</v>
      </c>
      <c r="CF45" s="1030"/>
      <c r="CG45" s="1030"/>
      <c r="CH45" s="1030"/>
      <c r="CI45" s="1030"/>
      <c r="CJ45" s="1030"/>
      <c r="CK45" s="1030"/>
      <c r="CL45" s="1030"/>
      <c r="CM45" s="1030"/>
      <c r="CN45" s="1030"/>
    </row>
    <row r="46" spans="1:92" s="1029" customFormat="1" ht="30" outlineLevel="1" x14ac:dyDescent="0.2">
      <c r="A46" s="1028"/>
      <c r="B46" s="1033">
        <v>28</v>
      </c>
      <c r="C46" s="245" t="s">
        <v>1777</v>
      </c>
      <c r="D46" s="1039" t="s">
        <v>1778</v>
      </c>
      <c r="E46" s="245" t="s">
        <v>16</v>
      </c>
      <c r="F46" s="1050">
        <v>43</v>
      </c>
      <c r="G46" s="982" t="s">
        <v>1744</v>
      </c>
      <c r="H46" s="1047">
        <v>73300</v>
      </c>
      <c r="I46" s="235" t="s">
        <v>1759</v>
      </c>
      <c r="J46" s="1081"/>
      <c r="K46" s="1084">
        <f t="shared" si="1"/>
        <v>28</v>
      </c>
      <c r="L46" s="1063">
        <v>3.1518999999999999</v>
      </c>
      <c r="M46" s="1089">
        <f t="shared" si="2"/>
        <v>28</v>
      </c>
      <c r="N46" s="1066">
        <v>1.2899999999999999E-4</v>
      </c>
      <c r="O46" s="1066">
        <v>1.2899999999999999E-4</v>
      </c>
      <c r="P46" s="1066">
        <v>4.2999999999999999E-4</v>
      </c>
      <c r="Q46" s="1066">
        <v>4.2999999999999999E-4</v>
      </c>
      <c r="R46" s="1093">
        <f t="shared" si="3"/>
        <v>28</v>
      </c>
      <c r="S46" s="1065">
        <v>2.58E-5</v>
      </c>
      <c r="T46" s="1065">
        <v>2.58E-5</v>
      </c>
      <c r="U46" s="1065">
        <v>2.58E-5</v>
      </c>
      <c r="V46" s="1065">
        <v>2.58E-5</v>
      </c>
      <c r="W46" s="1048"/>
      <c r="X46" s="1048"/>
      <c r="Y46" s="1048"/>
      <c r="Z46" s="1048"/>
      <c r="AA46" s="1048"/>
      <c r="AB46" s="1048"/>
      <c r="AC46" s="1048"/>
      <c r="AD46" s="1048"/>
      <c r="AE46" s="1048"/>
      <c r="AF46" s="1048"/>
      <c r="AG46" s="1048"/>
      <c r="AH46" s="1048"/>
      <c r="AI46" s="1048"/>
      <c r="AJ46" s="1463" t="str">
        <f t="shared" si="4"/>
        <v>Matérias -primas para Refinaria</v>
      </c>
      <c r="AK46" s="1464"/>
      <c r="AL46" s="1464"/>
      <c r="AM46" s="1465"/>
      <c r="AN46" s="1478" t="s">
        <v>92</v>
      </c>
      <c r="AO46" s="1467"/>
      <c r="AP46" s="1467"/>
      <c r="AQ46" s="1467"/>
      <c r="AR46" s="1467"/>
      <c r="AS46" s="1467"/>
      <c r="AT46" s="1467"/>
      <c r="AU46" s="1467"/>
      <c r="AV46" s="1467"/>
      <c r="AW46" s="1467"/>
      <c r="AX46" s="1467"/>
      <c r="AY46" s="1467"/>
      <c r="AZ46" s="1467"/>
      <c r="BA46" s="1467"/>
      <c r="BB46" s="1467"/>
      <c r="BC46" s="1467"/>
      <c r="BD46" s="1467"/>
      <c r="BE46" s="1467"/>
      <c r="BF46" s="1467"/>
      <c r="BG46" s="1467"/>
      <c r="BH46" s="1467"/>
      <c r="BI46" s="1467"/>
      <c r="BJ46" s="1467"/>
      <c r="BK46" s="1467"/>
      <c r="BL46" s="1467"/>
      <c r="BM46" s="1467"/>
      <c r="BN46" s="1467"/>
      <c r="BO46" s="1467"/>
      <c r="BP46" s="1467"/>
      <c r="BQ46" s="1467"/>
      <c r="BR46" s="1467"/>
      <c r="BS46" s="1467"/>
      <c r="BT46" s="1467"/>
      <c r="BU46" s="1467"/>
      <c r="BV46" s="1467"/>
      <c r="BW46" s="1467"/>
      <c r="BX46" s="1467"/>
      <c r="BY46" s="1467"/>
      <c r="BZ46" s="1467"/>
      <c r="CA46" s="1467"/>
      <c r="CB46" s="1468"/>
      <c r="CC46" s="1049"/>
      <c r="CD46" s="1030"/>
      <c r="CE46" s="1076" t="str">
        <f t="shared" si="0"/>
        <v>Matérias -primas para Refinaria</v>
      </c>
      <c r="CF46" s="1030"/>
      <c r="CG46" s="1030"/>
      <c r="CH46" s="1030"/>
      <c r="CI46" s="1030"/>
      <c r="CJ46" s="1030"/>
      <c r="CK46" s="1030"/>
      <c r="CL46" s="1030"/>
      <c r="CM46" s="1030"/>
      <c r="CN46" s="1030"/>
    </row>
    <row r="47" spans="1:92" s="1029" customFormat="1" ht="30" outlineLevel="1" x14ac:dyDescent="0.2">
      <c r="A47" s="1028"/>
      <c r="B47" s="1032">
        <v>29</v>
      </c>
      <c r="C47" s="245" t="s">
        <v>1770</v>
      </c>
      <c r="D47" s="1039" t="s">
        <v>410</v>
      </c>
      <c r="E47" s="245" t="s">
        <v>11</v>
      </c>
      <c r="F47" s="1050"/>
      <c r="G47" s="1058" t="s">
        <v>92</v>
      </c>
      <c r="H47" s="1047">
        <v>73300</v>
      </c>
      <c r="I47" s="235" t="s">
        <v>1759</v>
      </c>
      <c r="J47" s="1081"/>
      <c r="K47" s="1084">
        <f t="shared" si="1"/>
        <v>29</v>
      </c>
      <c r="L47" s="1063">
        <v>2.5116245000000002E-3</v>
      </c>
      <c r="M47" s="1089">
        <f t="shared" si="2"/>
        <v>29</v>
      </c>
      <c r="N47" s="1064">
        <v>1.02795E-7</v>
      </c>
      <c r="O47" s="1064">
        <v>1.02795E-7</v>
      </c>
      <c r="P47" s="1064">
        <v>3.4265000000000001E-7</v>
      </c>
      <c r="Q47" s="1064">
        <v>3.4265000000000001E-7</v>
      </c>
      <c r="R47" s="1093">
        <f t="shared" si="3"/>
        <v>29</v>
      </c>
      <c r="S47" s="1065">
        <v>2.0559000000000002E-8</v>
      </c>
      <c r="T47" s="1065">
        <v>2.0559000000000002E-8</v>
      </c>
      <c r="U47" s="1065">
        <v>2.0559000000000002E-8</v>
      </c>
      <c r="V47" s="1065">
        <v>2.0559000000000002E-8</v>
      </c>
      <c r="W47" s="1048"/>
      <c r="X47" s="1048"/>
      <c r="Y47" s="1048"/>
      <c r="Z47" s="1048"/>
      <c r="AA47" s="1048"/>
      <c r="AB47" s="1048"/>
      <c r="AC47" s="1048"/>
      <c r="AD47" s="1048"/>
      <c r="AE47" s="1048"/>
      <c r="AF47" s="1048"/>
      <c r="AG47" s="1048"/>
      <c r="AH47" s="1048"/>
      <c r="AI47" s="1048"/>
      <c r="AJ47" s="1470" t="str">
        <f t="shared" si="4"/>
        <v>Nafta Química / Condensados de Gasolina</v>
      </c>
      <c r="AK47" s="1470"/>
      <c r="AL47" s="1470"/>
      <c r="AM47" s="1470"/>
      <c r="AN47" s="1469" t="s">
        <v>1771</v>
      </c>
      <c r="AO47" s="1469"/>
      <c r="AP47" s="1469"/>
      <c r="AQ47" s="1469"/>
      <c r="AR47" s="1469"/>
      <c r="AS47" s="1469"/>
      <c r="AT47" s="1469"/>
      <c r="AU47" s="1469"/>
      <c r="AV47" s="1469"/>
      <c r="AW47" s="1469"/>
      <c r="AX47" s="1469"/>
      <c r="AY47" s="1469"/>
      <c r="AZ47" s="1469"/>
      <c r="BA47" s="1469"/>
      <c r="BB47" s="1469"/>
      <c r="BC47" s="1469"/>
      <c r="BD47" s="1469"/>
      <c r="BE47" s="1469"/>
      <c r="BF47" s="1469"/>
      <c r="BG47" s="1469"/>
      <c r="BH47" s="1469"/>
      <c r="BI47" s="1469"/>
      <c r="BJ47" s="1469"/>
      <c r="BK47" s="1469"/>
      <c r="BL47" s="1469"/>
      <c r="BM47" s="1469"/>
      <c r="BN47" s="1469"/>
      <c r="BO47" s="1469"/>
      <c r="BP47" s="1469"/>
      <c r="BQ47" s="1469"/>
      <c r="BR47" s="1469"/>
      <c r="BS47" s="1469"/>
      <c r="BT47" s="1469"/>
      <c r="BU47" s="1469"/>
      <c r="BV47" s="1469"/>
      <c r="BW47" s="1469"/>
      <c r="BX47" s="1469"/>
      <c r="BY47" s="1469"/>
      <c r="BZ47" s="1469"/>
      <c r="CA47" s="1469"/>
      <c r="CB47" s="1469"/>
      <c r="CC47" s="1049" t="s">
        <v>441</v>
      </c>
      <c r="CD47" s="1030"/>
      <c r="CE47" s="1076" t="str">
        <f t="shared" si="0"/>
        <v>Nafta Química / Condensados de Gasolina</v>
      </c>
      <c r="CF47" s="1030"/>
      <c r="CG47" s="1030"/>
      <c r="CH47" s="1030"/>
      <c r="CI47" s="1030"/>
      <c r="CJ47" s="1030"/>
      <c r="CK47" s="1030"/>
      <c r="CL47" s="1030"/>
      <c r="CM47" s="1030"/>
      <c r="CN47" s="1030"/>
    </row>
    <row r="48" spans="1:92" s="1029" customFormat="1" ht="30" outlineLevel="1" x14ac:dyDescent="0.2">
      <c r="A48" s="1028"/>
      <c r="B48" s="1033">
        <v>30</v>
      </c>
      <c r="C48" s="245" t="s">
        <v>69</v>
      </c>
      <c r="D48" s="1039" t="s">
        <v>412</v>
      </c>
      <c r="E48" s="245" t="s">
        <v>11</v>
      </c>
      <c r="F48" s="1050">
        <v>38.1</v>
      </c>
      <c r="G48" s="982" t="s">
        <v>1759</v>
      </c>
      <c r="H48" s="1047">
        <v>73300</v>
      </c>
      <c r="I48" s="235" t="s">
        <v>1759</v>
      </c>
      <c r="J48" s="1081"/>
      <c r="K48" s="1084">
        <f t="shared" si="1"/>
        <v>30</v>
      </c>
      <c r="L48" s="1063">
        <v>2.7927300000000002E-3</v>
      </c>
      <c r="M48" s="1089">
        <f t="shared" si="2"/>
        <v>30</v>
      </c>
      <c r="N48" s="1064">
        <v>1.1430000000000001E-7</v>
      </c>
      <c r="O48" s="1064">
        <v>1.1430000000000001E-7</v>
      </c>
      <c r="P48" s="1064">
        <v>3.8099999999999998E-7</v>
      </c>
      <c r="Q48" s="1064">
        <v>3.8099999999999998E-7</v>
      </c>
      <c r="R48" s="1093">
        <f t="shared" si="3"/>
        <v>30</v>
      </c>
      <c r="S48" s="1065">
        <v>2.2860000000000001E-8</v>
      </c>
      <c r="T48" s="1065">
        <v>2.2860000000000001E-8</v>
      </c>
      <c r="U48" s="1065">
        <v>2.2860000000000001E-8</v>
      </c>
      <c r="V48" s="1065">
        <v>2.2860000000000001E-8</v>
      </c>
      <c r="W48" s="1048"/>
      <c r="X48" s="1048"/>
      <c r="Y48" s="1048"/>
      <c r="Z48" s="1048"/>
      <c r="AA48" s="1048"/>
      <c r="AB48" s="1048"/>
      <c r="AC48" s="1048"/>
      <c r="AD48" s="1048"/>
      <c r="AE48" s="1048"/>
      <c r="AF48" s="1048"/>
      <c r="AG48" s="1048"/>
      <c r="AH48" s="1048"/>
      <c r="AI48" s="1048"/>
      <c r="AJ48" s="1470" t="str">
        <f t="shared" si="4"/>
        <v>Óleo de Xisto</v>
      </c>
      <c r="AK48" s="1470"/>
      <c r="AL48" s="1470"/>
      <c r="AM48" s="1470"/>
      <c r="AN48" s="1469" t="s">
        <v>454</v>
      </c>
      <c r="AO48" s="1469"/>
      <c r="AP48" s="1469"/>
      <c r="AQ48" s="1469"/>
      <c r="AR48" s="1469"/>
      <c r="AS48" s="1469"/>
      <c r="AT48" s="1469"/>
      <c r="AU48" s="1469"/>
      <c r="AV48" s="1469"/>
      <c r="AW48" s="1469"/>
      <c r="AX48" s="1469"/>
      <c r="AY48" s="1469"/>
      <c r="AZ48" s="1469"/>
      <c r="BA48" s="1469"/>
      <c r="BB48" s="1469"/>
      <c r="BC48" s="1469"/>
      <c r="BD48" s="1469"/>
      <c r="BE48" s="1469"/>
      <c r="BF48" s="1469"/>
      <c r="BG48" s="1469"/>
      <c r="BH48" s="1469"/>
      <c r="BI48" s="1469"/>
      <c r="BJ48" s="1469"/>
      <c r="BK48" s="1469"/>
      <c r="BL48" s="1469"/>
      <c r="BM48" s="1469"/>
      <c r="BN48" s="1469"/>
      <c r="BO48" s="1469"/>
      <c r="BP48" s="1469"/>
      <c r="BQ48" s="1469"/>
      <c r="BR48" s="1469"/>
      <c r="BS48" s="1469"/>
      <c r="BT48" s="1469"/>
      <c r="BU48" s="1469"/>
      <c r="BV48" s="1469"/>
      <c r="BW48" s="1469"/>
      <c r="BX48" s="1469"/>
      <c r="BY48" s="1469"/>
      <c r="BZ48" s="1469"/>
      <c r="CA48" s="1469"/>
      <c r="CB48" s="1469"/>
      <c r="CC48" s="1049" t="s">
        <v>441</v>
      </c>
      <c r="CD48" s="1030"/>
      <c r="CE48" s="1076" t="str">
        <f t="shared" si="0"/>
        <v>Óleo de Xisto</v>
      </c>
      <c r="CF48" s="1030"/>
      <c r="CG48" s="1030"/>
      <c r="CH48" s="1030"/>
      <c r="CI48" s="1030"/>
      <c r="CJ48" s="1030"/>
      <c r="CK48" s="1030"/>
      <c r="CL48" s="1030"/>
      <c r="CM48" s="1030"/>
      <c r="CN48" s="1030"/>
    </row>
    <row r="49" spans="1:92" s="1029" customFormat="1" ht="30" outlineLevel="1" x14ac:dyDescent="0.2">
      <c r="A49" s="1028"/>
      <c r="B49" s="1032">
        <v>31</v>
      </c>
      <c r="C49" s="245" t="s">
        <v>1780</v>
      </c>
      <c r="D49" s="1039" t="s">
        <v>413</v>
      </c>
      <c r="E49" s="245" t="s">
        <v>16</v>
      </c>
      <c r="F49" s="1050">
        <v>40.200000000000003</v>
      </c>
      <c r="G49" s="982" t="s">
        <v>1759</v>
      </c>
      <c r="H49" s="1047">
        <v>73300</v>
      </c>
      <c r="I49" s="235" t="s">
        <v>1759</v>
      </c>
      <c r="J49" s="1081"/>
      <c r="K49" s="1084">
        <f t="shared" si="1"/>
        <v>31</v>
      </c>
      <c r="L49" s="1063">
        <v>2.9466600000000001</v>
      </c>
      <c r="M49" s="1089">
        <f t="shared" si="2"/>
        <v>31</v>
      </c>
      <c r="N49" s="1064">
        <v>1.206E-3</v>
      </c>
      <c r="O49" s="1064">
        <v>1.206E-3</v>
      </c>
      <c r="P49" s="1064">
        <v>1.206E-2</v>
      </c>
      <c r="Q49" s="1064">
        <v>1.206E-2</v>
      </c>
      <c r="R49" s="1093">
        <f t="shared" si="3"/>
        <v>31</v>
      </c>
      <c r="S49" s="1065">
        <v>1.6080000000000001E-4</v>
      </c>
      <c r="T49" s="1065">
        <v>1.6080000000000001E-4</v>
      </c>
      <c r="U49" s="1065">
        <v>1.6080000000000001E-4</v>
      </c>
      <c r="V49" s="1065">
        <v>1.6080000000000001E-4</v>
      </c>
      <c r="W49" s="1048"/>
      <c r="X49" s="1048"/>
      <c r="Y49" s="1048"/>
      <c r="Z49" s="1048"/>
      <c r="AA49" s="1048"/>
      <c r="AB49" s="1048"/>
      <c r="AC49" s="1048"/>
      <c r="AD49" s="1048"/>
      <c r="AE49" s="1048"/>
      <c r="AF49" s="1048"/>
      <c r="AG49" s="1048"/>
      <c r="AH49" s="1048"/>
      <c r="AI49" s="1048"/>
      <c r="AJ49" s="1470" t="str">
        <f t="shared" si="4"/>
        <v>Óleos Usados</v>
      </c>
      <c r="AK49" s="1470"/>
      <c r="AL49" s="1470"/>
      <c r="AM49" s="1470"/>
      <c r="AN49" s="1469" t="s">
        <v>1781</v>
      </c>
      <c r="AO49" s="1469"/>
      <c r="AP49" s="1469"/>
      <c r="AQ49" s="1469"/>
      <c r="AR49" s="1469"/>
      <c r="AS49" s="1469"/>
      <c r="AT49" s="1469"/>
      <c r="AU49" s="1469"/>
      <c r="AV49" s="1469"/>
      <c r="AW49" s="1469"/>
      <c r="AX49" s="1469"/>
      <c r="AY49" s="1469"/>
      <c r="AZ49" s="1469"/>
      <c r="BA49" s="1469"/>
      <c r="BB49" s="1469"/>
      <c r="BC49" s="1469"/>
      <c r="BD49" s="1469"/>
      <c r="BE49" s="1469"/>
      <c r="BF49" s="1469"/>
      <c r="BG49" s="1469"/>
      <c r="BH49" s="1469"/>
      <c r="BI49" s="1469"/>
      <c r="BJ49" s="1469"/>
      <c r="BK49" s="1469"/>
      <c r="BL49" s="1469"/>
      <c r="BM49" s="1469"/>
      <c r="BN49" s="1469"/>
      <c r="BO49" s="1469"/>
      <c r="BP49" s="1469"/>
      <c r="BQ49" s="1469"/>
      <c r="BR49" s="1469"/>
      <c r="BS49" s="1469"/>
      <c r="BT49" s="1469"/>
      <c r="BU49" s="1469"/>
      <c r="BV49" s="1469"/>
      <c r="BW49" s="1469"/>
      <c r="BX49" s="1469"/>
      <c r="BY49" s="1469"/>
      <c r="BZ49" s="1469"/>
      <c r="CA49" s="1469"/>
      <c r="CB49" s="1469"/>
      <c r="CC49" s="1049" t="s">
        <v>394</v>
      </c>
      <c r="CD49" s="1030"/>
      <c r="CE49" s="1076" t="str">
        <f t="shared" si="0"/>
        <v>Óleos Usados</v>
      </c>
      <c r="CF49" s="1030"/>
      <c r="CG49" s="1030"/>
      <c r="CH49" s="1030"/>
      <c r="CI49" s="1030"/>
      <c r="CJ49" s="1030"/>
      <c r="CK49" s="1030"/>
      <c r="CL49" s="1030"/>
      <c r="CM49" s="1030"/>
      <c r="CN49" s="1030"/>
    </row>
    <row r="50" spans="1:92" s="1022" customFormat="1" ht="30" customHeight="1" outlineLevel="1" x14ac:dyDescent="0.2">
      <c r="A50" s="1021"/>
      <c r="B50" s="1033">
        <v>32</v>
      </c>
      <c r="C50" s="245" t="s">
        <v>1775</v>
      </c>
      <c r="D50" s="1039" t="s">
        <v>1776</v>
      </c>
      <c r="E50" s="245" t="s">
        <v>16</v>
      </c>
      <c r="F50" s="1050">
        <v>27.5</v>
      </c>
      <c r="G50" s="982" t="s">
        <v>1744</v>
      </c>
      <c r="H50" s="1047">
        <f>76.9*1000</f>
        <v>76900</v>
      </c>
      <c r="I50" s="235" t="s">
        <v>1759</v>
      </c>
      <c r="J50" s="1081"/>
      <c r="K50" s="1084">
        <f t="shared" si="1"/>
        <v>32</v>
      </c>
      <c r="L50" s="1063">
        <v>2.1174999999999997</v>
      </c>
      <c r="M50" s="1089">
        <f t="shared" si="2"/>
        <v>32</v>
      </c>
      <c r="N50" s="1064">
        <v>8.25E-5</v>
      </c>
      <c r="O50" s="1064">
        <v>8.25E-5</v>
      </c>
      <c r="P50" s="1064">
        <v>2.7499999999999996E-4</v>
      </c>
      <c r="Q50" s="1064">
        <v>2.7499999999999996E-4</v>
      </c>
      <c r="R50" s="1093">
        <f t="shared" si="3"/>
        <v>32</v>
      </c>
      <c r="S50" s="1065">
        <v>1.6499999999999998E-5</v>
      </c>
      <c r="T50" s="1065">
        <v>1.6499999999999998E-5</v>
      </c>
      <c r="U50" s="1065">
        <v>1.6499999999999998E-5</v>
      </c>
      <c r="V50" s="1065">
        <v>1.6499999999999998E-5</v>
      </c>
      <c r="W50" s="1048"/>
      <c r="X50" s="1048"/>
      <c r="Y50" s="1048"/>
      <c r="Z50" s="1048"/>
      <c r="AA50" s="1048"/>
      <c r="AB50" s="1048"/>
      <c r="AC50" s="1048"/>
      <c r="AD50" s="1048"/>
      <c r="AE50" s="1048"/>
      <c r="AF50" s="1048"/>
      <c r="AG50" s="1048"/>
      <c r="AH50" s="1048"/>
      <c r="AI50" s="1048"/>
      <c r="AJ50" s="1463" t="str">
        <f t="shared" si="4"/>
        <v>Orimulsão</v>
      </c>
      <c r="AK50" s="1464"/>
      <c r="AL50" s="1464"/>
      <c r="AM50" s="1465"/>
      <c r="AN50" s="1466" t="s">
        <v>1830</v>
      </c>
      <c r="AO50" s="1467"/>
      <c r="AP50" s="1467"/>
      <c r="AQ50" s="1467"/>
      <c r="AR50" s="1467"/>
      <c r="AS50" s="1467"/>
      <c r="AT50" s="1467"/>
      <c r="AU50" s="1467"/>
      <c r="AV50" s="1467"/>
      <c r="AW50" s="1467"/>
      <c r="AX50" s="1467"/>
      <c r="AY50" s="1467"/>
      <c r="AZ50" s="1467"/>
      <c r="BA50" s="1467"/>
      <c r="BB50" s="1467"/>
      <c r="BC50" s="1467"/>
      <c r="BD50" s="1467"/>
      <c r="BE50" s="1467"/>
      <c r="BF50" s="1467"/>
      <c r="BG50" s="1467"/>
      <c r="BH50" s="1467"/>
      <c r="BI50" s="1467"/>
      <c r="BJ50" s="1467"/>
      <c r="BK50" s="1467"/>
      <c r="BL50" s="1467"/>
      <c r="BM50" s="1467"/>
      <c r="BN50" s="1467"/>
      <c r="BO50" s="1467"/>
      <c r="BP50" s="1467"/>
      <c r="BQ50" s="1467"/>
      <c r="BR50" s="1467"/>
      <c r="BS50" s="1467"/>
      <c r="BT50" s="1467"/>
      <c r="BU50" s="1467"/>
      <c r="BV50" s="1467"/>
      <c r="BW50" s="1467"/>
      <c r="BX50" s="1467"/>
      <c r="BY50" s="1467"/>
      <c r="BZ50" s="1467"/>
      <c r="CA50" s="1467"/>
      <c r="CB50" s="1468"/>
      <c r="CC50" s="1049"/>
      <c r="CD50" s="1023"/>
      <c r="CE50" s="1076" t="str">
        <f t="shared" si="0"/>
        <v>Orimulsão</v>
      </c>
      <c r="CF50" s="1023"/>
      <c r="CG50" s="1023"/>
      <c r="CH50" s="1023"/>
      <c r="CI50" s="1023"/>
      <c r="CJ50" s="1023"/>
      <c r="CK50" s="1023"/>
      <c r="CL50" s="1023"/>
      <c r="CM50" s="1023"/>
      <c r="CN50" s="1023"/>
    </row>
    <row r="51" spans="1:92" s="1022" customFormat="1" ht="15.75" customHeight="1" outlineLevel="1" x14ac:dyDescent="0.2">
      <c r="A51" s="1021"/>
      <c r="B51" s="1033">
        <v>33</v>
      </c>
      <c r="C51" s="245" t="s">
        <v>1758</v>
      </c>
      <c r="D51" s="1039" t="s">
        <v>398</v>
      </c>
      <c r="E51" s="245" t="s">
        <v>16</v>
      </c>
      <c r="F51" s="1046"/>
      <c r="G51" s="1058" t="s">
        <v>92</v>
      </c>
      <c r="H51" s="1047">
        <f>94.6*1000</f>
        <v>94600</v>
      </c>
      <c r="I51" s="235" t="s">
        <v>394</v>
      </c>
      <c r="J51" s="1081"/>
      <c r="K51" s="1084">
        <f t="shared" si="1"/>
        <v>33</v>
      </c>
      <c r="L51" s="1063">
        <v>2.44068</v>
      </c>
      <c r="M51" s="1089">
        <f t="shared" si="2"/>
        <v>33</v>
      </c>
      <c r="N51" s="1064">
        <v>2.58E-5</v>
      </c>
      <c r="O51" s="1064">
        <v>2.5799999999999998E-4</v>
      </c>
      <c r="P51" s="1064">
        <v>2.5799999999999998E-4</v>
      </c>
      <c r="Q51" s="1064">
        <v>7.7399999999999995E-3</v>
      </c>
      <c r="R51" s="1093">
        <f t="shared" si="3"/>
        <v>33</v>
      </c>
      <c r="S51" s="1065">
        <v>3.8699999999999999E-5</v>
      </c>
      <c r="T51" s="1065">
        <v>3.8699999999999999E-5</v>
      </c>
      <c r="U51" s="1065">
        <v>3.8699999999999999E-5</v>
      </c>
      <c r="V51" s="1065">
        <v>3.8699999999999999E-5</v>
      </c>
      <c r="W51" s="1048"/>
      <c r="X51" s="1048"/>
      <c r="Y51" s="1048"/>
      <c r="Z51" s="1048"/>
      <c r="AA51" s="1048"/>
      <c r="AB51" s="1048"/>
      <c r="AC51" s="1048"/>
      <c r="AD51" s="1048"/>
      <c r="AE51" s="1048"/>
      <c r="AF51" s="1048"/>
      <c r="AG51" s="1048"/>
      <c r="AH51" s="1048"/>
      <c r="AI51" s="1048"/>
      <c r="AJ51" s="1463" t="str">
        <f t="shared" si="4"/>
        <v>Outros Carvões Betuminosos</v>
      </c>
      <c r="AK51" s="1464"/>
      <c r="AL51" s="1464"/>
      <c r="AM51" s="1465"/>
      <c r="AN51" s="1479" t="s">
        <v>92</v>
      </c>
      <c r="AO51" s="1480"/>
      <c r="AP51" s="1480"/>
      <c r="AQ51" s="1480"/>
      <c r="AR51" s="1480"/>
      <c r="AS51" s="1480"/>
      <c r="AT51" s="1480"/>
      <c r="AU51" s="1480"/>
      <c r="AV51" s="1480"/>
      <c r="AW51" s="1480"/>
      <c r="AX51" s="1480"/>
      <c r="AY51" s="1480"/>
      <c r="AZ51" s="1480"/>
      <c r="BA51" s="1480"/>
      <c r="BB51" s="1480"/>
      <c r="BC51" s="1480"/>
      <c r="BD51" s="1480"/>
      <c r="BE51" s="1480"/>
      <c r="BF51" s="1480"/>
      <c r="BG51" s="1480"/>
      <c r="BH51" s="1480"/>
      <c r="BI51" s="1480"/>
      <c r="BJ51" s="1480"/>
      <c r="BK51" s="1480"/>
      <c r="BL51" s="1480"/>
      <c r="BM51" s="1480"/>
      <c r="BN51" s="1480"/>
      <c r="BO51" s="1480"/>
      <c r="BP51" s="1480"/>
      <c r="BQ51" s="1480"/>
      <c r="BR51" s="1480"/>
      <c r="BS51" s="1480"/>
      <c r="BT51" s="1480"/>
      <c r="BU51" s="1480"/>
      <c r="BV51" s="1480"/>
      <c r="BW51" s="1480"/>
      <c r="BX51" s="1480"/>
      <c r="BY51" s="1480"/>
      <c r="BZ51" s="1480"/>
      <c r="CA51" s="1480"/>
      <c r="CB51" s="1481"/>
      <c r="CC51" s="1049"/>
      <c r="CD51" s="1023"/>
      <c r="CE51" s="1076" t="str">
        <f t="shared" si="0"/>
        <v>Outros Carvões Betuminosos</v>
      </c>
      <c r="CF51" s="1023"/>
      <c r="CG51" s="1023"/>
      <c r="CH51" s="1023"/>
      <c r="CI51" s="1023"/>
      <c r="CJ51" s="1023"/>
      <c r="CK51" s="1023"/>
      <c r="CL51" s="1023"/>
      <c r="CM51" s="1023"/>
      <c r="CN51" s="1023"/>
    </row>
    <row r="52" spans="1:92" s="1022" customFormat="1" ht="30" outlineLevel="1" x14ac:dyDescent="0.2">
      <c r="A52" s="1021"/>
      <c r="B52" s="1032">
        <v>34</v>
      </c>
      <c r="C52" s="245" t="s">
        <v>357</v>
      </c>
      <c r="D52" s="1039" t="s">
        <v>415</v>
      </c>
      <c r="E52" s="245" t="s">
        <v>11</v>
      </c>
      <c r="F52" s="1050"/>
      <c r="G52" s="1058" t="s">
        <v>92</v>
      </c>
      <c r="H52" s="1047">
        <v>73300</v>
      </c>
      <c r="I52" s="235" t="s">
        <v>1759</v>
      </c>
      <c r="J52" s="1081"/>
      <c r="K52" s="1084">
        <f t="shared" si="1"/>
        <v>34</v>
      </c>
      <c r="L52" s="1063">
        <v>2.4804720000000001E-3</v>
      </c>
      <c r="M52" s="1089">
        <f t="shared" si="2"/>
        <v>34</v>
      </c>
      <c r="N52" s="1064">
        <v>1.0151999999999999E-7</v>
      </c>
      <c r="O52" s="1064">
        <v>1.0151999999999999E-7</v>
      </c>
      <c r="P52" s="1064">
        <v>3.3840000000000001E-7</v>
      </c>
      <c r="Q52" s="1064">
        <v>3.3840000000000001E-7</v>
      </c>
      <c r="R52" s="1093">
        <f t="shared" si="3"/>
        <v>34</v>
      </c>
      <c r="S52" s="1065">
        <v>2.0304000000000001E-8</v>
      </c>
      <c r="T52" s="1065">
        <v>2.0304000000000001E-8</v>
      </c>
      <c r="U52" s="1065">
        <v>2.0304000000000001E-8</v>
      </c>
      <c r="V52" s="1065">
        <v>2.0304000000000001E-8</v>
      </c>
      <c r="W52" s="1048"/>
      <c r="X52" s="1048"/>
      <c r="Y52" s="1048"/>
      <c r="Z52" s="1048"/>
      <c r="AA52" s="1048"/>
      <c r="AB52" s="1048"/>
      <c r="AC52" s="1048"/>
      <c r="AD52" s="1048"/>
      <c r="AE52" s="1048"/>
      <c r="AF52" s="1048"/>
      <c r="AG52" s="1048"/>
      <c r="AH52" s="1048"/>
      <c r="AI52" s="1048"/>
      <c r="AJ52" s="1470" t="str">
        <f t="shared" si="4"/>
        <v>Petróleo Bruto</v>
      </c>
      <c r="AK52" s="1470"/>
      <c r="AL52" s="1470"/>
      <c r="AM52" s="1470"/>
      <c r="AN52" s="1469" t="s">
        <v>1763</v>
      </c>
      <c r="AO52" s="1469"/>
      <c r="AP52" s="1469"/>
      <c r="AQ52" s="1469"/>
      <c r="AR52" s="1469"/>
      <c r="AS52" s="1469"/>
      <c r="AT52" s="1469"/>
      <c r="AU52" s="1469"/>
      <c r="AV52" s="1469"/>
      <c r="AW52" s="1469"/>
      <c r="AX52" s="1469"/>
      <c r="AY52" s="1469"/>
      <c r="AZ52" s="1469"/>
      <c r="BA52" s="1469"/>
      <c r="BB52" s="1469"/>
      <c r="BC52" s="1469"/>
      <c r="BD52" s="1469"/>
      <c r="BE52" s="1469"/>
      <c r="BF52" s="1469"/>
      <c r="BG52" s="1469"/>
      <c r="BH52" s="1469"/>
      <c r="BI52" s="1469"/>
      <c r="BJ52" s="1469"/>
      <c r="BK52" s="1469"/>
      <c r="BL52" s="1469"/>
      <c r="BM52" s="1469"/>
      <c r="BN52" s="1469"/>
      <c r="BO52" s="1469"/>
      <c r="BP52" s="1469"/>
      <c r="BQ52" s="1469"/>
      <c r="BR52" s="1469"/>
      <c r="BS52" s="1469"/>
      <c r="BT52" s="1469"/>
      <c r="BU52" s="1469"/>
      <c r="BV52" s="1469"/>
      <c r="BW52" s="1469"/>
      <c r="BX52" s="1469"/>
      <c r="BY52" s="1469"/>
      <c r="BZ52" s="1469"/>
      <c r="CA52" s="1469"/>
      <c r="CB52" s="1469"/>
      <c r="CC52" s="1049" t="s">
        <v>441</v>
      </c>
      <c r="CD52" s="1023"/>
      <c r="CE52" s="1076" t="str">
        <f t="shared" si="0"/>
        <v>Petróleo Bruto</v>
      </c>
      <c r="CF52" s="1023"/>
      <c r="CG52" s="1023"/>
      <c r="CH52" s="1023"/>
      <c r="CI52" s="1023"/>
      <c r="CJ52" s="1023"/>
      <c r="CK52" s="1023"/>
      <c r="CL52" s="1023"/>
      <c r="CM52" s="1023"/>
      <c r="CN52" s="1023"/>
    </row>
    <row r="53" spans="1:92" s="1029" customFormat="1" ht="15.75" customHeight="1" outlineLevel="1" x14ac:dyDescent="0.2">
      <c r="A53" s="1028"/>
      <c r="B53" s="1033">
        <v>35</v>
      </c>
      <c r="C53" s="245" t="s">
        <v>1768</v>
      </c>
      <c r="D53" s="1039" t="s">
        <v>416</v>
      </c>
      <c r="E53" s="245" t="s">
        <v>11</v>
      </c>
      <c r="F53" s="1050"/>
      <c r="G53" s="1058" t="s">
        <v>92</v>
      </c>
      <c r="H53" s="1047">
        <v>71500</v>
      </c>
      <c r="I53" s="235" t="s">
        <v>394</v>
      </c>
      <c r="J53" s="1081"/>
      <c r="K53" s="1084">
        <f t="shared" si="1"/>
        <v>35</v>
      </c>
      <c r="L53" s="1063">
        <v>2.4909885000000001E-3</v>
      </c>
      <c r="M53" s="1089">
        <f t="shared" si="2"/>
        <v>35</v>
      </c>
      <c r="N53" s="1064">
        <v>1.0451700000000001E-7</v>
      </c>
      <c r="O53" s="1064">
        <v>1.0451700000000001E-7</v>
      </c>
      <c r="P53" s="1064">
        <v>3.4839000000000001E-7</v>
      </c>
      <c r="Q53" s="1064">
        <v>3.4839000000000001E-7</v>
      </c>
      <c r="R53" s="1093">
        <f t="shared" si="3"/>
        <v>35</v>
      </c>
      <c r="S53" s="1065">
        <v>2.09034E-8</v>
      </c>
      <c r="T53" s="1065">
        <v>2.09034E-8</v>
      </c>
      <c r="U53" s="1065">
        <v>2.09034E-8</v>
      </c>
      <c r="V53" s="1065">
        <v>2.09034E-8</v>
      </c>
      <c r="W53" s="1048"/>
      <c r="X53" s="1048"/>
      <c r="Y53" s="1048"/>
      <c r="Z53" s="1048"/>
      <c r="AA53" s="1048"/>
      <c r="AB53" s="1048"/>
      <c r="AC53" s="1048"/>
      <c r="AD53" s="1048"/>
      <c r="AE53" s="1048"/>
      <c r="AF53" s="1048"/>
      <c r="AG53" s="1048"/>
      <c r="AH53" s="1048"/>
      <c r="AI53" s="1048"/>
      <c r="AJ53" s="1470" t="str">
        <f t="shared" si="4"/>
        <v>Querosene para Motores de Reação (Jet A)</v>
      </c>
      <c r="AK53" s="1470"/>
      <c r="AL53" s="1470"/>
      <c r="AM53" s="1470"/>
      <c r="AN53" s="1469" t="s">
        <v>456</v>
      </c>
      <c r="AO53" s="1469"/>
      <c r="AP53" s="1469"/>
      <c r="AQ53" s="1469"/>
      <c r="AR53" s="1469"/>
      <c r="AS53" s="1469"/>
      <c r="AT53" s="1469"/>
      <c r="AU53" s="1469"/>
      <c r="AV53" s="1469"/>
      <c r="AW53" s="1469"/>
      <c r="AX53" s="1469"/>
      <c r="AY53" s="1469"/>
      <c r="AZ53" s="1469"/>
      <c r="BA53" s="1469"/>
      <c r="BB53" s="1469"/>
      <c r="BC53" s="1469"/>
      <c r="BD53" s="1469"/>
      <c r="BE53" s="1469"/>
      <c r="BF53" s="1469"/>
      <c r="BG53" s="1469"/>
      <c r="BH53" s="1469"/>
      <c r="BI53" s="1469"/>
      <c r="BJ53" s="1469"/>
      <c r="BK53" s="1469"/>
      <c r="BL53" s="1469"/>
      <c r="BM53" s="1469"/>
      <c r="BN53" s="1469"/>
      <c r="BO53" s="1469"/>
      <c r="BP53" s="1469"/>
      <c r="BQ53" s="1469"/>
      <c r="BR53" s="1469"/>
      <c r="BS53" s="1469"/>
      <c r="BT53" s="1469"/>
      <c r="BU53" s="1469"/>
      <c r="BV53" s="1469"/>
      <c r="BW53" s="1469"/>
      <c r="BX53" s="1469"/>
      <c r="BY53" s="1469"/>
      <c r="BZ53" s="1469"/>
      <c r="CA53" s="1469"/>
      <c r="CB53" s="1469"/>
      <c r="CC53" s="1049" t="s">
        <v>441</v>
      </c>
      <c r="CD53" s="1030"/>
      <c r="CE53" s="1076" t="str">
        <f t="shared" si="0"/>
        <v>Querosene para Motores de Reação (Jet A)</v>
      </c>
      <c r="CF53" s="1030"/>
      <c r="CG53" s="1030"/>
      <c r="CH53" s="1030"/>
      <c r="CI53" s="1030"/>
      <c r="CJ53" s="1030"/>
      <c r="CK53" s="1030"/>
      <c r="CL53" s="1030"/>
      <c r="CM53" s="1030"/>
      <c r="CN53" s="1030"/>
    </row>
    <row r="54" spans="1:92" s="1022" customFormat="1" ht="15" outlineLevel="1" x14ac:dyDescent="0.2">
      <c r="A54" s="1021"/>
      <c r="B54" s="1032">
        <v>36</v>
      </c>
      <c r="C54" s="245" t="s">
        <v>1757</v>
      </c>
      <c r="D54" s="1042" t="s">
        <v>417</v>
      </c>
      <c r="E54" s="245" t="s">
        <v>16</v>
      </c>
      <c r="F54" s="1050">
        <v>10</v>
      </c>
      <c r="G54" s="982" t="s">
        <v>394</v>
      </c>
      <c r="H54" s="1047">
        <f>91.7*1000</f>
        <v>91700</v>
      </c>
      <c r="I54" s="235" t="s">
        <v>394</v>
      </c>
      <c r="J54" s="1081"/>
      <c r="K54" s="1084">
        <f t="shared" si="1"/>
        <v>36</v>
      </c>
      <c r="L54" s="1063">
        <v>0.91699999999999993</v>
      </c>
      <c r="M54" s="1089">
        <f t="shared" si="2"/>
        <v>36</v>
      </c>
      <c r="N54" s="1064">
        <v>2.9999999999999997E-4</v>
      </c>
      <c r="O54" s="1064">
        <v>2.9999999999999997E-4</v>
      </c>
      <c r="P54" s="1064">
        <v>3.0000000000000001E-3</v>
      </c>
      <c r="Q54" s="1064">
        <v>3.0000000000000001E-3</v>
      </c>
      <c r="R54" s="1093">
        <f t="shared" si="3"/>
        <v>36</v>
      </c>
      <c r="S54" s="1065">
        <v>3.9999999999999996E-5</v>
      </c>
      <c r="T54" s="1065">
        <v>3.9999999999999996E-5</v>
      </c>
      <c r="U54" s="1065">
        <v>3.9999999999999996E-5</v>
      </c>
      <c r="V54" s="1065">
        <v>3.9999999999999996E-5</v>
      </c>
      <c r="W54" s="1048"/>
      <c r="X54" s="1048"/>
      <c r="Y54" s="1048"/>
      <c r="Z54" s="1048"/>
      <c r="AA54" s="1048"/>
      <c r="AB54" s="1048"/>
      <c r="AC54" s="1048"/>
      <c r="AD54" s="1048"/>
      <c r="AE54" s="1048"/>
      <c r="AF54" s="1048"/>
      <c r="AG54" s="1048"/>
      <c r="AH54" s="1048"/>
      <c r="AI54" s="1048"/>
      <c r="AJ54" s="1470" t="str">
        <f t="shared" si="4"/>
        <v>Resíduos Urbanos (fração não biodegradável)</v>
      </c>
      <c r="AK54" s="1470"/>
      <c r="AL54" s="1470"/>
      <c r="AM54" s="1470"/>
      <c r="AN54" s="1469" t="s">
        <v>1756</v>
      </c>
      <c r="AO54" s="1469"/>
      <c r="AP54" s="1469"/>
      <c r="AQ54" s="1469"/>
      <c r="AR54" s="1469"/>
      <c r="AS54" s="1469"/>
      <c r="AT54" s="1469"/>
      <c r="AU54" s="1469"/>
      <c r="AV54" s="1469"/>
      <c r="AW54" s="1469"/>
      <c r="AX54" s="1469"/>
      <c r="AY54" s="1469"/>
      <c r="AZ54" s="1469"/>
      <c r="BA54" s="1469"/>
      <c r="BB54" s="1469"/>
      <c r="BC54" s="1469"/>
      <c r="BD54" s="1469"/>
      <c r="BE54" s="1469"/>
      <c r="BF54" s="1469"/>
      <c r="BG54" s="1469"/>
      <c r="BH54" s="1469"/>
      <c r="BI54" s="1469"/>
      <c r="BJ54" s="1469"/>
      <c r="BK54" s="1469"/>
      <c r="BL54" s="1469"/>
      <c r="BM54" s="1469"/>
      <c r="BN54" s="1469"/>
      <c r="BO54" s="1469"/>
      <c r="BP54" s="1469"/>
      <c r="BQ54" s="1469"/>
      <c r="BR54" s="1469"/>
      <c r="BS54" s="1469"/>
      <c r="BT54" s="1469"/>
      <c r="BU54" s="1469"/>
      <c r="BV54" s="1469"/>
      <c r="BW54" s="1469"/>
      <c r="BX54" s="1469"/>
      <c r="BY54" s="1469"/>
      <c r="BZ54" s="1469"/>
      <c r="CA54" s="1469"/>
      <c r="CB54" s="1469"/>
      <c r="CC54" s="1049" t="s">
        <v>394</v>
      </c>
      <c r="CD54" s="1023"/>
      <c r="CE54" s="1076" t="str">
        <f t="shared" si="0"/>
        <v>Resíduos Urbanos (fração não biodegradável)</v>
      </c>
      <c r="CF54" s="1023"/>
      <c r="CG54" s="1023"/>
      <c r="CH54" s="1023"/>
      <c r="CI54" s="1023"/>
      <c r="CJ54" s="1023"/>
      <c r="CK54" s="1023"/>
      <c r="CL54" s="1023"/>
      <c r="CM54" s="1023"/>
      <c r="CN54" s="1023"/>
    </row>
    <row r="55" spans="1:92" s="1029" customFormat="1" ht="30" outlineLevel="1" x14ac:dyDescent="0.2">
      <c r="A55" s="1028"/>
      <c r="B55" s="1033">
        <v>37</v>
      </c>
      <c r="C55" s="245" t="s">
        <v>363</v>
      </c>
      <c r="D55" s="1039" t="s">
        <v>419</v>
      </c>
      <c r="E55" s="245" t="s">
        <v>16</v>
      </c>
      <c r="F55" s="1050">
        <f>(8+9)/2</f>
        <v>8.5</v>
      </c>
      <c r="G55" s="982" t="s">
        <v>1759</v>
      </c>
      <c r="H55" s="1047">
        <v>106600</v>
      </c>
      <c r="I55" s="235" t="s">
        <v>1759</v>
      </c>
      <c r="J55" s="1081"/>
      <c r="K55" s="1084">
        <f t="shared" si="1"/>
        <v>37</v>
      </c>
      <c r="L55" s="1063">
        <v>0.95229999999999992</v>
      </c>
      <c r="M55" s="1089">
        <f t="shared" si="2"/>
        <v>37</v>
      </c>
      <c r="N55" s="1067">
        <v>8.8999999999999995E-6</v>
      </c>
      <c r="O55" s="1067">
        <v>8.8999999999999995E-5</v>
      </c>
      <c r="P55" s="1067">
        <v>8.8999999999999995E-5</v>
      </c>
      <c r="Q55" s="1067">
        <v>2.6700000000000001E-3</v>
      </c>
      <c r="R55" s="1093">
        <f t="shared" si="3"/>
        <v>37</v>
      </c>
      <c r="S55" s="1065">
        <v>1.3350000000000001E-5</v>
      </c>
      <c r="T55" s="1065">
        <v>1.3350000000000001E-5</v>
      </c>
      <c r="U55" s="1065">
        <v>1.3350000000000001E-5</v>
      </c>
      <c r="V55" s="1065">
        <v>1.3350000000000001E-5</v>
      </c>
      <c r="W55" s="1048"/>
      <c r="X55" s="1048"/>
      <c r="Y55" s="1048"/>
      <c r="Z55" s="1048"/>
      <c r="AA55" s="1048"/>
      <c r="AB55" s="1048"/>
      <c r="AC55" s="1048"/>
      <c r="AD55" s="1048"/>
      <c r="AE55" s="1048"/>
      <c r="AF55" s="1048"/>
      <c r="AG55" s="1048"/>
      <c r="AH55" s="1048"/>
      <c r="AI55" s="1048"/>
      <c r="AJ55" s="1470" t="str">
        <f t="shared" si="4"/>
        <v>Xisto Betuminoso e Areias Betuminosas</v>
      </c>
      <c r="AK55" s="1470"/>
      <c r="AL55" s="1470"/>
      <c r="AM55" s="1470"/>
      <c r="AN55" s="1469" t="s">
        <v>1774</v>
      </c>
      <c r="AO55" s="1469"/>
      <c r="AP55" s="1469"/>
      <c r="AQ55" s="1469"/>
      <c r="AR55" s="1469"/>
      <c r="AS55" s="1469"/>
      <c r="AT55" s="1469"/>
      <c r="AU55" s="1469"/>
      <c r="AV55" s="1469"/>
      <c r="AW55" s="1469"/>
      <c r="AX55" s="1469"/>
      <c r="AY55" s="1469"/>
      <c r="AZ55" s="1469"/>
      <c r="BA55" s="1469"/>
      <c r="BB55" s="1469"/>
      <c r="BC55" s="1469"/>
      <c r="BD55" s="1469"/>
      <c r="BE55" s="1469"/>
      <c r="BF55" s="1469"/>
      <c r="BG55" s="1469"/>
      <c r="BH55" s="1469"/>
      <c r="BI55" s="1469"/>
      <c r="BJ55" s="1469"/>
      <c r="BK55" s="1469"/>
      <c r="BL55" s="1469"/>
      <c r="BM55" s="1469"/>
      <c r="BN55" s="1469"/>
      <c r="BO55" s="1469"/>
      <c r="BP55" s="1469"/>
      <c r="BQ55" s="1469"/>
      <c r="BR55" s="1469"/>
      <c r="BS55" s="1469"/>
      <c r="BT55" s="1469"/>
      <c r="BU55" s="1469"/>
      <c r="BV55" s="1469"/>
      <c r="BW55" s="1469"/>
      <c r="BX55" s="1469"/>
      <c r="BY55" s="1469"/>
      <c r="BZ55" s="1469"/>
      <c r="CA55" s="1469"/>
      <c r="CB55" s="1469"/>
      <c r="CC55" s="1049" t="s">
        <v>441</v>
      </c>
      <c r="CD55" s="1030"/>
      <c r="CE55" s="1076" t="str">
        <f t="shared" si="0"/>
        <v>Xisto Betuminoso e Areias Betuminosas</v>
      </c>
      <c r="CF55" s="1030"/>
      <c r="CG55" s="1030"/>
      <c r="CH55" s="1030"/>
      <c r="CI55" s="1030"/>
      <c r="CJ55" s="1030"/>
      <c r="CK55" s="1030"/>
      <c r="CL55" s="1030"/>
      <c r="CM55" s="1030"/>
      <c r="CN55" s="1030"/>
    </row>
    <row r="56" spans="1:92" ht="15.75" customHeight="1" outlineLevel="1" x14ac:dyDescent="0.2">
      <c r="A56" s="12"/>
      <c r="B56" s="30"/>
      <c r="C56" s="40"/>
      <c r="D56" s="40"/>
      <c r="E56" s="40"/>
      <c r="F56" s="54"/>
      <c r="G56" s="54"/>
      <c r="H56" s="54"/>
      <c r="I56" s="54"/>
      <c r="J56" s="1082"/>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94"/>
      <c r="BA56" s="94"/>
      <c r="BB56" s="94"/>
      <c r="BC56" s="8"/>
      <c r="BD56" s="90"/>
      <c r="BE56" s="82"/>
      <c r="BF56" s="82"/>
      <c r="BG56" s="82"/>
      <c r="BH56" s="82"/>
      <c r="BI56" s="82"/>
      <c r="BJ56" s="82"/>
      <c r="BK56" s="82"/>
      <c r="BL56" s="82"/>
      <c r="BM56" s="82"/>
      <c r="BN56" s="82"/>
      <c r="BO56" s="82"/>
      <c r="BP56" s="82"/>
      <c r="BQ56" s="82"/>
      <c r="BR56" s="82"/>
      <c r="BS56" s="82"/>
      <c r="BT56" s="82"/>
      <c r="BU56" s="82"/>
      <c r="BV56" s="82"/>
      <c r="BW56" s="82"/>
      <c r="BX56" s="82"/>
      <c r="BY56" s="82"/>
      <c r="BZ56" s="82"/>
      <c r="CA56" s="82"/>
      <c r="CB56" s="82"/>
      <c r="CC56" s="17"/>
      <c r="CD56" s="17"/>
      <c r="CE56" s="1076" t="str">
        <f>C61</f>
        <v>Biodiesel</v>
      </c>
      <c r="CF56" s="17"/>
      <c r="CG56" s="17"/>
      <c r="CH56" s="35"/>
      <c r="CI56" s="35"/>
      <c r="CJ56" s="17"/>
      <c r="CK56" s="17"/>
      <c r="CL56" s="17"/>
      <c r="CM56" s="17"/>
      <c r="CN56" s="17"/>
    </row>
    <row r="57" spans="1:92" ht="15.75" customHeight="1" outlineLevel="1" x14ac:dyDescent="0.25">
      <c r="A57" s="12"/>
      <c r="B57" s="31"/>
      <c r="C57" s="217" t="s">
        <v>199</v>
      </c>
      <c r="D57" s="28"/>
      <c r="E57" s="29"/>
      <c r="F57" s="19"/>
      <c r="G57" s="22"/>
      <c r="H57" s="22"/>
      <c r="I57" s="22"/>
      <c r="J57" s="1083"/>
      <c r="K57" s="22"/>
      <c r="L57" s="22"/>
      <c r="M57" s="22"/>
      <c r="N57" s="22"/>
      <c r="O57" s="22"/>
      <c r="P57" s="22"/>
      <c r="Q57" s="22"/>
      <c r="R57" s="22"/>
      <c r="S57" s="22"/>
      <c r="T57" s="22"/>
      <c r="U57" s="14"/>
      <c r="V57" s="45"/>
      <c r="W57" s="45"/>
      <c r="X57" s="45"/>
      <c r="Y57" s="45"/>
      <c r="Z57" s="45"/>
      <c r="AA57" s="8"/>
      <c r="AB57" s="8"/>
      <c r="AC57" s="8"/>
      <c r="AD57" s="8"/>
      <c r="AE57" s="8"/>
      <c r="AF57" s="8"/>
      <c r="AG57" s="8"/>
      <c r="AH57" s="8"/>
      <c r="AI57" s="8"/>
      <c r="AJ57" s="8"/>
      <c r="AK57" s="8"/>
      <c r="AL57" s="8"/>
      <c r="AM57" s="8"/>
      <c r="AN57" s="94"/>
      <c r="AO57" s="94"/>
      <c r="AP57" s="94"/>
      <c r="AQ57" s="8"/>
      <c r="AR57" s="26"/>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17"/>
      <c r="BR57" s="17"/>
      <c r="BS57" s="1076" t="str">
        <f t="shared" ref="BS57:BS67" si="6">C62</f>
        <v>Biogasolina</v>
      </c>
      <c r="BT57" s="17"/>
      <c r="BU57" s="17"/>
      <c r="BV57" s="35"/>
      <c r="BW57" s="35"/>
      <c r="BX57" s="17"/>
      <c r="BY57" s="17"/>
      <c r="BZ57" s="17"/>
      <c r="CA57" s="17"/>
      <c r="CB57" s="17"/>
      <c r="CC57"/>
      <c r="CD57"/>
      <c r="CE57" s="1076" t="s">
        <v>1799</v>
      </c>
      <c r="CF57"/>
      <c r="CG57"/>
      <c r="CH57"/>
    </row>
    <row r="58" spans="1:92" ht="18" customHeight="1" outlineLevel="1" x14ac:dyDescent="0.25">
      <c r="A58" s="12"/>
      <c r="B58" s="1497" t="s">
        <v>18</v>
      </c>
      <c r="C58" s="1497" t="s">
        <v>95</v>
      </c>
      <c r="D58" s="1530" t="s">
        <v>428</v>
      </c>
      <c r="E58" s="1497" t="s">
        <v>96</v>
      </c>
      <c r="F58" s="1530" t="s">
        <v>14</v>
      </c>
      <c r="G58" s="1475" t="s">
        <v>75</v>
      </c>
      <c r="H58" s="1278" t="s">
        <v>68</v>
      </c>
      <c r="I58" s="1280"/>
      <c r="J58" s="1079"/>
      <c r="K58" s="1475" t="s">
        <v>18</v>
      </c>
      <c r="L58" s="1086" t="s">
        <v>580</v>
      </c>
      <c r="M58" s="1087"/>
      <c r="N58" s="1087"/>
      <c r="O58" s="1087"/>
      <c r="P58" s="1087"/>
      <c r="Q58" s="1087"/>
      <c r="R58" s="1087"/>
      <c r="S58" s="1087"/>
      <c r="T58" s="1087"/>
      <c r="U58" s="1087"/>
      <c r="V58" s="1088"/>
      <c r="W58" s="237"/>
      <c r="X58" s="1445" t="s">
        <v>95</v>
      </c>
      <c r="Y58" s="1446"/>
      <c r="Z58" s="1446"/>
      <c r="AA58" s="1447"/>
      <c r="AB58" s="1436" t="s">
        <v>445</v>
      </c>
      <c r="AC58" s="1437"/>
      <c r="AD58" s="1437"/>
      <c r="AE58" s="1437"/>
      <c r="AF58" s="1437"/>
      <c r="AG58" s="1437"/>
      <c r="AH58" s="1437"/>
      <c r="AI58" s="1437"/>
      <c r="AJ58" s="1437"/>
      <c r="AK58" s="1437"/>
      <c r="AL58" s="1437"/>
      <c r="AM58" s="1437"/>
      <c r="AN58" s="1437"/>
      <c r="AO58" s="1437"/>
      <c r="AP58" s="1437"/>
      <c r="AQ58" s="1437"/>
      <c r="AR58" s="1437"/>
      <c r="AS58" s="1437"/>
      <c r="AT58" s="1437"/>
      <c r="AU58" s="1437"/>
      <c r="AV58" s="1437"/>
      <c r="AW58" s="1437"/>
      <c r="AX58" s="1437"/>
      <c r="AY58" s="1437"/>
      <c r="AZ58" s="1437"/>
      <c r="BA58" s="1437"/>
      <c r="BB58" s="1437"/>
      <c r="BC58" s="1437"/>
      <c r="BD58" s="1437"/>
      <c r="BE58" s="1437"/>
      <c r="BF58" s="1437"/>
      <c r="BG58" s="1437"/>
      <c r="BH58" s="1437"/>
      <c r="BI58" s="1437"/>
      <c r="BJ58" s="1437"/>
      <c r="BK58" s="1437"/>
      <c r="BL58" s="1437"/>
      <c r="BM58" s="1437"/>
      <c r="BN58" s="1437"/>
      <c r="BO58" s="1437"/>
      <c r="BP58" s="1438"/>
      <c r="BQ58" s="1433" t="s">
        <v>75</v>
      </c>
      <c r="BR58" s="17"/>
      <c r="BS58" s="1076" t="str">
        <f t="shared" si="6"/>
        <v>Carvão Vegetal</v>
      </c>
      <c r="BT58" s="17"/>
      <c r="BU58" s="17"/>
      <c r="BV58" s="35"/>
      <c r="BW58" s="35"/>
      <c r="BX58" s="17"/>
      <c r="BY58" s="17"/>
      <c r="BZ58" s="17"/>
      <c r="CA58" s="17"/>
      <c r="CB58" s="17"/>
      <c r="CC58"/>
      <c r="CD58"/>
      <c r="CE58" s="1076" t="s">
        <v>81</v>
      </c>
      <c r="CF58"/>
      <c r="CG58"/>
      <c r="CH58"/>
    </row>
    <row r="59" spans="1:92" ht="18" customHeight="1" outlineLevel="1" x14ac:dyDescent="0.25">
      <c r="A59" s="12"/>
      <c r="B59" s="1497"/>
      <c r="C59" s="1497"/>
      <c r="D59" s="1531"/>
      <c r="E59" s="1497"/>
      <c r="F59" s="1532"/>
      <c r="G59" s="1476"/>
      <c r="H59" s="1538" t="s">
        <v>1382</v>
      </c>
      <c r="I59" s="1533" t="s">
        <v>75</v>
      </c>
      <c r="J59" s="1079"/>
      <c r="K59" s="1476"/>
      <c r="L59" s="1535" t="s">
        <v>1745</v>
      </c>
      <c r="M59" s="1454" t="s">
        <v>1845</v>
      </c>
      <c r="N59" s="1455"/>
      <c r="O59" s="1455"/>
      <c r="P59" s="1455"/>
      <c r="Q59" s="1456"/>
      <c r="R59" s="1460" t="s">
        <v>1747</v>
      </c>
      <c r="S59" s="1461"/>
      <c r="T59" s="1461"/>
      <c r="U59" s="1461"/>
      <c r="V59" s="1462"/>
      <c r="W59" s="237"/>
      <c r="X59" s="1448"/>
      <c r="Y59" s="1449"/>
      <c r="Z59" s="1449"/>
      <c r="AA59" s="1450"/>
      <c r="AB59" s="1439"/>
      <c r="AC59" s="1440"/>
      <c r="AD59" s="1440"/>
      <c r="AE59" s="1440"/>
      <c r="AF59" s="1440"/>
      <c r="AG59" s="1440"/>
      <c r="AH59" s="1440"/>
      <c r="AI59" s="1440"/>
      <c r="AJ59" s="1440"/>
      <c r="AK59" s="1440"/>
      <c r="AL59" s="1440"/>
      <c r="AM59" s="1440"/>
      <c r="AN59" s="1440"/>
      <c r="AO59" s="1440"/>
      <c r="AP59" s="1440"/>
      <c r="AQ59" s="1440"/>
      <c r="AR59" s="1440"/>
      <c r="AS59" s="1440"/>
      <c r="AT59" s="1440"/>
      <c r="AU59" s="1440"/>
      <c r="AV59" s="1440"/>
      <c r="AW59" s="1440"/>
      <c r="AX59" s="1440"/>
      <c r="AY59" s="1440"/>
      <c r="AZ59" s="1440"/>
      <c r="BA59" s="1440"/>
      <c r="BB59" s="1440"/>
      <c r="BC59" s="1440"/>
      <c r="BD59" s="1440"/>
      <c r="BE59" s="1440"/>
      <c r="BF59" s="1440"/>
      <c r="BG59" s="1440"/>
      <c r="BH59" s="1440"/>
      <c r="BI59" s="1440"/>
      <c r="BJ59" s="1440"/>
      <c r="BK59" s="1440"/>
      <c r="BL59" s="1440"/>
      <c r="BM59" s="1440"/>
      <c r="BN59" s="1440"/>
      <c r="BO59" s="1440"/>
      <c r="BP59" s="1441"/>
      <c r="BQ59" s="1434"/>
      <c r="BR59" s="17"/>
      <c r="BS59" s="1076" t="str">
        <f t="shared" si="6"/>
        <v>Gases de Aterro</v>
      </c>
      <c r="BT59" s="17"/>
      <c r="BU59" s="17"/>
      <c r="BV59" s="35"/>
      <c r="BW59" s="35"/>
      <c r="BX59" s="17"/>
      <c r="BY59" s="17"/>
      <c r="BZ59" s="17"/>
      <c r="CA59" s="17"/>
      <c r="CB59" s="17"/>
      <c r="CC59"/>
      <c r="CD59"/>
      <c r="CE59" s="1076" t="s">
        <v>1801</v>
      </c>
      <c r="CF59"/>
      <c r="CG59"/>
      <c r="CH59"/>
    </row>
    <row r="60" spans="1:92" ht="30" customHeight="1" outlineLevel="1" x14ac:dyDescent="0.25">
      <c r="A60" s="87"/>
      <c r="B60" s="1497"/>
      <c r="C60" s="1497"/>
      <c r="D60" s="1532"/>
      <c r="E60" s="1497"/>
      <c r="F60" s="230" t="s">
        <v>1820</v>
      </c>
      <c r="G60" s="1477"/>
      <c r="H60" s="1535"/>
      <c r="I60" s="1534"/>
      <c r="J60" s="1079"/>
      <c r="K60" s="1477"/>
      <c r="L60" s="1536"/>
      <c r="M60" s="233" t="str">
        <f>K58</f>
        <v>Nº ref.</v>
      </c>
      <c r="N60" s="233" t="s">
        <v>139</v>
      </c>
      <c r="O60" s="233" t="s">
        <v>438</v>
      </c>
      <c r="P60" s="233" t="s">
        <v>439</v>
      </c>
      <c r="Q60" s="233" t="s">
        <v>440</v>
      </c>
      <c r="R60" s="1092" t="str">
        <f>M60</f>
        <v>Nº ref.</v>
      </c>
      <c r="S60" s="238" t="s">
        <v>139</v>
      </c>
      <c r="T60" s="238" t="s">
        <v>438</v>
      </c>
      <c r="U60" s="238" t="s">
        <v>439</v>
      </c>
      <c r="V60" s="238" t="s">
        <v>440</v>
      </c>
      <c r="W60" s="237"/>
      <c r="X60" s="1451"/>
      <c r="Y60" s="1452"/>
      <c r="Z60" s="1452"/>
      <c r="AA60" s="1453"/>
      <c r="AB60" s="1442"/>
      <c r="AC60" s="1443"/>
      <c r="AD60" s="1443"/>
      <c r="AE60" s="1443"/>
      <c r="AF60" s="1443"/>
      <c r="AG60" s="1443"/>
      <c r="AH60" s="1443"/>
      <c r="AI60" s="1443"/>
      <c r="AJ60" s="1443"/>
      <c r="AK60" s="1443"/>
      <c r="AL60" s="1443"/>
      <c r="AM60" s="1443"/>
      <c r="AN60" s="1443"/>
      <c r="AO60" s="1443"/>
      <c r="AP60" s="1443"/>
      <c r="AQ60" s="1443"/>
      <c r="AR60" s="1443"/>
      <c r="AS60" s="1443"/>
      <c r="AT60" s="1443"/>
      <c r="AU60" s="1443"/>
      <c r="AV60" s="1443"/>
      <c r="AW60" s="1443"/>
      <c r="AX60" s="1443"/>
      <c r="AY60" s="1443"/>
      <c r="AZ60" s="1443"/>
      <c r="BA60" s="1443"/>
      <c r="BB60" s="1443"/>
      <c r="BC60" s="1443"/>
      <c r="BD60" s="1443"/>
      <c r="BE60" s="1443"/>
      <c r="BF60" s="1443"/>
      <c r="BG60" s="1443"/>
      <c r="BH60" s="1443"/>
      <c r="BI60" s="1443"/>
      <c r="BJ60" s="1443"/>
      <c r="BK60" s="1443"/>
      <c r="BL60" s="1443"/>
      <c r="BM60" s="1443"/>
      <c r="BN60" s="1443"/>
      <c r="BO60" s="1443"/>
      <c r="BP60" s="1444"/>
      <c r="BQ60" s="1435"/>
      <c r="BR60" s="88"/>
      <c r="BS60" s="1076" t="str">
        <f t="shared" si="6"/>
        <v>Gases de Lamas de Depuração</v>
      </c>
      <c r="BT60" s="88"/>
      <c r="BU60" s="88"/>
      <c r="BV60" s="88"/>
      <c r="BW60" s="88"/>
      <c r="BX60" s="88"/>
      <c r="BY60" s="88"/>
      <c r="BZ60" s="88"/>
      <c r="CA60" s="88"/>
      <c r="CB60" s="88"/>
      <c r="CC60" s="89"/>
      <c r="CD60"/>
      <c r="CE60" s="1076" t="s">
        <v>1810</v>
      </c>
      <c r="CF60"/>
      <c r="CG60"/>
      <c r="CH60"/>
    </row>
    <row r="61" spans="1:92" s="1037" customFormat="1" ht="15" customHeight="1" outlineLevel="1" x14ac:dyDescent="0.25">
      <c r="A61" s="1053"/>
      <c r="B61" s="1054">
        <f>B55+1</f>
        <v>38</v>
      </c>
      <c r="C61" s="1007" t="s">
        <v>1797</v>
      </c>
      <c r="D61" s="1036" t="s">
        <v>422</v>
      </c>
      <c r="E61" s="1007" t="s">
        <v>16</v>
      </c>
      <c r="F61" s="1038">
        <f>27</f>
        <v>27</v>
      </c>
      <c r="G61" s="982" t="s">
        <v>1744</v>
      </c>
      <c r="H61" s="1059">
        <v>70800</v>
      </c>
      <c r="I61" s="235" t="s">
        <v>394</v>
      </c>
      <c r="J61" s="1081"/>
      <c r="K61" s="1085">
        <f>B61</f>
        <v>38</v>
      </c>
      <c r="L61" s="1068">
        <v>1.9116</v>
      </c>
      <c r="M61" s="1090">
        <f>K61</f>
        <v>38</v>
      </c>
      <c r="N61" s="1069">
        <v>8.099999999999999E-5</v>
      </c>
      <c r="O61" s="1069">
        <v>8.099999999999999E-5</v>
      </c>
      <c r="P61" s="1069">
        <v>2.7E-4</v>
      </c>
      <c r="Q61" s="1069">
        <v>2.7E-4</v>
      </c>
      <c r="R61" s="1094">
        <f>M61</f>
        <v>38</v>
      </c>
      <c r="S61" s="1070">
        <v>1.6199999999999997E-5</v>
      </c>
      <c r="T61" s="1070">
        <v>1.6199999999999997E-5</v>
      </c>
      <c r="U61" s="1070">
        <v>1.6199999999999997E-5</v>
      </c>
      <c r="V61" s="1070">
        <v>1.6199999999999997E-5</v>
      </c>
      <c r="W61" s="237"/>
      <c r="X61" s="1482" t="str">
        <f t="shared" ref="X61:X72" si="7">C61</f>
        <v>Biodiesel</v>
      </c>
      <c r="Y61" s="1483"/>
      <c r="Z61" s="1483"/>
      <c r="AA61" s="1484"/>
      <c r="AB61" s="1471" t="s">
        <v>1798</v>
      </c>
      <c r="AC61" s="1469"/>
      <c r="AD61" s="1469"/>
      <c r="AE61" s="1469"/>
      <c r="AF61" s="1469"/>
      <c r="AG61" s="1469"/>
      <c r="AH61" s="1469"/>
      <c r="AI61" s="1469"/>
      <c r="AJ61" s="1469"/>
      <c r="AK61" s="1469"/>
      <c r="AL61" s="1469"/>
      <c r="AM61" s="1469"/>
      <c r="AN61" s="1469"/>
      <c r="AO61" s="1469"/>
      <c r="AP61" s="1469"/>
      <c r="AQ61" s="1469"/>
      <c r="AR61" s="1469"/>
      <c r="AS61" s="1469"/>
      <c r="AT61" s="1469"/>
      <c r="AU61" s="1469"/>
      <c r="AV61" s="1469"/>
      <c r="AW61" s="1469"/>
      <c r="AX61" s="1469"/>
      <c r="AY61" s="1469"/>
      <c r="AZ61" s="1469"/>
      <c r="BA61" s="1469"/>
      <c r="BB61" s="1469"/>
      <c r="BC61" s="1469"/>
      <c r="BD61" s="1469"/>
      <c r="BE61" s="1469"/>
      <c r="BF61" s="1469"/>
      <c r="BG61" s="1469"/>
      <c r="BH61" s="1469"/>
      <c r="BI61" s="1469"/>
      <c r="BJ61" s="1469"/>
      <c r="BK61" s="1469"/>
      <c r="BL61" s="1469"/>
      <c r="BM61" s="1469"/>
      <c r="BN61" s="1469"/>
      <c r="BO61" s="1469"/>
      <c r="BP61" s="1469"/>
      <c r="BQ61" s="1008" t="s">
        <v>441</v>
      </c>
      <c r="BR61" s="1055"/>
      <c r="BS61" s="1076" t="str">
        <f t="shared" si="6"/>
        <v>Licor Negro</v>
      </c>
      <c r="BT61" s="1077"/>
      <c r="BU61" s="1077"/>
      <c r="BV61" s="1077"/>
      <c r="BW61" s="1055"/>
      <c r="BX61" s="1055"/>
      <c r="BY61" s="1055"/>
      <c r="BZ61" s="1055"/>
      <c r="CA61" s="1055"/>
      <c r="CB61" s="1055"/>
      <c r="CE61" s="1076" t="s">
        <v>1813</v>
      </c>
    </row>
    <row r="62" spans="1:92" s="1037" customFormat="1" ht="15" customHeight="1" outlineLevel="1" x14ac:dyDescent="0.25">
      <c r="A62" s="1053"/>
      <c r="B62" s="1054">
        <f>B61+1</f>
        <v>39</v>
      </c>
      <c r="C62" s="1007" t="s">
        <v>1799</v>
      </c>
      <c r="D62" s="1036" t="s">
        <v>1800</v>
      </c>
      <c r="E62" s="1007" t="s">
        <v>16</v>
      </c>
      <c r="F62" s="1038">
        <f>27</f>
        <v>27</v>
      </c>
      <c r="G62" s="982" t="s">
        <v>1744</v>
      </c>
      <c r="H62" s="1059">
        <v>70800</v>
      </c>
      <c r="I62" s="235" t="s">
        <v>394</v>
      </c>
      <c r="J62" s="1081"/>
      <c r="K62" s="1085">
        <f t="shared" ref="K62:K72" si="8">B62</f>
        <v>39</v>
      </c>
      <c r="L62" s="1068">
        <v>1.9116</v>
      </c>
      <c r="M62" s="1090">
        <f t="shared" ref="M62:M72" si="9">K62</f>
        <v>39</v>
      </c>
      <c r="N62" s="1069">
        <v>8.099999999999999E-5</v>
      </c>
      <c r="O62" s="1069">
        <v>8.099999999999999E-5</v>
      </c>
      <c r="P62" s="1069">
        <v>2.7E-4</v>
      </c>
      <c r="Q62" s="1069">
        <v>2.7E-4</v>
      </c>
      <c r="R62" s="1094">
        <f t="shared" ref="R62:R72" si="10">M62</f>
        <v>39</v>
      </c>
      <c r="S62" s="1070">
        <v>1.6199999999999997E-5</v>
      </c>
      <c r="T62" s="1070">
        <v>1.6199999999999997E-5</v>
      </c>
      <c r="U62" s="1070">
        <v>1.6199999999999997E-5</v>
      </c>
      <c r="V62" s="1070">
        <v>1.6199999999999997E-5</v>
      </c>
      <c r="W62" s="237"/>
      <c r="X62" s="1463" t="str">
        <f t="shared" si="7"/>
        <v>Biogasolina</v>
      </c>
      <c r="Y62" s="1464"/>
      <c r="Z62" s="1464"/>
      <c r="AA62" s="1465"/>
      <c r="AB62" s="1479" t="s">
        <v>92</v>
      </c>
      <c r="AC62" s="1480"/>
      <c r="AD62" s="1480"/>
      <c r="AE62" s="1480"/>
      <c r="AF62" s="1480"/>
      <c r="AG62" s="1480"/>
      <c r="AH62" s="1480"/>
      <c r="AI62" s="1480"/>
      <c r="AJ62" s="1480"/>
      <c r="AK62" s="1480"/>
      <c r="AL62" s="1480"/>
      <c r="AM62" s="1480"/>
      <c r="AN62" s="1480"/>
      <c r="AO62" s="1480"/>
      <c r="AP62" s="1480"/>
      <c r="AQ62" s="1480"/>
      <c r="AR62" s="1480"/>
      <c r="AS62" s="1480"/>
      <c r="AT62" s="1480"/>
      <c r="AU62" s="1480"/>
      <c r="AV62" s="1480"/>
      <c r="AW62" s="1480"/>
      <c r="AX62" s="1480"/>
      <c r="AY62" s="1480"/>
      <c r="AZ62" s="1480"/>
      <c r="BA62" s="1480"/>
      <c r="BB62" s="1480"/>
      <c r="BC62" s="1480"/>
      <c r="BD62" s="1480"/>
      <c r="BE62" s="1480"/>
      <c r="BF62" s="1480"/>
      <c r="BG62" s="1480"/>
      <c r="BH62" s="1480"/>
      <c r="BI62" s="1480"/>
      <c r="BJ62" s="1480"/>
      <c r="BK62" s="1480"/>
      <c r="BL62" s="1480"/>
      <c r="BM62" s="1480"/>
      <c r="BN62" s="1480"/>
      <c r="BO62" s="1480"/>
      <c r="BP62" s="1481"/>
      <c r="BQ62" s="1008"/>
      <c r="BR62" s="1055"/>
      <c r="BS62" s="1076" t="str">
        <f t="shared" si="6"/>
        <v>Madeira / resíduos de Madeira</v>
      </c>
      <c r="BT62" s="1077"/>
      <c r="BU62" s="1077"/>
      <c r="BV62" s="1077"/>
      <c r="BW62" s="1055"/>
      <c r="BX62" s="1055"/>
      <c r="BY62" s="1055"/>
      <c r="BZ62" s="1055"/>
      <c r="CA62" s="1055"/>
      <c r="CB62" s="1055"/>
      <c r="CE62" s="1076" t="s">
        <v>1815</v>
      </c>
    </row>
    <row r="63" spans="1:92" s="1037" customFormat="1" ht="15" customHeight="1" outlineLevel="1" x14ac:dyDescent="0.25">
      <c r="A63" s="1053"/>
      <c r="B63" s="1054">
        <f t="shared" ref="B63:B72" si="11">B62+1</f>
        <v>40</v>
      </c>
      <c r="C63" s="1007" t="s">
        <v>81</v>
      </c>
      <c r="D63" s="1036" t="s">
        <v>424</v>
      </c>
      <c r="E63" s="1007" t="s">
        <v>16</v>
      </c>
      <c r="F63" s="1038">
        <f>29.5</f>
        <v>29.5</v>
      </c>
      <c r="G63" s="982" t="s">
        <v>1744</v>
      </c>
      <c r="H63" s="1059">
        <f>112000</f>
        <v>112000</v>
      </c>
      <c r="I63" s="235" t="s">
        <v>394</v>
      </c>
      <c r="J63" s="1081"/>
      <c r="K63" s="1085">
        <f t="shared" si="8"/>
        <v>40</v>
      </c>
      <c r="L63" s="1068">
        <v>3.3039999999999998</v>
      </c>
      <c r="M63" s="1090">
        <f t="shared" si="9"/>
        <v>40</v>
      </c>
      <c r="N63" s="1069">
        <v>5.8999999999999999E-3</v>
      </c>
      <c r="O63" s="1069">
        <v>5.8999999999999999E-3</v>
      </c>
      <c r="P63" s="1069">
        <v>5.8999999999999999E-3</v>
      </c>
      <c r="Q63" s="1069">
        <v>5.8999999999999999E-3</v>
      </c>
      <c r="R63" s="1094">
        <f t="shared" si="10"/>
        <v>40</v>
      </c>
      <c r="S63" s="1070">
        <v>1.18E-4</v>
      </c>
      <c r="T63" s="1070">
        <v>1.18E-4</v>
      </c>
      <c r="U63" s="1070">
        <v>2.9499999999999999E-5</v>
      </c>
      <c r="V63" s="1070">
        <v>2.9499999999999999E-5</v>
      </c>
      <c r="W63" s="237"/>
      <c r="X63" s="1482" t="str">
        <f t="shared" si="7"/>
        <v>Carvão Vegetal</v>
      </c>
      <c r="Y63" s="1483"/>
      <c r="Z63" s="1483"/>
      <c r="AA63" s="1484"/>
      <c r="AB63" s="1485" t="s">
        <v>92</v>
      </c>
      <c r="AC63" s="1469"/>
      <c r="AD63" s="1469"/>
      <c r="AE63" s="1469"/>
      <c r="AF63" s="1469"/>
      <c r="AG63" s="1469"/>
      <c r="AH63" s="1469"/>
      <c r="AI63" s="1469"/>
      <c r="AJ63" s="1469"/>
      <c r="AK63" s="1469"/>
      <c r="AL63" s="1469"/>
      <c r="AM63" s="1469"/>
      <c r="AN63" s="1469"/>
      <c r="AO63" s="1469"/>
      <c r="AP63" s="1469"/>
      <c r="AQ63" s="1469"/>
      <c r="AR63" s="1469"/>
      <c r="AS63" s="1469"/>
      <c r="AT63" s="1469"/>
      <c r="AU63" s="1469"/>
      <c r="AV63" s="1469"/>
      <c r="AW63" s="1469"/>
      <c r="AX63" s="1469"/>
      <c r="AY63" s="1469"/>
      <c r="AZ63" s="1469"/>
      <c r="BA63" s="1469"/>
      <c r="BB63" s="1469"/>
      <c r="BC63" s="1469"/>
      <c r="BD63" s="1469"/>
      <c r="BE63" s="1469"/>
      <c r="BF63" s="1469"/>
      <c r="BG63" s="1469"/>
      <c r="BH63" s="1469"/>
      <c r="BI63" s="1469"/>
      <c r="BJ63" s="1469"/>
      <c r="BK63" s="1469"/>
      <c r="BL63" s="1469"/>
      <c r="BM63" s="1469"/>
      <c r="BN63" s="1469"/>
      <c r="BO63" s="1469"/>
      <c r="BP63" s="1469"/>
      <c r="BQ63" s="1008"/>
      <c r="BR63" s="1055"/>
      <c r="BS63" s="1076" t="str">
        <f t="shared" si="6"/>
        <v>Outra Biomassa Primária Sólida</v>
      </c>
      <c r="BT63" s="1077"/>
      <c r="BU63" s="1077"/>
      <c r="BV63" s="1077"/>
      <c r="BW63" s="1055"/>
      <c r="BX63" s="1055"/>
      <c r="BY63" s="1055"/>
      <c r="BZ63" s="1055"/>
      <c r="CA63" s="1055"/>
      <c r="CB63" s="1055"/>
      <c r="CE63" s="1076" t="s">
        <v>1809</v>
      </c>
    </row>
    <row r="64" spans="1:92" s="1037" customFormat="1" ht="15" customHeight="1" outlineLevel="1" x14ac:dyDescent="0.25">
      <c r="A64" s="1053"/>
      <c r="B64" s="1054">
        <f t="shared" si="11"/>
        <v>41</v>
      </c>
      <c r="C64" s="1007" t="s">
        <v>1801</v>
      </c>
      <c r="D64" s="1036" t="s">
        <v>1802</v>
      </c>
      <c r="E64" s="245" t="s">
        <v>1818</v>
      </c>
      <c r="F64" s="1038"/>
      <c r="G64" s="1058" t="s">
        <v>92</v>
      </c>
      <c r="H64" s="1059">
        <v>54600</v>
      </c>
      <c r="I64" s="235" t="s">
        <v>394</v>
      </c>
      <c r="J64" s="1081"/>
      <c r="K64" s="1085">
        <f t="shared" si="8"/>
        <v>41</v>
      </c>
      <c r="L64" s="1068">
        <v>2.4766560000000003E-3</v>
      </c>
      <c r="M64" s="1090">
        <f t="shared" si="9"/>
        <v>41</v>
      </c>
      <c r="N64" s="1069">
        <v>4.5360000000000004E-8</v>
      </c>
      <c r="O64" s="1069">
        <v>4.5360000000000004E-8</v>
      </c>
      <c r="P64" s="1069">
        <v>2.2679999999999999E-7</v>
      </c>
      <c r="Q64" s="1069">
        <v>2.2679999999999999E-7</v>
      </c>
      <c r="R64" s="1094">
        <f t="shared" si="10"/>
        <v>41</v>
      </c>
      <c r="S64" s="1070">
        <v>4.5360000000000001E-9</v>
      </c>
      <c r="T64" s="1070">
        <v>4.5360000000000001E-9</v>
      </c>
      <c r="U64" s="1070">
        <v>4.5360000000000001E-9</v>
      </c>
      <c r="V64" s="1070">
        <v>4.5360000000000001E-9</v>
      </c>
      <c r="W64" s="237"/>
      <c r="X64" s="1463" t="str">
        <f t="shared" si="7"/>
        <v>Gases de Aterro</v>
      </c>
      <c r="Y64" s="1464"/>
      <c r="Z64" s="1464"/>
      <c r="AA64" s="1465"/>
      <c r="AB64" s="1466" t="s">
        <v>1803</v>
      </c>
      <c r="AC64" s="1467"/>
      <c r="AD64" s="1467"/>
      <c r="AE64" s="1467"/>
      <c r="AF64" s="1467"/>
      <c r="AG64" s="1467"/>
      <c r="AH64" s="1467"/>
      <c r="AI64" s="1467"/>
      <c r="AJ64" s="1467"/>
      <c r="AK64" s="1467"/>
      <c r="AL64" s="1467"/>
      <c r="AM64" s="1467"/>
      <c r="AN64" s="1467"/>
      <c r="AO64" s="1467"/>
      <c r="AP64" s="1467"/>
      <c r="AQ64" s="1467"/>
      <c r="AR64" s="1467"/>
      <c r="AS64" s="1467"/>
      <c r="AT64" s="1467"/>
      <c r="AU64" s="1467"/>
      <c r="AV64" s="1467"/>
      <c r="AW64" s="1467"/>
      <c r="AX64" s="1467"/>
      <c r="AY64" s="1467"/>
      <c r="AZ64" s="1467"/>
      <c r="BA64" s="1467"/>
      <c r="BB64" s="1467"/>
      <c r="BC64" s="1467"/>
      <c r="BD64" s="1467"/>
      <c r="BE64" s="1467"/>
      <c r="BF64" s="1467"/>
      <c r="BG64" s="1467"/>
      <c r="BH64" s="1467"/>
      <c r="BI64" s="1467"/>
      <c r="BJ64" s="1467"/>
      <c r="BK64" s="1467"/>
      <c r="BL64" s="1467"/>
      <c r="BM64" s="1467"/>
      <c r="BN64" s="1467"/>
      <c r="BO64" s="1467"/>
      <c r="BP64" s="1468"/>
      <c r="BQ64" s="1008"/>
      <c r="BR64" s="1055"/>
      <c r="BS64" s="1076" t="str">
        <f t="shared" si="6"/>
        <v>Outros Biocombustíveis Líquidos</v>
      </c>
      <c r="BT64" s="1077"/>
      <c r="BU64" s="1077"/>
      <c r="BV64" s="1077"/>
      <c r="BW64" s="1055"/>
      <c r="BX64" s="1055"/>
      <c r="BY64" s="1055"/>
      <c r="BZ64" s="1055"/>
      <c r="CA64" s="1055"/>
      <c r="CB64" s="1055"/>
      <c r="CE64" s="1076" t="s">
        <v>1808</v>
      </c>
    </row>
    <row r="65" spans="1:86" s="1037" customFormat="1" ht="15" customHeight="1" outlineLevel="1" x14ac:dyDescent="0.25">
      <c r="A65" s="1053"/>
      <c r="B65" s="1054">
        <f t="shared" si="11"/>
        <v>42</v>
      </c>
      <c r="C65" s="1007" t="s">
        <v>1810</v>
      </c>
      <c r="D65" s="1036" t="s">
        <v>1811</v>
      </c>
      <c r="E65" s="1007" t="s">
        <v>16</v>
      </c>
      <c r="F65" s="1038">
        <f>50.4</f>
        <v>50.4</v>
      </c>
      <c r="G65" s="982" t="s">
        <v>1744</v>
      </c>
      <c r="H65" s="1059">
        <v>54600</v>
      </c>
      <c r="I65" s="235" t="s">
        <v>394</v>
      </c>
      <c r="J65" s="1081"/>
      <c r="K65" s="1085">
        <f t="shared" si="8"/>
        <v>42</v>
      </c>
      <c r="L65" s="1068">
        <v>2.7518400000000001</v>
      </c>
      <c r="M65" s="1090">
        <f t="shared" si="9"/>
        <v>42</v>
      </c>
      <c r="N65" s="1069">
        <v>5.0399999999999999E-5</v>
      </c>
      <c r="O65" s="1069">
        <v>5.0399999999999999E-5</v>
      </c>
      <c r="P65" s="1069">
        <v>2.52E-4</v>
      </c>
      <c r="Q65" s="1069">
        <v>2.52E-4</v>
      </c>
      <c r="R65" s="1094">
        <f t="shared" si="10"/>
        <v>42</v>
      </c>
      <c r="S65" s="1070">
        <v>5.04E-6</v>
      </c>
      <c r="T65" s="1070">
        <v>5.04E-6</v>
      </c>
      <c r="U65" s="1070">
        <v>5.04E-6</v>
      </c>
      <c r="V65" s="1070">
        <v>5.04E-6</v>
      </c>
      <c r="W65" s="237"/>
      <c r="X65" s="1482" t="str">
        <f t="shared" si="7"/>
        <v>Gases de Lamas de Depuração</v>
      </c>
      <c r="Y65" s="1483"/>
      <c r="Z65" s="1483"/>
      <c r="AA65" s="1484"/>
      <c r="AB65" s="1469" t="s">
        <v>1812</v>
      </c>
      <c r="AC65" s="1469"/>
      <c r="AD65" s="1469"/>
      <c r="AE65" s="1469"/>
      <c r="AF65" s="1469"/>
      <c r="AG65" s="1469"/>
      <c r="AH65" s="1469"/>
      <c r="AI65" s="1469"/>
      <c r="AJ65" s="1469"/>
      <c r="AK65" s="1469"/>
      <c r="AL65" s="1469"/>
      <c r="AM65" s="1469"/>
      <c r="AN65" s="1469"/>
      <c r="AO65" s="1469"/>
      <c r="AP65" s="1469"/>
      <c r="AQ65" s="1469"/>
      <c r="AR65" s="1469"/>
      <c r="AS65" s="1469"/>
      <c r="AT65" s="1469"/>
      <c r="AU65" s="1469"/>
      <c r="AV65" s="1469"/>
      <c r="AW65" s="1469"/>
      <c r="AX65" s="1469"/>
      <c r="AY65" s="1469"/>
      <c r="AZ65" s="1469"/>
      <c r="BA65" s="1469"/>
      <c r="BB65" s="1469"/>
      <c r="BC65" s="1469"/>
      <c r="BD65" s="1469"/>
      <c r="BE65" s="1469"/>
      <c r="BF65" s="1469"/>
      <c r="BG65" s="1469"/>
      <c r="BH65" s="1469"/>
      <c r="BI65" s="1469"/>
      <c r="BJ65" s="1469"/>
      <c r="BK65" s="1469"/>
      <c r="BL65" s="1469"/>
      <c r="BM65" s="1469"/>
      <c r="BN65" s="1469"/>
      <c r="BO65" s="1469"/>
      <c r="BP65" s="1469"/>
      <c r="BQ65" s="1008"/>
      <c r="BR65" s="1055"/>
      <c r="BS65" s="1076" t="str">
        <f t="shared" si="6"/>
        <v>Outros Biogases</v>
      </c>
      <c r="BT65" s="1077"/>
      <c r="BU65" s="1077"/>
      <c r="BV65" s="1077"/>
      <c r="BW65" s="1055"/>
      <c r="BX65" s="1055"/>
      <c r="BY65" s="1055"/>
      <c r="BZ65" s="1055"/>
      <c r="CA65" s="1055"/>
      <c r="CB65" s="1055"/>
      <c r="CE65" s="1076" t="s">
        <v>1806</v>
      </c>
    </row>
    <row r="66" spans="1:86" s="1037" customFormat="1" ht="15" customHeight="1" outlineLevel="1" x14ac:dyDescent="0.25">
      <c r="A66" s="1053"/>
      <c r="B66" s="1054">
        <f t="shared" si="11"/>
        <v>43</v>
      </c>
      <c r="C66" s="1007" t="s">
        <v>1813</v>
      </c>
      <c r="D66" s="1036" t="s">
        <v>426</v>
      </c>
      <c r="E66" s="1007" t="s">
        <v>16</v>
      </c>
      <c r="F66" s="1038"/>
      <c r="G66" s="1058" t="s">
        <v>92</v>
      </c>
      <c r="H66" s="1059">
        <v>95300</v>
      </c>
      <c r="I66" s="235" t="s">
        <v>394</v>
      </c>
      <c r="J66" s="1081"/>
      <c r="K66" s="1085">
        <f t="shared" si="8"/>
        <v>43</v>
      </c>
      <c r="L66" s="1068">
        <v>1.1245399999999999</v>
      </c>
      <c r="M66" s="1090">
        <f t="shared" si="9"/>
        <v>43</v>
      </c>
      <c r="N66" s="1069">
        <v>3.5400000000000007E-5</v>
      </c>
      <c r="O66" s="1069">
        <v>3.5400000000000007E-5</v>
      </c>
      <c r="P66" s="1069">
        <v>3.5400000000000007E-5</v>
      </c>
      <c r="Q66" s="1069">
        <v>3.5400000000000007E-5</v>
      </c>
      <c r="R66" s="1094">
        <f t="shared" si="10"/>
        <v>43</v>
      </c>
      <c r="S66" s="1070">
        <v>2.3600000000000001E-5</v>
      </c>
      <c r="T66" s="1070">
        <v>2.3600000000000001E-5</v>
      </c>
      <c r="U66" s="1070">
        <v>2.3600000000000001E-5</v>
      </c>
      <c r="V66" s="1070">
        <v>2.3600000000000001E-5</v>
      </c>
      <c r="W66" s="237"/>
      <c r="X66" s="1482" t="str">
        <f t="shared" si="7"/>
        <v>Licor Negro</v>
      </c>
      <c r="Y66" s="1483"/>
      <c r="Z66" s="1483"/>
      <c r="AA66" s="1484"/>
      <c r="AB66" s="1469" t="s">
        <v>1814</v>
      </c>
      <c r="AC66" s="1469"/>
      <c r="AD66" s="1469"/>
      <c r="AE66" s="1469"/>
      <c r="AF66" s="1469"/>
      <c r="AG66" s="1469"/>
      <c r="AH66" s="1469"/>
      <c r="AI66" s="1469"/>
      <c r="AJ66" s="1469"/>
      <c r="AK66" s="1469"/>
      <c r="AL66" s="1469"/>
      <c r="AM66" s="1469"/>
      <c r="AN66" s="1469"/>
      <c r="AO66" s="1469"/>
      <c r="AP66" s="1469"/>
      <c r="AQ66" s="1469"/>
      <c r="AR66" s="1469"/>
      <c r="AS66" s="1469"/>
      <c r="AT66" s="1469"/>
      <c r="AU66" s="1469"/>
      <c r="AV66" s="1469"/>
      <c r="AW66" s="1469"/>
      <c r="AX66" s="1469"/>
      <c r="AY66" s="1469"/>
      <c r="AZ66" s="1469"/>
      <c r="BA66" s="1469"/>
      <c r="BB66" s="1469"/>
      <c r="BC66" s="1469"/>
      <c r="BD66" s="1469"/>
      <c r="BE66" s="1469"/>
      <c r="BF66" s="1469"/>
      <c r="BG66" s="1469"/>
      <c r="BH66" s="1469"/>
      <c r="BI66" s="1469"/>
      <c r="BJ66" s="1469"/>
      <c r="BK66" s="1469"/>
      <c r="BL66" s="1469"/>
      <c r="BM66" s="1469"/>
      <c r="BN66" s="1469"/>
      <c r="BO66" s="1469"/>
      <c r="BP66" s="1469"/>
      <c r="BQ66" s="1008"/>
      <c r="BR66" s="1055"/>
      <c r="BS66" s="1076" t="str">
        <f t="shared" si="6"/>
        <v>Resíduos Municipais (fração biodegradável)</v>
      </c>
      <c r="BT66" s="1077"/>
      <c r="BU66" s="1077"/>
      <c r="BV66" s="1077"/>
      <c r="BW66" s="1055"/>
      <c r="BX66" s="1055"/>
      <c r="BY66" s="1055"/>
      <c r="BZ66" s="1055"/>
      <c r="CA66" s="1055"/>
      <c r="CB66" s="1055"/>
      <c r="CE66" s="1076" t="s">
        <v>1804</v>
      </c>
    </row>
    <row r="67" spans="1:86" s="1037" customFormat="1" ht="15" customHeight="1" outlineLevel="1" x14ac:dyDescent="0.25">
      <c r="A67" s="1053"/>
      <c r="B67" s="1054">
        <f t="shared" si="11"/>
        <v>44</v>
      </c>
      <c r="C67" s="1007" t="s">
        <v>1815</v>
      </c>
      <c r="D67" s="1036" t="s">
        <v>425</v>
      </c>
      <c r="E67" s="1007" t="s">
        <v>16</v>
      </c>
      <c r="F67" s="1038">
        <f>(13.8+15.6)/2</f>
        <v>14.7</v>
      </c>
      <c r="G67" s="982" t="s">
        <v>1744</v>
      </c>
      <c r="H67" s="1059">
        <v>112000</v>
      </c>
      <c r="I67" s="235" t="s">
        <v>394</v>
      </c>
      <c r="J67" s="1081"/>
      <c r="K67" s="1085">
        <f t="shared" si="8"/>
        <v>44</v>
      </c>
      <c r="L67" s="1068">
        <v>1.7471999999999999</v>
      </c>
      <c r="M67" s="1090">
        <f t="shared" si="9"/>
        <v>44</v>
      </c>
      <c r="N67" s="1069">
        <v>4.6799999999999999E-4</v>
      </c>
      <c r="O67" s="1069">
        <v>4.6799999999999999E-4</v>
      </c>
      <c r="P67" s="1069">
        <v>4.6800000000000001E-3</v>
      </c>
      <c r="Q67" s="1069">
        <v>4.6800000000000001E-3</v>
      </c>
      <c r="R67" s="1094">
        <f t="shared" si="10"/>
        <v>44</v>
      </c>
      <c r="S67" s="1070">
        <v>6.2399999999999999E-5</v>
      </c>
      <c r="T67" s="1070">
        <v>6.2399999999999999E-5</v>
      </c>
      <c r="U67" s="1070">
        <v>6.2399999999999999E-5</v>
      </c>
      <c r="V67" s="1070">
        <v>6.2399999999999999E-5</v>
      </c>
      <c r="W67" s="237"/>
      <c r="X67" s="1482" t="str">
        <f t="shared" si="7"/>
        <v>Madeira / resíduos de Madeira</v>
      </c>
      <c r="Y67" s="1483"/>
      <c r="Z67" s="1483"/>
      <c r="AA67" s="1484"/>
      <c r="AB67" s="1485" t="s">
        <v>92</v>
      </c>
      <c r="AC67" s="1469"/>
      <c r="AD67" s="1469"/>
      <c r="AE67" s="1469"/>
      <c r="AF67" s="1469"/>
      <c r="AG67" s="1469"/>
      <c r="AH67" s="1469"/>
      <c r="AI67" s="1469"/>
      <c r="AJ67" s="1469"/>
      <c r="AK67" s="1469"/>
      <c r="AL67" s="1469"/>
      <c r="AM67" s="1469"/>
      <c r="AN67" s="1469"/>
      <c r="AO67" s="1469"/>
      <c r="AP67" s="1469"/>
      <c r="AQ67" s="1469"/>
      <c r="AR67" s="1469"/>
      <c r="AS67" s="1469"/>
      <c r="AT67" s="1469"/>
      <c r="AU67" s="1469"/>
      <c r="AV67" s="1469"/>
      <c r="AW67" s="1469"/>
      <c r="AX67" s="1469"/>
      <c r="AY67" s="1469"/>
      <c r="AZ67" s="1469"/>
      <c r="BA67" s="1469"/>
      <c r="BB67" s="1469"/>
      <c r="BC67" s="1469"/>
      <c r="BD67" s="1469"/>
      <c r="BE67" s="1469"/>
      <c r="BF67" s="1469"/>
      <c r="BG67" s="1469"/>
      <c r="BH67" s="1469"/>
      <c r="BI67" s="1469"/>
      <c r="BJ67" s="1469"/>
      <c r="BK67" s="1469"/>
      <c r="BL67" s="1469"/>
      <c r="BM67" s="1469"/>
      <c r="BN67" s="1469"/>
      <c r="BO67" s="1469"/>
      <c r="BP67" s="1469"/>
      <c r="BQ67" s="1008"/>
      <c r="BR67" s="1055"/>
      <c r="BS67" s="1076" t="str">
        <f t="shared" si="6"/>
        <v>Turfa</v>
      </c>
      <c r="BT67" s="1077"/>
      <c r="BU67" s="1077"/>
      <c r="BV67" s="1077"/>
      <c r="BW67" s="1055"/>
      <c r="BX67" s="1055"/>
      <c r="BY67" s="1055"/>
      <c r="BZ67" s="1055"/>
      <c r="CA67" s="1055"/>
      <c r="CB67" s="1055"/>
      <c r="CE67" s="1076" t="s">
        <v>82</v>
      </c>
    </row>
    <row r="68" spans="1:86" s="1037" customFormat="1" ht="15" customHeight="1" outlineLevel="1" x14ac:dyDescent="0.25">
      <c r="A68" s="1053"/>
      <c r="B68" s="1054">
        <f t="shared" si="11"/>
        <v>45</v>
      </c>
      <c r="C68" s="1007" t="s">
        <v>1809</v>
      </c>
      <c r="D68" s="1036" t="s">
        <v>421</v>
      </c>
      <c r="E68" s="1007" t="s">
        <v>16</v>
      </c>
      <c r="F68" s="1038">
        <f>11.6</f>
        <v>11.6</v>
      </c>
      <c r="G68" s="982" t="s">
        <v>1744</v>
      </c>
      <c r="H68" s="1059">
        <v>100000</v>
      </c>
      <c r="I68" s="235" t="s">
        <v>394</v>
      </c>
      <c r="J68" s="1081"/>
      <c r="K68" s="1085">
        <f t="shared" si="8"/>
        <v>45</v>
      </c>
      <c r="L68" s="1068">
        <v>1.1599999999999999</v>
      </c>
      <c r="M68" s="1090">
        <f t="shared" si="9"/>
        <v>45</v>
      </c>
      <c r="N68" s="1069">
        <v>3.48E-4</v>
      </c>
      <c r="O68" s="1069">
        <v>2.32E-4</v>
      </c>
      <c r="P68" s="1069">
        <v>3.48E-3</v>
      </c>
      <c r="Q68" s="1069">
        <v>3.48E-3</v>
      </c>
      <c r="R68" s="1094">
        <f t="shared" si="10"/>
        <v>45</v>
      </c>
      <c r="S68" s="1070">
        <v>4.6399999999999996E-5</v>
      </c>
      <c r="T68" s="1070">
        <v>4.6399999999999996E-5</v>
      </c>
      <c r="U68" s="1070">
        <v>4.6399999999999996E-5</v>
      </c>
      <c r="V68" s="1070">
        <v>4.6399999999999996E-5</v>
      </c>
      <c r="W68" s="237"/>
      <c r="X68" s="1482" t="str">
        <f t="shared" si="7"/>
        <v>Outra Biomassa Primária Sólida</v>
      </c>
      <c r="Y68" s="1483"/>
      <c r="Z68" s="1483"/>
      <c r="AA68" s="1484"/>
      <c r="AB68" s="1485" t="s">
        <v>92</v>
      </c>
      <c r="AC68" s="1469"/>
      <c r="AD68" s="1469"/>
      <c r="AE68" s="1469"/>
      <c r="AF68" s="1469"/>
      <c r="AG68" s="1469"/>
      <c r="AH68" s="1469"/>
      <c r="AI68" s="1469"/>
      <c r="AJ68" s="1469"/>
      <c r="AK68" s="1469"/>
      <c r="AL68" s="1469"/>
      <c r="AM68" s="1469"/>
      <c r="AN68" s="1469"/>
      <c r="AO68" s="1469"/>
      <c r="AP68" s="1469"/>
      <c r="AQ68" s="1469"/>
      <c r="AR68" s="1469"/>
      <c r="AS68" s="1469"/>
      <c r="AT68" s="1469"/>
      <c r="AU68" s="1469"/>
      <c r="AV68" s="1469"/>
      <c r="AW68" s="1469"/>
      <c r="AX68" s="1469"/>
      <c r="AY68" s="1469"/>
      <c r="AZ68" s="1469"/>
      <c r="BA68" s="1469"/>
      <c r="BB68" s="1469"/>
      <c r="BC68" s="1469"/>
      <c r="BD68" s="1469"/>
      <c r="BE68" s="1469"/>
      <c r="BF68" s="1469"/>
      <c r="BG68" s="1469"/>
      <c r="BH68" s="1469"/>
      <c r="BI68" s="1469"/>
      <c r="BJ68" s="1469"/>
      <c r="BK68" s="1469"/>
      <c r="BL68" s="1469"/>
      <c r="BM68" s="1469"/>
      <c r="BN68" s="1469"/>
      <c r="BO68" s="1469"/>
      <c r="BP68" s="1469"/>
      <c r="BQ68" s="1008"/>
      <c r="BR68" s="1055"/>
      <c r="BT68" s="1077"/>
      <c r="BU68" s="1077"/>
      <c r="BV68" s="1077"/>
      <c r="BW68" s="1055"/>
      <c r="BX68" s="1055"/>
      <c r="BY68" s="1055"/>
      <c r="BZ68" s="1055"/>
      <c r="CA68" s="1055"/>
      <c r="CB68" s="1055"/>
    </row>
    <row r="69" spans="1:86" s="1037" customFormat="1" ht="15" customHeight="1" outlineLevel="1" x14ac:dyDescent="0.25">
      <c r="A69" s="1056"/>
      <c r="B69" s="1054">
        <f t="shared" si="11"/>
        <v>46</v>
      </c>
      <c r="C69" s="1007" t="s">
        <v>1808</v>
      </c>
      <c r="D69" s="1036" t="s">
        <v>420</v>
      </c>
      <c r="E69" s="1007" t="s">
        <v>16</v>
      </c>
      <c r="F69" s="1038">
        <f>27.4</f>
        <v>27.4</v>
      </c>
      <c r="G69" s="982" t="s">
        <v>1744</v>
      </c>
      <c r="H69" s="1059">
        <v>79600</v>
      </c>
      <c r="I69" s="235" t="s">
        <v>394</v>
      </c>
      <c r="J69" s="1081"/>
      <c r="K69" s="1085">
        <f t="shared" si="8"/>
        <v>46</v>
      </c>
      <c r="L69" s="1068">
        <v>2.1810399999999999</v>
      </c>
      <c r="M69" s="1090">
        <f t="shared" si="9"/>
        <v>46</v>
      </c>
      <c r="N69" s="1069">
        <v>8.2199999999999979E-5</v>
      </c>
      <c r="O69" s="1069">
        <v>8.2199999999999979E-5</v>
      </c>
      <c r="P69" s="1069">
        <v>2.7399999999999999E-4</v>
      </c>
      <c r="Q69" s="1069">
        <v>2.7399999999999999E-4</v>
      </c>
      <c r="R69" s="1094">
        <f t="shared" si="10"/>
        <v>46</v>
      </c>
      <c r="S69" s="1070">
        <v>1.6439999999999998E-5</v>
      </c>
      <c r="T69" s="1070">
        <v>1.6439999999999998E-5</v>
      </c>
      <c r="U69" s="1070">
        <v>1.6439999999999998E-5</v>
      </c>
      <c r="V69" s="1070">
        <v>1.6439999999999998E-5</v>
      </c>
      <c r="W69" s="237"/>
      <c r="X69" s="1482" t="str">
        <f t="shared" si="7"/>
        <v>Outros Biocombustíveis Líquidos</v>
      </c>
      <c r="Y69" s="1483"/>
      <c r="Z69" s="1483"/>
      <c r="AA69" s="1484"/>
      <c r="AB69" s="1485" t="s">
        <v>92</v>
      </c>
      <c r="AC69" s="1469"/>
      <c r="AD69" s="1469"/>
      <c r="AE69" s="1469"/>
      <c r="AF69" s="1469"/>
      <c r="AG69" s="1469"/>
      <c r="AH69" s="1469"/>
      <c r="AI69" s="1469"/>
      <c r="AJ69" s="1469"/>
      <c r="AK69" s="1469"/>
      <c r="AL69" s="1469"/>
      <c r="AM69" s="1469"/>
      <c r="AN69" s="1469"/>
      <c r="AO69" s="1469"/>
      <c r="AP69" s="1469"/>
      <c r="AQ69" s="1469"/>
      <c r="AR69" s="1469"/>
      <c r="AS69" s="1469"/>
      <c r="AT69" s="1469"/>
      <c r="AU69" s="1469"/>
      <c r="AV69" s="1469"/>
      <c r="AW69" s="1469"/>
      <c r="AX69" s="1469"/>
      <c r="AY69" s="1469"/>
      <c r="AZ69" s="1469"/>
      <c r="BA69" s="1469"/>
      <c r="BB69" s="1469"/>
      <c r="BC69" s="1469"/>
      <c r="BD69" s="1469"/>
      <c r="BE69" s="1469"/>
      <c r="BF69" s="1469"/>
      <c r="BG69" s="1469"/>
      <c r="BH69" s="1469"/>
      <c r="BI69" s="1469"/>
      <c r="BJ69" s="1469"/>
      <c r="BK69" s="1469"/>
      <c r="BL69" s="1469"/>
      <c r="BM69" s="1469"/>
      <c r="BN69" s="1469"/>
      <c r="BO69" s="1469"/>
      <c r="BP69" s="1469"/>
      <c r="BQ69" s="1008"/>
      <c r="BR69" s="1055"/>
      <c r="BT69" s="1077"/>
      <c r="BU69" s="1077"/>
      <c r="BV69" s="1077"/>
      <c r="BW69" s="1055"/>
      <c r="BX69" s="1055"/>
      <c r="BY69" s="1055"/>
      <c r="BZ69" s="1055"/>
      <c r="CA69" s="1055"/>
      <c r="CB69" s="1055"/>
    </row>
    <row r="70" spans="1:86" s="1037" customFormat="1" ht="15" customHeight="1" outlineLevel="1" x14ac:dyDescent="0.25">
      <c r="A70" s="1053"/>
      <c r="B70" s="1054">
        <f t="shared" si="11"/>
        <v>47</v>
      </c>
      <c r="C70" s="1007" t="s">
        <v>1806</v>
      </c>
      <c r="D70" s="1036" t="s">
        <v>423</v>
      </c>
      <c r="E70" s="1007" t="s">
        <v>16</v>
      </c>
      <c r="F70" s="1038"/>
      <c r="G70" s="1058" t="s">
        <v>92</v>
      </c>
      <c r="H70" s="1059">
        <v>54600</v>
      </c>
      <c r="I70" s="235" t="s">
        <v>394</v>
      </c>
      <c r="J70" s="1081"/>
      <c r="K70" s="1085">
        <f t="shared" si="8"/>
        <v>47</v>
      </c>
      <c r="L70" s="1068">
        <v>2.7518400000000001</v>
      </c>
      <c r="M70" s="1090">
        <f t="shared" si="9"/>
        <v>47</v>
      </c>
      <c r="N70" s="1069">
        <v>5.0399999999999999E-5</v>
      </c>
      <c r="O70" s="1069">
        <v>5.0399999999999999E-5</v>
      </c>
      <c r="P70" s="1069">
        <v>2.52E-4</v>
      </c>
      <c r="Q70" s="1069">
        <v>2.52E-4</v>
      </c>
      <c r="R70" s="1094">
        <f t="shared" si="10"/>
        <v>47</v>
      </c>
      <c r="S70" s="1070">
        <v>5.04E-6</v>
      </c>
      <c r="T70" s="1070">
        <v>5.04E-6</v>
      </c>
      <c r="U70" s="1070">
        <v>5.04E-6</v>
      </c>
      <c r="V70" s="1070">
        <v>5.04E-6</v>
      </c>
      <c r="W70" s="237"/>
      <c r="X70" s="1482" t="str">
        <f t="shared" si="7"/>
        <v>Outros Biogases</v>
      </c>
      <c r="Y70" s="1483"/>
      <c r="Z70" s="1483"/>
      <c r="AA70" s="1484"/>
      <c r="AB70" s="1469" t="s">
        <v>1807</v>
      </c>
      <c r="AC70" s="1469"/>
      <c r="AD70" s="1469"/>
      <c r="AE70" s="1469"/>
      <c r="AF70" s="1469"/>
      <c r="AG70" s="1469"/>
      <c r="AH70" s="1469"/>
      <c r="AI70" s="1469"/>
      <c r="AJ70" s="1469"/>
      <c r="AK70" s="1469"/>
      <c r="AL70" s="1469"/>
      <c r="AM70" s="1469"/>
      <c r="AN70" s="1469"/>
      <c r="AO70" s="1469"/>
      <c r="AP70" s="1469"/>
      <c r="AQ70" s="1469"/>
      <c r="AR70" s="1469"/>
      <c r="AS70" s="1469"/>
      <c r="AT70" s="1469"/>
      <c r="AU70" s="1469"/>
      <c r="AV70" s="1469"/>
      <c r="AW70" s="1469"/>
      <c r="AX70" s="1469"/>
      <c r="AY70" s="1469"/>
      <c r="AZ70" s="1469"/>
      <c r="BA70" s="1469"/>
      <c r="BB70" s="1469"/>
      <c r="BC70" s="1469"/>
      <c r="BD70" s="1469"/>
      <c r="BE70" s="1469"/>
      <c r="BF70" s="1469"/>
      <c r="BG70" s="1469"/>
      <c r="BH70" s="1469"/>
      <c r="BI70" s="1469"/>
      <c r="BJ70" s="1469"/>
      <c r="BK70" s="1469"/>
      <c r="BL70" s="1469"/>
      <c r="BM70" s="1469"/>
      <c r="BN70" s="1469"/>
      <c r="BO70" s="1469"/>
      <c r="BP70" s="1469"/>
      <c r="BQ70" s="1008" t="s">
        <v>394</v>
      </c>
      <c r="BR70" s="1055"/>
      <c r="BT70" s="1077"/>
      <c r="BU70" s="1077"/>
      <c r="BV70" s="1077"/>
      <c r="BW70" s="1055"/>
      <c r="BX70" s="1055"/>
      <c r="BY70" s="1055"/>
      <c r="BZ70" s="1055"/>
      <c r="CA70" s="1055"/>
      <c r="CB70" s="1055"/>
    </row>
    <row r="71" spans="1:86" s="1037" customFormat="1" ht="15" customHeight="1" outlineLevel="1" x14ac:dyDescent="0.25">
      <c r="A71" s="1057"/>
      <c r="B71" s="1054">
        <f t="shared" si="11"/>
        <v>48</v>
      </c>
      <c r="C71" s="1007" t="s">
        <v>1804</v>
      </c>
      <c r="D71" s="1036" t="s">
        <v>427</v>
      </c>
      <c r="E71" s="1007" t="s">
        <v>16</v>
      </c>
      <c r="F71" s="1038"/>
      <c r="G71" s="1058" t="s">
        <v>92</v>
      </c>
      <c r="H71" s="1059">
        <v>100000</v>
      </c>
      <c r="I71" s="235" t="s">
        <v>394</v>
      </c>
      <c r="J71" s="1081"/>
      <c r="K71" s="1085">
        <f t="shared" si="8"/>
        <v>48</v>
      </c>
      <c r="L71" s="1068">
        <v>1.1599999999999999</v>
      </c>
      <c r="M71" s="1090">
        <f t="shared" si="9"/>
        <v>48</v>
      </c>
      <c r="N71" s="1069">
        <v>3.48E-4</v>
      </c>
      <c r="O71" s="1069">
        <v>3.48E-4</v>
      </c>
      <c r="P71" s="1069">
        <v>3.48E-3</v>
      </c>
      <c r="Q71" s="1069">
        <v>3.48E-3</v>
      </c>
      <c r="R71" s="1094">
        <f t="shared" si="10"/>
        <v>48</v>
      </c>
      <c r="S71" s="1070">
        <v>4.6399999999999996E-5</v>
      </c>
      <c r="T71" s="1070">
        <v>4.6399999999999996E-5</v>
      </c>
      <c r="U71" s="1070">
        <v>4.6399999999999996E-5</v>
      </c>
      <c r="V71" s="1070">
        <v>4.6399999999999996E-5</v>
      </c>
      <c r="W71" s="237"/>
      <c r="X71" s="1482" t="str">
        <f t="shared" si="7"/>
        <v>Resíduos Municipais (fração biodegradável)</v>
      </c>
      <c r="Y71" s="1483"/>
      <c r="Z71" s="1483"/>
      <c r="AA71" s="1484"/>
      <c r="AB71" s="1469" t="s">
        <v>1805</v>
      </c>
      <c r="AC71" s="1469"/>
      <c r="AD71" s="1469"/>
      <c r="AE71" s="1469"/>
      <c r="AF71" s="1469"/>
      <c r="AG71" s="1469"/>
      <c r="AH71" s="1469"/>
      <c r="AI71" s="1469"/>
      <c r="AJ71" s="1469"/>
      <c r="AK71" s="1469"/>
      <c r="AL71" s="1469"/>
      <c r="AM71" s="1469"/>
      <c r="AN71" s="1469"/>
      <c r="AO71" s="1469"/>
      <c r="AP71" s="1469"/>
      <c r="AQ71" s="1469"/>
      <c r="AR71" s="1469"/>
      <c r="AS71" s="1469"/>
      <c r="AT71" s="1469"/>
      <c r="AU71" s="1469"/>
      <c r="AV71" s="1469"/>
      <c r="AW71" s="1469"/>
      <c r="AX71" s="1469"/>
      <c r="AY71" s="1469"/>
      <c r="AZ71" s="1469"/>
      <c r="BA71" s="1469"/>
      <c r="BB71" s="1469"/>
      <c r="BC71" s="1469"/>
      <c r="BD71" s="1469"/>
      <c r="BE71" s="1469"/>
      <c r="BF71" s="1469"/>
      <c r="BG71" s="1469"/>
      <c r="BH71" s="1469"/>
      <c r="BI71" s="1469"/>
      <c r="BJ71" s="1469"/>
      <c r="BK71" s="1469"/>
      <c r="BL71" s="1469"/>
      <c r="BM71" s="1469"/>
      <c r="BN71" s="1469"/>
      <c r="BO71" s="1469"/>
      <c r="BP71" s="1469"/>
      <c r="BQ71" s="1008" t="s">
        <v>394</v>
      </c>
      <c r="BR71" s="1055"/>
      <c r="BT71" s="1077"/>
      <c r="BU71" s="1077"/>
      <c r="BV71" s="1077"/>
      <c r="BW71" s="1055"/>
      <c r="BX71" s="1055"/>
      <c r="BY71" s="1055"/>
      <c r="BZ71" s="1055"/>
      <c r="CA71" s="1055"/>
      <c r="CB71" s="1055"/>
    </row>
    <row r="72" spans="1:86" s="1037" customFormat="1" ht="15" customHeight="1" outlineLevel="1" x14ac:dyDescent="0.25">
      <c r="A72" s="1053"/>
      <c r="B72" s="1054">
        <f t="shared" si="11"/>
        <v>49</v>
      </c>
      <c r="C72" s="1007" t="s">
        <v>82</v>
      </c>
      <c r="D72" s="1036" t="s">
        <v>418</v>
      </c>
      <c r="E72" s="1007" t="s">
        <v>16</v>
      </c>
      <c r="F72" s="1038">
        <f>(7.8+13.8)/2</f>
        <v>10.8</v>
      </c>
      <c r="G72" s="982" t="s">
        <v>1744</v>
      </c>
      <c r="H72" s="1059">
        <v>106000</v>
      </c>
      <c r="I72" s="235" t="s">
        <v>394</v>
      </c>
      <c r="J72" s="1081"/>
      <c r="K72" s="1085">
        <f t="shared" si="8"/>
        <v>49</v>
      </c>
      <c r="L72" s="1068">
        <v>1.0345599999999999</v>
      </c>
      <c r="M72" s="1090">
        <f t="shared" si="9"/>
        <v>49</v>
      </c>
      <c r="N72" s="1069">
        <v>9.7599999999999997E-6</v>
      </c>
      <c r="O72" s="1069">
        <v>1.9519999999999999E-5</v>
      </c>
      <c r="P72" s="1069">
        <v>9.7599999999999987E-5</v>
      </c>
      <c r="Q72" s="1069">
        <v>2.928E-3</v>
      </c>
      <c r="R72" s="1094">
        <f t="shared" si="10"/>
        <v>49</v>
      </c>
      <c r="S72" s="1070">
        <v>1.464E-5</v>
      </c>
      <c r="T72" s="1070">
        <v>1.464E-5</v>
      </c>
      <c r="U72" s="1070">
        <v>1.3663999999999998E-5</v>
      </c>
      <c r="V72" s="1070">
        <v>1.3663999999999998E-5</v>
      </c>
      <c r="W72" s="237"/>
      <c r="X72" s="1463" t="str">
        <f t="shared" si="7"/>
        <v>Turfa</v>
      </c>
      <c r="Y72" s="1464"/>
      <c r="Z72" s="1464"/>
      <c r="AA72" s="1465"/>
      <c r="AB72" s="1466" t="s">
        <v>1831</v>
      </c>
      <c r="AC72" s="1467"/>
      <c r="AD72" s="1467"/>
      <c r="AE72" s="1467"/>
      <c r="AF72" s="1467"/>
      <c r="AG72" s="1467"/>
      <c r="AH72" s="1467"/>
      <c r="AI72" s="1467"/>
      <c r="AJ72" s="1467"/>
      <c r="AK72" s="1467"/>
      <c r="AL72" s="1467"/>
      <c r="AM72" s="1467"/>
      <c r="AN72" s="1467"/>
      <c r="AO72" s="1467"/>
      <c r="AP72" s="1467"/>
      <c r="AQ72" s="1467"/>
      <c r="AR72" s="1467"/>
      <c r="AS72" s="1467"/>
      <c r="AT72" s="1467"/>
      <c r="AU72" s="1467"/>
      <c r="AV72" s="1467"/>
      <c r="AW72" s="1467"/>
      <c r="AX72" s="1467"/>
      <c r="AY72" s="1467"/>
      <c r="AZ72" s="1467"/>
      <c r="BA72" s="1467"/>
      <c r="BB72" s="1467"/>
      <c r="BC72" s="1467"/>
      <c r="BD72" s="1467"/>
      <c r="BE72" s="1467"/>
      <c r="BF72" s="1467"/>
      <c r="BG72" s="1467"/>
      <c r="BH72" s="1467"/>
      <c r="BI72" s="1467"/>
      <c r="BJ72" s="1467"/>
      <c r="BK72" s="1467"/>
      <c r="BL72" s="1467"/>
      <c r="BM72" s="1467"/>
      <c r="BN72" s="1467"/>
      <c r="BO72" s="1467"/>
      <c r="BP72" s="1468"/>
      <c r="BQ72" s="1008"/>
      <c r="BR72" s="1055"/>
      <c r="BT72" s="1077"/>
      <c r="BU72" s="1077"/>
      <c r="BV72" s="1077"/>
      <c r="BW72" s="1055"/>
      <c r="BX72" s="1055"/>
      <c r="BY72" s="1055"/>
      <c r="BZ72" s="1055"/>
      <c r="CA72" s="1055"/>
      <c r="CB72" s="1055"/>
    </row>
    <row r="73" spans="1:86" x14ac:dyDescent="0.2"/>
    <row r="74" spans="1:86" ht="15" customHeight="1" x14ac:dyDescent="0.2">
      <c r="A74" s="9"/>
      <c r="B74" s="14"/>
      <c r="C74" s="14"/>
      <c r="D74" s="14"/>
      <c r="E74" s="14"/>
      <c r="F74" s="14"/>
      <c r="G74" s="14"/>
      <c r="H74" s="76"/>
      <c r="I74" s="14"/>
      <c r="J74" s="14"/>
      <c r="K74" s="14"/>
      <c r="L74" s="14"/>
      <c r="M74" s="14"/>
      <c r="N74" s="14"/>
      <c r="O74" s="14"/>
      <c r="P74" s="14"/>
      <c r="Q74" s="14"/>
      <c r="R74" s="14"/>
      <c r="S74" s="14"/>
      <c r="T74" s="14"/>
      <c r="U74" s="14"/>
      <c r="V74" s="14"/>
      <c r="W74" s="14"/>
      <c r="X74" s="14"/>
      <c r="Y74" s="14"/>
      <c r="Z74" s="14"/>
      <c r="AA74" s="14"/>
      <c r="AB74" s="14"/>
      <c r="AC74" s="14"/>
      <c r="AD74" s="14"/>
      <c r="AE74" s="33"/>
      <c r="AF74" s="14"/>
      <c r="AG74" s="14"/>
      <c r="AH74" s="14"/>
      <c r="AI74" s="14"/>
      <c r="AJ74" s="14"/>
      <c r="AK74" s="14"/>
      <c r="AL74" s="14"/>
      <c r="AM74" s="14"/>
      <c r="AN74" s="14"/>
      <c r="AO74" s="14"/>
      <c r="AP74" s="14"/>
      <c r="AQ74" s="14"/>
      <c r="AR74" s="14"/>
      <c r="AS74" s="14"/>
      <c r="AT74" s="14"/>
      <c r="AU74" s="14"/>
      <c r="AV74" s="14"/>
      <c r="AW74" s="14"/>
      <c r="AX74" s="14"/>
      <c r="AY74" s="14"/>
      <c r="AZ74" s="14"/>
      <c r="BA74" s="14"/>
      <c r="BB74" s="33"/>
      <c r="BC74" s="14"/>
      <c r="BD74" s="14"/>
      <c r="BE74" s="14"/>
      <c r="BF74" s="14"/>
      <c r="BG74" s="14"/>
      <c r="BH74" s="14"/>
      <c r="BI74" s="14"/>
      <c r="BJ74" s="14"/>
      <c r="BK74" s="14"/>
      <c r="BL74" s="14"/>
      <c r="BM74" s="14"/>
      <c r="BN74" s="14"/>
      <c r="BO74" s="14"/>
      <c r="BP74" s="14"/>
      <c r="BQ74" s="14"/>
      <c r="BR74" s="14"/>
      <c r="BS74" s="14"/>
      <c r="BT74" s="14"/>
      <c r="BU74" s="14"/>
      <c r="BV74" s="14"/>
      <c r="BW74" s="14"/>
      <c r="BX74" s="14"/>
      <c r="BY74" s="33"/>
      <c r="BZ74" s="14"/>
      <c r="CA74" s="14"/>
      <c r="CB74" s="33"/>
      <c r="CC74" s="33"/>
      <c r="CD74" s="14"/>
      <c r="CE74" s="14"/>
      <c r="CF74" s="14"/>
      <c r="CG74" s="14"/>
      <c r="CH74" s="14"/>
    </row>
    <row r="75" spans="1:86" ht="18.75" x14ac:dyDescent="0.2">
      <c r="A75" s="77"/>
      <c r="B75" s="222" t="s">
        <v>2268</v>
      </c>
      <c r="C75" s="78"/>
      <c r="D75" s="75"/>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117"/>
      <c r="BY75" s="117"/>
      <c r="BZ75" s="117"/>
      <c r="CA75" s="118"/>
      <c r="CB75"/>
      <c r="CC75"/>
      <c r="CD75"/>
      <c r="CE75"/>
      <c r="CF75"/>
      <c r="CG75"/>
      <c r="CH75"/>
    </row>
    <row r="76" spans="1:86" ht="15.75" customHeight="1" outlineLevel="1" x14ac:dyDescent="0.2">
      <c r="A76" s="55"/>
      <c r="B76" s="56"/>
      <c r="C76" s="57"/>
      <c r="D76" s="58"/>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c r="BH76" s="59"/>
      <c r="BI76" s="59"/>
      <c r="BJ76" s="59"/>
      <c r="BK76" s="59"/>
      <c r="BL76" s="59"/>
      <c r="BM76" s="59"/>
      <c r="BN76" s="59"/>
      <c r="BO76" s="59"/>
      <c r="BP76" s="59"/>
      <c r="BQ76" s="59"/>
      <c r="BR76" s="59"/>
      <c r="BS76" s="59"/>
      <c r="BT76" s="59"/>
      <c r="BU76" s="59"/>
      <c r="BV76" s="59"/>
      <c r="BW76" s="59"/>
      <c r="BX76" s="59"/>
      <c r="BY76" s="59"/>
      <c r="BZ76" s="59"/>
      <c r="CA76" s="59"/>
      <c r="CB76" s="59"/>
      <c r="CC76" s="59"/>
      <c r="CD76" s="59"/>
      <c r="CE76" s="59"/>
      <c r="CF76" s="59"/>
      <c r="CG76" s="59"/>
      <c r="CH76" s="59"/>
    </row>
    <row r="77" spans="1:86" ht="15.75" customHeight="1" outlineLevel="1" x14ac:dyDescent="0.3">
      <c r="A77" s="71"/>
      <c r="B77" s="250" t="s">
        <v>196</v>
      </c>
      <c r="C77" s="251" t="s">
        <v>258</v>
      </c>
      <c r="D77" s="72"/>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c r="BM77" s="73"/>
      <c r="BN77" s="73"/>
      <c r="BO77" s="73"/>
      <c r="BP77" s="73"/>
      <c r="BQ77" s="73"/>
      <c r="BR77" s="73"/>
      <c r="BS77" s="73"/>
      <c r="BT77" s="73"/>
      <c r="BU77" s="73"/>
      <c r="BV77" s="73"/>
      <c r="BW77" s="73"/>
      <c r="BX77" s="73"/>
      <c r="BY77" s="73"/>
      <c r="BZ77" s="73"/>
      <c r="CA77" s="73"/>
      <c r="CB77" s="73"/>
      <c r="CC77" s="73"/>
      <c r="CD77" s="73"/>
      <c r="CE77" s="73"/>
      <c r="CF77" s="73"/>
      <c r="CG77" s="73"/>
      <c r="CH77" s="73"/>
    </row>
    <row r="78" spans="1:86" ht="15.75" customHeight="1" outlineLevel="1" x14ac:dyDescent="0.2">
      <c r="A78" s="68"/>
      <c r="B78" s="69"/>
      <c r="C78" s="53"/>
      <c r="D78" s="40"/>
      <c r="E78" s="40"/>
      <c r="F78" s="40"/>
      <c r="G78" s="40"/>
      <c r="H78" s="127"/>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70"/>
      <c r="CB78" s="70"/>
      <c r="CC78" s="70"/>
      <c r="CD78" s="70"/>
      <c r="CE78" s="70"/>
      <c r="CF78" s="70"/>
      <c r="CG78" s="70"/>
      <c r="CH78" s="70"/>
    </row>
    <row r="79" spans="1:86" ht="15.75" customHeight="1" outlineLevel="1" x14ac:dyDescent="0.25">
      <c r="A79" s="12"/>
      <c r="B79" s="48"/>
      <c r="C79" s="217" t="s">
        <v>200</v>
      </c>
      <c r="D79" s="217"/>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253"/>
      <c r="BU79" s="254"/>
      <c r="BV79" s="254"/>
      <c r="BW79" s="17"/>
      <c r="BX79" s="17"/>
      <c r="BY79" s="35"/>
      <c r="BZ79" s="17"/>
      <c r="CA79" s="17"/>
      <c r="CB79" s="35"/>
      <c r="CC79" s="35"/>
      <c r="CD79" s="17"/>
      <c r="CE79" s="17"/>
      <c r="CF79" s="17"/>
      <c r="CG79" s="17"/>
      <c r="CH79" s="17"/>
    </row>
    <row r="80" spans="1:86" ht="33" customHeight="1" outlineLevel="1" x14ac:dyDescent="0.25">
      <c r="A80" s="12"/>
      <c r="B80" s="48"/>
      <c r="C80" s="1537" t="s">
        <v>95</v>
      </c>
      <c r="D80" s="1497" t="s">
        <v>143</v>
      </c>
      <c r="E80" s="230" t="s">
        <v>7</v>
      </c>
      <c r="F80" s="229" t="s">
        <v>6</v>
      </c>
      <c r="G80" s="1497" t="s">
        <v>75</v>
      </c>
      <c r="H80" s="1497" t="s">
        <v>582</v>
      </c>
      <c r="I80" s="1497"/>
      <c r="J80" s="1497"/>
      <c r="K80" s="237"/>
      <c r="L80" s="237"/>
      <c r="M80" s="255"/>
      <c r="N80" s="256"/>
      <c r="O80" s="256"/>
      <c r="P80" s="256"/>
      <c r="Q80" s="256"/>
      <c r="R80" s="256"/>
      <c r="S80" s="257"/>
      <c r="T80" s="257"/>
      <c r="U80" s="257"/>
      <c r="V80" s="257"/>
      <c r="W80" s="240"/>
      <c r="X80" s="218"/>
      <c r="Y80" s="254"/>
      <c r="Z80" s="254"/>
      <c r="AA80" s="254"/>
      <c r="AB80" s="254"/>
      <c r="AC80" s="254"/>
      <c r="AD80" s="254"/>
      <c r="AE80" s="254"/>
      <c r="AF80" s="254"/>
      <c r="AG80" s="254"/>
      <c r="AH80" s="254"/>
      <c r="AI80" s="254"/>
      <c r="AJ80" s="254"/>
      <c r="AK80" s="254"/>
      <c r="AL80" s="254"/>
      <c r="AM80" s="254"/>
      <c r="AN80" s="254"/>
      <c r="AO80" s="254"/>
      <c r="AP80" s="254"/>
      <c r="AQ80" s="254"/>
      <c r="AR80" s="254"/>
      <c r="AS80" s="254"/>
      <c r="AT80" s="254"/>
      <c r="AU80" s="254"/>
      <c r="AV80" s="254"/>
      <c r="AW80" s="254"/>
      <c r="AX80" s="254"/>
      <c r="AY80" s="254"/>
      <c r="AZ80" s="254"/>
      <c r="BA80" s="254"/>
      <c r="BB80" s="254"/>
      <c r="BC80" s="254"/>
      <c r="BD80" s="254"/>
      <c r="BE80" s="254"/>
      <c r="BF80" s="254"/>
      <c r="BG80" s="254"/>
      <c r="BH80" s="254"/>
      <c r="BI80" s="254"/>
      <c r="BJ80" s="254"/>
      <c r="BK80" s="254"/>
      <c r="BL80" s="254"/>
      <c r="BM80" s="254"/>
      <c r="BN80" s="254"/>
      <c r="BO80" s="254"/>
      <c r="BP80" s="254"/>
      <c r="BQ80" s="254"/>
      <c r="BR80" s="254"/>
      <c r="BS80" s="258"/>
      <c r="BT80" s="254"/>
      <c r="BU80" s="254"/>
      <c r="BV80" s="254"/>
      <c r="BW80" s="17"/>
      <c r="BX80" s="17"/>
      <c r="BY80" s="35"/>
      <c r="BZ80" s="17"/>
      <c r="CA80" s="17"/>
      <c r="CB80" s="35"/>
      <c r="CC80" s="35"/>
      <c r="CD80" s="17"/>
      <c r="CE80" s="17"/>
      <c r="CF80" s="17"/>
      <c r="CG80" s="17"/>
      <c r="CH80" s="17"/>
    </row>
    <row r="81" spans="1:86" ht="17.25" customHeight="1" outlineLevel="1" x14ac:dyDescent="0.25">
      <c r="A81" s="12"/>
      <c r="B81" s="48"/>
      <c r="C81" s="1537"/>
      <c r="D81" s="1497"/>
      <c r="E81" s="229" t="s">
        <v>1855</v>
      </c>
      <c r="F81" s="230" t="s">
        <v>9</v>
      </c>
      <c r="G81" s="1497"/>
      <c r="H81" s="259" t="s">
        <v>1394</v>
      </c>
      <c r="I81" s="260" t="s">
        <v>1395</v>
      </c>
      <c r="J81" s="261" t="s">
        <v>1396</v>
      </c>
      <c r="K81" s="237"/>
      <c r="L81" s="237"/>
      <c r="M81" s="255"/>
      <c r="N81" s="256"/>
      <c r="O81" s="256"/>
      <c r="P81" s="256"/>
      <c r="Q81" s="256"/>
      <c r="R81" s="256"/>
      <c r="S81" s="257"/>
      <c r="T81" s="257"/>
      <c r="U81" s="257"/>
      <c r="V81" s="257"/>
      <c r="W81" s="240"/>
      <c r="X81" s="218"/>
      <c r="Y81" s="254"/>
      <c r="Z81" s="254"/>
      <c r="AA81" s="254"/>
      <c r="AB81" s="254"/>
      <c r="AC81" s="254"/>
      <c r="AD81" s="254"/>
      <c r="AE81" s="254"/>
      <c r="AF81" s="254"/>
      <c r="AG81" s="254"/>
      <c r="AH81" s="254"/>
      <c r="AI81" s="254"/>
      <c r="AJ81" s="254"/>
      <c r="AK81" s="254"/>
      <c r="AL81" s="254"/>
      <c r="AM81" s="254"/>
      <c r="AN81" s="254"/>
      <c r="AO81" s="254"/>
      <c r="AP81" s="254"/>
      <c r="AQ81" s="254"/>
      <c r="AR81" s="254"/>
      <c r="AS81" s="254"/>
      <c r="AT81" s="254"/>
      <c r="AU81" s="254"/>
      <c r="AV81" s="254"/>
      <c r="AW81" s="254"/>
      <c r="AX81" s="254"/>
      <c r="AY81" s="254"/>
      <c r="AZ81" s="254"/>
      <c r="BA81" s="254"/>
      <c r="BB81" s="254"/>
      <c r="BC81" s="254"/>
      <c r="BD81" s="254"/>
      <c r="BE81" s="254"/>
      <c r="BF81" s="254"/>
      <c r="BG81" s="254"/>
      <c r="BH81" s="254"/>
      <c r="BI81" s="254"/>
      <c r="BJ81" s="254"/>
      <c r="BK81" s="254"/>
      <c r="BL81" s="254"/>
      <c r="BM81" s="254"/>
      <c r="BN81" s="254"/>
      <c r="BO81" s="254"/>
      <c r="BP81" s="254"/>
      <c r="BQ81" s="254"/>
      <c r="BR81" s="254"/>
      <c r="BS81" s="254"/>
      <c r="BT81" s="254"/>
      <c r="BU81" s="254"/>
      <c r="BV81" s="254"/>
      <c r="BW81" s="17"/>
      <c r="BX81" s="17"/>
      <c r="BY81" s="35"/>
      <c r="BZ81" s="17"/>
      <c r="CA81" s="17"/>
      <c r="CB81" s="35"/>
      <c r="CC81" s="35"/>
      <c r="CD81" s="17"/>
      <c r="CE81" s="17"/>
      <c r="CF81" s="17"/>
      <c r="CG81" s="17"/>
      <c r="CH81" s="17"/>
    </row>
    <row r="82" spans="1:86" s="25" customFormat="1" ht="15.75" outlineLevel="1" x14ac:dyDescent="0.25">
      <c r="A82" s="36"/>
      <c r="B82" s="52"/>
      <c r="C82" s="224" t="s">
        <v>1728</v>
      </c>
      <c r="D82" s="224" t="s">
        <v>11</v>
      </c>
      <c r="E82" s="225">
        <f>F25</f>
        <v>44.5</v>
      </c>
      <c r="F82" s="287"/>
      <c r="G82" s="226" t="s">
        <v>1529</v>
      </c>
      <c r="H82" s="1100">
        <f>0.00227154546717667*1000</f>
        <v>2.2715454671766699</v>
      </c>
      <c r="I82" s="263">
        <f>25*F82*E82*4186.8/10^12</f>
        <v>0</v>
      </c>
      <c r="J82" s="264">
        <f>8*F82*E82*4186.8/10^12</f>
        <v>0</v>
      </c>
      <c r="K82" s="237"/>
      <c r="L82" s="237"/>
      <c r="M82" s="1101"/>
      <c r="N82" s="1102"/>
      <c r="O82" s="240"/>
      <c r="P82" s="240"/>
      <c r="Q82" s="240"/>
      <c r="R82" s="240"/>
      <c r="S82" s="257"/>
      <c r="T82" s="257"/>
      <c r="U82" s="257"/>
      <c r="V82" s="257"/>
      <c r="W82" s="240"/>
      <c r="X82" s="218"/>
      <c r="Y82" s="254"/>
      <c r="Z82" s="254"/>
      <c r="AA82" s="254"/>
      <c r="AB82" s="254"/>
      <c r="AC82" s="254"/>
      <c r="AD82" s="254"/>
      <c r="AE82" s="254"/>
      <c r="AF82" s="254"/>
      <c r="AG82" s="254"/>
      <c r="AH82" s="254"/>
      <c r="AI82" s="254"/>
      <c r="AJ82" s="254"/>
      <c r="AK82" s="254"/>
      <c r="AL82" s="254"/>
      <c r="AM82" s="254"/>
      <c r="AN82" s="254"/>
      <c r="AO82" s="254"/>
      <c r="AP82" s="254"/>
      <c r="AQ82" s="254"/>
      <c r="AR82" s="254"/>
      <c r="AS82" s="254"/>
      <c r="AT82" s="254"/>
      <c r="AU82" s="254"/>
      <c r="AV82" s="254"/>
      <c r="AW82" s="254"/>
      <c r="AX82" s="254"/>
      <c r="AY82" s="254"/>
      <c r="AZ82" s="254"/>
      <c r="BA82" s="254"/>
      <c r="BB82" s="254"/>
      <c r="BC82" s="254"/>
      <c r="BD82" s="254"/>
      <c r="BE82" s="254"/>
      <c r="BF82" s="254"/>
      <c r="BG82" s="254"/>
      <c r="BH82" s="254"/>
      <c r="BI82" s="254"/>
      <c r="BJ82" s="254"/>
      <c r="BK82" s="254"/>
      <c r="BL82" s="254"/>
      <c r="BM82" s="254"/>
      <c r="BN82" s="254"/>
      <c r="BO82" s="254"/>
      <c r="BP82" s="254"/>
      <c r="BQ82" s="254"/>
      <c r="BR82" s="254"/>
      <c r="BS82" s="254"/>
      <c r="BT82" s="254"/>
      <c r="BU82" s="254"/>
      <c r="BV82" s="254"/>
      <c r="BW82" s="35"/>
      <c r="BX82" s="35"/>
      <c r="BY82" s="35"/>
      <c r="BZ82" s="35"/>
      <c r="CA82" s="35"/>
      <c r="CB82" s="35"/>
      <c r="CC82" s="35"/>
      <c r="CD82" s="35"/>
      <c r="CE82" s="35"/>
      <c r="CF82" s="35"/>
      <c r="CG82" s="35"/>
      <c r="CH82" s="35"/>
    </row>
    <row r="83" spans="1:86" s="25" customFormat="1" ht="15.75" outlineLevel="1" x14ac:dyDescent="0.25">
      <c r="A83" s="36"/>
      <c r="B83" s="52"/>
      <c r="C83" s="224" t="s">
        <v>1729</v>
      </c>
      <c r="D83" s="224" t="s">
        <v>11</v>
      </c>
      <c r="E83" s="225"/>
      <c r="F83" s="287"/>
      <c r="G83" s="226" t="s">
        <v>1534</v>
      </c>
      <c r="H83" s="1100">
        <f>0.00230179977380952*1000</f>
        <v>2.3017997738095199</v>
      </c>
      <c r="I83" s="263">
        <f>0.00033285678552</f>
        <v>3.3285678551999998E-4</v>
      </c>
      <c r="J83" s="264">
        <f>0.00005811785144</f>
        <v>5.811785144E-5</v>
      </c>
      <c r="K83" s="237"/>
      <c r="L83" s="237"/>
      <c r="M83" s="1101"/>
      <c r="N83" s="1102"/>
      <c r="O83" s="240"/>
      <c r="P83" s="240"/>
      <c r="Q83" s="240"/>
      <c r="R83" s="240"/>
      <c r="S83" s="257"/>
      <c r="T83" s="257"/>
      <c r="U83" s="257"/>
      <c r="V83" s="257"/>
      <c r="W83" s="240"/>
      <c r="X83" s="218"/>
      <c r="Y83" s="254"/>
      <c r="Z83" s="254"/>
      <c r="AA83" s="254"/>
      <c r="AB83" s="254"/>
      <c r="AC83" s="254"/>
      <c r="AD83" s="254"/>
      <c r="AE83" s="254"/>
      <c r="AF83" s="254"/>
      <c r="AG83" s="254"/>
      <c r="AH83" s="254"/>
      <c r="AI83" s="254"/>
      <c r="AJ83" s="254"/>
      <c r="AK83" s="254"/>
      <c r="AL83" s="254"/>
      <c r="AM83" s="254"/>
      <c r="AN83" s="254"/>
      <c r="AO83" s="254"/>
      <c r="AP83" s="254"/>
      <c r="AQ83" s="254"/>
      <c r="AR83" s="254"/>
      <c r="AS83" s="254"/>
      <c r="AT83" s="254"/>
      <c r="AU83" s="254"/>
      <c r="AV83" s="254"/>
      <c r="AW83" s="254"/>
      <c r="AX83" s="254"/>
      <c r="AY83" s="254"/>
      <c r="AZ83" s="254"/>
      <c r="BA83" s="254"/>
      <c r="BB83" s="254"/>
      <c r="BC83" s="254"/>
      <c r="BD83" s="254"/>
      <c r="BE83" s="254"/>
      <c r="BF83" s="254"/>
      <c r="BG83" s="254"/>
      <c r="BH83" s="254"/>
      <c r="BI83" s="254"/>
      <c r="BJ83" s="254"/>
      <c r="BK83" s="254"/>
      <c r="BL83" s="254"/>
      <c r="BM83" s="254"/>
      <c r="BN83" s="254"/>
      <c r="BO83" s="254"/>
      <c r="BP83" s="254"/>
      <c r="BQ83" s="254"/>
      <c r="BR83" s="254"/>
      <c r="BS83" s="254"/>
      <c r="BT83" s="254"/>
      <c r="BU83" s="254"/>
      <c r="BV83" s="254"/>
      <c r="BW83" s="35"/>
      <c r="BX83" s="35"/>
      <c r="BY83" s="35"/>
      <c r="BZ83" s="35"/>
      <c r="CA83" s="35"/>
      <c r="CB83" s="35"/>
      <c r="CC83" s="35"/>
      <c r="CD83" s="35"/>
      <c r="CE83" s="35"/>
      <c r="CF83" s="35"/>
      <c r="CG83" s="35"/>
      <c r="CH83" s="35"/>
    </row>
    <row r="84" spans="1:86" s="25" customFormat="1" ht="15.75" outlineLevel="1" x14ac:dyDescent="0.25">
      <c r="A84" s="36"/>
      <c r="B84" s="52"/>
      <c r="C84" s="224" t="s">
        <v>1730</v>
      </c>
      <c r="D84" s="224" t="s">
        <v>11</v>
      </c>
      <c r="E84" s="225"/>
      <c r="F84" s="287"/>
      <c r="G84" s="226" t="s">
        <v>1534</v>
      </c>
      <c r="H84" s="1100">
        <f>0.00230179977380952*1000</f>
        <v>2.3017997738095199</v>
      </c>
      <c r="I84" s="263">
        <f>0.000132086026</f>
        <v>1.3208602600000001E-4</v>
      </c>
      <c r="J84" s="264">
        <f>0.00005811785144</f>
        <v>5.811785144E-5</v>
      </c>
      <c r="K84" s="237"/>
      <c r="L84" s="237"/>
      <c r="M84" s="1101"/>
      <c r="N84" s="1102"/>
      <c r="O84" s="240"/>
      <c r="P84" s="240"/>
      <c r="Q84" s="240"/>
      <c r="R84" s="240"/>
      <c r="S84" s="257"/>
      <c r="T84" s="257"/>
      <c r="U84" s="257"/>
      <c r="V84" s="257"/>
      <c r="W84" s="240"/>
      <c r="X84" s="218"/>
      <c r="Y84" s="254"/>
      <c r="Z84" s="254"/>
      <c r="AA84" s="254"/>
      <c r="AB84" s="254"/>
      <c r="AC84" s="254"/>
      <c r="AD84" s="254"/>
      <c r="AE84" s="254"/>
      <c r="AF84" s="254"/>
      <c r="AG84" s="254"/>
      <c r="AH84" s="254"/>
      <c r="AI84" s="254"/>
      <c r="AJ84" s="254"/>
      <c r="AK84" s="254"/>
      <c r="AL84" s="254"/>
      <c r="AM84" s="254"/>
      <c r="AN84" s="254"/>
      <c r="AO84" s="254"/>
      <c r="AP84" s="254"/>
      <c r="AQ84" s="254"/>
      <c r="AR84" s="254"/>
      <c r="AS84" s="254"/>
      <c r="AT84" s="254"/>
      <c r="AU84" s="254"/>
      <c r="AV84" s="254"/>
      <c r="AW84" s="254"/>
      <c r="AX84" s="254"/>
      <c r="AY84" s="254"/>
      <c r="AZ84" s="254"/>
      <c r="BA84" s="254"/>
      <c r="BB84" s="254"/>
      <c r="BC84" s="254"/>
      <c r="BD84" s="254"/>
      <c r="BE84" s="254"/>
      <c r="BF84" s="254"/>
      <c r="BG84" s="254"/>
      <c r="BH84" s="254"/>
      <c r="BI84" s="254"/>
      <c r="BJ84" s="254"/>
      <c r="BK84" s="254"/>
      <c r="BL84" s="254"/>
      <c r="BM84" s="254"/>
      <c r="BN84" s="254"/>
      <c r="BO84" s="254"/>
      <c r="BP84" s="254"/>
      <c r="BQ84" s="254"/>
      <c r="BR84" s="254"/>
      <c r="BS84" s="254"/>
      <c r="BT84" s="254"/>
      <c r="BU84" s="254"/>
      <c r="BV84" s="254"/>
      <c r="BW84" s="35"/>
      <c r="BX84" s="35"/>
      <c r="BY84" s="35"/>
      <c r="BZ84" s="35"/>
      <c r="CA84" s="35"/>
      <c r="CB84" s="35"/>
      <c r="CC84" s="35"/>
      <c r="CD84" s="35"/>
      <c r="CE84" s="35"/>
      <c r="CF84" s="35"/>
      <c r="CG84" s="35"/>
      <c r="CH84" s="35"/>
    </row>
    <row r="85" spans="1:86" s="25" customFormat="1" ht="15.75" outlineLevel="1" x14ac:dyDescent="0.25">
      <c r="A85" s="36"/>
      <c r="B85" s="52"/>
      <c r="C85" s="224" t="s">
        <v>1732</v>
      </c>
      <c r="D85" s="224" t="s">
        <v>11</v>
      </c>
      <c r="E85" s="225"/>
      <c r="F85" s="287"/>
      <c r="G85" s="226" t="s">
        <v>1534</v>
      </c>
      <c r="H85" s="1100">
        <v>2.64130048643732</v>
      </c>
      <c r="I85" s="263">
        <v>2.1133764159999996E-4</v>
      </c>
      <c r="J85" s="264">
        <v>6.8684733519999998E-5</v>
      </c>
      <c r="K85" s="237"/>
      <c r="L85" s="237"/>
      <c r="M85" s="1101"/>
      <c r="N85" s="1102"/>
      <c r="O85" s="240"/>
      <c r="P85" s="240"/>
      <c r="Q85" s="240"/>
      <c r="R85" s="240"/>
      <c r="S85" s="257"/>
      <c r="T85" s="257"/>
      <c r="U85" s="257"/>
      <c r="V85" s="257"/>
      <c r="W85" s="240"/>
      <c r="X85" s="218"/>
      <c r="Y85" s="254"/>
      <c r="Z85" s="254"/>
      <c r="AA85" s="254"/>
      <c r="AB85" s="254"/>
      <c r="AC85" s="254"/>
      <c r="AD85" s="254"/>
      <c r="AE85" s="254"/>
      <c r="AF85" s="254"/>
      <c r="AG85" s="254"/>
      <c r="AH85" s="254"/>
      <c r="AI85" s="254"/>
      <c r="AJ85" s="254"/>
      <c r="AK85" s="254"/>
      <c r="AL85" s="254"/>
      <c r="AM85" s="254"/>
      <c r="AN85" s="254"/>
      <c r="AO85" s="254"/>
      <c r="AP85" s="254"/>
      <c r="AQ85" s="254"/>
      <c r="AR85" s="254"/>
      <c r="AS85" s="254"/>
      <c r="AT85" s="254"/>
      <c r="AU85" s="254"/>
      <c r="AV85" s="254"/>
      <c r="AW85" s="254"/>
      <c r="AX85" s="254"/>
      <c r="AY85" s="254"/>
      <c r="AZ85" s="254"/>
      <c r="BA85" s="254"/>
      <c r="BB85" s="254"/>
      <c r="BC85" s="254"/>
      <c r="BD85" s="254"/>
      <c r="BE85" s="254"/>
      <c r="BF85" s="254"/>
      <c r="BG85" s="254"/>
      <c r="BH85" s="254"/>
      <c r="BI85" s="254"/>
      <c r="BJ85" s="254"/>
      <c r="BK85" s="254"/>
      <c r="BL85" s="254"/>
      <c r="BM85" s="254"/>
      <c r="BN85" s="254"/>
      <c r="BO85" s="254"/>
      <c r="BP85" s="254"/>
      <c r="BQ85" s="254"/>
      <c r="BR85" s="254"/>
      <c r="BS85" s="254"/>
      <c r="BT85" s="254"/>
      <c r="BU85" s="254"/>
      <c r="BV85" s="254"/>
      <c r="BW85" s="35"/>
      <c r="BX85" s="35"/>
      <c r="BY85" s="35"/>
      <c r="BZ85" s="35"/>
      <c r="CA85" s="35"/>
      <c r="CB85" s="35"/>
      <c r="CC85" s="35"/>
      <c r="CD85" s="35"/>
      <c r="CE85" s="35"/>
      <c r="CF85" s="35"/>
      <c r="CG85" s="35"/>
      <c r="CH85" s="35"/>
    </row>
    <row r="86" spans="1:86" s="25" customFormat="1" ht="15.75" outlineLevel="1" x14ac:dyDescent="0.25">
      <c r="A86" s="36"/>
      <c r="B86" s="52"/>
      <c r="C86" s="224" t="s">
        <v>1731</v>
      </c>
      <c r="D86" s="224" t="s">
        <v>11</v>
      </c>
      <c r="E86" s="225"/>
      <c r="F86" s="287"/>
      <c r="G86" s="226" t="s">
        <v>1534</v>
      </c>
      <c r="H86" s="1100">
        <f>0.00230179977380952*1000</f>
        <v>2.3017997738095199</v>
      </c>
      <c r="I86" s="263">
        <v>1.6907011328E-4</v>
      </c>
      <c r="J86" s="264">
        <v>5.8117851439999993E-5</v>
      </c>
      <c r="K86" s="237"/>
      <c r="L86" s="237"/>
      <c r="M86" s="1101"/>
      <c r="N86" s="1102"/>
      <c r="O86" s="240"/>
      <c r="P86" s="240"/>
      <c r="Q86" s="240"/>
      <c r="R86" s="240"/>
      <c r="S86" s="257"/>
      <c r="T86" s="257"/>
      <c r="U86" s="257"/>
      <c r="V86" s="257"/>
      <c r="W86" s="240"/>
      <c r="X86" s="218"/>
      <c r="Y86" s="254"/>
      <c r="Z86" s="254"/>
      <c r="AA86" s="254"/>
      <c r="AB86" s="254"/>
      <c r="AC86" s="254"/>
      <c r="AD86" s="254"/>
      <c r="AE86" s="254"/>
      <c r="AF86" s="254"/>
      <c r="AG86" s="254"/>
      <c r="AH86" s="254"/>
      <c r="AI86" s="254"/>
      <c r="AJ86" s="254"/>
      <c r="AK86" s="254"/>
      <c r="AL86" s="254"/>
      <c r="AM86" s="254"/>
      <c r="AN86" s="254"/>
      <c r="AO86" s="254"/>
      <c r="AP86" s="254"/>
      <c r="AQ86" s="254"/>
      <c r="AR86" s="254"/>
      <c r="AS86" s="254"/>
      <c r="AT86" s="254"/>
      <c r="AU86" s="254"/>
      <c r="AV86" s="254"/>
      <c r="AW86" s="254"/>
      <c r="AX86" s="254"/>
      <c r="AY86" s="254"/>
      <c r="AZ86" s="254"/>
      <c r="BA86" s="254"/>
      <c r="BB86" s="254"/>
      <c r="BC86" s="254"/>
      <c r="BD86" s="254"/>
      <c r="BE86" s="254"/>
      <c r="BF86" s="254"/>
      <c r="BG86" s="254"/>
      <c r="BH86" s="254"/>
      <c r="BI86" s="254"/>
      <c r="BJ86" s="254"/>
      <c r="BK86" s="254"/>
      <c r="BL86" s="254"/>
      <c r="BM86" s="254"/>
      <c r="BN86" s="254"/>
      <c r="BO86" s="254"/>
      <c r="BP86" s="254"/>
      <c r="BQ86" s="254"/>
      <c r="BR86" s="254"/>
      <c r="BS86" s="254"/>
      <c r="BT86" s="254"/>
      <c r="BU86" s="254"/>
      <c r="BV86" s="254"/>
      <c r="BW86" s="35"/>
      <c r="BX86" s="35"/>
      <c r="BY86" s="35"/>
      <c r="BZ86" s="35"/>
      <c r="CA86" s="35"/>
      <c r="CB86" s="35"/>
      <c r="CC86" s="35"/>
      <c r="CD86" s="35"/>
      <c r="CE86" s="35"/>
      <c r="CF86" s="35"/>
      <c r="CG86" s="35"/>
      <c r="CH86" s="35"/>
    </row>
    <row r="87" spans="1:86" s="25" customFormat="1" ht="15.75" outlineLevel="1" x14ac:dyDescent="0.25">
      <c r="A87" s="36"/>
      <c r="B87" s="52"/>
      <c r="C87" s="224" t="str">
        <f>C40</f>
        <v>Gasóleo/ Diesel</v>
      </c>
      <c r="D87" s="224" t="s">
        <v>11</v>
      </c>
      <c r="E87" s="225">
        <f>F40</f>
        <v>0</v>
      </c>
      <c r="F87" s="287"/>
      <c r="G87" s="226" t="s">
        <v>1529</v>
      </c>
      <c r="H87" s="1100">
        <f>0.002676327058812*1000</f>
        <v>2.6763270588119998</v>
      </c>
      <c r="I87" s="263">
        <f>3.9*F87*E87*4186.8/10^12</f>
        <v>0</v>
      </c>
      <c r="J87" s="264">
        <f>3.9*F87*E87*4186.8/10^12</f>
        <v>0</v>
      </c>
      <c r="K87" s="237"/>
      <c r="L87" s="237"/>
      <c r="M87" s="1101"/>
      <c r="N87" s="1102"/>
      <c r="O87" s="240"/>
      <c r="P87" s="240"/>
      <c r="Q87" s="240"/>
      <c r="R87" s="240"/>
      <c r="S87" s="257"/>
      <c r="T87" s="257"/>
      <c r="U87" s="257"/>
      <c r="V87" s="257"/>
      <c r="W87" s="240"/>
      <c r="X87" s="218"/>
      <c r="Y87" s="254"/>
      <c r="Z87" s="254"/>
      <c r="AA87" s="254"/>
      <c r="AB87" s="254"/>
      <c r="AC87" s="254"/>
      <c r="AD87" s="254"/>
      <c r="AE87" s="254"/>
      <c r="AF87" s="254"/>
      <c r="AG87" s="254"/>
      <c r="AH87" s="254"/>
      <c r="AI87" s="254"/>
      <c r="AJ87" s="254"/>
      <c r="AK87" s="254"/>
      <c r="AL87" s="254"/>
      <c r="AM87" s="254"/>
      <c r="AN87" s="254"/>
      <c r="AO87" s="254"/>
      <c r="AP87" s="254"/>
      <c r="AQ87" s="254"/>
      <c r="AR87" s="254"/>
      <c r="AS87" s="254"/>
      <c r="AT87" s="254"/>
      <c r="AU87" s="254"/>
      <c r="AV87" s="254"/>
      <c r="AW87" s="254"/>
      <c r="AX87" s="254"/>
      <c r="AY87" s="254"/>
      <c r="AZ87" s="254"/>
      <c r="BA87" s="254"/>
      <c r="BB87" s="254"/>
      <c r="BC87" s="254"/>
      <c r="BD87" s="254"/>
      <c r="BE87" s="254"/>
      <c r="BF87" s="254"/>
      <c r="BG87" s="254"/>
      <c r="BH87" s="254"/>
      <c r="BI87" s="254"/>
      <c r="BJ87" s="254"/>
      <c r="BK87" s="254"/>
      <c r="BL87" s="254"/>
      <c r="BM87" s="254"/>
      <c r="BN87" s="254"/>
      <c r="BO87" s="254"/>
      <c r="BP87" s="254"/>
      <c r="BQ87" s="254"/>
      <c r="BR87" s="254"/>
      <c r="BS87" s="254"/>
      <c r="BT87" s="254"/>
      <c r="BU87" s="254"/>
      <c r="BV87" s="254"/>
      <c r="BW87" s="35"/>
      <c r="BX87" s="35"/>
      <c r="BY87" s="35"/>
      <c r="BZ87" s="35"/>
      <c r="CA87" s="35"/>
      <c r="CB87" s="35"/>
      <c r="CC87" s="35"/>
      <c r="CD87" s="35"/>
      <c r="CE87" s="35"/>
      <c r="CF87" s="35"/>
      <c r="CG87" s="35"/>
      <c r="CH87" s="35"/>
    </row>
    <row r="88" spans="1:86" s="25" customFormat="1" ht="15.75" outlineLevel="1" x14ac:dyDescent="0.25">
      <c r="A88" s="36"/>
      <c r="B88" s="52"/>
      <c r="C88" s="224" t="s">
        <v>1727</v>
      </c>
      <c r="D88" s="224" t="s">
        <v>11</v>
      </c>
      <c r="E88" s="225"/>
      <c r="F88" s="287"/>
      <c r="G88" s="226" t="s">
        <v>1534</v>
      </c>
      <c r="H88" s="1100">
        <f>0.00264130048643732*1000</f>
        <v>2.64130048643732</v>
      </c>
      <c r="I88" s="263">
        <f>0.00038040775488</f>
        <v>3.8040775488000001E-4</v>
      </c>
      <c r="J88" s="264">
        <f>0.00006868473352</f>
        <v>6.8684733519999998E-5</v>
      </c>
      <c r="K88" s="237"/>
      <c r="L88" s="237"/>
      <c r="M88" s="1101"/>
      <c r="N88" s="1102"/>
      <c r="O88" s="240"/>
      <c r="P88" s="240"/>
      <c r="Q88" s="240"/>
      <c r="R88" s="240"/>
      <c r="S88" s="257"/>
      <c r="T88" s="257"/>
      <c r="U88" s="257"/>
      <c r="V88" s="257"/>
      <c r="W88" s="240"/>
      <c r="X88" s="218"/>
      <c r="Y88" s="254"/>
      <c r="Z88" s="254"/>
      <c r="AA88" s="254"/>
      <c r="AB88" s="254"/>
      <c r="AC88" s="254"/>
      <c r="AD88" s="254"/>
      <c r="AE88" s="254"/>
      <c r="AF88" s="254"/>
      <c r="AG88" s="254"/>
      <c r="AH88" s="254"/>
      <c r="AI88" s="254"/>
      <c r="AJ88" s="254"/>
      <c r="AK88" s="254"/>
      <c r="AL88" s="254"/>
      <c r="AM88" s="254"/>
      <c r="AN88" s="254"/>
      <c r="AO88" s="254"/>
      <c r="AP88" s="254"/>
      <c r="AQ88" s="254"/>
      <c r="AR88" s="254"/>
      <c r="AS88" s="254"/>
      <c r="AT88" s="254"/>
      <c r="AU88" s="254"/>
      <c r="AV88" s="254"/>
      <c r="AW88" s="254"/>
      <c r="AX88" s="254"/>
      <c r="AY88" s="254"/>
      <c r="AZ88" s="254"/>
      <c r="BA88" s="254"/>
      <c r="BB88" s="254"/>
      <c r="BC88" s="254"/>
      <c r="BD88" s="254"/>
      <c r="BE88" s="254"/>
      <c r="BF88" s="254"/>
      <c r="BG88" s="254"/>
      <c r="BH88" s="254"/>
      <c r="BI88" s="254"/>
      <c r="BJ88" s="254"/>
      <c r="BK88" s="254"/>
      <c r="BL88" s="254"/>
      <c r="BM88" s="254"/>
      <c r="BN88" s="254"/>
      <c r="BO88" s="254"/>
      <c r="BP88" s="254"/>
      <c r="BQ88" s="254"/>
      <c r="BR88" s="254"/>
      <c r="BS88" s="254"/>
      <c r="BT88" s="254"/>
      <c r="BU88" s="254"/>
      <c r="BV88" s="254"/>
      <c r="BW88" s="35"/>
      <c r="BX88" s="35"/>
      <c r="BY88" s="35"/>
      <c r="BZ88" s="35"/>
      <c r="CA88" s="35"/>
      <c r="CB88" s="35"/>
      <c r="CC88" s="35"/>
      <c r="CD88" s="35"/>
      <c r="CE88" s="35"/>
      <c r="CF88" s="35"/>
      <c r="CG88" s="35"/>
      <c r="CH88" s="35"/>
    </row>
    <row r="89" spans="1:86" s="25" customFormat="1" ht="15.75" outlineLevel="1" x14ac:dyDescent="0.25">
      <c r="A89" s="36"/>
      <c r="B89" s="52"/>
      <c r="C89" s="224" t="s">
        <v>1733</v>
      </c>
      <c r="D89" s="224" t="s">
        <v>11</v>
      </c>
      <c r="E89" s="225"/>
      <c r="F89" s="287"/>
      <c r="G89" s="226" t="s">
        <v>1534</v>
      </c>
      <c r="H89" s="1100">
        <f>0.00264130048643732*1000</f>
        <v>2.64130048643732</v>
      </c>
      <c r="I89" s="263">
        <f>0.00015321979016</f>
        <v>1.5321979016E-4</v>
      </c>
      <c r="J89" s="264">
        <f>0.00006868473352</f>
        <v>6.8684733519999998E-5</v>
      </c>
      <c r="K89" s="237"/>
      <c r="L89" s="237"/>
      <c r="M89" s="1101"/>
      <c r="N89" s="1102"/>
      <c r="O89" s="240"/>
      <c r="P89" s="240"/>
      <c r="Q89" s="240"/>
      <c r="R89" s="240"/>
      <c r="S89" s="257"/>
      <c r="T89" s="257"/>
      <c r="U89" s="257"/>
      <c r="V89" s="257"/>
      <c r="W89" s="240"/>
      <c r="X89" s="218"/>
      <c r="Y89" s="254"/>
      <c r="Z89" s="254"/>
      <c r="AA89" s="254"/>
      <c r="AB89" s="254"/>
      <c r="AC89" s="254"/>
      <c r="AD89" s="254"/>
      <c r="AE89" s="254"/>
      <c r="AF89" s="254"/>
      <c r="AG89" s="254"/>
      <c r="AH89" s="254"/>
      <c r="AI89" s="254"/>
      <c r="AJ89" s="254"/>
      <c r="AK89" s="254"/>
      <c r="AL89" s="254"/>
      <c r="AM89" s="254"/>
      <c r="AN89" s="254"/>
      <c r="AO89" s="254"/>
      <c r="AP89" s="254"/>
      <c r="AQ89" s="254"/>
      <c r="AR89" s="254"/>
      <c r="AS89" s="254"/>
      <c r="AT89" s="254"/>
      <c r="AU89" s="254"/>
      <c r="AV89" s="254"/>
      <c r="AW89" s="254"/>
      <c r="AX89" s="254"/>
      <c r="AY89" s="254"/>
      <c r="AZ89" s="254"/>
      <c r="BA89" s="254"/>
      <c r="BB89" s="254"/>
      <c r="BC89" s="254"/>
      <c r="BD89" s="254"/>
      <c r="BE89" s="254"/>
      <c r="BF89" s="254"/>
      <c r="BG89" s="254"/>
      <c r="BH89" s="254"/>
      <c r="BI89" s="254"/>
      <c r="BJ89" s="254"/>
      <c r="BK89" s="254"/>
      <c r="BL89" s="254"/>
      <c r="BM89" s="254"/>
      <c r="BN89" s="254"/>
      <c r="BO89" s="254"/>
      <c r="BP89" s="254"/>
      <c r="BQ89" s="254"/>
      <c r="BR89" s="254"/>
      <c r="BS89" s="254"/>
      <c r="BT89" s="254"/>
      <c r="BU89" s="254"/>
      <c r="BV89" s="254"/>
      <c r="BW89" s="35"/>
      <c r="BX89" s="35"/>
      <c r="BY89" s="35"/>
      <c r="BZ89" s="35"/>
      <c r="CA89" s="35"/>
      <c r="CB89" s="35"/>
      <c r="CC89" s="35"/>
      <c r="CD89" s="35"/>
      <c r="CE89" s="35"/>
      <c r="CF89" s="35"/>
      <c r="CG89" s="35"/>
      <c r="CH89" s="35"/>
    </row>
    <row r="90" spans="1:86" s="25" customFormat="1" ht="15.75" outlineLevel="1" x14ac:dyDescent="0.25">
      <c r="A90" s="36"/>
      <c r="B90" s="52"/>
      <c r="C90" s="224" t="s">
        <v>1734</v>
      </c>
      <c r="D90" s="224" t="s">
        <v>11</v>
      </c>
      <c r="E90" s="225"/>
      <c r="F90" s="287"/>
      <c r="G90" s="226" t="s">
        <v>1534</v>
      </c>
      <c r="H90" s="1100">
        <f>0.00264130048643732*1000</f>
        <v>2.64130048643732</v>
      </c>
      <c r="I90" s="263">
        <v>1.9548731847999999E-4</v>
      </c>
      <c r="J90" s="264">
        <v>6.8684733519999998E-5</v>
      </c>
      <c r="K90" s="237"/>
      <c r="L90" s="237"/>
      <c r="M90" s="1101"/>
      <c r="N90" s="1102"/>
      <c r="O90" s="240"/>
      <c r="P90" s="240"/>
      <c r="Q90" s="240"/>
      <c r="R90" s="240"/>
      <c r="S90" s="257"/>
      <c r="T90" s="257"/>
      <c r="U90" s="257"/>
      <c r="V90" s="257"/>
      <c r="W90" s="240"/>
      <c r="X90" s="218"/>
      <c r="Y90" s="254"/>
      <c r="Z90" s="254"/>
      <c r="AA90" s="254"/>
      <c r="AB90" s="254"/>
      <c r="AC90" s="254"/>
      <c r="AD90" s="254"/>
      <c r="AE90" s="254"/>
      <c r="AF90" s="254"/>
      <c r="AG90" s="254"/>
      <c r="AH90" s="254"/>
      <c r="AI90" s="254"/>
      <c r="AJ90" s="254"/>
      <c r="AK90" s="254"/>
      <c r="AL90" s="254"/>
      <c r="AM90" s="254"/>
      <c r="AN90" s="254"/>
      <c r="AO90" s="254"/>
      <c r="AP90" s="254"/>
      <c r="AQ90" s="254"/>
      <c r="AR90" s="254"/>
      <c r="AS90" s="254"/>
      <c r="AT90" s="254"/>
      <c r="AU90" s="254"/>
      <c r="AV90" s="254"/>
      <c r="AW90" s="254"/>
      <c r="AX90" s="254"/>
      <c r="AY90" s="254"/>
      <c r="AZ90" s="254"/>
      <c r="BA90" s="254"/>
      <c r="BB90" s="254"/>
      <c r="BC90" s="254"/>
      <c r="BD90" s="254"/>
      <c r="BE90" s="254"/>
      <c r="BF90" s="254"/>
      <c r="BG90" s="254"/>
      <c r="BH90" s="254"/>
      <c r="BI90" s="254"/>
      <c r="BJ90" s="254"/>
      <c r="BK90" s="254"/>
      <c r="BL90" s="254"/>
      <c r="BM90" s="254"/>
      <c r="BN90" s="254"/>
      <c r="BO90" s="254"/>
      <c r="BP90" s="254"/>
      <c r="BQ90" s="254"/>
      <c r="BR90" s="254"/>
      <c r="BS90" s="254"/>
      <c r="BT90" s="254"/>
      <c r="BU90" s="254"/>
      <c r="BV90" s="254"/>
      <c r="BW90" s="35"/>
      <c r="BX90" s="35"/>
      <c r="BY90" s="35"/>
      <c r="BZ90" s="35"/>
      <c r="CA90" s="35"/>
      <c r="CB90" s="35"/>
      <c r="CC90" s="35"/>
      <c r="CD90" s="35"/>
      <c r="CE90" s="35"/>
      <c r="CF90" s="35"/>
      <c r="CG90" s="35"/>
      <c r="CH90" s="35"/>
    </row>
    <row r="91" spans="1:86" s="25" customFormat="1" ht="15.75" customHeight="1" outlineLevel="1" x14ac:dyDescent="0.25">
      <c r="A91" s="36"/>
      <c r="B91" s="52"/>
      <c r="C91" s="1216" t="s">
        <v>1726</v>
      </c>
      <c r="D91" s="224" t="s">
        <v>11</v>
      </c>
      <c r="E91" s="225">
        <f>F39</f>
        <v>44.7</v>
      </c>
      <c r="F91" s="1217" t="s">
        <v>92</v>
      </c>
      <c r="G91" s="226" t="s">
        <v>1529</v>
      </c>
      <c r="H91" s="262">
        <f>((0.000001871677351+0.00117820735192)/2)*1000</f>
        <v>0.59003951463549997</v>
      </c>
      <c r="I91" s="263">
        <f>92*E91*4186.8/10^12</f>
        <v>1.7217796320000003E-5</v>
      </c>
      <c r="J91" s="264">
        <f>3*E91*4186.8/10^12</f>
        <v>5.6144988000000014E-7</v>
      </c>
      <c r="K91" s="237"/>
      <c r="L91" s="237"/>
      <c r="M91" s="1101"/>
      <c r="N91" s="1102"/>
      <c r="O91" s="240"/>
      <c r="P91" s="240"/>
      <c r="Q91" s="240"/>
      <c r="R91" s="240"/>
      <c r="S91" s="257"/>
      <c r="T91" s="257"/>
      <c r="U91" s="257"/>
      <c r="V91" s="257"/>
      <c r="W91" s="240"/>
      <c r="X91" s="218"/>
      <c r="Y91" s="254"/>
      <c r="Z91" s="254"/>
      <c r="AA91" s="254"/>
      <c r="AB91" s="254"/>
      <c r="AC91" s="254"/>
      <c r="AD91" s="254"/>
      <c r="AE91" s="254"/>
      <c r="AF91" s="254"/>
      <c r="AG91" s="254"/>
      <c r="AH91" s="254"/>
      <c r="AI91" s="254"/>
      <c r="AJ91" s="254"/>
      <c r="AK91" s="254"/>
      <c r="AL91" s="254"/>
      <c r="AM91" s="254"/>
      <c r="AN91" s="254"/>
      <c r="AO91" s="254"/>
      <c r="AP91" s="254"/>
      <c r="AQ91" s="254"/>
      <c r="AR91" s="254"/>
      <c r="AS91" s="254"/>
      <c r="AT91" s="254"/>
      <c r="AU91" s="254"/>
      <c r="AV91" s="254"/>
      <c r="AW91" s="254"/>
      <c r="AX91" s="254"/>
      <c r="AY91" s="254"/>
      <c r="AZ91" s="254"/>
      <c r="BA91" s="254"/>
      <c r="BB91" s="254"/>
      <c r="BC91" s="254"/>
      <c r="BD91" s="254"/>
      <c r="BE91" s="254"/>
      <c r="BF91" s="254"/>
      <c r="BG91" s="254"/>
      <c r="BH91" s="254"/>
      <c r="BI91" s="254"/>
      <c r="BJ91" s="254"/>
      <c r="BK91" s="254"/>
      <c r="BL91" s="254"/>
      <c r="BM91" s="254"/>
      <c r="BN91" s="254"/>
      <c r="BO91" s="254"/>
      <c r="BP91" s="254"/>
      <c r="BQ91" s="254"/>
      <c r="BR91" s="254"/>
      <c r="BS91" s="254"/>
      <c r="BT91" s="254"/>
      <c r="BU91" s="254"/>
      <c r="BV91" s="254"/>
      <c r="BW91" s="35"/>
      <c r="BX91" s="35"/>
      <c r="BY91" s="35"/>
      <c r="BZ91" s="35"/>
      <c r="CA91" s="35"/>
      <c r="CB91" s="35"/>
      <c r="CC91" s="35"/>
      <c r="CD91" s="35"/>
      <c r="CE91" s="35"/>
      <c r="CF91" s="35"/>
      <c r="CG91" s="35"/>
      <c r="CH91" s="35"/>
    </row>
    <row r="92" spans="1:86" s="25" customFormat="1" ht="15.75" customHeight="1" outlineLevel="1" x14ac:dyDescent="0.25">
      <c r="A92" s="36"/>
      <c r="B92" s="52"/>
      <c r="C92" s="1216" t="str">
        <f>C35</f>
        <v>Gás de Petróleo Liquefeito (GPL)</v>
      </c>
      <c r="D92" s="1216" t="str">
        <f>E35</f>
        <v>Litros</v>
      </c>
      <c r="E92" s="227">
        <f>F35</f>
        <v>46.65</v>
      </c>
      <c r="F92" s="1218"/>
      <c r="G92" s="226" t="s">
        <v>1529</v>
      </c>
      <c r="H92" s="265">
        <f>0.0016114495172*1000</f>
        <v>1.6114495172000001</v>
      </c>
      <c r="I92" s="263">
        <f>62*E92*4186.8/10^12</f>
        <v>1.2109481639999998E-5</v>
      </c>
      <c r="J92" s="264">
        <f>0.2*E92*4186.8/10^12</f>
        <v>3.9062844000000007E-8</v>
      </c>
      <c r="K92" s="237"/>
      <c r="L92" s="237"/>
      <c r="M92" s="1101"/>
      <c r="N92" s="240"/>
      <c r="O92" s="240"/>
      <c r="P92" s="240"/>
      <c r="Q92" s="240"/>
      <c r="R92" s="240"/>
      <c r="S92" s="257"/>
      <c r="T92" s="257"/>
      <c r="U92" s="257"/>
      <c r="V92" s="257"/>
      <c r="W92" s="240"/>
      <c r="X92" s="218"/>
      <c r="Y92" s="254"/>
      <c r="Z92" s="254"/>
      <c r="AA92" s="254"/>
      <c r="AB92" s="254"/>
      <c r="AC92" s="254"/>
      <c r="AD92" s="254"/>
      <c r="AE92" s="254"/>
      <c r="AF92" s="254"/>
      <c r="AG92" s="254"/>
      <c r="AH92" s="254"/>
      <c r="AI92" s="254"/>
      <c r="AJ92" s="254"/>
      <c r="AK92" s="254"/>
      <c r="AL92" s="254"/>
      <c r="AM92" s="254"/>
      <c r="AN92" s="254"/>
      <c r="AO92" s="254"/>
      <c r="AP92" s="254"/>
      <c r="AQ92" s="254"/>
      <c r="AR92" s="254"/>
      <c r="AS92" s="254"/>
      <c r="AT92" s="254"/>
      <c r="AU92" s="254"/>
      <c r="AV92" s="254"/>
      <c r="AW92" s="254"/>
      <c r="AX92" s="254"/>
      <c r="AY92" s="254"/>
      <c r="AZ92" s="254"/>
      <c r="BA92" s="254"/>
      <c r="BB92" s="254"/>
      <c r="BC92" s="254"/>
      <c r="BD92" s="254"/>
      <c r="BE92" s="254"/>
      <c r="BF92" s="254"/>
      <c r="BG92" s="254"/>
      <c r="BH92" s="254"/>
      <c r="BI92" s="254"/>
      <c r="BJ92" s="254"/>
      <c r="BK92" s="254"/>
      <c r="BL92" s="254"/>
      <c r="BM92" s="254"/>
      <c r="BN92" s="254"/>
      <c r="BO92" s="254"/>
      <c r="BP92" s="254"/>
      <c r="BQ92" s="254"/>
      <c r="BR92" s="254"/>
      <c r="BS92" s="254"/>
      <c r="BT92" s="254"/>
      <c r="BU92" s="254"/>
      <c r="BV92" s="254"/>
      <c r="BW92" s="35"/>
      <c r="BX92" s="35"/>
      <c r="BY92" s="35"/>
      <c r="BZ92" s="35"/>
      <c r="CA92" s="35"/>
      <c r="CB92" s="35"/>
      <c r="CC92" s="35"/>
      <c r="CD92" s="35"/>
      <c r="CE92" s="35"/>
      <c r="CF92" s="35"/>
      <c r="CG92" s="35"/>
      <c r="CH92" s="35"/>
    </row>
    <row r="93" spans="1:86" s="25" customFormat="1" ht="15.75" outlineLevel="1" x14ac:dyDescent="0.25">
      <c r="A93" s="36"/>
      <c r="B93" s="52"/>
      <c r="C93" s="224" t="s">
        <v>358</v>
      </c>
      <c r="D93" s="224" t="s">
        <v>11</v>
      </c>
      <c r="E93" s="225">
        <v>43.8</v>
      </c>
      <c r="F93" s="287">
        <v>0.79900000000000004</v>
      </c>
      <c r="G93" s="226" t="s">
        <v>1529</v>
      </c>
      <c r="H93" s="1100">
        <f>(71.8/1000)*E93*F93</f>
        <v>2.5127271599999998</v>
      </c>
      <c r="I93" s="236">
        <f>0.02205/1000*F93</f>
        <v>1.7617950000000003E-5</v>
      </c>
      <c r="J93" s="264">
        <f>0.0882/1000*F93</f>
        <v>7.0471800000000012E-5</v>
      </c>
      <c r="K93" s="237"/>
      <c r="L93" s="237"/>
      <c r="M93" s="1101"/>
      <c r="N93" s="240"/>
      <c r="O93" s="240"/>
      <c r="P93" s="240"/>
      <c r="Q93" s="240"/>
      <c r="R93" s="240"/>
      <c r="S93" s="257"/>
      <c r="T93" s="257"/>
      <c r="U93" s="257"/>
      <c r="V93" s="257"/>
      <c r="W93" s="240"/>
      <c r="X93" s="218"/>
      <c r="Y93" s="254"/>
      <c r="Z93" s="254"/>
      <c r="AA93" s="254"/>
      <c r="AB93" s="254"/>
      <c r="AC93" s="254"/>
      <c r="AD93" s="254"/>
      <c r="AE93" s="254"/>
      <c r="AF93" s="254"/>
      <c r="AG93" s="254"/>
      <c r="AH93" s="254"/>
      <c r="AI93" s="254"/>
      <c r="AJ93" s="254"/>
      <c r="AK93" s="254"/>
      <c r="AL93" s="254"/>
      <c r="AM93" s="254"/>
      <c r="AN93" s="254"/>
      <c r="AO93" s="254"/>
      <c r="AP93" s="254"/>
      <c r="AQ93" s="254"/>
      <c r="AR93" s="254"/>
      <c r="AS93" s="254"/>
      <c r="AT93" s="254"/>
      <c r="AU93" s="254"/>
      <c r="AV93" s="254"/>
      <c r="AW93" s="254"/>
      <c r="AX93" s="254"/>
      <c r="AY93" s="254"/>
      <c r="AZ93" s="254"/>
      <c r="BA93" s="254"/>
      <c r="BB93" s="254"/>
      <c r="BC93" s="254"/>
      <c r="BD93" s="254"/>
      <c r="BE93" s="254"/>
      <c r="BF93" s="254"/>
      <c r="BG93" s="254"/>
      <c r="BH93" s="254"/>
      <c r="BI93" s="254"/>
      <c r="BJ93" s="254"/>
      <c r="BK93" s="254"/>
      <c r="BL93" s="254"/>
      <c r="BM93" s="254"/>
      <c r="BN93" s="254"/>
      <c r="BO93" s="254"/>
      <c r="BP93" s="254"/>
      <c r="BQ93" s="254"/>
      <c r="BR93" s="254"/>
      <c r="BS93" s="254"/>
      <c r="BT93" s="254"/>
      <c r="BU93" s="254"/>
      <c r="BV93" s="254"/>
      <c r="BW93" s="35"/>
      <c r="BX93" s="35"/>
      <c r="BY93" s="35"/>
      <c r="BZ93" s="35"/>
      <c r="CA93" s="35"/>
      <c r="CB93" s="35"/>
      <c r="CC93" s="35"/>
      <c r="CD93" s="35"/>
      <c r="CE93" s="35"/>
      <c r="CF93" s="35"/>
      <c r="CG93" s="35"/>
      <c r="CH93" s="35"/>
    </row>
    <row r="94" spans="1:86" s="25" customFormat="1" ht="15.75" outlineLevel="1" x14ac:dyDescent="0.25">
      <c r="A94" s="36"/>
      <c r="B94" s="52"/>
      <c r="C94" s="224" t="s">
        <v>83</v>
      </c>
      <c r="D94" s="224" t="s">
        <v>11</v>
      </c>
      <c r="E94" s="227">
        <v>44.5</v>
      </c>
      <c r="F94" s="288">
        <v>0.72599999999999998</v>
      </c>
      <c r="G94" s="226" t="s">
        <v>1529</v>
      </c>
      <c r="H94" s="1103">
        <f>(69.2/1000)*E94*F94</f>
        <v>2.2356443999999995</v>
      </c>
      <c r="I94" s="236">
        <f>0.02215/1000*F94</f>
        <v>1.60809E-5</v>
      </c>
      <c r="J94" s="264">
        <f>0.0886/1000*F94</f>
        <v>6.4323600000000002E-5</v>
      </c>
      <c r="K94" s="237"/>
      <c r="L94" s="237"/>
      <c r="M94" s="1101"/>
      <c r="N94" s="240"/>
      <c r="O94" s="240"/>
      <c r="P94" s="240"/>
      <c r="Q94" s="240"/>
      <c r="R94" s="240"/>
      <c r="S94" s="257"/>
      <c r="T94" s="257"/>
      <c r="U94" s="257"/>
      <c r="V94" s="257"/>
      <c r="W94" s="240"/>
      <c r="X94" s="218"/>
      <c r="Y94" s="254"/>
      <c r="Z94" s="254"/>
      <c r="AA94" s="254"/>
      <c r="AB94" s="254"/>
      <c r="AC94" s="254"/>
      <c r="AD94" s="254"/>
      <c r="AE94" s="254"/>
      <c r="AF94" s="254"/>
      <c r="AG94" s="254"/>
      <c r="AH94" s="254"/>
      <c r="AI94" s="254"/>
      <c r="AJ94" s="254"/>
      <c r="AK94" s="254"/>
      <c r="AL94" s="254"/>
      <c r="AM94" s="254"/>
      <c r="AN94" s="254"/>
      <c r="AO94" s="254"/>
      <c r="AP94" s="254"/>
      <c r="AQ94" s="254"/>
      <c r="AR94" s="254"/>
      <c r="AS94" s="254"/>
      <c r="AT94" s="254"/>
      <c r="AU94" s="254"/>
      <c r="AV94" s="254"/>
      <c r="AW94" s="254"/>
      <c r="AX94" s="254"/>
      <c r="AY94" s="254"/>
      <c r="AZ94" s="254"/>
      <c r="BA94" s="254"/>
      <c r="BB94" s="254"/>
      <c r="BC94" s="254"/>
      <c r="BD94" s="254"/>
      <c r="BE94" s="254"/>
      <c r="BF94" s="254"/>
      <c r="BG94" s="254"/>
      <c r="BH94" s="254"/>
      <c r="BI94" s="254"/>
      <c r="BJ94" s="254"/>
      <c r="BK94" s="254"/>
      <c r="BL94" s="254"/>
      <c r="BM94" s="254"/>
      <c r="BN94" s="254"/>
      <c r="BO94" s="254"/>
      <c r="BP94" s="254"/>
      <c r="BQ94" s="254"/>
      <c r="BR94" s="254"/>
      <c r="BS94" s="254"/>
      <c r="BT94" s="254"/>
      <c r="BU94" s="254"/>
      <c r="BV94" s="254"/>
      <c r="BW94" s="35"/>
      <c r="BX94" s="35"/>
      <c r="BY94" s="35"/>
      <c r="BZ94" s="35"/>
      <c r="CA94" s="35"/>
      <c r="CB94" s="35"/>
      <c r="CC94" s="35"/>
      <c r="CD94" s="35"/>
      <c r="CE94" s="35"/>
      <c r="CF94" s="35"/>
      <c r="CG94" s="35"/>
      <c r="CH94" s="35"/>
    </row>
    <row r="95" spans="1:86" s="25" customFormat="1" ht="15.75" customHeight="1" outlineLevel="1" x14ac:dyDescent="0.25">
      <c r="A95" s="36"/>
      <c r="B95" s="52"/>
      <c r="C95" s="224" t="s">
        <v>72</v>
      </c>
      <c r="D95" s="224" t="s">
        <v>11</v>
      </c>
      <c r="E95" s="225">
        <v>10120</v>
      </c>
      <c r="F95" s="287">
        <v>0.875</v>
      </c>
      <c r="G95" s="226" t="s">
        <v>621</v>
      </c>
      <c r="H95" s="265">
        <f>73300*F95*E95*4186.8/10^12</f>
        <v>2.7175325562000001</v>
      </c>
      <c r="I95" s="263">
        <f>I87</f>
        <v>0</v>
      </c>
      <c r="J95" s="264">
        <f>J87</f>
        <v>0</v>
      </c>
      <c r="K95" s="237"/>
      <c r="L95" s="237"/>
      <c r="M95" s="1101"/>
      <c r="N95" s="240"/>
      <c r="O95" s="240"/>
      <c r="P95" s="240"/>
      <c r="Q95" s="240"/>
      <c r="R95" s="240"/>
      <c r="S95" s="257"/>
      <c r="T95" s="257"/>
      <c r="U95" s="257"/>
      <c r="V95" s="257"/>
      <c r="W95" s="240"/>
      <c r="X95" s="218"/>
      <c r="Y95" s="254"/>
      <c r="Z95" s="254"/>
      <c r="AA95" s="254"/>
      <c r="AB95" s="254"/>
      <c r="AC95" s="254"/>
      <c r="AD95" s="254"/>
      <c r="AE95" s="254"/>
      <c r="AF95" s="254"/>
      <c r="AG95" s="254"/>
      <c r="AH95" s="254"/>
      <c r="AI95" s="254"/>
      <c r="AJ95" s="254"/>
      <c r="AK95" s="254"/>
      <c r="AL95" s="254"/>
      <c r="AM95" s="254"/>
      <c r="AN95" s="254"/>
      <c r="AO95" s="254"/>
      <c r="AP95" s="254"/>
      <c r="AQ95" s="254"/>
      <c r="AR95" s="254"/>
      <c r="AS95" s="254"/>
      <c r="AT95" s="254"/>
      <c r="AU95" s="254"/>
      <c r="AV95" s="254"/>
      <c r="AW95" s="254"/>
      <c r="AX95" s="254"/>
      <c r="AY95" s="254"/>
      <c r="AZ95" s="254"/>
      <c r="BA95" s="254"/>
      <c r="BB95" s="254"/>
      <c r="BC95" s="254"/>
      <c r="BD95" s="254"/>
      <c r="BE95" s="254"/>
      <c r="BF95" s="254"/>
      <c r="BG95" s="254"/>
      <c r="BH95" s="254"/>
      <c r="BI95" s="254"/>
      <c r="BJ95" s="254"/>
      <c r="BK95" s="254"/>
      <c r="BL95" s="254"/>
      <c r="BM95" s="254"/>
      <c r="BN95" s="254"/>
      <c r="BO95" s="254"/>
      <c r="BP95" s="254"/>
      <c r="BQ95" s="254"/>
      <c r="BR95" s="254"/>
      <c r="BS95" s="254"/>
      <c r="BT95" s="254"/>
      <c r="BU95" s="254"/>
      <c r="BV95" s="254"/>
      <c r="BW95" s="35"/>
      <c r="BX95" s="35"/>
      <c r="BY95" s="35"/>
      <c r="BZ95" s="35"/>
      <c r="CA95" s="35"/>
      <c r="CB95" s="35"/>
      <c r="CC95" s="35"/>
      <c r="CD95" s="35"/>
      <c r="CE95" s="35"/>
      <c r="CF95" s="35"/>
      <c r="CG95" s="35"/>
      <c r="CH95" s="35"/>
    </row>
    <row r="96" spans="1:86" s="25" customFormat="1" ht="15.75" customHeight="1" outlineLevel="1" x14ac:dyDescent="0.25">
      <c r="A96" s="36"/>
      <c r="B96" s="52"/>
      <c r="C96" s="224" t="s">
        <v>1735</v>
      </c>
      <c r="D96" s="224" t="s">
        <v>11</v>
      </c>
      <c r="E96" s="225"/>
      <c r="F96" s="287"/>
      <c r="G96" s="226" t="s">
        <v>1534</v>
      </c>
      <c r="H96" s="265">
        <f>0.00264130048643732*1000</f>
        <v>2.64130048643732</v>
      </c>
      <c r="I96" s="263">
        <v>2.2718796471999996E-4</v>
      </c>
      <c r="J96" s="264">
        <v>7.9251615599999989E-5</v>
      </c>
      <c r="K96" s="237"/>
      <c r="L96" s="237"/>
      <c r="M96" s="1101"/>
      <c r="N96" s="240"/>
      <c r="O96" s="240"/>
      <c r="P96" s="240"/>
      <c r="Q96" s="240"/>
      <c r="R96" s="240"/>
      <c r="S96" s="257"/>
      <c r="T96" s="257"/>
      <c r="U96" s="257"/>
      <c r="V96" s="257"/>
      <c r="W96" s="240"/>
      <c r="X96" s="218"/>
      <c r="Y96" s="254"/>
      <c r="Z96" s="254"/>
      <c r="AA96" s="254"/>
      <c r="AB96" s="254"/>
      <c r="AC96" s="254"/>
      <c r="AD96" s="254"/>
      <c r="AE96" s="254"/>
      <c r="AF96" s="254"/>
      <c r="AG96" s="254"/>
      <c r="AH96" s="254"/>
      <c r="AI96" s="254"/>
      <c r="AJ96" s="254"/>
      <c r="AK96" s="254"/>
      <c r="AL96" s="254"/>
      <c r="AM96" s="254"/>
      <c r="AN96" s="254"/>
      <c r="AO96" s="254"/>
      <c r="AP96" s="254"/>
      <c r="AQ96" s="254"/>
      <c r="AR96" s="254"/>
      <c r="AS96" s="254"/>
      <c r="AT96" s="254"/>
      <c r="AU96" s="254"/>
      <c r="AV96" s="254"/>
      <c r="AW96" s="254"/>
      <c r="AX96" s="254"/>
      <c r="AY96" s="254"/>
      <c r="AZ96" s="254"/>
      <c r="BA96" s="254"/>
      <c r="BB96" s="254"/>
      <c r="BC96" s="254"/>
      <c r="BD96" s="254"/>
      <c r="BE96" s="254"/>
      <c r="BF96" s="254"/>
      <c r="BG96" s="254"/>
      <c r="BH96" s="254"/>
      <c r="BI96" s="254"/>
      <c r="BJ96" s="254"/>
      <c r="BK96" s="254"/>
      <c r="BL96" s="254"/>
      <c r="BM96" s="254"/>
      <c r="BN96" s="254"/>
      <c r="BO96" s="254"/>
      <c r="BP96" s="254"/>
      <c r="BQ96" s="254"/>
      <c r="BR96" s="254"/>
      <c r="BS96" s="254"/>
      <c r="BT96" s="254"/>
      <c r="BU96" s="254"/>
      <c r="BV96" s="254"/>
      <c r="BW96" s="35"/>
      <c r="BX96" s="35"/>
      <c r="BY96" s="35"/>
      <c r="BZ96" s="35"/>
      <c r="CA96" s="35"/>
      <c r="CB96" s="35"/>
      <c r="CC96" s="35"/>
      <c r="CD96" s="35"/>
      <c r="CE96" s="35"/>
      <c r="CF96" s="35"/>
      <c r="CG96" s="35"/>
      <c r="CH96" s="35"/>
    </row>
    <row r="97" spans="1:86" s="25" customFormat="1" ht="15.75" outlineLevel="1" x14ac:dyDescent="0.25">
      <c r="A97" s="36"/>
      <c r="B97" s="52"/>
      <c r="C97" s="224" t="s">
        <v>1736</v>
      </c>
      <c r="D97" s="224" t="s">
        <v>11</v>
      </c>
      <c r="E97" s="225">
        <v>41.2</v>
      </c>
      <c r="F97" s="287">
        <v>1</v>
      </c>
      <c r="G97" s="226" t="s">
        <v>1529</v>
      </c>
      <c r="H97" s="1104">
        <f>(77.3/1000)*E97*F97</f>
        <v>3.1847599999999998</v>
      </c>
      <c r="I97" s="263">
        <f>Q30</f>
        <v>3.7976000000000001E-7</v>
      </c>
      <c r="J97" s="264">
        <f>V30</f>
        <v>2.2785599999999995E-8</v>
      </c>
      <c r="K97" s="237"/>
      <c r="L97" s="237"/>
      <c r="M97" s="1101"/>
      <c r="N97" s="240"/>
      <c r="O97" s="240"/>
      <c r="P97" s="240"/>
      <c r="Q97" s="240"/>
      <c r="R97" s="240"/>
      <c r="S97" s="257"/>
      <c r="T97" s="257"/>
      <c r="U97" s="257"/>
      <c r="V97" s="257"/>
      <c r="W97" s="240"/>
      <c r="X97" s="218"/>
      <c r="Y97" s="254"/>
      <c r="Z97" s="254"/>
      <c r="AA97" s="254"/>
      <c r="AB97" s="254"/>
      <c r="AC97" s="254"/>
      <c r="AD97" s="254"/>
      <c r="AE97" s="254"/>
      <c r="AF97" s="254"/>
      <c r="AG97" s="254"/>
      <c r="AH97" s="254"/>
      <c r="AI97" s="254"/>
      <c r="AJ97" s="254"/>
      <c r="AK97" s="254"/>
      <c r="AL97" s="254"/>
      <c r="AM97" s="254"/>
      <c r="AN97" s="254"/>
      <c r="AO97" s="254"/>
      <c r="AP97" s="254"/>
      <c r="AQ97" s="254"/>
      <c r="AR97" s="254"/>
      <c r="AS97" s="254"/>
      <c r="AT97" s="254"/>
      <c r="AU97" s="254"/>
      <c r="AV97" s="254"/>
      <c r="AW97" s="254"/>
      <c r="AX97" s="254"/>
      <c r="AY97" s="254"/>
      <c r="AZ97" s="254"/>
      <c r="BA97" s="254"/>
      <c r="BB97" s="254"/>
      <c r="BC97" s="254"/>
      <c r="BD97" s="254"/>
      <c r="BE97" s="254"/>
      <c r="BF97" s="254"/>
      <c r="BG97" s="254"/>
      <c r="BH97" s="254"/>
      <c r="BI97" s="254"/>
      <c r="BJ97" s="254"/>
      <c r="BK97" s="254"/>
      <c r="BL97" s="254"/>
      <c r="BM97" s="254"/>
      <c r="BN97" s="254"/>
      <c r="BO97" s="254"/>
      <c r="BP97" s="254"/>
      <c r="BQ97" s="254"/>
      <c r="BR97" s="254"/>
      <c r="BS97" s="254"/>
      <c r="BT97" s="254"/>
      <c r="BU97" s="254"/>
      <c r="BV97" s="254"/>
      <c r="BW97" s="35"/>
      <c r="BX97" s="35"/>
      <c r="BY97" s="35"/>
      <c r="BZ97" s="35"/>
      <c r="CA97" s="35"/>
      <c r="CB97" s="35"/>
      <c r="CC97" s="35"/>
      <c r="CD97" s="35"/>
      <c r="CE97" s="35"/>
      <c r="CF97" s="35"/>
      <c r="CG97" s="35"/>
      <c r="CH97" s="35"/>
    </row>
    <row r="98" spans="1:86" ht="15.75" customHeight="1" outlineLevel="1" x14ac:dyDescent="0.25">
      <c r="A98" s="12"/>
      <c r="B98" s="10"/>
      <c r="C98" s="266"/>
      <c r="D98" s="266"/>
      <c r="E98" s="266"/>
      <c r="F98" s="266"/>
      <c r="G98" s="266"/>
      <c r="H98" s="267"/>
      <c r="I98" s="267"/>
      <c r="J98" s="267"/>
      <c r="K98" s="237"/>
      <c r="L98" s="237"/>
      <c r="M98" s="256"/>
      <c r="N98" s="256"/>
      <c r="O98" s="256"/>
      <c r="P98" s="256"/>
      <c r="Q98" s="256"/>
      <c r="R98" s="256"/>
      <c r="S98" s="218"/>
      <c r="T98" s="218"/>
      <c r="U98" s="218"/>
      <c r="V98" s="218"/>
      <c r="W98" s="218"/>
      <c r="X98" s="218"/>
      <c r="Y98" s="254"/>
      <c r="Z98" s="254"/>
      <c r="AA98" s="254"/>
      <c r="AB98" s="254"/>
      <c r="AC98" s="254"/>
      <c r="AD98" s="254"/>
      <c r="AE98" s="254"/>
      <c r="AF98" s="254"/>
      <c r="AG98" s="254"/>
      <c r="AH98" s="254"/>
      <c r="AI98" s="254"/>
      <c r="AJ98" s="254"/>
      <c r="AK98" s="254"/>
      <c r="AL98" s="254"/>
      <c r="AM98" s="254"/>
      <c r="AN98" s="254"/>
      <c r="AO98" s="254"/>
      <c r="AP98" s="254"/>
      <c r="AQ98" s="254"/>
      <c r="AR98" s="254"/>
      <c r="AS98" s="254"/>
      <c r="AT98" s="254"/>
      <c r="AU98" s="254"/>
      <c r="AV98" s="254"/>
      <c r="AW98" s="254"/>
      <c r="AX98" s="254"/>
      <c r="AY98" s="254"/>
      <c r="AZ98" s="254"/>
      <c r="BA98" s="254"/>
      <c r="BB98" s="254"/>
      <c r="BC98" s="254"/>
      <c r="BD98" s="254"/>
      <c r="BE98" s="254"/>
      <c r="BF98" s="254"/>
      <c r="BG98" s="254"/>
      <c r="BH98" s="254"/>
      <c r="BI98" s="254"/>
      <c r="BJ98" s="254"/>
      <c r="BK98" s="254"/>
      <c r="BL98" s="254"/>
      <c r="BM98" s="254"/>
      <c r="BN98" s="254"/>
      <c r="BO98" s="254"/>
      <c r="BP98" s="254"/>
      <c r="BQ98" s="254"/>
      <c r="BR98" s="254"/>
      <c r="BS98" s="254"/>
      <c r="BT98" s="254"/>
      <c r="BU98" s="254"/>
      <c r="BV98" s="254"/>
      <c r="BW98" s="17"/>
      <c r="BX98" s="17"/>
      <c r="BY98" s="35"/>
      <c r="BZ98" s="17"/>
      <c r="CA98" s="17"/>
      <c r="CB98" s="35"/>
      <c r="CC98" s="35"/>
      <c r="CD98" s="17"/>
      <c r="CE98" s="17"/>
      <c r="CF98" s="17"/>
      <c r="CG98" s="17"/>
      <c r="CH98" s="17"/>
    </row>
    <row r="99" spans="1:86" ht="15.75" customHeight="1" outlineLevel="1" x14ac:dyDescent="0.25">
      <c r="A99" s="12"/>
      <c r="B99" s="10"/>
      <c r="C99" s="217" t="s">
        <v>201</v>
      </c>
      <c r="D99" s="266"/>
      <c r="E99" s="266"/>
      <c r="F99" s="266"/>
      <c r="G99" s="266"/>
      <c r="H99" s="268"/>
      <c r="I99" s="267"/>
      <c r="J99" s="267"/>
      <c r="K99" s="237"/>
      <c r="L99" s="237"/>
      <c r="M99" s="256"/>
      <c r="N99" s="256"/>
      <c r="O99" s="256"/>
      <c r="P99" s="256"/>
      <c r="Q99" s="256"/>
      <c r="R99" s="256"/>
      <c r="S99" s="218"/>
      <c r="T99" s="218"/>
      <c r="U99" s="218"/>
      <c r="V99" s="218"/>
      <c r="W99" s="218"/>
      <c r="X99" s="218"/>
      <c r="Y99" s="254"/>
      <c r="Z99" s="254"/>
      <c r="AA99" s="254"/>
      <c r="AB99" s="254"/>
      <c r="AC99" s="254"/>
      <c r="AD99" s="254"/>
      <c r="AE99" s="254"/>
      <c r="AF99" s="254"/>
      <c r="AG99" s="254"/>
      <c r="AH99" s="254"/>
      <c r="AI99" s="254"/>
      <c r="AJ99" s="254"/>
      <c r="AK99" s="254"/>
      <c r="AL99" s="254"/>
      <c r="AM99" s="254"/>
      <c r="AN99" s="254"/>
      <c r="AO99" s="254"/>
      <c r="AP99" s="254"/>
      <c r="AQ99" s="254"/>
      <c r="AR99" s="254"/>
      <c r="AS99" s="254"/>
      <c r="AT99" s="254"/>
      <c r="AU99" s="254"/>
      <c r="AV99" s="254"/>
      <c r="AW99" s="254"/>
      <c r="AX99" s="254"/>
      <c r="AY99" s="254"/>
      <c r="AZ99" s="254"/>
      <c r="BA99" s="254"/>
      <c r="BB99" s="254"/>
      <c r="BC99" s="254"/>
      <c r="BD99" s="254"/>
      <c r="BE99" s="254"/>
      <c r="BF99" s="254"/>
      <c r="BG99" s="254"/>
      <c r="BH99" s="254"/>
      <c r="BI99" s="254"/>
      <c r="BJ99" s="254"/>
      <c r="BK99" s="254"/>
      <c r="BL99" s="254"/>
      <c r="BM99" s="254"/>
      <c r="BN99" s="254"/>
      <c r="BO99" s="254"/>
      <c r="BP99" s="254"/>
      <c r="BQ99" s="254"/>
      <c r="BR99" s="254"/>
      <c r="BS99" s="254"/>
      <c r="BT99" s="254"/>
      <c r="BU99" s="254"/>
      <c r="BV99" s="254"/>
      <c r="BW99" s="17"/>
      <c r="BX99" s="17"/>
      <c r="BY99" s="35"/>
      <c r="BZ99" s="17"/>
      <c r="CA99" s="17"/>
      <c r="CB99" s="35"/>
      <c r="CC99" s="35"/>
      <c r="CD99" s="17"/>
      <c r="CE99" s="17"/>
      <c r="CF99" s="17"/>
      <c r="CG99" s="17"/>
      <c r="CH99" s="17"/>
    </row>
    <row r="100" spans="1:86" ht="32.25" customHeight="1" outlineLevel="1" x14ac:dyDescent="0.25">
      <c r="A100" s="12"/>
      <c r="B100" s="10"/>
      <c r="C100" s="1537" t="s">
        <v>95</v>
      </c>
      <c r="D100" s="1497" t="s">
        <v>143</v>
      </c>
      <c r="E100" s="230" t="s">
        <v>7</v>
      </c>
      <c r="F100" s="229" t="s">
        <v>6</v>
      </c>
      <c r="G100" s="1497" t="s">
        <v>75</v>
      </c>
      <c r="H100" s="1497" t="s">
        <v>582</v>
      </c>
      <c r="I100" s="1497"/>
      <c r="J100" s="1497"/>
      <c r="K100" s="237"/>
      <c r="L100" s="237"/>
      <c r="M100" s="255"/>
      <c r="N100" s="256"/>
      <c r="O100" s="256"/>
      <c r="P100" s="256"/>
      <c r="Q100" s="256"/>
      <c r="R100" s="256"/>
      <c r="S100" s="218"/>
      <c r="T100" s="218"/>
      <c r="U100" s="218"/>
      <c r="V100" s="218"/>
      <c r="W100" s="218"/>
      <c r="X100" s="218"/>
      <c r="Y100" s="254"/>
      <c r="Z100" s="254"/>
      <c r="AA100" s="254"/>
      <c r="AB100" s="254"/>
      <c r="AC100" s="254"/>
      <c r="AD100" s="254"/>
      <c r="AE100" s="254"/>
      <c r="AF100" s="254"/>
      <c r="AG100" s="254"/>
      <c r="AH100" s="254"/>
      <c r="AI100" s="254"/>
      <c r="AJ100" s="254"/>
      <c r="AK100" s="254"/>
      <c r="AL100" s="254"/>
      <c r="AM100" s="254"/>
      <c r="AN100" s="254"/>
      <c r="AO100" s="254"/>
      <c r="AP100" s="254"/>
      <c r="AQ100" s="254"/>
      <c r="AR100" s="254"/>
      <c r="AS100" s="254"/>
      <c r="AT100" s="254"/>
      <c r="AU100" s="254"/>
      <c r="AV100" s="254"/>
      <c r="AW100" s="254"/>
      <c r="AX100" s="254"/>
      <c r="AY100" s="254"/>
      <c r="AZ100" s="254"/>
      <c r="BA100" s="254"/>
      <c r="BB100" s="254"/>
      <c r="BC100" s="254"/>
      <c r="BD100" s="254"/>
      <c r="BE100" s="254"/>
      <c r="BF100" s="254"/>
      <c r="BG100" s="254"/>
      <c r="BH100" s="254"/>
      <c r="BI100" s="254"/>
      <c r="BJ100" s="254"/>
      <c r="BK100" s="254"/>
      <c r="BL100" s="254"/>
      <c r="BM100" s="254"/>
      <c r="BN100" s="254"/>
      <c r="BO100" s="254"/>
      <c r="BP100" s="254"/>
      <c r="BQ100" s="254"/>
      <c r="BR100" s="254"/>
      <c r="BS100" s="254"/>
      <c r="BT100" s="254"/>
      <c r="BU100" s="254"/>
      <c r="BV100" s="254"/>
      <c r="BW100" s="17"/>
      <c r="BX100" s="17"/>
      <c r="BY100" s="35"/>
      <c r="BZ100" s="17"/>
      <c r="CA100" s="17"/>
      <c r="CB100" s="35"/>
      <c r="CC100" s="35"/>
      <c r="CD100" s="17"/>
      <c r="CE100" s="17"/>
      <c r="CF100" s="17"/>
      <c r="CG100" s="17"/>
      <c r="CH100" s="17"/>
    </row>
    <row r="101" spans="1:86" s="25" customFormat="1" ht="15.75" customHeight="1" outlineLevel="1" x14ac:dyDescent="0.25">
      <c r="A101" s="36"/>
      <c r="B101" s="37"/>
      <c r="C101" s="1537"/>
      <c r="D101" s="1497"/>
      <c r="E101" s="1191" t="s">
        <v>8</v>
      </c>
      <c r="F101" s="1189" t="s">
        <v>9</v>
      </c>
      <c r="G101" s="1497"/>
      <c r="H101" s="269" t="s">
        <v>1397</v>
      </c>
      <c r="I101" s="270" t="s">
        <v>1395</v>
      </c>
      <c r="J101" s="271" t="s">
        <v>1396</v>
      </c>
      <c r="K101" s="237"/>
      <c r="L101" s="237"/>
      <c r="M101" s="1101"/>
      <c r="N101" s="240"/>
      <c r="O101" s="240"/>
      <c r="P101" s="240"/>
      <c r="Q101" s="240"/>
      <c r="R101" s="240"/>
      <c r="S101" s="218"/>
      <c r="T101" s="218"/>
      <c r="U101" s="218"/>
      <c r="V101" s="218"/>
      <c r="W101" s="218"/>
      <c r="X101" s="218"/>
      <c r="Y101" s="254"/>
      <c r="Z101" s="254"/>
      <c r="AA101" s="254"/>
      <c r="AB101" s="254"/>
      <c r="AC101" s="254"/>
      <c r="AD101" s="254"/>
      <c r="AE101" s="254"/>
      <c r="AF101" s="254"/>
      <c r="AG101" s="254"/>
      <c r="AH101" s="254"/>
      <c r="AI101" s="254"/>
      <c r="AJ101" s="254"/>
      <c r="AK101" s="254"/>
      <c r="AL101" s="254"/>
      <c r="AM101" s="254"/>
      <c r="AN101" s="254"/>
      <c r="AO101" s="254"/>
      <c r="AP101" s="254"/>
      <c r="AQ101" s="254"/>
      <c r="AR101" s="254"/>
      <c r="AS101" s="254"/>
      <c r="AT101" s="254"/>
      <c r="AU101" s="254"/>
      <c r="AV101" s="254"/>
      <c r="AW101" s="254"/>
      <c r="AX101" s="254"/>
      <c r="AY101" s="254"/>
      <c r="AZ101" s="254"/>
      <c r="BA101" s="254"/>
      <c r="BB101" s="254"/>
      <c r="BC101" s="254"/>
      <c r="BD101" s="254"/>
      <c r="BE101" s="254"/>
      <c r="BF101" s="254"/>
      <c r="BG101" s="254"/>
      <c r="BH101" s="254"/>
      <c r="BI101" s="254"/>
      <c r="BJ101" s="254"/>
      <c r="BK101" s="254"/>
      <c r="BL101" s="254"/>
      <c r="BM101" s="254"/>
      <c r="BN101" s="254"/>
      <c r="BO101" s="254"/>
      <c r="BP101" s="254"/>
      <c r="BQ101" s="254"/>
      <c r="BR101" s="254"/>
      <c r="BS101" s="254"/>
      <c r="BT101" s="254"/>
      <c r="BU101" s="254"/>
      <c r="BV101" s="254"/>
      <c r="BW101" s="35"/>
      <c r="BX101" s="35"/>
      <c r="BY101" s="35"/>
      <c r="BZ101" s="35"/>
      <c r="CA101" s="35"/>
      <c r="CB101" s="35"/>
      <c r="CC101" s="35"/>
      <c r="CD101" s="35"/>
      <c r="CE101" s="35"/>
      <c r="CF101" s="35"/>
      <c r="CG101" s="35"/>
      <c r="CH101" s="35"/>
    </row>
    <row r="102" spans="1:86" s="25" customFormat="1" ht="15.75" customHeight="1" outlineLevel="1" x14ac:dyDescent="0.25">
      <c r="A102" s="36"/>
      <c r="B102" s="37"/>
      <c r="C102" s="224" t="s">
        <v>1856</v>
      </c>
      <c r="D102" s="224" t="s">
        <v>11</v>
      </c>
      <c r="E102" s="225"/>
      <c r="F102" s="287"/>
      <c r="G102" s="226"/>
      <c r="H102" s="262">
        <f>0.00146879660912*1000</f>
        <v>1.46879660912</v>
      </c>
      <c r="I102" s="263">
        <f>18*F102*E102*4186.8/10^12</f>
        <v>0</v>
      </c>
      <c r="J102" s="264">
        <f>V65</f>
        <v>5.04E-6</v>
      </c>
      <c r="K102" s="237"/>
      <c r="L102" s="237"/>
      <c r="M102" s="1101"/>
      <c r="N102" s="240"/>
      <c r="O102" s="240"/>
      <c r="P102" s="240"/>
      <c r="Q102" s="240"/>
      <c r="R102" s="240"/>
      <c r="S102" s="218"/>
      <c r="T102" s="218"/>
      <c r="U102" s="218"/>
      <c r="V102" s="218"/>
      <c r="W102" s="218"/>
      <c r="X102" s="218"/>
      <c r="Y102" s="254"/>
      <c r="Z102" s="254"/>
      <c r="AA102" s="254"/>
      <c r="AB102" s="254"/>
      <c r="AC102" s="254"/>
      <c r="AD102" s="254"/>
      <c r="AE102" s="254"/>
      <c r="AF102" s="254"/>
      <c r="AG102" s="254"/>
      <c r="AH102" s="254"/>
      <c r="AI102" s="254"/>
      <c r="AJ102" s="254"/>
      <c r="AK102" s="254"/>
      <c r="AL102" s="254"/>
      <c r="AM102" s="254"/>
      <c r="AN102" s="254"/>
      <c r="AO102" s="254"/>
      <c r="AP102" s="254"/>
      <c r="AQ102" s="254"/>
      <c r="AR102" s="254"/>
      <c r="AS102" s="254"/>
      <c r="AT102" s="254"/>
      <c r="AU102" s="254"/>
      <c r="AV102" s="254"/>
      <c r="AW102" s="254"/>
      <c r="AX102" s="254"/>
      <c r="AY102" s="254"/>
      <c r="AZ102" s="254"/>
      <c r="BA102" s="254"/>
      <c r="BB102" s="254"/>
      <c r="BC102" s="254"/>
      <c r="BD102" s="254"/>
      <c r="BE102" s="254"/>
      <c r="BF102" s="254"/>
      <c r="BG102" s="254"/>
      <c r="BH102" s="254"/>
      <c r="BI102" s="254"/>
      <c r="BJ102" s="254"/>
      <c r="BK102" s="254"/>
      <c r="BL102" s="254"/>
      <c r="BM102" s="254"/>
      <c r="BN102" s="254"/>
      <c r="BO102" s="254"/>
      <c r="BP102" s="254"/>
      <c r="BQ102" s="254"/>
      <c r="BR102" s="254"/>
      <c r="BS102" s="254"/>
      <c r="BT102" s="254"/>
      <c r="BU102" s="254"/>
      <c r="BV102" s="254"/>
      <c r="BW102" s="35"/>
      <c r="BX102" s="35"/>
      <c r="BY102" s="35"/>
      <c r="BZ102" s="35"/>
      <c r="CA102" s="35"/>
      <c r="CB102" s="35"/>
      <c r="CC102" s="35"/>
      <c r="CD102" s="35"/>
      <c r="CE102" s="35"/>
      <c r="CF102" s="35"/>
      <c r="CG102" s="35"/>
      <c r="CH102" s="35"/>
    </row>
    <row r="103" spans="1:86" s="25" customFormat="1" ht="15.75" customHeight="1" outlineLevel="1" x14ac:dyDescent="0.25">
      <c r="A103" s="36"/>
      <c r="B103" s="37"/>
      <c r="C103" s="224" t="s">
        <v>429</v>
      </c>
      <c r="D103" s="224" t="s">
        <v>11</v>
      </c>
      <c r="E103" s="225"/>
      <c r="F103" s="287"/>
      <c r="G103" s="226"/>
      <c r="H103" s="262">
        <f>0.00249906761192*1000</f>
        <v>2.4990676119200002</v>
      </c>
      <c r="I103" s="263">
        <f>Q61</f>
        <v>2.7E-4</v>
      </c>
      <c r="J103" s="264">
        <f>V61</f>
        <v>1.6199999999999997E-5</v>
      </c>
      <c r="K103" s="237"/>
      <c r="L103" s="237"/>
      <c r="M103" s="1101"/>
      <c r="N103" s="240"/>
      <c r="O103" s="240"/>
      <c r="P103" s="240"/>
      <c r="Q103" s="240"/>
      <c r="R103" s="240"/>
      <c r="S103" s="218"/>
      <c r="T103" s="218"/>
      <c r="U103" s="218"/>
      <c r="V103" s="218"/>
      <c r="W103" s="218"/>
      <c r="X103" s="218"/>
      <c r="Y103" s="254"/>
      <c r="Z103" s="254"/>
      <c r="AA103" s="254"/>
      <c r="AB103" s="254"/>
      <c r="AC103" s="254"/>
      <c r="AD103" s="254"/>
      <c r="AE103" s="254"/>
      <c r="AF103" s="254"/>
      <c r="AG103" s="254"/>
      <c r="AH103" s="254"/>
      <c r="AI103" s="254"/>
      <c r="AJ103" s="254"/>
      <c r="AK103" s="254"/>
      <c r="AL103" s="254"/>
      <c r="AM103" s="254"/>
      <c r="AN103" s="254"/>
      <c r="AO103" s="254"/>
      <c r="AP103" s="254"/>
      <c r="AQ103" s="254"/>
      <c r="AR103" s="254"/>
      <c r="AS103" s="254"/>
      <c r="AT103" s="254"/>
      <c r="AU103" s="254"/>
      <c r="AV103" s="254"/>
      <c r="AW103" s="254"/>
      <c r="AX103" s="254"/>
      <c r="AY103" s="254"/>
      <c r="AZ103" s="254"/>
      <c r="BA103" s="254"/>
      <c r="BB103" s="254"/>
      <c r="BC103" s="254"/>
      <c r="BD103" s="254"/>
      <c r="BE103" s="254"/>
      <c r="BF103" s="254"/>
      <c r="BG103" s="254"/>
      <c r="BH103" s="254"/>
      <c r="BI103" s="254"/>
      <c r="BJ103" s="254"/>
      <c r="BK103" s="254"/>
      <c r="BL103" s="254"/>
      <c r="BM103" s="254"/>
      <c r="BN103" s="254"/>
      <c r="BO103" s="254"/>
      <c r="BP103" s="254"/>
      <c r="BQ103" s="254"/>
      <c r="BR103" s="254"/>
      <c r="BS103" s="254"/>
      <c r="BT103" s="254"/>
      <c r="BU103" s="254"/>
      <c r="BV103" s="254"/>
      <c r="BW103" s="35"/>
      <c r="BX103" s="35"/>
      <c r="BY103" s="35"/>
      <c r="BZ103" s="35"/>
      <c r="CA103" s="35"/>
      <c r="CB103" s="35"/>
      <c r="CC103" s="35"/>
      <c r="CD103" s="35"/>
      <c r="CE103" s="35"/>
      <c r="CF103" s="35"/>
      <c r="CG103" s="35"/>
      <c r="CH103" s="35"/>
    </row>
    <row r="104" spans="1:86" s="25" customFormat="1" ht="15.75" customHeight="1" outlineLevel="1" x14ac:dyDescent="0.25">
      <c r="A104" s="36"/>
      <c r="B104" s="37"/>
      <c r="C104" s="224" t="s">
        <v>12</v>
      </c>
      <c r="D104" s="224" t="s">
        <v>11</v>
      </c>
      <c r="E104" s="225">
        <v>6750</v>
      </c>
      <c r="F104" s="287">
        <v>0.79100000000000004</v>
      </c>
      <c r="G104" s="226" t="s">
        <v>621</v>
      </c>
      <c r="H104" s="262">
        <v>1.526</v>
      </c>
      <c r="I104" s="263">
        <f>Q69</f>
        <v>2.7399999999999999E-4</v>
      </c>
      <c r="J104" s="264">
        <f>V69</f>
        <v>1.6439999999999998E-5</v>
      </c>
      <c r="K104" s="237"/>
      <c r="L104" s="237"/>
      <c r="M104" s="1101"/>
      <c r="N104" s="240"/>
      <c r="O104" s="240"/>
      <c r="P104" s="240"/>
      <c r="Q104" s="240"/>
      <c r="R104" s="240"/>
      <c r="S104" s="218"/>
      <c r="T104" s="218"/>
      <c r="U104" s="218"/>
      <c r="V104" s="218"/>
      <c r="W104" s="218"/>
      <c r="X104" s="218"/>
      <c r="Y104" s="254"/>
      <c r="Z104" s="254"/>
      <c r="AA104" s="254"/>
      <c r="AB104" s="254"/>
      <c r="AC104" s="254"/>
      <c r="AD104" s="254"/>
      <c r="AE104" s="254"/>
      <c r="AF104" s="254"/>
      <c r="AG104" s="254"/>
      <c r="AH104" s="254"/>
      <c r="AI104" s="254"/>
      <c r="AJ104" s="254"/>
      <c r="AK104" s="254"/>
      <c r="AL104" s="254"/>
      <c r="AM104" s="254"/>
      <c r="AN104" s="254"/>
      <c r="AO104" s="254"/>
      <c r="AP104" s="254"/>
      <c r="AQ104" s="254"/>
      <c r="AR104" s="254"/>
      <c r="AS104" s="254"/>
      <c r="AT104" s="254"/>
      <c r="AU104" s="254"/>
      <c r="AV104" s="254"/>
      <c r="AW104" s="254"/>
      <c r="AX104" s="254"/>
      <c r="AY104" s="254"/>
      <c r="AZ104" s="254"/>
      <c r="BA104" s="254"/>
      <c r="BB104" s="254"/>
      <c r="BC104" s="254"/>
      <c r="BD104" s="254"/>
      <c r="BE104" s="254"/>
      <c r="BF104" s="254"/>
      <c r="BG104" s="254"/>
      <c r="BH104" s="254"/>
      <c r="BI104" s="254"/>
      <c r="BJ104" s="254"/>
      <c r="BK104" s="254"/>
      <c r="BL104" s="254"/>
      <c r="BM104" s="254"/>
      <c r="BN104" s="254"/>
      <c r="BO104" s="254"/>
      <c r="BP104" s="254"/>
      <c r="BQ104" s="254"/>
      <c r="BR104" s="254"/>
      <c r="BS104" s="254"/>
      <c r="BT104" s="254"/>
      <c r="BU104" s="254"/>
      <c r="BV104" s="254"/>
      <c r="BW104" s="35"/>
      <c r="BX104" s="35"/>
      <c r="BY104" s="35"/>
      <c r="BZ104" s="35"/>
      <c r="CA104" s="35"/>
      <c r="CB104" s="35"/>
      <c r="CC104" s="35"/>
      <c r="CD104" s="35"/>
      <c r="CE104" s="35"/>
      <c r="CF104" s="35"/>
      <c r="CG104" s="35"/>
      <c r="CH104" s="35"/>
    </row>
    <row r="105" spans="1:86" ht="15.75" customHeight="1" outlineLevel="1" x14ac:dyDescent="0.25">
      <c r="A105" s="9"/>
      <c r="B105" s="14"/>
      <c r="C105" s="1546" t="s">
        <v>578</v>
      </c>
      <c r="D105" s="1547"/>
      <c r="E105" s="1547"/>
      <c r="F105" s="1548"/>
      <c r="G105" s="272"/>
      <c r="H105" s="273"/>
      <c r="I105" s="273"/>
      <c r="J105" s="273"/>
      <c r="K105" s="237"/>
      <c r="L105" s="237"/>
      <c r="M105" s="256"/>
      <c r="N105" s="256"/>
      <c r="O105" s="256"/>
      <c r="P105" s="256"/>
      <c r="Q105" s="256"/>
      <c r="R105" s="256"/>
      <c r="S105" s="256"/>
      <c r="T105" s="256"/>
      <c r="U105" s="256"/>
      <c r="V105" s="256"/>
      <c r="W105" s="256"/>
      <c r="X105" s="256"/>
      <c r="Y105" s="218"/>
      <c r="Z105" s="218"/>
      <c r="AA105" s="218"/>
      <c r="AB105" s="218"/>
      <c r="AC105" s="218"/>
      <c r="AD105" s="218"/>
      <c r="AE105" s="218"/>
      <c r="AF105" s="218"/>
      <c r="AG105" s="218"/>
      <c r="AH105" s="218"/>
      <c r="AI105" s="218"/>
      <c r="AJ105" s="218"/>
      <c r="AK105" s="218"/>
      <c r="AL105" s="218"/>
      <c r="AM105" s="218"/>
      <c r="AN105" s="218"/>
      <c r="AO105" s="218"/>
      <c r="AP105" s="218"/>
      <c r="AQ105" s="218"/>
      <c r="AR105" s="218"/>
      <c r="AS105" s="218"/>
      <c r="AT105" s="218"/>
      <c r="AU105" s="218"/>
      <c r="AV105" s="218"/>
      <c r="AW105" s="218"/>
      <c r="AX105" s="218"/>
      <c r="AY105" s="218"/>
      <c r="AZ105" s="218"/>
      <c r="BA105" s="218"/>
      <c r="BB105" s="218"/>
      <c r="BC105" s="218"/>
      <c r="BD105" s="218"/>
      <c r="BE105" s="218"/>
      <c r="BF105" s="218"/>
      <c r="BG105" s="218"/>
      <c r="BH105" s="218"/>
      <c r="BI105" s="218"/>
      <c r="BJ105" s="218"/>
      <c r="BK105" s="218"/>
      <c r="BL105" s="218"/>
      <c r="BM105" s="218"/>
      <c r="BN105" s="218"/>
      <c r="BO105" s="218"/>
      <c r="BP105" s="218"/>
      <c r="BQ105" s="218"/>
      <c r="BR105" s="218"/>
      <c r="BS105" s="218"/>
      <c r="BT105" s="218"/>
      <c r="BU105" s="218"/>
      <c r="BV105" s="218"/>
      <c r="BW105" s="14"/>
      <c r="BX105" s="14"/>
      <c r="BY105" s="33"/>
      <c r="BZ105" s="14"/>
      <c r="CA105" s="14"/>
      <c r="CB105" s="33"/>
      <c r="CC105" s="33"/>
      <c r="CD105" s="14"/>
      <c r="CE105" s="14"/>
      <c r="CF105" s="14"/>
      <c r="CG105" s="14"/>
      <c r="CH105" s="14"/>
    </row>
    <row r="106" spans="1:86" s="94" customFormat="1" ht="15.75" customHeight="1" outlineLevel="1" x14ac:dyDescent="0.25">
      <c r="A106" s="24"/>
      <c r="B106" s="8"/>
      <c r="C106" s="274"/>
      <c r="D106" s="275"/>
      <c r="E106" s="275"/>
      <c r="F106" s="274"/>
      <c r="G106" s="276"/>
      <c r="H106" s="277"/>
      <c r="I106" s="277"/>
      <c r="J106" s="277"/>
      <c r="K106" s="237"/>
      <c r="L106" s="237"/>
      <c r="M106" s="277"/>
      <c r="N106" s="277"/>
      <c r="O106" s="277"/>
      <c r="P106" s="277"/>
      <c r="Q106" s="277"/>
      <c r="R106" s="277"/>
      <c r="S106" s="277"/>
      <c r="T106" s="277"/>
      <c r="U106" s="277"/>
      <c r="V106" s="277"/>
      <c r="W106" s="277"/>
      <c r="X106" s="277"/>
      <c r="Y106" s="252"/>
      <c r="Z106" s="252"/>
      <c r="AA106" s="252"/>
      <c r="AB106" s="252"/>
      <c r="AC106" s="252"/>
      <c r="AD106" s="252"/>
      <c r="AE106" s="252"/>
      <c r="AF106" s="252"/>
      <c r="AG106" s="252"/>
      <c r="AH106" s="252"/>
      <c r="AI106" s="252"/>
      <c r="AJ106" s="252"/>
      <c r="AK106" s="252"/>
      <c r="AL106" s="252"/>
      <c r="AM106" s="252"/>
      <c r="AN106" s="252"/>
      <c r="AO106" s="252"/>
      <c r="AP106" s="252"/>
      <c r="AQ106" s="252"/>
      <c r="AR106" s="252"/>
      <c r="AS106" s="252"/>
      <c r="AT106" s="252"/>
      <c r="AU106" s="252"/>
      <c r="AV106" s="252"/>
      <c r="AW106" s="252"/>
      <c r="AX106" s="252"/>
      <c r="AY106" s="252"/>
      <c r="AZ106" s="252"/>
      <c r="BA106" s="252"/>
      <c r="BB106" s="252"/>
      <c r="BC106" s="252"/>
      <c r="BD106" s="252"/>
      <c r="BE106" s="252"/>
      <c r="BF106" s="252"/>
      <c r="BG106" s="252"/>
      <c r="BH106" s="252"/>
      <c r="BI106" s="252"/>
      <c r="BJ106" s="252"/>
      <c r="BK106" s="252"/>
      <c r="BL106" s="252"/>
      <c r="BM106" s="252"/>
      <c r="BN106" s="252"/>
      <c r="BO106" s="252"/>
      <c r="BP106" s="252"/>
      <c r="BQ106" s="252"/>
      <c r="BR106" s="252"/>
      <c r="BS106" s="252"/>
      <c r="BT106" s="252"/>
      <c r="BU106" s="252"/>
      <c r="BV106" s="252"/>
      <c r="BW106" s="8"/>
      <c r="BX106" s="8"/>
      <c r="BY106" s="8"/>
      <c r="BZ106" s="8"/>
      <c r="CA106" s="8"/>
      <c r="CB106" s="8"/>
      <c r="CC106" s="8"/>
      <c r="CD106" s="8"/>
      <c r="CE106" s="8"/>
      <c r="CF106" s="8"/>
      <c r="CG106" s="8"/>
      <c r="CH106" s="8"/>
    </row>
    <row r="107" spans="1:86" ht="15" customHeight="1" outlineLevel="1" x14ac:dyDescent="0.25">
      <c r="A107" s="24"/>
      <c r="B107" s="8"/>
      <c r="C107" s="274"/>
      <c r="D107" s="274"/>
      <c r="E107" s="274"/>
      <c r="F107" s="274"/>
      <c r="G107" s="276"/>
      <c r="H107" s="277"/>
      <c r="I107" s="277"/>
      <c r="J107" s="277"/>
      <c r="K107" s="277"/>
      <c r="L107" s="277"/>
      <c r="M107" s="277"/>
      <c r="N107" s="277"/>
      <c r="O107" s="277"/>
      <c r="P107" s="277"/>
      <c r="Q107" s="277"/>
      <c r="R107" s="277"/>
      <c r="S107" s="277"/>
      <c r="T107" s="277"/>
      <c r="U107" s="277"/>
      <c r="V107" s="277"/>
      <c r="W107" s="277"/>
      <c r="X107" s="277"/>
      <c r="Y107" s="252"/>
      <c r="Z107" s="252"/>
      <c r="AA107" s="252"/>
      <c r="AB107" s="252"/>
      <c r="AC107" s="252"/>
      <c r="AD107" s="252"/>
      <c r="AE107" s="252"/>
      <c r="AF107" s="252"/>
      <c r="AG107" s="252"/>
      <c r="AH107" s="252"/>
      <c r="AI107" s="252"/>
      <c r="AJ107" s="252"/>
      <c r="AK107" s="252"/>
      <c r="AL107" s="252"/>
      <c r="AM107" s="252"/>
      <c r="AN107" s="252"/>
      <c r="AO107" s="252"/>
      <c r="AP107" s="252"/>
      <c r="AQ107" s="252"/>
      <c r="AR107" s="252"/>
      <c r="AS107" s="252"/>
      <c r="AT107" s="252"/>
      <c r="AU107" s="252"/>
      <c r="AV107" s="252"/>
      <c r="AW107" s="252"/>
      <c r="AX107" s="252"/>
      <c r="AY107" s="252"/>
      <c r="AZ107" s="252"/>
      <c r="BA107" s="252"/>
      <c r="BB107" s="252"/>
      <c r="BC107" s="252"/>
      <c r="BD107" s="252"/>
      <c r="BE107" s="252"/>
      <c r="BF107" s="252"/>
      <c r="BG107" s="252"/>
      <c r="BH107" s="252"/>
      <c r="BI107" s="252"/>
      <c r="BJ107" s="252"/>
      <c r="BK107" s="252"/>
      <c r="BL107" s="252"/>
      <c r="BM107" s="252"/>
      <c r="BN107" s="252"/>
      <c r="BO107" s="252"/>
      <c r="BP107" s="252"/>
      <c r="BQ107" s="252"/>
      <c r="BR107" s="252"/>
      <c r="BS107" s="252"/>
      <c r="BT107" s="252"/>
      <c r="BU107" s="252"/>
      <c r="BV107" s="252"/>
      <c r="BW107" s="8"/>
      <c r="BX107" s="8"/>
      <c r="BY107" s="8"/>
      <c r="BZ107" s="8"/>
      <c r="CA107" s="8"/>
      <c r="CB107" s="8"/>
      <c r="CC107" s="8"/>
      <c r="CD107" s="8"/>
      <c r="CE107" s="8"/>
      <c r="CF107" s="8"/>
      <c r="CG107" s="8"/>
      <c r="CH107" s="8"/>
    </row>
    <row r="108" spans="1:86" ht="15.75" customHeight="1" outlineLevel="1" x14ac:dyDescent="0.3">
      <c r="A108" s="71"/>
      <c r="B108" s="250" t="s">
        <v>198</v>
      </c>
      <c r="C108" s="251" t="s">
        <v>1545</v>
      </c>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8"/>
      <c r="AB108" s="278"/>
      <c r="AC108" s="278"/>
      <c r="AD108" s="278"/>
      <c r="AE108" s="278"/>
      <c r="AF108" s="278"/>
      <c r="AG108" s="278"/>
      <c r="AH108" s="278"/>
      <c r="AI108" s="279"/>
      <c r="AJ108" s="278"/>
      <c r="AK108" s="278"/>
      <c r="AL108" s="278"/>
      <c r="AM108" s="278"/>
      <c r="AN108" s="278"/>
      <c r="AO108" s="278"/>
      <c r="AP108" s="278"/>
      <c r="AQ108" s="278"/>
      <c r="AR108" s="278"/>
      <c r="AS108" s="278"/>
      <c r="AT108" s="278"/>
      <c r="AU108" s="278"/>
      <c r="AV108" s="278"/>
      <c r="AW108" s="278"/>
      <c r="AX108" s="278"/>
      <c r="AY108" s="278"/>
      <c r="AZ108" s="278"/>
      <c r="BA108" s="278"/>
      <c r="BB108" s="278"/>
      <c r="BC108" s="278"/>
      <c r="BD108" s="278"/>
      <c r="BE108" s="278"/>
      <c r="BF108" s="278"/>
      <c r="BG108" s="278"/>
      <c r="BH108" s="278"/>
      <c r="BI108" s="278"/>
      <c r="BJ108" s="278"/>
      <c r="BK108" s="278"/>
      <c r="BL108" s="278"/>
      <c r="BM108" s="278"/>
      <c r="BN108" s="278"/>
      <c r="BO108" s="278"/>
      <c r="BP108" s="278"/>
      <c r="BQ108" s="278"/>
      <c r="BR108" s="278"/>
      <c r="BS108" s="278"/>
      <c r="BT108" s="278"/>
      <c r="BU108" s="278"/>
      <c r="BV108" s="278"/>
      <c r="BW108" s="73"/>
      <c r="BX108" s="73"/>
      <c r="BY108" s="73"/>
      <c r="BZ108" s="73"/>
      <c r="CA108" s="73"/>
      <c r="CB108" s="73"/>
      <c r="CC108" s="73"/>
      <c r="CD108" s="73"/>
      <c r="CE108" s="73"/>
      <c r="CF108" s="73"/>
      <c r="CG108" s="73"/>
      <c r="CH108" s="73"/>
    </row>
    <row r="109" spans="1:86" s="94" customFormat="1" ht="15.75" customHeight="1" outlineLevel="1" x14ac:dyDescent="0.3">
      <c r="A109" s="71"/>
      <c r="B109" s="250"/>
      <c r="C109" s="251"/>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8"/>
      <c r="AB109" s="278"/>
      <c r="AC109" s="278"/>
      <c r="AD109" s="278"/>
      <c r="AE109" s="278"/>
      <c r="AF109" s="278"/>
      <c r="AG109" s="278"/>
      <c r="AH109" s="278"/>
      <c r="AI109" s="279"/>
      <c r="AJ109" s="278"/>
      <c r="AK109" s="278"/>
      <c r="AL109" s="278"/>
      <c r="AM109" s="278"/>
      <c r="AN109" s="278"/>
      <c r="AO109" s="278"/>
      <c r="AP109" s="278"/>
      <c r="AQ109" s="278"/>
      <c r="AR109" s="278"/>
      <c r="AS109" s="278"/>
      <c r="AT109" s="278"/>
      <c r="AU109" s="278"/>
      <c r="AV109" s="278"/>
      <c r="AW109" s="278"/>
      <c r="AX109" s="278"/>
      <c r="AY109" s="278"/>
      <c r="AZ109" s="278"/>
      <c r="BA109" s="278"/>
      <c r="BB109" s="278"/>
      <c r="BC109" s="278"/>
      <c r="BD109" s="278"/>
      <c r="BE109" s="278"/>
      <c r="BF109" s="278"/>
      <c r="BG109" s="278"/>
      <c r="BH109" s="278"/>
      <c r="BI109" s="278"/>
      <c r="BJ109" s="278"/>
      <c r="BK109" s="278"/>
      <c r="BL109" s="278"/>
      <c r="BM109" s="278"/>
      <c r="BN109" s="278"/>
      <c r="BO109" s="278"/>
      <c r="BP109" s="278"/>
      <c r="BQ109" s="278"/>
      <c r="BR109" s="278"/>
      <c r="BS109" s="278"/>
      <c r="BT109" s="278"/>
      <c r="BU109" s="278"/>
      <c r="BV109" s="278"/>
      <c r="BW109" s="73"/>
      <c r="BX109" s="73"/>
      <c r="BY109" s="73"/>
      <c r="BZ109" s="73"/>
      <c r="CA109" s="73"/>
      <c r="CB109" s="73"/>
      <c r="CC109" s="73"/>
      <c r="CD109" s="73"/>
      <c r="CE109" s="73"/>
      <c r="CF109" s="73"/>
      <c r="CG109" s="73"/>
      <c r="CH109" s="73"/>
    </row>
    <row r="110" spans="1:86" ht="15.75" customHeight="1" outlineLevel="1" x14ac:dyDescent="0.25">
      <c r="A110" s="13"/>
      <c r="B110" s="18"/>
      <c r="C110" s="217" t="s">
        <v>1737</v>
      </c>
      <c r="D110" s="280"/>
      <c r="E110" s="273"/>
      <c r="F110" s="273"/>
      <c r="G110" s="273"/>
      <c r="H110" s="273"/>
      <c r="I110" s="273"/>
      <c r="J110" s="273"/>
      <c r="K110" s="273"/>
      <c r="L110" s="273"/>
      <c r="M110" s="273"/>
      <c r="N110" s="273"/>
      <c r="O110" s="273"/>
      <c r="P110" s="273"/>
      <c r="Q110" s="273"/>
      <c r="R110" s="273"/>
      <c r="S110" s="281"/>
      <c r="T110" s="281"/>
      <c r="U110" s="281"/>
      <c r="V110" s="281"/>
      <c r="W110" s="281"/>
      <c r="X110" s="282"/>
      <c r="Y110" s="282"/>
      <c r="Z110" s="282"/>
      <c r="AA110" s="282"/>
      <c r="AB110" s="282"/>
      <c r="AC110" s="282"/>
      <c r="AD110" s="282"/>
      <c r="AE110" s="282"/>
      <c r="AF110" s="282"/>
      <c r="AG110" s="281"/>
      <c r="AH110" s="281"/>
      <c r="AI110" s="281"/>
      <c r="AJ110" s="281"/>
      <c r="AK110" s="281"/>
      <c r="AL110" s="281"/>
      <c r="AM110" s="281"/>
      <c r="AN110" s="281"/>
      <c r="AO110" s="281"/>
      <c r="AP110" s="281"/>
      <c r="AQ110" s="281"/>
      <c r="AR110" s="281"/>
      <c r="AS110" s="281"/>
      <c r="AT110" s="281"/>
      <c r="AU110" s="281"/>
      <c r="AV110" s="281"/>
      <c r="AW110" s="281"/>
      <c r="AX110" s="281"/>
      <c r="AY110" s="281"/>
      <c r="AZ110" s="281"/>
      <c r="BA110" s="281"/>
      <c r="BB110" s="281"/>
      <c r="BC110" s="281"/>
      <c r="BD110" s="281"/>
      <c r="BE110" s="281"/>
      <c r="BF110" s="281"/>
      <c r="BG110" s="281"/>
      <c r="BH110" s="281"/>
      <c r="BI110" s="281"/>
      <c r="BJ110" s="281"/>
      <c r="BK110" s="281"/>
      <c r="BL110" s="281"/>
      <c r="BM110" s="281"/>
      <c r="BN110" s="281"/>
      <c r="BO110" s="281"/>
      <c r="BP110" s="281"/>
      <c r="BQ110" s="281"/>
      <c r="BR110" s="281"/>
      <c r="BS110" s="281"/>
      <c r="BT110" s="281"/>
      <c r="BU110" s="281"/>
      <c r="BV110" s="281"/>
      <c r="BW110" s="21"/>
      <c r="BX110" s="21"/>
      <c r="BY110" s="21"/>
      <c r="BZ110" s="21"/>
      <c r="CA110" s="21"/>
      <c r="CB110" s="21"/>
      <c r="CC110" s="21"/>
      <c r="CD110" s="21"/>
      <c r="CE110" s="21"/>
      <c r="CF110" s="21"/>
      <c r="CG110" s="21"/>
      <c r="CH110" s="21"/>
    </row>
    <row r="111" spans="1:86" ht="15.75" customHeight="1" outlineLevel="1" x14ac:dyDescent="0.2">
      <c r="A111" s="12"/>
      <c r="B111" s="10"/>
      <c r="C111" s="1475" t="s">
        <v>1577</v>
      </c>
      <c r="D111" s="1539" t="s">
        <v>1578</v>
      </c>
      <c r="E111" s="1527" t="s">
        <v>1579</v>
      </c>
      <c r="F111" s="1526" t="s">
        <v>1580</v>
      </c>
      <c r="G111" s="1526"/>
      <c r="H111" s="1526"/>
      <c r="I111" s="1526"/>
      <c r="J111" s="1526"/>
      <c r="K111" s="1526"/>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row>
    <row r="112" spans="1:86" ht="15.75" customHeight="1" outlineLevel="1" x14ac:dyDescent="0.2">
      <c r="A112" s="12"/>
      <c r="B112" s="10"/>
      <c r="C112" s="1476"/>
      <c r="D112" s="1539"/>
      <c r="E112" s="1528"/>
      <c r="F112" s="1526" t="s">
        <v>1536</v>
      </c>
      <c r="G112" s="1526"/>
      <c r="H112" s="1526" t="s">
        <v>1540</v>
      </c>
      <c r="I112" s="1526"/>
      <c r="J112" s="1526" t="s">
        <v>1541</v>
      </c>
      <c r="K112" s="1526"/>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row>
    <row r="113" spans="1:86" ht="15.75" customHeight="1" outlineLevel="1" x14ac:dyDescent="0.2">
      <c r="A113" s="38"/>
      <c r="B113" s="45"/>
      <c r="C113" s="1476"/>
      <c r="D113" s="1540"/>
      <c r="E113" s="1529"/>
      <c r="F113" s="1005" t="s">
        <v>1537</v>
      </c>
      <c r="G113" s="1005" t="s">
        <v>1538</v>
      </c>
      <c r="H113" s="1005" t="s">
        <v>1537</v>
      </c>
      <c r="I113" s="1005" t="s">
        <v>1538</v>
      </c>
      <c r="J113" s="1005" t="s">
        <v>1537</v>
      </c>
      <c r="K113" s="1005" t="s">
        <v>1538</v>
      </c>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row>
    <row r="114" spans="1:86" s="1012" customFormat="1" ht="15.75" customHeight="1" outlineLevel="1" x14ac:dyDescent="0.2">
      <c r="A114" s="1010"/>
      <c r="B114" s="1011"/>
      <c r="C114" s="1014" t="s">
        <v>1535</v>
      </c>
      <c r="D114" s="1015" t="s">
        <v>92</v>
      </c>
      <c r="E114" s="1015" t="s">
        <v>1535</v>
      </c>
      <c r="F114" s="1015">
        <f>0.0001523*1000</f>
        <v>0.15229999999999999</v>
      </c>
      <c r="G114" s="1015" t="s">
        <v>1539</v>
      </c>
      <c r="H114" s="1015">
        <v>1.6999999999999998E-6</v>
      </c>
      <c r="I114" s="1015" t="s">
        <v>1539</v>
      </c>
      <c r="J114" s="1015">
        <v>3.8E-6</v>
      </c>
      <c r="K114" s="1015" t="s">
        <v>1539</v>
      </c>
    </row>
    <row r="115" spans="1:86" s="1012" customFormat="1" ht="15.75" customHeight="1" outlineLevel="1" x14ac:dyDescent="0.2">
      <c r="A115" s="1010"/>
      <c r="B115" s="1011"/>
      <c r="C115" s="1016" t="s">
        <v>1582</v>
      </c>
      <c r="D115" s="1017" t="s">
        <v>1600</v>
      </c>
      <c r="E115" s="1017" t="s">
        <v>1542</v>
      </c>
      <c r="F115" s="1017">
        <f>0.00015726*1000</f>
        <v>0.15725999999999998</v>
      </c>
      <c r="G115" s="1015" t="s">
        <v>1539</v>
      </c>
      <c r="H115" s="1017">
        <v>9.5200000000000003E-6</v>
      </c>
      <c r="I115" s="1015" t="s">
        <v>1539</v>
      </c>
      <c r="J115" s="1017">
        <v>4.1000000000000006E-6</v>
      </c>
      <c r="K115" s="1015" t="s">
        <v>1539</v>
      </c>
    </row>
    <row r="116" spans="1:86" s="1012" customFormat="1" ht="15.75" customHeight="1" outlineLevel="1" x14ac:dyDescent="0.2">
      <c r="A116" s="1010"/>
      <c r="B116" s="1011"/>
      <c r="C116" s="1016" t="s">
        <v>1581</v>
      </c>
      <c r="D116" s="1017" t="s">
        <v>1600</v>
      </c>
      <c r="E116" s="1017" t="s">
        <v>1543</v>
      </c>
      <c r="F116" s="1017">
        <f>0.00003*1000</f>
        <v>3.0000000000000002E-2</v>
      </c>
      <c r="G116" s="1015" t="s">
        <v>1539</v>
      </c>
      <c r="H116" s="1017">
        <v>3.8099999999999999E-6</v>
      </c>
      <c r="I116" s="1015" t="s">
        <v>1539</v>
      </c>
      <c r="J116" s="1017">
        <v>1.7999999999999997E-6</v>
      </c>
      <c r="K116" s="1015" t="s">
        <v>1539</v>
      </c>
    </row>
    <row r="117" spans="1:86" s="1012" customFormat="1" ht="30" outlineLevel="1" x14ac:dyDescent="0.2">
      <c r="A117" s="1010"/>
      <c r="B117" s="1011"/>
      <c r="C117" s="1501" t="s">
        <v>1583</v>
      </c>
      <c r="D117" s="1017" t="s">
        <v>1584</v>
      </c>
      <c r="E117" s="1017" t="s">
        <v>1601</v>
      </c>
      <c r="F117" s="1017">
        <f>0.00017297*1000</f>
        <v>0.17296999999999998</v>
      </c>
      <c r="G117" s="1015" t="s">
        <v>1544</v>
      </c>
      <c r="H117" s="1017"/>
      <c r="I117" s="1017"/>
      <c r="J117" s="1017"/>
      <c r="K117" s="1017"/>
    </row>
    <row r="118" spans="1:86" s="1012" customFormat="1" ht="30" outlineLevel="1" x14ac:dyDescent="0.2">
      <c r="A118" s="1010"/>
      <c r="B118" s="1011"/>
      <c r="C118" s="1502"/>
      <c r="D118" s="1017" t="s">
        <v>1585</v>
      </c>
      <c r="E118" s="1017" t="s">
        <v>1602</v>
      </c>
      <c r="F118" s="1017">
        <f>0.00021486*1000</f>
        <v>0.21486000000000002</v>
      </c>
      <c r="G118" s="1015" t="s">
        <v>1544</v>
      </c>
      <c r="H118" s="1017"/>
      <c r="I118" s="1017"/>
      <c r="J118" s="1017"/>
      <c r="K118" s="1017"/>
    </row>
    <row r="119" spans="1:86" s="1012" customFormat="1" ht="30" outlineLevel="1" x14ac:dyDescent="0.2">
      <c r="A119" s="1010"/>
      <c r="B119" s="1011"/>
      <c r="C119" s="1502"/>
      <c r="D119" s="1017" t="s">
        <v>1586</v>
      </c>
      <c r="E119" s="1017" t="s">
        <v>1603</v>
      </c>
      <c r="F119" s="1017">
        <f>0.00029937*1000</f>
        <v>0.29936999999999997</v>
      </c>
      <c r="G119" s="1015" t="s">
        <v>1544</v>
      </c>
      <c r="H119" s="1017"/>
      <c r="I119" s="1017"/>
      <c r="J119" s="1017"/>
      <c r="K119" s="1017"/>
    </row>
    <row r="120" spans="1:86" s="1012" customFormat="1" ht="30" outlineLevel="1" x14ac:dyDescent="0.2">
      <c r="A120" s="1010"/>
      <c r="B120" s="1011"/>
      <c r="C120" s="1502"/>
      <c r="D120" s="1017" t="s">
        <v>1587</v>
      </c>
      <c r="E120" s="1017" t="s">
        <v>1604</v>
      </c>
      <c r="F120" s="1017">
        <f>0.00021071*1000</f>
        <v>0.21070999999999998</v>
      </c>
      <c r="G120" s="1015" t="s">
        <v>1544</v>
      </c>
      <c r="H120" s="1017"/>
      <c r="I120" s="1017"/>
      <c r="J120" s="1017"/>
      <c r="K120" s="1017"/>
    </row>
    <row r="121" spans="1:86" s="1012" customFormat="1" ht="30" outlineLevel="1" x14ac:dyDescent="0.2">
      <c r="A121" s="1010"/>
      <c r="B121" s="1011"/>
      <c r="C121" s="1502"/>
      <c r="D121" s="1017" t="s">
        <v>1588</v>
      </c>
      <c r="E121" s="1017" t="s">
        <v>1605</v>
      </c>
      <c r="F121" s="1017">
        <f>0.00014518*1000</f>
        <v>0.14517999999999998</v>
      </c>
      <c r="G121" s="1015" t="s">
        <v>1544</v>
      </c>
      <c r="H121" s="1017"/>
      <c r="I121" s="1017"/>
      <c r="J121" s="1017"/>
      <c r="K121" s="1017"/>
    </row>
    <row r="122" spans="1:86" s="1012" customFormat="1" ht="30" outlineLevel="1" x14ac:dyDescent="0.2">
      <c r="A122" s="1010"/>
      <c r="B122" s="1011"/>
      <c r="C122" s="1502"/>
      <c r="D122" s="1017" t="s">
        <v>1589</v>
      </c>
      <c r="E122" s="1017" t="s">
        <v>1606</v>
      </c>
      <c r="F122" s="1017">
        <f>0.00018097*1000</f>
        <v>0.18096999999999999</v>
      </c>
      <c r="G122" s="1015" t="s">
        <v>1544</v>
      </c>
      <c r="H122" s="1017"/>
      <c r="I122" s="1017"/>
      <c r="J122" s="1017"/>
      <c r="K122" s="1017"/>
    </row>
    <row r="123" spans="1:86" s="1012" customFormat="1" ht="30" outlineLevel="1" x14ac:dyDescent="0.2">
      <c r="A123" s="1010"/>
      <c r="B123" s="1011"/>
      <c r="C123" s="1502"/>
      <c r="D123" s="1017" t="s">
        <v>1590</v>
      </c>
      <c r="E123" s="1017" t="s">
        <v>1607</v>
      </c>
      <c r="F123" s="1017">
        <f>0.00024546*1000</f>
        <v>0.24546000000000001</v>
      </c>
      <c r="G123" s="1015" t="s">
        <v>1544</v>
      </c>
      <c r="H123" s="1017"/>
      <c r="I123" s="1017"/>
      <c r="J123" s="1017"/>
      <c r="K123" s="1017"/>
    </row>
    <row r="124" spans="1:86" s="1012" customFormat="1" ht="30" outlineLevel="1" x14ac:dyDescent="0.2">
      <c r="A124" s="1010"/>
      <c r="B124" s="1011"/>
      <c r="C124" s="1502"/>
      <c r="D124" s="1017" t="s">
        <v>1591</v>
      </c>
      <c r="E124" s="1017" t="s">
        <v>1608</v>
      </c>
      <c r="F124" s="1017">
        <f>0.00019495*1000</f>
        <v>0.19494999999999998</v>
      </c>
      <c r="G124" s="1015" t="s">
        <v>1544</v>
      </c>
      <c r="H124" s="1017"/>
      <c r="I124" s="1017"/>
      <c r="J124" s="1017"/>
      <c r="K124" s="1017"/>
    </row>
    <row r="125" spans="1:86" s="1012" customFormat="1" ht="30" outlineLevel="1" x14ac:dyDescent="0.2">
      <c r="A125" s="1010"/>
      <c r="B125" s="1011"/>
      <c r="C125" s="1502"/>
      <c r="D125" s="1017" t="s">
        <v>1592</v>
      </c>
      <c r="E125" s="1017" t="s">
        <v>1609</v>
      </c>
      <c r="F125" s="1017">
        <f>0.00011914*1000</f>
        <v>0.11914</v>
      </c>
      <c r="G125" s="1015" t="s">
        <v>1544</v>
      </c>
      <c r="H125" s="1017"/>
      <c r="I125" s="1017"/>
      <c r="J125" s="1017"/>
      <c r="K125" s="1017"/>
    </row>
    <row r="126" spans="1:86" s="1012" customFormat="1" ht="30" outlineLevel="1" x14ac:dyDescent="0.2">
      <c r="A126" s="1010"/>
      <c r="B126" s="1011"/>
      <c r="C126" s="1502"/>
      <c r="D126" s="1017" t="s">
        <v>1593</v>
      </c>
      <c r="E126" s="1017" t="s">
        <v>1610</v>
      </c>
      <c r="F126" s="1017">
        <f>0.00021726*1000</f>
        <v>0.21725999999999998</v>
      </c>
      <c r="G126" s="1015" t="s">
        <v>1544</v>
      </c>
      <c r="H126" s="1017"/>
      <c r="I126" s="1017"/>
      <c r="J126" s="1017"/>
      <c r="K126" s="1017"/>
    </row>
    <row r="127" spans="1:86" s="1012" customFormat="1" ht="30" outlineLevel="1" x14ac:dyDescent="0.2">
      <c r="A127" s="1010"/>
      <c r="B127" s="1011"/>
      <c r="C127" s="1502"/>
      <c r="D127" s="1017" t="s">
        <v>1594</v>
      </c>
      <c r="E127" s="1017" t="s">
        <v>1611</v>
      </c>
      <c r="F127" s="1017">
        <f>0.0001647*1000</f>
        <v>0.16469999999999999</v>
      </c>
      <c r="G127" s="1015" t="s">
        <v>1544</v>
      </c>
      <c r="H127" s="1017"/>
      <c r="I127" s="1017"/>
      <c r="J127" s="1017"/>
      <c r="K127" s="1017"/>
    </row>
    <row r="128" spans="1:86" s="1012" customFormat="1" ht="30" outlineLevel="1" x14ac:dyDescent="0.2">
      <c r="A128" s="1010"/>
      <c r="B128" s="1011"/>
      <c r="C128" s="1502"/>
      <c r="D128" s="1017" t="s">
        <v>1595</v>
      </c>
      <c r="E128" s="1017" t="s">
        <v>1612</v>
      </c>
      <c r="F128" s="1017">
        <f>0.00021419*1000</f>
        <v>0.21419000000000002</v>
      </c>
      <c r="G128" s="1015" t="s">
        <v>1544</v>
      </c>
      <c r="H128" s="1017"/>
      <c r="I128" s="1017"/>
      <c r="J128" s="1017"/>
      <c r="K128" s="1017"/>
    </row>
    <row r="129" spans="1:11" s="1012" customFormat="1" ht="30" outlineLevel="1" x14ac:dyDescent="0.2">
      <c r="A129" s="1010"/>
      <c r="B129" s="1011"/>
      <c r="C129" s="1502"/>
      <c r="D129" s="1017" t="s">
        <v>1596</v>
      </c>
      <c r="E129" s="1017" t="s">
        <v>1613</v>
      </c>
      <c r="F129" s="1017">
        <f>0.00026943*1000</f>
        <v>0.26942999999999995</v>
      </c>
      <c r="G129" s="1015" t="s">
        <v>1544</v>
      </c>
      <c r="H129" s="1017"/>
      <c r="I129" s="1017"/>
      <c r="J129" s="1017"/>
      <c r="K129" s="1017"/>
    </row>
    <row r="130" spans="1:11" s="1012" customFormat="1" ht="30" outlineLevel="1" x14ac:dyDescent="0.2">
      <c r="A130" s="1010"/>
      <c r="B130" s="1011"/>
      <c r="C130" s="1502"/>
      <c r="D130" s="1017" t="s">
        <v>1597</v>
      </c>
      <c r="E130" s="1017" t="s">
        <v>1614</v>
      </c>
      <c r="F130" s="1017">
        <f>0.00019337*1000</f>
        <v>0.19336999999999999</v>
      </c>
      <c r="G130" s="1015" t="s">
        <v>1544</v>
      </c>
      <c r="H130" s="1017"/>
      <c r="I130" s="1017"/>
      <c r="J130" s="1017"/>
      <c r="K130" s="1017"/>
    </row>
    <row r="131" spans="1:11" s="1012" customFormat="1" ht="30" outlineLevel="1" x14ac:dyDescent="0.2">
      <c r="A131" s="1010"/>
      <c r="B131" s="1011"/>
      <c r="C131" s="1502"/>
      <c r="D131" s="1017" t="s">
        <v>1598</v>
      </c>
      <c r="E131" s="1017" t="s">
        <v>1615</v>
      </c>
      <c r="F131" s="1017">
        <f>0.00026943*1000</f>
        <v>0.26942999999999995</v>
      </c>
      <c r="G131" s="1015" t="s">
        <v>1544</v>
      </c>
      <c r="H131" s="1017"/>
      <c r="I131" s="1017"/>
      <c r="J131" s="1017"/>
      <c r="K131" s="1017"/>
    </row>
    <row r="132" spans="1:11" s="1012" customFormat="1" ht="30" outlineLevel="1" x14ac:dyDescent="0.2">
      <c r="A132" s="1010"/>
      <c r="B132" s="1011"/>
      <c r="C132" s="1503"/>
      <c r="D132" s="1017" t="s">
        <v>1599</v>
      </c>
      <c r="E132" s="1017" t="s">
        <v>1616</v>
      </c>
      <c r="F132" s="1017">
        <f>0.00021419*1000</f>
        <v>0.21419000000000002</v>
      </c>
      <c r="G132" s="1015" t="s">
        <v>1544</v>
      </c>
      <c r="H132" s="1017"/>
      <c r="I132" s="1017"/>
      <c r="J132" s="1017"/>
      <c r="K132" s="1017"/>
    </row>
    <row r="133" spans="1:11" s="1012" customFormat="1" ht="30" outlineLevel="1" x14ac:dyDescent="0.2">
      <c r="A133" s="1010"/>
      <c r="B133" s="1011"/>
      <c r="C133" s="1501" t="s">
        <v>1617</v>
      </c>
      <c r="D133" s="1017" t="s">
        <v>1618</v>
      </c>
      <c r="E133" s="1017" t="s">
        <v>1569</v>
      </c>
      <c r="F133" s="1017">
        <f>0.0011735141234856*1000</f>
        <v>1.1735141234856001</v>
      </c>
      <c r="G133" s="1017" t="s">
        <v>1566</v>
      </c>
      <c r="H133" s="1017">
        <v>2.3973057242742353E-6</v>
      </c>
      <c r="I133" s="1017" t="s">
        <v>1566</v>
      </c>
      <c r="J133" s="1017">
        <v>1.8493501301544103E-6</v>
      </c>
      <c r="K133" s="1017" t="s">
        <v>1566</v>
      </c>
    </row>
    <row r="134" spans="1:11" s="1012" customFormat="1" ht="30" outlineLevel="1" x14ac:dyDescent="0.2">
      <c r="A134" s="1010"/>
      <c r="B134" s="1011"/>
      <c r="C134" s="1502"/>
      <c r="D134" s="1017" t="s">
        <v>1619</v>
      </c>
      <c r="E134" s="1017" t="s">
        <v>1570</v>
      </c>
      <c r="F134" s="1017">
        <f>0.000820633385902712*1000</f>
        <v>0.82063338590271195</v>
      </c>
      <c r="G134" s="1017" t="s">
        <v>1566</v>
      </c>
      <c r="H134" s="1017">
        <v>2.3973057242742353E-6</v>
      </c>
      <c r="I134" s="1017" t="s">
        <v>1566</v>
      </c>
      <c r="J134" s="1017">
        <v>1.8493501301544103E-6</v>
      </c>
      <c r="K134" s="1017" t="s">
        <v>1566</v>
      </c>
    </row>
    <row r="135" spans="1:11" s="1012" customFormat="1" ht="30" outlineLevel="1" x14ac:dyDescent="0.2">
      <c r="A135" s="1010"/>
      <c r="B135" s="1011"/>
      <c r="C135" s="1502"/>
      <c r="D135" s="1017" t="s">
        <v>1620</v>
      </c>
      <c r="E135" s="1017" t="s">
        <v>1571</v>
      </c>
      <c r="F135" s="1017">
        <f>0.000496006632491552*1000</f>
        <v>0.49600663249155197</v>
      </c>
      <c r="G135" s="1017" t="s">
        <v>1566</v>
      </c>
      <c r="H135" s="1017">
        <v>2.3973057242742353E-6</v>
      </c>
      <c r="I135" s="1017" t="s">
        <v>1566</v>
      </c>
      <c r="J135" s="1017">
        <v>1.8493501301544103E-6</v>
      </c>
      <c r="K135" s="1017" t="s">
        <v>1566</v>
      </c>
    </row>
    <row r="136" spans="1:11" s="1012" customFormat="1" ht="30" outlineLevel="1" x14ac:dyDescent="0.2">
      <c r="A136" s="1010"/>
      <c r="B136" s="1011"/>
      <c r="C136" s="1502"/>
      <c r="D136" s="1017" t="s">
        <v>1627</v>
      </c>
      <c r="E136" s="1017" t="s">
        <v>1628</v>
      </c>
      <c r="F136" s="1017">
        <f>0.00019407*1000</f>
        <v>0.19406999999999999</v>
      </c>
      <c r="G136" s="1017" t="s">
        <v>1544</v>
      </c>
      <c r="H136" s="1017"/>
      <c r="I136" s="1017"/>
      <c r="J136" s="1017"/>
      <c r="K136" s="1017"/>
    </row>
    <row r="137" spans="1:11" s="1012" customFormat="1" ht="30" outlineLevel="1" x14ac:dyDescent="0.2">
      <c r="A137" s="1010"/>
      <c r="B137" s="1011"/>
      <c r="C137" s="1502"/>
      <c r="D137" s="1017" t="s">
        <v>1621</v>
      </c>
      <c r="E137" s="1017" t="s">
        <v>1572</v>
      </c>
      <c r="F137" s="1017">
        <f>0.00094952*1000</f>
        <v>0.94952000000000003</v>
      </c>
      <c r="G137" s="1017" t="s">
        <v>1566</v>
      </c>
      <c r="H137" s="1017">
        <v>2.3973057242742353E-6</v>
      </c>
      <c r="I137" s="1017" t="s">
        <v>1566</v>
      </c>
      <c r="J137" s="1017">
        <v>1.8493501301544103E-6</v>
      </c>
      <c r="K137" s="1017" t="s">
        <v>1566</v>
      </c>
    </row>
    <row r="138" spans="1:11" s="1012" customFormat="1" ht="30" outlineLevel="1" x14ac:dyDescent="0.2">
      <c r="A138" s="1010"/>
      <c r="B138" s="1011"/>
      <c r="C138" s="1502"/>
      <c r="D138" s="1017" t="s">
        <v>1622</v>
      </c>
      <c r="E138" s="1017" t="s">
        <v>1573</v>
      </c>
      <c r="F138" s="1017">
        <f>0.00087386*1000</f>
        <v>0.87385999999999997</v>
      </c>
      <c r="G138" s="1017" t="s">
        <v>1566</v>
      </c>
      <c r="H138" s="1017">
        <v>2.3973057242742353E-6</v>
      </c>
      <c r="I138" s="1017" t="s">
        <v>1566</v>
      </c>
      <c r="J138" s="1017">
        <v>1.8493501301544103E-6</v>
      </c>
      <c r="K138" s="1017" t="s">
        <v>1566</v>
      </c>
    </row>
    <row r="139" spans="1:11" s="1012" customFormat="1" ht="30" outlineLevel="1" x14ac:dyDescent="0.2">
      <c r="A139" s="1010"/>
      <c r="B139" s="1011"/>
      <c r="C139" s="1502"/>
      <c r="D139" s="1017" t="s">
        <v>1623</v>
      </c>
      <c r="E139" s="1017" t="s">
        <v>1574</v>
      </c>
      <c r="F139" s="1017">
        <f>0.00052197*1000</f>
        <v>0.52196999999999993</v>
      </c>
      <c r="G139" s="1017" t="s">
        <v>1566</v>
      </c>
      <c r="H139" s="1017">
        <v>2.3973057242742353E-6</v>
      </c>
      <c r="I139" s="1017" t="s">
        <v>1566</v>
      </c>
      <c r="J139" s="1017">
        <v>1.8493501301544103E-6</v>
      </c>
      <c r="K139" s="1017" t="s">
        <v>1566</v>
      </c>
    </row>
    <row r="140" spans="1:11" s="1012" customFormat="1" ht="30" outlineLevel="1" x14ac:dyDescent="0.2">
      <c r="A140" s="1010"/>
      <c r="B140" s="1011"/>
      <c r="C140" s="1502"/>
      <c r="D140" s="1017" t="s">
        <v>1629</v>
      </c>
      <c r="E140" s="1017" t="s">
        <v>1626</v>
      </c>
      <c r="F140" s="1017">
        <f>0.0002508*1000</f>
        <v>0.25080000000000002</v>
      </c>
      <c r="G140" s="1017" t="s">
        <v>1544</v>
      </c>
      <c r="H140" s="1017"/>
      <c r="I140" s="1017"/>
      <c r="J140" s="1017"/>
      <c r="K140" s="1017"/>
    </row>
    <row r="141" spans="1:11" s="1012" customFormat="1" ht="30" outlineLevel="1" x14ac:dyDescent="0.2">
      <c r="A141" s="1010"/>
      <c r="B141" s="1011"/>
      <c r="C141" s="1502"/>
      <c r="D141" s="1017" t="s">
        <v>1624</v>
      </c>
      <c r="E141" s="1017" t="s">
        <v>1575</v>
      </c>
      <c r="F141" s="1017">
        <f>0.00061742*1000</f>
        <v>0.61742000000000008</v>
      </c>
      <c r="G141" s="1017" t="s">
        <v>1566</v>
      </c>
      <c r="H141" s="1017">
        <v>2.3973057242742353E-6</v>
      </c>
      <c r="I141" s="1017" t="s">
        <v>1566</v>
      </c>
      <c r="J141" s="1017">
        <v>1.8493501301544103E-6</v>
      </c>
      <c r="K141" s="1017" t="s">
        <v>1566</v>
      </c>
    </row>
    <row r="142" spans="1:11" s="1012" customFormat="1" ht="30" outlineLevel="1" x14ac:dyDescent="0.2">
      <c r="A142" s="1010"/>
      <c r="B142" s="1011"/>
      <c r="C142" s="1502"/>
      <c r="D142" s="1017" t="s">
        <v>1630</v>
      </c>
      <c r="E142" s="1017" t="s">
        <v>1632</v>
      </c>
      <c r="F142" s="1017">
        <f>0.00026334*1000</f>
        <v>0.26333999999999996</v>
      </c>
      <c r="G142" s="1017" t="s">
        <v>1544</v>
      </c>
      <c r="H142" s="1017"/>
      <c r="I142" s="1017"/>
      <c r="J142" s="1017"/>
      <c r="K142" s="1017"/>
    </row>
    <row r="143" spans="1:11" s="1012" customFormat="1" ht="30" outlineLevel="1" x14ac:dyDescent="0.2">
      <c r="A143" s="1010"/>
      <c r="B143" s="1011"/>
      <c r="C143" s="1502"/>
      <c r="D143" s="1017" t="s">
        <v>1631</v>
      </c>
      <c r="E143" s="1017" t="s">
        <v>1633</v>
      </c>
      <c r="F143" s="1017">
        <f>0.00023826*1000</f>
        <v>0.23826</v>
      </c>
      <c r="G143" s="1017" t="s">
        <v>1544</v>
      </c>
      <c r="H143" s="1017"/>
      <c r="I143" s="1017"/>
      <c r="J143" s="1017"/>
      <c r="K143" s="1017"/>
    </row>
    <row r="144" spans="1:11" s="1012" customFormat="1" ht="30" outlineLevel="1" x14ac:dyDescent="0.2">
      <c r="A144" s="1010"/>
      <c r="B144" s="1011"/>
      <c r="C144" s="1502"/>
      <c r="D144" s="1017" t="s">
        <v>1625</v>
      </c>
      <c r="E144" s="1017" t="s">
        <v>1576</v>
      </c>
      <c r="F144" s="1017">
        <f>0.00058651*1000</f>
        <v>0.58651000000000009</v>
      </c>
      <c r="G144" s="1017" t="s">
        <v>1566</v>
      </c>
      <c r="H144" s="1017">
        <v>2.3973057242742353E-6</v>
      </c>
      <c r="I144" s="1017" t="s">
        <v>1566</v>
      </c>
      <c r="J144" s="1017">
        <v>1.8493501301544103E-6</v>
      </c>
      <c r="K144" s="1017" t="s">
        <v>1566</v>
      </c>
    </row>
    <row r="145" spans="1:11" s="1012" customFormat="1" ht="30" outlineLevel="1" x14ac:dyDescent="0.2">
      <c r="A145" s="1010"/>
      <c r="B145" s="1011"/>
      <c r="C145" s="1503"/>
      <c r="D145" s="1017" t="s">
        <v>1635</v>
      </c>
      <c r="E145" s="1017" t="s">
        <v>1634</v>
      </c>
      <c r="F145" s="1017">
        <f>0.00025016*1000</f>
        <v>0.25015999999999999</v>
      </c>
      <c r="G145" s="1017" t="s">
        <v>1544</v>
      </c>
      <c r="H145" s="1017"/>
      <c r="I145" s="1017"/>
      <c r="J145" s="1017"/>
      <c r="K145" s="1017"/>
    </row>
    <row r="146" spans="1:11" s="1012" customFormat="1" ht="15.75" customHeight="1" outlineLevel="1" x14ac:dyDescent="0.2">
      <c r="A146" s="1010"/>
      <c r="B146" s="1011"/>
      <c r="C146" s="1501" t="s">
        <v>1636</v>
      </c>
      <c r="D146" s="1017" t="s">
        <v>1637</v>
      </c>
      <c r="E146" s="1017" t="s">
        <v>1547</v>
      </c>
      <c r="F146" s="1017">
        <f>0.00008499*1000</f>
        <v>8.4989999999999996E-2</v>
      </c>
      <c r="G146" s="1017" t="s">
        <v>1544</v>
      </c>
      <c r="H146" s="1017"/>
      <c r="I146" s="1017"/>
      <c r="J146" s="1017"/>
      <c r="K146" s="1017"/>
    </row>
    <row r="147" spans="1:11" s="1012" customFormat="1" ht="15.75" customHeight="1" outlineLevel="1" x14ac:dyDescent="0.2">
      <c r="A147" s="1010"/>
      <c r="B147" s="1011"/>
      <c r="C147" s="1502"/>
      <c r="D147" s="1017" t="s">
        <v>1638</v>
      </c>
      <c r="E147" s="1017" t="s">
        <v>1546</v>
      </c>
      <c r="F147" s="1017">
        <f>0.00010316*1000</f>
        <v>0.10316</v>
      </c>
      <c r="G147" s="1017" t="s">
        <v>1544</v>
      </c>
      <c r="H147" s="1017"/>
      <c r="I147" s="1017"/>
      <c r="J147" s="1017"/>
      <c r="K147" s="1017"/>
    </row>
    <row r="148" spans="1:11" s="1012" customFormat="1" ht="15.75" customHeight="1" outlineLevel="1" x14ac:dyDescent="0.2">
      <c r="A148" s="1010"/>
      <c r="B148" s="1011"/>
      <c r="C148" s="1502"/>
      <c r="D148" s="1017" t="s">
        <v>1639</v>
      </c>
      <c r="E148" s="1017" t="s">
        <v>1548</v>
      </c>
      <c r="F148" s="1017">
        <f>0.00013724*1000</f>
        <v>0.13724</v>
      </c>
      <c r="G148" s="1017" t="s">
        <v>1544</v>
      </c>
      <c r="H148" s="1017"/>
      <c r="I148" s="1017"/>
      <c r="J148" s="1017"/>
      <c r="K148" s="1017"/>
    </row>
    <row r="149" spans="1:11" s="1012" customFormat="1" ht="15.75" customHeight="1" outlineLevel="1" x14ac:dyDescent="0.2">
      <c r="A149" s="1010"/>
      <c r="B149" s="1011"/>
      <c r="C149" s="1503"/>
      <c r="D149" s="1017" t="s">
        <v>1640</v>
      </c>
      <c r="E149" s="1017" t="s">
        <v>1549</v>
      </c>
      <c r="F149" s="1017">
        <f>0.00011606*1000</f>
        <v>0.11606</v>
      </c>
      <c r="G149" s="1017" t="s">
        <v>1544</v>
      </c>
      <c r="H149" s="1017"/>
      <c r="I149" s="1017"/>
      <c r="J149" s="1017"/>
      <c r="K149" s="1017"/>
    </row>
    <row r="150" spans="1:11" s="1012" customFormat="1" ht="15" outlineLevel="1" x14ac:dyDescent="0.2">
      <c r="A150" s="1010"/>
      <c r="B150" s="1011"/>
      <c r="C150" s="1501" t="s">
        <v>1641</v>
      </c>
      <c r="D150" s="1017" t="s">
        <v>1643</v>
      </c>
      <c r="E150" s="1017" t="s">
        <v>1564</v>
      </c>
      <c r="F150" s="1017">
        <f>0.00065946*1000</f>
        <v>0.65945999999999994</v>
      </c>
      <c r="G150" s="1017" t="s">
        <v>1566</v>
      </c>
      <c r="H150" s="1017">
        <v>2.3973057242742353E-6</v>
      </c>
      <c r="I150" s="1017" t="s">
        <v>1566</v>
      </c>
      <c r="J150" s="1017">
        <v>1.8493501301544103E-6</v>
      </c>
      <c r="K150" s="1017" t="s">
        <v>1566</v>
      </c>
    </row>
    <row r="151" spans="1:11" s="1012" customFormat="1" ht="15" outlineLevel="1" x14ac:dyDescent="0.2">
      <c r="A151" s="1010"/>
      <c r="B151" s="1011"/>
      <c r="C151" s="1502"/>
      <c r="D151" s="1017" t="s">
        <v>1642</v>
      </c>
      <c r="E151" s="1017" t="s">
        <v>1565</v>
      </c>
      <c r="F151" s="1017">
        <f>0.00041243*1000</f>
        <v>0.41242999999999996</v>
      </c>
      <c r="G151" s="1017" t="s">
        <v>1566</v>
      </c>
      <c r="H151" s="1017">
        <v>2.3973057242742353E-6</v>
      </c>
      <c r="I151" s="1017" t="s">
        <v>1566</v>
      </c>
      <c r="J151" s="1017">
        <v>1.8493501301544103E-6</v>
      </c>
      <c r="K151" s="1017" t="s">
        <v>1566</v>
      </c>
    </row>
    <row r="152" spans="1:11" s="1012" customFormat="1" ht="15" outlineLevel="1" x14ac:dyDescent="0.2">
      <c r="A152" s="1010"/>
      <c r="B152" s="1011"/>
      <c r="C152" s="1502"/>
      <c r="D152" s="1017" t="s">
        <v>1644</v>
      </c>
      <c r="E152" s="1017" t="s">
        <v>1645</v>
      </c>
      <c r="F152" s="1017">
        <f>0.00020027*1000</f>
        <v>0.20027</v>
      </c>
      <c r="G152" s="1017" t="s">
        <v>1566</v>
      </c>
      <c r="H152" s="1017">
        <v>2.3973057242742353E-6</v>
      </c>
      <c r="I152" s="1017" t="s">
        <v>1566</v>
      </c>
      <c r="J152" s="1017">
        <v>1.8493501301544103E-6</v>
      </c>
      <c r="K152" s="1017" t="s">
        <v>1566</v>
      </c>
    </row>
    <row r="153" spans="1:11" s="1012" customFormat="1" ht="15" outlineLevel="1" x14ac:dyDescent="0.2">
      <c r="A153" s="1010"/>
      <c r="B153" s="1011"/>
      <c r="C153" s="1502"/>
      <c r="D153" s="1017" t="s">
        <v>1646</v>
      </c>
      <c r="E153" s="1017" t="s">
        <v>1556</v>
      </c>
      <c r="F153" s="1017">
        <f>0.00025115*1000</f>
        <v>0.25114999999999998</v>
      </c>
      <c r="G153" s="1017" t="s">
        <v>1566</v>
      </c>
      <c r="H153" s="1017">
        <v>2.3973057242742353E-6</v>
      </c>
      <c r="I153" s="1017" t="s">
        <v>1566</v>
      </c>
      <c r="J153" s="1017">
        <v>1.8493501301544103E-6</v>
      </c>
      <c r="K153" s="1017" t="s">
        <v>1566</v>
      </c>
    </row>
    <row r="154" spans="1:11" s="1012" customFormat="1" ht="30" outlineLevel="1" x14ac:dyDescent="0.2">
      <c r="A154" s="1010"/>
      <c r="B154" s="1011"/>
      <c r="C154" s="1502"/>
      <c r="D154" s="1017" t="s">
        <v>1655</v>
      </c>
      <c r="E154" s="1017" t="s">
        <v>1656</v>
      </c>
      <c r="F154" s="1017">
        <f>0.00052763*1000</f>
        <v>0.52762999999999993</v>
      </c>
      <c r="G154" s="1017" t="s">
        <v>1544</v>
      </c>
      <c r="H154" s="1017"/>
      <c r="I154" s="1017"/>
      <c r="J154" s="1017"/>
      <c r="K154" s="1017"/>
    </row>
    <row r="155" spans="1:11" s="1012" customFormat="1" ht="30" outlineLevel="1" x14ac:dyDescent="0.2">
      <c r="A155" s="1010"/>
      <c r="B155" s="1011"/>
      <c r="C155" s="1502"/>
      <c r="D155" s="1017" t="s">
        <v>1647</v>
      </c>
      <c r="E155" s="1017" t="s">
        <v>1550</v>
      </c>
      <c r="F155" s="1017">
        <f>0.00057351*1000</f>
        <v>0.57350999999999996</v>
      </c>
      <c r="G155" s="1017" t="s">
        <v>1544</v>
      </c>
      <c r="H155" s="1017"/>
      <c r="I155" s="1017"/>
      <c r="J155" s="1017"/>
      <c r="K155" s="1017"/>
    </row>
    <row r="156" spans="1:11" s="1012" customFormat="1" ht="30" outlineLevel="1" x14ac:dyDescent="0.2">
      <c r="A156" s="1010"/>
      <c r="B156" s="1011"/>
      <c r="C156" s="1502"/>
      <c r="D156" s="1017" t="s">
        <v>1648</v>
      </c>
      <c r="E156" s="1017" t="s">
        <v>1551</v>
      </c>
      <c r="F156" s="1017">
        <f>0.00061939*1000</f>
        <v>0.61939</v>
      </c>
      <c r="G156" s="1017" t="s">
        <v>1544</v>
      </c>
      <c r="H156" s="1017"/>
      <c r="I156" s="1017"/>
      <c r="J156" s="1017"/>
      <c r="K156" s="1017"/>
    </row>
    <row r="157" spans="1:11" s="1012" customFormat="1" ht="30" outlineLevel="1" x14ac:dyDescent="0.2">
      <c r="A157" s="1010"/>
      <c r="B157" s="1011"/>
      <c r="C157" s="1502"/>
      <c r="D157" s="1017" t="s">
        <v>1649</v>
      </c>
      <c r="E157" s="1017" t="s">
        <v>1657</v>
      </c>
      <c r="F157" s="1017">
        <f>0.00067125*1000</f>
        <v>0.67125000000000001</v>
      </c>
      <c r="G157" s="1017" t="s">
        <v>1544</v>
      </c>
      <c r="H157" s="1017"/>
      <c r="I157" s="1017"/>
      <c r="J157" s="1017"/>
      <c r="K157" s="1017"/>
    </row>
    <row r="158" spans="1:11" s="1012" customFormat="1" ht="30" outlineLevel="1" x14ac:dyDescent="0.2">
      <c r="A158" s="1010"/>
      <c r="B158" s="1011"/>
      <c r="C158" s="1502"/>
      <c r="D158" s="1017" t="s">
        <v>1650</v>
      </c>
      <c r="E158" s="1017" t="s">
        <v>1552</v>
      </c>
      <c r="F158" s="1017">
        <f>0.00076714*1000</f>
        <v>0.76714000000000004</v>
      </c>
      <c r="G158" s="1017" t="s">
        <v>1544</v>
      </c>
      <c r="H158" s="1017"/>
      <c r="I158" s="1017"/>
      <c r="J158" s="1017"/>
      <c r="K158" s="1017"/>
    </row>
    <row r="159" spans="1:11" s="1012" customFormat="1" ht="30" outlineLevel="1" x14ac:dyDescent="0.2">
      <c r="A159" s="1010"/>
      <c r="B159" s="1011"/>
      <c r="C159" s="1502"/>
      <c r="D159" s="1017" t="s">
        <v>1651</v>
      </c>
      <c r="E159" s="1017" t="s">
        <v>1553</v>
      </c>
      <c r="F159" s="1017">
        <f>0.00086303*1000</f>
        <v>0.86302999999999996</v>
      </c>
      <c r="G159" s="1017" t="s">
        <v>1544</v>
      </c>
      <c r="H159" s="1017"/>
      <c r="I159" s="1017"/>
      <c r="J159" s="1017"/>
      <c r="K159" s="1017"/>
    </row>
    <row r="160" spans="1:11" s="1012" customFormat="1" ht="30" outlineLevel="1" x14ac:dyDescent="0.2">
      <c r="A160" s="1010"/>
      <c r="B160" s="1011"/>
      <c r="C160" s="1502"/>
      <c r="D160" s="1017" t="s">
        <v>1652</v>
      </c>
      <c r="E160" s="1017" t="s">
        <v>1658</v>
      </c>
      <c r="F160" s="1017">
        <f>0.00079814*1000</f>
        <v>0.79814000000000007</v>
      </c>
      <c r="G160" s="1017" t="s">
        <v>1544</v>
      </c>
      <c r="H160" s="1017"/>
      <c r="I160" s="1017"/>
      <c r="J160" s="1017"/>
      <c r="K160" s="1017"/>
    </row>
    <row r="161" spans="1:87" s="1012" customFormat="1" ht="30" outlineLevel="1" x14ac:dyDescent="0.2">
      <c r="A161" s="1010"/>
      <c r="B161" s="1011"/>
      <c r="C161" s="1502"/>
      <c r="D161" s="1017" t="s">
        <v>1653</v>
      </c>
      <c r="E161" s="1017" t="s">
        <v>1554</v>
      </c>
      <c r="F161" s="1017">
        <f>0.00097334*1000</f>
        <v>0.97333999999999998</v>
      </c>
      <c r="G161" s="1017" t="s">
        <v>1544</v>
      </c>
      <c r="H161" s="1017"/>
      <c r="I161" s="1017"/>
      <c r="J161" s="1017"/>
      <c r="K161" s="1017"/>
    </row>
    <row r="162" spans="1:87" s="1012" customFormat="1" ht="30" outlineLevel="1" x14ac:dyDescent="0.2">
      <c r="A162" s="1010"/>
      <c r="B162" s="1011"/>
      <c r="C162" s="1502"/>
      <c r="D162" s="1017" t="s">
        <v>1654</v>
      </c>
      <c r="E162" s="1017" t="s">
        <v>1555</v>
      </c>
      <c r="F162" s="1017">
        <f>0.00114854*1000</f>
        <v>1.1485399999999999</v>
      </c>
      <c r="G162" s="1017" t="s">
        <v>1544</v>
      </c>
      <c r="H162" s="1017"/>
      <c r="I162" s="1017"/>
      <c r="J162" s="1017"/>
      <c r="K162" s="1017"/>
    </row>
    <row r="163" spans="1:87" s="1012" customFormat="1" ht="15" outlineLevel="1" x14ac:dyDescent="0.2">
      <c r="A163" s="1010"/>
      <c r="B163" s="1011"/>
      <c r="C163" s="1503"/>
      <c r="D163" s="1017" t="s">
        <v>1646</v>
      </c>
      <c r="E163" s="1017" t="s">
        <v>1556</v>
      </c>
      <c r="F163" s="1017">
        <f>0.00082903*1000</f>
        <v>0.82903000000000004</v>
      </c>
      <c r="G163" s="1017" t="s">
        <v>1544</v>
      </c>
      <c r="H163" s="1017"/>
      <c r="I163" s="1017"/>
      <c r="J163" s="1017"/>
      <c r="K163" s="1017"/>
    </row>
    <row r="164" spans="1:87" s="1012" customFormat="1" ht="30" outlineLevel="1" x14ac:dyDescent="0.2">
      <c r="A164" s="1010"/>
      <c r="B164" s="1011"/>
      <c r="C164" s="1501" t="s">
        <v>1659</v>
      </c>
      <c r="D164" s="1017" t="s">
        <v>1660</v>
      </c>
      <c r="E164" s="1017" t="s">
        <v>1567</v>
      </c>
      <c r="F164" s="1017">
        <f>0.00015262*1000</f>
        <v>0.15262000000000001</v>
      </c>
      <c r="G164" s="1017" t="s">
        <v>1566</v>
      </c>
      <c r="H164" s="1017">
        <v>2.3973057242742353E-6</v>
      </c>
      <c r="I164" s="1017" t="s">
        <v>1566</v>
      </c>
      <c r="J164" s="1017">
        <v>1.8493501301544103E-6</v>
      </c>
      <c r="K164" s="1017" t="s">
        <v>1566</v>
      </c>
    </row>
    <row r="165" spans="1:87" s="1012" customFormat="1" ht="15" outlineLevel="1" x14ac:dyDescent="0.2">
      <c r="A165" s="1010"/>
      <c r="B165" s="1011"/>
      <c r="C165" s="1502"/>
      <c r="D165" s="1017" t="s">
        <v>1661</v>
      </c>
      <c r="E165" s="1017" t="s">
        <v>1568</v>
      </c>
      <c r="F165" s="1017">
        <f>0.00008678*1000</f>
        <v>8.678000000000001E-2</v>
      </c>
      <c r="G165" s="1017" t="s">
        <v>1566</v>
      </c>
      <c r="H165" s="1017">
        <v>2.3973057242742353E-6</v>
      </c>
      <c r="I165" s="1017" t="s">
        <v>1566</v>
      </c>
      <c r="J165" s="1017">
        <v>1.8493501301544103E-6</v>
      </c>
      <c r="K165" s="1017" t="s">
        <v>1566</v>
      </c>
    </row>
    <row r="166" spans="1:87" s="1012" customFormat="1" ht="30" outlineLevel="1" x14ac:dyDescent="0.2">
      <c r="A166" s="1010"/>
      <c r="B166" s="1011"/>
      <c r="C166" s="1502"/>
      <c r="D166" s="1017" t="s">
        <v>1646</v>
      </c>
      <c r="E166" s="1017" t="s">
        <v>1563</v>
      </c>
      <c r="F166" s="1017">
        <f>0.00008869*1000</f>
        <v>8.8690000000000005E-2</v>
      </c>
      <c r="G166" s="1017" t="s">
        <v>1566</v>
      </c>
      <c r="H166" s="1017">
        <v>2.3973057242742353E-6</v>
      </c>
      <c r="I166" s="1017" t="s">
        <v>1566</v>
      </c>
      <c r="J166" s="1017">
        <v>1.8493501301544103E-6</v>
      </c>
      <c r="K166" s="1017" t="s">
        <v>1566</v>
      </c>
    </row>
    <row r="167" spans="1:87" s="1012" customFormat="1" ht="30" outlineLevel="1" x14ac:dyDescent="0.2">
      <c r="A167" s="1010"/>
      <c r="B167" s="1011"/>
      <c r="C167" s="1502"/>
      <c r="D167" s="1017" t="s">
        <v>1662</v>
      </c>
      <c r="E167" s="1017" t="s">
        <v>1557</v>
      </c>
      <c r="F167" s="1017">
        <f>0.00069214*1000</f>
        <v>0.69214000000000009</v>
      </c>
      <c r="G167" s="1017" t="s">
        <v>1544</v>
      </c>
      <c r="H167" s="1017"/>
      <c r="I167" s="1017"/>
      <c r="J167" s="1017"/>
      <c r="K167" s="1017"/>
    </row>
    <row r="168" spans="1:87" s="1012" customFormat="1" ht="30" outlineLevel="1" x14ac:dyDescent="0.2">
      <c r="A168" s="1010"/>
      <c r="B168" s="1011"/>
      <c r="C168" s="1502"/>
      <c r="D168" s="1017" t="s">
        <v>1663</v>
      </c>
      <c r="E168" s="1017" t="s">
        <v>1558</v>
      </c>
      <c r="F168" s="1017">
        <f>0.00086518*1000</f>
        <v>0.86518000000000006</v>
      </c>
      <c r="G168" s="1017" t="s">
        <v>1544</v>
      </c>
      <c r="H168" s="1017"/>
      <c r="I168" s="1017"/>
      <c r="J168" s="1017"/>
      <c r="K168" s="1017"/>
    </row>
    <row r="169" spans="1:87" s="1012" customFormat="1" ht="30" outlineLevel="1" x14ac:dyDescent="0.2">
      <c r="A169" s="1010"/>
      <c r="B169" s="1011"/>
      <c r="C169" s="1502"/>
      <c r="D169" s="1017" t="s">
        <v>1664</v>
      </c>
      <c r="E169" s="1017" t="s">
        <v>1559</v>
      </c>
      <c r="F169" s="1017">
        <f>0.00103822*1000</f>
        <v>1.0382200000000001</v>
      </c>
      <c r="G169" s="1017" t="s">
        <v>1544</v>
      </c>
      <c r="H169" s="1017"/>
      <c r="I169" s="1017"/>
      <c r="J169" s="1017"/>
      <c r="K169" s="1017"/>
    </row>
    <row r="170" spans="1:87" s="1012" customFormat="1" ht="30" outlineLevel="1" x14ac:dyDescent="0.2">
      <c r="A170" s="1010"/>
      <c r="B170" s="1011"/>
      <c r="C170" s="1502"/>
      <c r="D170" s="1017" t="s">
        <v>1665</v>
      </c>
      <c r="E170" s="1017" t="s">
        <v>1560</v>
      </c>
      <c r="F170" s="1017">
        <f>0.00069793*1000</f>
        <v>0.69793000000000005</v>
      </c>
      <c r="G170" s="1017" t="s">
        <v>1544</v>
      </c>
      <c r="H170" s="1017"/>
      <c r="I170" s="1017"/>
      <c r="J170" s="1017"/>
      <c r="K170" s="1017"/>
    </row>
    <row r="171" spans="1:87" s="1012" customFormat="1" ht="30" outlineLevel="1" x14ac:dyDescent="0.2">
      <c r="A171" s="1010"/>
      <c r="B171" s="1011"/>
      <c r="C171" s="1502"/>
      <c r="D171" s="1017" t="s">
        <v>1666</v>
      </c>
      <c r="E171" s="1017" t="s">
        <v>1561</v>
      </c>
      <c r="F171" s="1017">
        <f>0.00093057*1000</f>
        <v>0.93057000000000001</v>
      </c>
      <c r="G171" s="1017" t="s">
        <v>1544</v>
      </c>
      <c r="H171" s="1017"/>
      <c r="I171" s="1017"/>
      <c r="J171" s="1017"/>
      <c r="K171" s="1017"/>
    </row>
    <row r="172" spans="1:87" s="1012" customFormat="1" ht="30" outlineLevel="1" x14ac:dyDescent="0.2">
      <c r="A172" s="1010"/>
      <c r="B172" s="1011"/>
      <c r="C172" s="1502"/>
      <c r="D172" s="1017" t="s">
        <v>1667</v>
      </c>
      <c r="E172" s="1017" t="s">
        <v>1562</v>
      </c>
      <c r="F172" s="1017">
        <f>0.00116321*1000</f>
        <v>1.1632100000000001</v>
      </c>
      <c r="G172" s="1017" t="s">
        <v>1544</v>
      </c>
      <c r="H172" s="1017"/>
      <c r="I172" s="1017"/>
      <c r="J172" s="1017"/>
      <c r="K172" s="1017"/>
    </row>
    <row r="173" spans="1:87" s="1012" customFormat="1" ht="30" outlineLevel="1" x14ac:dyDescent="0.2">
      <c r="A173" s="1010"/>
      <c r="B173" s="1011"/>
      <c r="C173" s="1503"/>
      <c r="D173" s="1017" t="s">
        <v>1668</v>
      </c>
      <c r="E173" s="1017" t="s">
        <v>1669</v>
      </c>
      <c r="F173" s="1017">
        <f>0.000969*1000</f>
        <v>0.96899999999999997</v>
      </c>
      <c r="G173" s="1017" t="s">
        <v>1544</v>
      </c>
      <c r="H173" s="1017"/>
      <c r="I173" s="1017"/>
      <c r="J173" s="1017"/>
      <c r="K173" s="1017"/>
    </row>
    <row r="174" spans="1:87" ht="15.75" customHeight="1" outlineLevel="1" x14ac:dyDescent="0.25">
      <c r="A174" s="12"/>
      <c r="B174" s="10"/>
      <c r="C174" s="283"/>
      <c r="D174" s="274"/>
      <c r="E174" s="284"/>
      <c r="F174" s="285"/>
      <c r="G174" s="284"/>
      <c r="H174" s="284"/>
      <c r="I174" s="286"/>
      <c r="J174" s="286"/>
      <c r="K174" s="282"/>
      <c r="L174" s="282"/>
      <c r="M174" s="282"/>
      <c r="N174" s="286"/>
      <c r="O174" s="286"/>
      <c r="P174" s="286"/>
      <c r="Q174" s="286"/>
      <c r="R174" s="286"/>
      <c r="S174" s="286"/>
      <c r="T174" s="286"/>
      <c r="U174" s="286"/>
      <c r="V174" s="286"/>
      <c r="W174" s="286"/>
      <c r="X174" s="237"/>
      <c r="Y174" s="237"/>
      <c r="Z174" s="286"/>
      <c r="AA174" s="286"/>
      <c r="AB174" s="286"/>
      <c r="AC174" s="286"/>
      <c r="AD174" s="286"/>
      <c r="AE174" s="286"/>
      <c r="AF174" s="286"/>
      <c r="AG174" s="286"/>
      <c r="AH174" s="286"/>
      <c r="AI174" s="286"/>
      <c r="AJ174" s="286"/>
      <c r="AK174" s="286"/>
      <c r="AL174" s="286"/>
      <c r="AM174" s="286"/>
      <c r="AN174" s="286"/>
      <c r="AO174" s="286"/>
      <c r="AP174" s="286"/>
      <c r="AQ174" s="286"/>
      <c r="AR174" s="286"/>
      <c r="AS174" s="286"/>
      <c r="AT174" s="286"/>
      <c r="AU174" s="286"/>
      <c r="AV174" s="286"/>
      <c r="AW174" s="286"/>
      <c r="AX174" s="286"/>
      <c r="AY174" s="286"/>
      <c r="AZ174" s="286"/>
      <c r="BA174" s="286"/>
      <c r="BB174" s="286"/>
      <c r="BC174" s="286"/>
      <c r="BD174" s="286"/>
      <c r="BE174" s="286"/>
      <c r="BF174" s="286"/>
      <c r="BG174" s="237"/>
      <c r="BH174" s="237"/>
      <c r="BI174" s="237"/>
      <c r="BJ174" s="237"/>
      <c r="BK174" s="237"/>
      <c r="BL174" s="237"/>
      <c r="BM174" s="237"/>
      <c r="BN174" s="237"/>
      <c r="BO174" s="237"/>
      <c r="BP174" s="237"/>
      <c r="BQ174" s="237"/>
      <c r="BR174" s="237"/>
      <c r="BS174" s="237"/>
      <c r="BT174" s="237"/>
      <c r="BU174" s="237"/>
      <c r="BV174" s="237"/>
      <c r="CI174" s="25"/>
    </row>
    <row r="175" spans="1:87" s="94" customFormat="1" ht="15.75" customHeight="1" outlineLevel="1" x14ac:dyDescent="0.3">
      <c r="A175" s="36"/>
      <c r="B175" s="250" t="s">
        <v>197</v>
      </c>
      <c r="C175" s="251" t="s">
        <v>1670</v>
      </c>
      <c r="D175" s="278"/>
      <c r="E175" s="278"/>
      <c r="F175" s="278"/>
      <c r="G175" s="278"/>
      <c r="H175" s="278"/>
      <c r="I175" s="278"/>
      <c r="J175" s="278"/>
      <c r="K175" s="278"/>
      <c r="L175" s="24"/>
      <c r="M175" s="8"/>
      <c r="N175" s="24"/>
      <c r="O175" s="24"/>
      <c r="P175" s="24"/>
      <c r="Q175" s="24"/>
      <c r="R175" s="24"/>
      <c r="S175" s="24"/>
      <c r="T175" s="24"/>
      <c r="U175" s="24"/>
      <c r="V175" s="24"/>
      <c r="W175" s="24"/>
      <c r="X175" s="24"/>
      <c r="Y175" s="24"/>
      <c r="Z175" s="24"/>
      <c r="AA175" s="83"/>
      <c r="AB175" s="83"/>
      <c r="AC175" s="83"/>
      <c r="AD175" s="83"/>
      <c r="AE175" s="83"/>
      <c r="AF175" s="83"/>
      <c r="AG175" s="83"/>
      <c r="AH175" s="83"/>
      <c r="AI175" s="83"/>
      <c r="AJ175" s="83"/>
      <c r="AK175" s="83"/>
      <c r="AL175" s="25"/>
      <c r="AM175" s="25"/>
      <c r="AN175" s="137"/>
      <c r="AO175" s="137"/>
      <c r="AP175" s="137"/>
      <c r="AQ175" s="137"/>
      <c r="AR175" s="137"/>
      <c r="AS175" s="137"/>
      <c r="AT175" s="137"/>
      <c r="AU175" s="137"/>
      <c r="AV175" s="137"/>
      <c r="AW175" s="137"/>
      <c r="AX175" s="137"/>
      <c r="AY175" s="137"/>
      <c r="AZ175" s="137"/>
      <c r="BA175" s="137"/>
      <c r="BB175" s="137"/>
      <c r="BC175" s="137"/>
      <c r="BD175" s="137"/>
      <c r="BE175" s="137"/>
      <c r="BF175" s="137"/>
      <c r="BG175" s="137"/>
      <c r="BH175" s="137"/>
      <c r="BI175" s="137"/>
      <c r="BJ175" s="137"/>
      <c r="BK175" s="137"/>
      <c r="BL175" s="137"/>
      <c r="BM175" s="137"/>
      <c r="BN175" s="137"/>
      <c r="BO175" s="137"/>
      <c r="BP175" s="137"/>
      <c r="BQ175" s="137"/>
      <c r="BR175" s="137"/>
      <c r="BS175" s="137"/>
      <c r="BT175" s="137"/>
      <c r="BU175" s="137"/>
      <c r="BV175" s="137"/>
      <c r="BW175" s="83"/>
      <c r="BX175" s="83"/>
      <c r="BY175" s="83"/>
      <c r="BZ175" s="82"/>
      <c r="CA175" s="35"/>
      <c r="CB175" s="25"/>
      <c r="CC175" s="82"/>
      <c r="CD175" s="82"/>
      <c r="CE175" s="82"/>
      <c r="CF175" s="82"/>
      <c r="CG175" s="82"/>
      <c r="CH175" s="83"/>
    </row>
    <row r="176" spans="1:87" s="94" customFormat="1" ht="15.75" customHeight="1" outlineLevel="1" x14ac:dyDescent="0.3">
      <c r="A176" s="36"/>
      <c r="B176" s="250"/>
      <c r="C176" s="251"/>
      <c r="D176" s="278"/>
      <c r="E176" s="278"/>
      <c r="F176" s="278"/>
      <c r="G176" s="278"/>
      <c r="H176" s="278"/>
      <c r="I176" s="278"/>
      <c r="J176" s="278"/>
      <c r="K176" s="278"/>
      <c r="L176" s="24"/>
      <c r="M176" s="8"/>
      <c r="N176" s="24"/>
      <c r="O176" s="24"/>
      <c r="P176" s="24"/>
      <c r="Q176" s="24"/>
      <c r="R176" s="24"/>
      <c r="S176" s="24"/>
      <c r="T176" s="24"/>
      <c r="U176" s="24"/>
      <c r="V176" s="24"/>
      <c r="W176" s="24"/>
      <c r="X176" s="24"/>
      <c r="Y176" s="24"/>
      <c r="Z176" s="24"/>
      <c r="AA176" s="83"/>
      <c r="AB176" s="83"/>
      <c r="AC176" s="83"/>
      <c r="AD176" s="83"/>
      <c r="AE176" s="83"/>
      <c r="AF176" s="83"/>
      <c r="AG176" s="83"/>
      <c r="AH176" s="83"/>
      <c r="AI176" s="83"/>
      <c r="AJ176" s="83"/>
      <c r="AK176" s="83"/>
      <c r="AL176" s="25"/>
      <c r="AM176" s="25"/>
      <c r="AN176" s="137"/>
      <c r="AO176" s="137"/>
      <c r="AP176" s="137"/>
      <c r="AQ176" s="137"/>
      <c r="AR176" s="137"/>
      <c r="AS176" s="137"/>
      <c r="AT176" s="137"/>
      <c r="AU176" s="137"/>
      <c r="AV176" s="137"/>
      <c r="AW176" s="137"/>
      <c r="AX176" s="137"/>
      <c r="AY176" s="137"/>
      <c r="AZ176" s="137"/>
      <c r="BA176" s="137"/>
      <c r="BB176" s="137"/>
      <c r="BC176" s="137"/>
      <c r="BD176" s="137"/>
      <c r="BE176" s="137"/>
      <c r="BF176" s="137"/>
      <c r="BG176" s="137"/>
      <c r="BH176" s="137"/>
      <c r="BI176" s="137"/>
      <c r="BJ176" s="137"/>
      <c r="BK176" s="137"/>
      <c r="BL176" s="137"/>
      <c r="BM176" s="137"/>
      <c r="BN176" s="137"/>
      <c r="BO176" s="137"/>
      <c r="BP176" s="137"/>
      <c r="BQ176" s="137"/>
      <c r="BR176" s="137"/>
      <c r="BS176" s="137"/>
      <c r="BT176" s="137"/>
      <c r="BU176" s="137"/>
      <c r="BV176" s="137"/>
      <c r="BW176" s="83"/>
      <c r="BX176" s="83"/>
      <c r="BY176" s="83"/>
      <c r="BZ176" s="82"/>
      <c r="CA176" s="35"/>
      <c r="CB176" s="25"/>
      <c r="CC176" s="82"/>
      <c r="CD176" s="82"/>
      <c r="CE176" s="82"/>
      <c r="CF176" s="82"/>
      <c r="CG176" s="82"/>
      <c r="CH176" s="83"/>
    </row>
    <row r="177" spans="1:86" s="94" customFormat="1" ht="15.75" customHeight="1" outlineLevel="1" x14ac:dyDescent="0.25">
      <c r="A177" s="36"/>
      <c r="B177" s="82"/>
      <c r="C177" s="217" t="s">
        <v>2250</v>
      </c>
      <c r="D177" s="280"/>
      <c r="E177" s="273"/>
      <c r="F177" s="273"/>
      <c r="G177" s="273"/>
      <c r="H177" s="273"/>
      <c r="I177" s="273"/>
      <c r="J177" s="273"/>
      <c r="K177" s="273"/>
      <c r="L177" s="24"/>
      <c r="M177" s="8"/>
      <c r="N177" s="24"/>
      <c r="O177" s="24"/>
      <c r="P177" s="24"/>
      <c r="Q177" s="24"/>
      <c r="R177" s="24"/>
      <c r="S177" s="24"/>
      <c r="T177" s="24"/>
      <c r="U177" s="24"/>
      <c r="V177" s="24"/>
      <c r="W177" s="24"/>
      <c r="X177" s="24"/>
      <c r="Y177" s="24"/>
      <c r="Z177" s="24"/>
      <c r="AA177" s="83"/>
      <c r="AB177" s="83"/>
      <c r="AC177" s="83"/>
      <c r="AD177" s="83"/>
      <c r="AE177" s="83"/>
      <c r="AF177" s="83"/>
      <c r="AG177" s="83"/>
      <c r="AH177" s="83"/>
      <c r="AI177" s="83"/>
      <c r="AJ177" s="83"/>
      <c r="AK177" s="83"/>
      <c r="AL177" s="25"/>
      <c r="AM177" s="25"/>
      <c r="AN177" s="137"/>
      <c r="AO177" s="137"/>
      <c r="AP177" s="137"/>
      <c r="AQ177" s="137"/>
      <c r="AR177" s="137"/>
      <c r="AS177" s="137"/>
      <c r="AT177" s="137"/>
      <c r="AU177" s="137"/>
      <c r="AV177" s="137"/>
      <c r="AW177" s="137"/>
      <c r="AX177" s="137"/>
      <c r="AY177" s="137"/>
      <c r="AZ177" s="137"/>
      <c r="BA177" s="137"/>
      <c r="BB177" s="137"/>
      <c r="BC177" s="137"/>
      <c r="BD177" s="137"/>
      <c r="BE177" s="137"/>
      <c r="BF177" s="137"/>
      <c r="BG177" s="137"/>
      <c r="BH177" s="137"/>
      <c r="BI177" s="137"/>
      <c r="BJ177" s="137"/>
      <c r="BK177" s="137"/>
      <c r="BL177" s="137"/>
      <c r="BM177" s="137"/>
      <c r="BN177" s="137"/>
      <c r="BO177" s="137"/>
      <c r="BP177" s="137"/>
      <c r="BQ177" s="137"/>
      <c r="BR177" s="137"/>
      <c r="BS177" s="137"/>
      <c r="BT177" s="137"/>
      <c r="BU177" s="137"/>
      <c r="BV177" s="137"/>
      <c r="BW177" s="83"/>
      <c r="BX177" s="83"/>
      <c r="BY177" s="83"/>
      <c r="BZ177" s="82"/>
      <c r="CA177" s="35"/>
      <c r="CB177" s="25"/>
      <c r="CC177" s="82"/>
      <c r="CD177" s="82"/>
      <c r="CE177" s="82"/>
      <c r="CF177" s="82"/>
      <c r="CG177" s="82"/>
      <c r="CH177" s="83"/>
    </row>
    <row r="178" spans="1:86" s="94" customFormat="1" ht="15.75" customHeight="1" outlineLevel="1" x14ac:dyDescent="0.2">
      <c r="A178" s="36"/>
      <c r="B178" s="37"/>
      <c r="C178" s="1475" t="s">
        <v>1577</v>
      </c>
      <c r="D178" s="1539" t="s">
        <v>1578</v>
      </c>
      <c r="E178" s="1527" t="s">
        <v>1579</v>
      </c>
      <c r="F178" s="1526" t="s">
        <v>1676</v>
      </c>
      <c r="G178" s="1526"/>
      <c r="H178" s="1526"/>
      <c r="I178" s="1526"/>
      <c r="J178" s="1526"/>
      <c r="K178" s="1526"/>
      <c r="L178" s="1526" t="s">
        <v>1677</v>
      </c>
      <c r="M178" s="1526"/>
      <c r="N178" s="1526"/>
      <c r="O178" s="1526"/>
      <c r="P178" s="1526"/>
      <c r="Q178" s="1526"/>
      <c r="R178" s="24"/>
      <c r="S178" s="24"/>
      <c r="T178" s="24"/>
      <c r="U178" s="24"/>
      <c r="V178" s="24"/>
      <c r="W178" s="24"/>
      <c r="X178" s="24"/>
      <c r="Y178" s="24"/>
      <c r="Z178" s="24"/>
      <c r="AA178" s="83"/>
      <c r="AB178" s="83"/>
      <c r="AC178" s="83"/>
      <c r="AD178" s="83"/>
      <c r="AE178" s="83"/>
      <c r="AF178" s="83"/>
      <c r="AG178" s="83"/>
      <c r="AH178" s="83"/>
      <c r="AI178" s="83"/>
      <c r="AJ178" s="83"/>
      <c r="AK178" s="83"/>
      <c r="AL178" s="25"/>
      <c r="AM178" s="25"/>
      <c r="AN178" s="137"/>
      <c r="AO178" s="137"/>
      <c r="AP178" s="137"/>
      <c r="AQ178" s="137"/>
      <c r="AR178" s="137"/>
      <c r="AS178" s="137"/>
      <c r="AT178" s="137"/>
      <c r="AU178" s="137"/>
      <c r="AV178" s="137"/>
      <c r="AW178" s="137"/>
      <c r="AX178" s="137"/>
      <c r="AY178" s="137"/>
      <c r="AZ178" s="137"/>
      <c r="BA178" s="137"/>
      <c r="BB178" s="137"/>
      <c r="BC178" s="137"/>
      <c r="BD178" s="137"/>
      <c r="BE178" s="137"/>
      <c r="BF178" s="137"/>
      <c r="BG178" s="137"/>
      <c r="BH178" s="137"/>
      <c r="BI178" s="137"/>
      <c r="BJ178" s="137"/>
      <c r="BK178" s="137"/>
      <c r="BL178" s="137"/>
      <c r="BM178" s="137"/>
      <c r="BN178" s="137"/>
      <c r="BO178" s="137"/>
      <c r="BP178" s="137"/>
      <c r="BQ178" s="137"/>
      <c r="BR178" s="137"/>
      <c r="BS178" s="137"/>
      <c r="BT178" s="137"/>
      <c r="BU178" s="137"/>
      <c r="BV178" s="137"/>
      <c r="BW178" s="83"/>
      <c r="BX178" s="83"/>
      <c r="BY178" s="83"/>
      <c r="BZ178" s="82"/>
      <c r="CA178" s="35"/>
      <c r="CB178" s="25"/>
      <c r="CC178" s="82"/>
      <c r="CD178" s="82"/>
      <c r="CE178" s="82"/>
      <c r="CF178" s="82"/>
      <c r="CG178" s="82"/>
      <c r="CH178" s="83"/>
    </row>
    <row r="179" spans="1:86" s="94" customFormat="1" ht="15.75" customHeight="1" outlineLevel="1" x14ac:dyDescent="0.2">
      <c r="A179" s="36"/>
      <c r="B179" s="37"/>
      <c r="C179" s="1476"/>
      <c r="D179" s="1539"/>
      <c r="E179" s="1528"/>
      <c r="F179" s="1526" t="s">
        <v>1536</v>
      </c>
      <c r="G179" s="1526"/>
      <c r="H179" s="1526" t="s">
        <v>1540</v>
      </c>
      <c r="I179" s="1526"/>
      <c r="J179" s="1526" t="s">
        <v>1541</v>
      </c>
      <c r="K179" s="1526"/>
      <c r="L179" s="1526" t="s">
        <v>1536</v>
      </c>
      <c r="M179" s="1526"/>
      <c r="N179" s="1526" t="s">
        <v>1540</v>
      </c>
      <c r="O179" s="1526"/>
      <c r="P179" s="1526" t="s">
        <v>1541</v>
      </c>
      <c r="Q179" s="1526"/>
      <c r="R179" s="24"/>
      <c r="S179" s="24"/>
      <c r="T179" s="24"/>
      <c r="U179" s="24"/>
      <c r="V179" s="24"/>
      <c r="W179" s="24"/>
      <c r="X179" s="24"/>
      <c r="Y179" s="24"/>
      <c r="Z179" s="24"/>
      <c r="AA179" s="83"/>
      <c r="AB179" s="83"/>
      <c r="AC179" s="83"/>
      <c r="AD179" s="83"/>
      <c r="AE179" s="83"/>
      <c r="AF179" s="83"/>
      <c r="AG179" s="83"/>
      <c r="AH179" s="83"/>
      <c r="AI179" s="83"/>
      <c r="AJ179" s="83"/>
      <c r="AK179" s="83"/>
      <c r="AL179" s="25"/>
      <c r="AM179" s="25"/>
      <c r="AN179" s="137"/>
      <c r="AO179" s="137"/>
      <c r="AP179" s="137"/>
      <c r="AQ179" s="137"/>
      <c r="AR179" s="137"/>
      <c r="AS179" s="137"/>
      <c r="AT179" s="137"/>
      <c r="AU179" s="137"/>
      <c r="AV179" s="137"/>
      <c r="AW179" s="137"/>
      <c r="AX179" s="137"/>
      <c r="AY179" s="137"/>
      <c r="AZ179" s="137"/>
      <c r="BA179" s="137"/>
      <c r="BB179" s="137"/>
      <c r="BC179" s="137"/>
      <c r="BD179" s="137"/>
      <c r="BE179" s="137"/>
      <c r="BF179" s="137"/>
      <c r="BG179" s="137"/>
      <c r="BH179" s="137"/>
      <c r="BI179" s="137"/>
      <c r="BJ179" s="137"/>
      <c r="BK179" s="137"/>
      <c r="BL179" s="137"/>
      <c r="BM179" s="137"/>
      <c r="BN179" s="137"/>
      <c r="BO179" s="137"/>
      <c r="BP179" s="137"/>
      <c r="BQ179" s="137"/>
      <c r="BR179" s="137"/>
      <c r="BS179" s="137"/>
      <c r="BT179" s="137"/>
      <c r="BU179" s="137"/>
      <c r="BV179" s="137"/>
      <c r="BW179" s="83"/>
      <c r="BX179" s="83"/>
      <c r="BY179" s="83"/>
      <c r="BZ179" s="82"/>
      <c r="CA179" s="35"/>
      <c r="CB179" s="25"/>
      <c r="CC179" s="82"/>
      <c r="CD179" s="82"/>
      <c r="CE179" s="82"/>
      <c r="CF179" s="82"/>
      <c r="CG179" s="82"/>
      <c r="CH179" s="83"/>
    </row>
    <row r="180" spans="1:86" s="94" customFormat="1" ht="15.75" customHeight="1" outlineLevel="1" x14ac:dyDescent="0.2">
      <c r="A180" s="36"/>
      <c r="B180" s="45"/>
      <c r="C180" s="1476"/>
      <c r="D180" s="1540"/>
      <c r="E180" s="1529"/>
      <c r="F180" s="1005" t="s">
        <v>1537</v>
      </c>
      <c r="G180" s="1005" t="s">
        <v>1538</v>
      </c>
      <c r="H180" s="1005" t="s">
        <v>1537</v>
      </c>
      <c r="I180" s="1005" t="s">
        <v>1538</v>
      </c>
      <c r="J180" s="1005" t="s">
        <v>1537</v>
      </c>
      <c r="K180" s="1005" t="s">
        <v>1538</v>
      </c>
      <c r="L180" s="1005" t="s">
        <v>1537</v>
      </c>
      <c r="M180" s="1005" t="s">
        <v>1538</v>
      </c>
      <c r="N180" s="1005" t="s">
        <v>1537</v>
      </c>
      <c r="O180" s="1005" t="s">
        <v>1538</v>
      </c>
      <c r="P180" s="1005" t="s">
        <v>1537</v>
      </c>
      <c r="Q180" s="1005" t="s">
        <v>1538</v>
      </c>
      <c r="R180" s="24"/>
      <c r="S180" s="24"/>
      <c r="T180" s="24"/>
      <c r="U180" s="24"/>
      <c r="V180" s="24"/>
      <c r="W180" s="24"/>
      <c r="X180" s="24"/>
      <c r="Y180" s="24"/>
      <c r="Z180" s="24"/>
      <c r="AA180" s="83"/>
      <c r="AB180" s="83"/>
      <c r="AC180" s="83"/>
      <c r="AD180" s="83"/>
      <c r="AE180" s="83"/>
      <c r="AF180" s="83"/>
      <c r="AG180" s="83"/>
      <c r="AH180" s="83"/>
      <c r="AI180" s="83"/>
      <c r="AJ180" s="83"/>
      <c r="AK180" s="83"/>
      <c r="AL180" s="25"/>
      <c r="AM180" s="25"/>
      <c r="AN180" s="137"/>
      <c r="AO180" s="137"/>
      <c r="AP180" s="137"/>
      <c r="AQ180" s="137"/>
      <c r="AR180" s="137"/>
      <c r="AS180" s="137"/>
      <c r="AT180" s="137"/>
      <c r="AU180" s="137"/>
      <c r="AV180" s="137"/>
      <c r="AW180" s="137"/>
      <c r="AX180" s="137"/>
      <c r="AY180" s="137"/>
      <c r="AZ180" s="137"/>
      <c r="BA180" s="137"/>
      <c r="BB180" s="137"/>
      <c r="BC180" s="137"/>
      <c r="BD180" s="137"/>
      <c r="BE180" s="137"/>
      <c r="BF180" s="137"/>
      <c r="BG180" s="137"/>
      <c r="BH180" s="137"/>
      <c r="BI180" s="137"/>
      <c r="BJ180" s="137"/>
      <c r="BK180" s="137"/>
      <c r="BL180" s="137"/>
      <c r="BM180" s="137"/>
      <c r="BN180" s="137"/>
      <c r="BO180" s="137"/>
      <c r="BP180" s="137"/>
      <c r="BQ180" s="137"/>
      <c r="BR180" s="137"/>
      <c r="BS180" s="137"/>
      <c r="BT180" s="137"/>
      <c r="BU180" s="137"/>
      <c r="BV180" s="137"/>
      <c r="BW180" s="83"/>
      <c r="BX180" s="83"/>
      <c r="BY180" s="83"/>
      <c r="BZ180" s="82"/>
      <c r="CA180" s="35"/>
      <c r="CB180" s="25"/>
      <c r="CC180" s="82"/>
      <c r="CD180" s="82"/>
      <c r="CE180" s="82"/>
      <c r="CF180" s="82"/>
      <c r="CG180" s="82"/>
      <c r="CH180" s="83"/>
    </row>
    <row r="181" spans="1:86" s="94" customFormat="1" ht="15.75" customHeight="1" outlineLevel="1" x14ac:dyDescent="0.2">
      <c r="A181" s="36"/>
      <c r="B181" s="1011"/>
      <c r="C181" s="1501" t="s">
        <v>1672</v>
      </c>
      <c r="D181" s="1015" t="s">
        <v>1673</v>
      </c>
      <c r="E181" s="1015" t="s">
        <v>1673</v>
      </c>
      <c r="F181" s="1015">
        <f>0*1000</f>
        <v>0</v>
      </c>
      <c r="G181" s="1015" t="s">
        <v>1539</v>
      </c>
      <c r="H181" s="1015">
        <v>1.9E-6</v>
      </c>
      <c r="I181" s="1015" t="s">
        <v>1539</v>
      </c>
      <c r="J181" s="1015">
        <v>1.3999999999999999E-6</v>
      </c>
      <c r="K181" s="1015" t="s">
        <v>1539</v>
      </c>
      <c r="L181" s="1015"/>
      <c r="M181" s="1015" t="s">
        <v>1539</v>
      </c>
      <c r="N181" s="1015"/>
      <c r="O181" s="1015" t="s">
        <v>1539</v>
      </c>
      <c r="P181" s="1015"/>
      <c r="Q181" s="1015" t="s">
        <v>1539</v>
      </c>
      <c r="R181" s="24"/>
      <c r="S181" s="24"/>
      <c r="T181" s="24"/>
      <c r="U181" s="24"/>
      <c r="V181" s="24"/>
      <c r="W181" s="24"/>
      <c r="X181" s="24"/>
      <c r="Y181" s="24"/>
      <c r="Z181" s="24"/>
      <c r="AA181" s="83"/>
      <c r="AB181" s="83"/>
      <c r="AC181" s="83"/>
      <c r="AD181" s="83"/>
      <c r="AE181" s="83"/>
      <c r="AF181" s="83"/>
      <c r="AG181" s="83"/>
      <c r="AH181" s="83"/>
      <c r="AI181" s="83"/>
      <c r="AJ181" s="83"/>
      <c r="AK181" s="83"/>
      <c r="AL181" s="25"/>
      <c r="AM181" s="25"/>
      <c r="AN181" s="137"/>
      <c r="AO181" s="137"/>
      <c r="AP181" s="137"/>
      <c r="AQ181" s="137"/>
      <c r="AR181" s="137"/>
      <c r="AS181" s="137"/>
      <c r="AT181" s="137"/>
      <c r="AU181" s="137"/>
      <c r="AV181" s="137"/>
      <c r="AW181" s="137"/>
      <c r="AX181" s="137"/>
      <c r="AY181" s="137"/>
      <c r="AZ181" s="137"/>
      <c r="BA181" s="137"/>
      <c r="BB181" s="137"/>
      <c r="BC181" s="137"/>
      <c r="BD181" s="137"/>
      <c r="BE181" s="137"/>
      <c r="BF181" s="137"/>
      <c r="BG181" s="137"/>
      <c r="BH181" s="137"/>
      <c r="BI181" s="137"/>
      <c r="BJ181" s="137"/>
      <c r="BK181" s="137"/>
      <c r="BL181" s="137"/>
      <c r="BM181" s="137"/>
      <c r="BN181" s="137"/>
      <c r="BO181" s="137"/>
      <c r="BP181" s="137"/>
      <c r="BQ181" s="137"/>
      <c r="BR181" s="137"/>
      <c r="BS181" s="137"/>
      <c r="BT181" s="137"/>
      <c r="BU181" s="137"/>
      <c r="BV181" s="137"/>
      <c r="BW181" s="83"/>
      <c r="BX181" s="83"/>
      <c r="BY181" s="83"/>
      <c r="BZ181" s="82"/>
      <c r="CA181" s="35"/>
      <c r="CB181" s="25"/>
      <c r="CC181" s="82"/>
      <c r="CD181" s="82"/>
      <c r="CE181" s="82"/>
      <c r="CF181" s="82"/>
      <c r="CG181" s="82"/>
      <c r="CH181" s="83"/>
    </row>
    <row r="182" spans="1:86" s="94" customFormat="1" ht="15.75" customHeight="1" outlineLevel="1" x14ac:dyDescent="0.2">
      <c r="A182" s="36"/>
      <c r="B182" s="1011"/>
      <c r="C182" s="1502"/>
      <c r="D182" s="1017" t="s">
        <v>1674</v>
      </c>
      <c r="E182" s="1017" t="s">
        <v>1871</v>
      </c>
      <c r="F182" s="1017">
        <f>0.0000534*1000</f>
        <v>5.3399999999999996E-2</v>
      </c>
      <c r="G182" s="1015" t="s">
        <v>1539</v>
      </c>
      <c r="H182" s="1017">
        <v>2.8600000000000001E-6</v>
      </c>
      <c r="I182" s="1015" t="s">
        <v>1539</v>
      </c>
      <c r="J182" s="1017">
        <v>9.7999999999999977E-6</v>
      </c>
      <c r="K182" s="1015" t="s">
        <v>1539</v>
      </c>
      <c r="L182" s="1017"/>
      <c r="M182" s="1015" t="s">
        <v>1539</v>
      </c>
      <c r="N182" s="1017"/>
      <c r="O182" s="1015" t="s">
        <v>1539</v>
      </c>
      <c r="P182" s="1017"/>
      <c r="Q182" s="1015" t="s">
        <v>1539</v>
      </c>
      <c r="R182" s="24"/>
      <c r="S182" s="24"/>
      <c r="T182" s="24"/>
      <c r="U182" s="24"/>
      <c r="V182" s="24"/>
      <c r="W182" s="24"/>
      <c r="X182" s="24"/>
      <c r="Y182" s="24"/>
      <c r="Z182" s="24"/>
      <c r="AA182" s="83"/>
      <c r="AB182" s="83"/>
      <c r="AC182" s="83"/>
      <c r="AD182" s="83"/>
      <c r="AE182" s="83"/>
      <c r="AF182" s="83"/>
      <c r="AG182" s="83"/>
      <c r="AH182" s="83"/>
      <c r="AI182" s="83"/>
      <c r="AJ182" s="83"/>
      <c r="AK182" s="83"/>
      <c r="AL182" s="25"/>
      <c r="AM182" s="25"/>
      <c r="AN182" s="137"/>
      <c r="AO182" s="137"/>
      <c r="AP182" s="137"/>
      <c r="AQ182" s="137"/>
      <c r="AR182" s="137"/>
      <c r="AS182" s="137"/>
      <c r="AT182" s="137"/>
      <c r="AU182" s="137"/>
      <c r="AV182" s="137"/>
      <c r="AW182" s="137"/>
      <c r="AX182" s="137"/>
      <c r="AY182" s="137"/>
      <c r="AZ182" s="137"/>
      <c r="BA182" s="137"/>
      <c r="BB182" s="137"/>
      <c r="BC182" s="137"/>
      <c r="BD182" s="137"/>
      <c r="BE182" s="137"/>
      <c r="BF182" s="137"/>
      <c r="BG182" s="137"/>
      <c r="BH182" s="137"/>
      <c r="BI182" s="137"/>
      <c r="BJ182" s="137"/>
      <c r="BK182" s="137"/>
      <c r="BL182" s="137"/>
      <c r="BM182" s="137"/>
      <c r="BN182" s="137"/>
      <c r="BO182" s="137"/>
      <c r="BP182" s="137"/>
      <c r="BQ182" s="137"/>
      <c r="BR182" s="137"/>
      <c r="BS182" s="137"/>
      <c r="BT182" s="137"/>
      <c r="BU182" s="137"/>
      <c r="BV182" s="137"/>
      <c r="BW182" s="83"/>
      <c r="BX182" s="83"/>
      <c r="BY182" s="83"/>
      <c r="BZ182" s="82"/>
      <c r="CA182" s="35"/>
      <c r="CB182" s="25"/>
      <c r="CC182" s="82"/>
      <c r="CD182" s="82"/>
      <c r="CE182" s="82"/>
      <c r="CF182" s="82"/>
      <c r="CG182" s="82"/>
      <c r="CH182" s="83"/>
    </row>
    <row r="183" spans="1:86" s="94" customFormat="1" ht="15.75" customHeight="1" outlineLevel="1" x14ac:dyDescent="0.2">
      <c r="A183" s="36"/>
      <c r="B183" s="1011"/>
      <c r="C183" s="1503"/>
      <c r="D183" s="1017" t="s">
        <v>1675</v>
      </c>
      <c r="E183" s="1017" t="s">
        <v>1675</v>
      </c>
      <c r="F183" s="1017">
        <f>0.00007414*1000</f>
        <v>7.4140000000000011E-2</v>
      </c>
      <c r="G183" s="1015" t="s">
        <v>1539</v>
      </c>
      <c r="H183" s="1017">
        <v>1.9E-6</v>
      </c>
      <c r="I183" s="1015" t="s">
        <v>1539</v>
      </c>
      <c r="J183" s="1017">
        <v>1.3999999999999999E-6</v>
      </c>
      <c r="K183" s="1015" t="s">
        <v>1539</v>
      </c>
      <c r="L183" s="1017"/>
      <c r="M183" s="1015" t="s">
        <v>1539</v>
      </c>
      <c r="N183" s="1017"/>
      <c r="O183" s="1015" t="s">
        <v>1539</v>
      </c>
      <c r="P183" s="1017"/>
      <c r="Q183" s="1015" t="s">
        <v>1539</v>
      </c>
      <c r="R183" s="24"/>
      <c r="S183" s="24"/>
      <c r="T183" s="24"/>
      <c r="U183" s="24"/>
      <c r="V183" s="24"/>
      <c r="W183" s="24"/>
      <c r="X183" s="24"/>
      <c r="Y183" s="24"/>
      <c r="Z183" s="24"/>
      <c r="AA183" s="83"/>
      <c r="AB183" s="83"/>
      <c r="AC183" s="83"/>
      <c r="AD183" s="83"/>
      <c r="AE183" s="83"/>
      <c r="AF183" s="83"/>
      <c r="AG183" s="83"/>
      <c r="AH183" s="83"/>
      <c r="AI183" s="83"/>
      <c r="AJ183" s="83"/>
      <c r="AK183" s="83"/>
      <c r="AL183" s="25"/>
      <c r="AM183" s="25"/>
      <c r="AN183" s="137"/>
      <c r="AO183" s="137"/>
      <c r="AP183" s="137"/>
      <c r="AQ183" s="137"/>
      <c r="AR183" s="137"/>
      <c r="AS183" s="137"/>
      <c r="AT183" s="137"/>
      <c r="AU183" s="137"/>
      <c r="AV183" s="137"/>
      <c r="AW183" s="137"/>
      <c r="AX183" s="137"/>
      <c r="AY183" s="137"/>
      <c r="AZ183" s="137"/>
      <c r="BA183" s="137"/>
      <c r="BB183" s="137"/>
      <c r="BC183" s="137"/>
      <c r="BD183" s="137"/>
      <c r="BE183" s="137"/>
      <c r="BF183" s="137"/>
      <c r="BG183" s="137"/>
      <c r="BH183" s="137"/>
      <c r="BI183" s="137"/>
      <c r="BJ183" s="137"/>
      <c r="BK183" s="137"/>
      <c r="BL183" s="137"/>
      <c r="BM183" s="137"/>
      <c r="BN183" s="137"/>
      <c r="BO183" s="137"/>
      <c r="BP183" s="137"/>
      <c r="BQ183" s="137"/>
      <c r="BR183" s="137"/>
      <c r="BS183" s="137"/>
      <c r="BT183" s="137"/>
      <c r="BU183" s="137"/>
      <c r="BV183" s="137"/>
      <c r="BW183" s="83"/>
      <c r="BX183" s="83"/>
      <c r="BY183" s="83"/>
      <c r="BZ183" s="82"/>
      <c r="CA183" s="35"/>
      <c r="CB183" s="25"/>
      <c r="CC183" s="82"/>
      <c r="CD183" s="82"/>
      <c r="CE183" s="82"/>
      <c r="CF183" s="82"/>
      <c r="CG183" s="82"/>
      <c r="CH183" s="83"/>
    </row>
    <row r="184" spans="1:86" s="94" customFormat="1" ht="15.75" customHeight="1" outlineLevel="1" x14ac:dyDescent="0.2">
      <c r="A184" s="36"/>
      <c r="B184" s="1011"/>
      <c r="C184" s="1014" t="s">
        <v>1678</v>
      </c>
      <c r="D184" s="1017" t="s">
        <v>1674</v>
      </c>
      <c r="E184" s="1017" t="s">
        <v>1872</v>
      </c>
      <c r="F184" s="1017">
        <f>0*1000</f>
        <v>0</v>
      </c>
      <c r="G184" s="1015" t="s">
        <v>1566</v>
      </c>
      <c r="H184" s="1017">
        <v>1.3698889852995631E-6</v>
      </c>
      <c r="I184" s="1017" t="s">
        <v>1566</v>
      </c>
      <c r="J184" s="1017">
        <v>4.1096669558986883E-7</v>
      </c>
      <c r="K184" s="1017" t="s">
        <v>1566</v>
      </c>
      <c r="L184" s="1017"/>
      <c r="M184" s="1015" t="s">
        <v>1566</v>
      </c>
      <c r="N184" s="1017"/>
      <c r="O184" s="1015" t="s">
        <v>1566</v>
      </c>
      <c r="P184" s="1017"/>
      <c r="Q184" s="1015" t="s">
        <v>1566</v>
      </c>
      <c r="R184" s="24"/>
      <c r="S184" s="24"/>
      <c r="T184" s="24"/>
      <c r="U184" s="24"/>
      <c r="V184" s="24"/>
      <c r="W184" s="24"/>
      <c r="X184" s="24"/>
      <c r="Y184" s="24"/>
      <c r="Z184" s="24"/>
      <c r="AA184" s="83"/>
      <c r="AB184" s="83"/>
      <c r="AC184" s="83"/>
      <c r="AD184" s="83"/>
      <c r="AE184" s="83"/>
      <c r="AF184" s="83"/>
      <c r="AG184" s="83"/>
      <c r="AH184" s="83"/>
      <c r="AI184" s="83"/>
      <c r="AJ184" s="83"/>
      <c r="AK184" s="83"/>
      <c r="AL184" s="25"/>
      <c r="AM184" s="25"/>
      <c r="AN184" s="137"/>
      <c r="AO184" s="137"/>
      <c r="AP184" s="137"/>
      <c r="AQ184" s="137"/>
      <c r="AR184" s="137"/>
      <c r="AS184" s="137"/>
      <c r="AT184" s="137"/>
      <c r="AU184" s="137"/>
      <c r="AV184" s="137"/>
      <c r="AW184" s="137"/>
      <c r="AX184" s="137"/>
      <c r="AY184" s="137"/>
      <c r="AZ184" s="137"/>
      <c r="BA184" s="137"/>
      <c r="BB184" s="137"/>
      <c r="BC184" s="137"/>
      <c r="BD184" s="137"/>
      <c r="BE184" s="137"/>
      <c r="BF184" s="137"/>
      <c r="BG184" s="137"/>
      <c r="BH184" s="137"/>
      <c r="BI184" s="137"/>
      <c r="BJ184" s="137"/>
      <c r="BK184" s="137"/>
      <c r="BL184" s="137"/>
      <c r="BM184" s="137"/>
      <c r="BN184" s="137"/>
      <c r="BO184" s="137"/>
      <c r="BP184" s="137"/>
      <c r="BQ184" s="137"/>
      <c r="BR184" s="137"/>
      <c r="BS184" s="137"/>
      <c r="BT184" s="137"/>
      <c r="BU184" s="137"/>
      <c r="BV184" s="137"/>
      <c r="BW184" s="83"/>
      <c r="BX184" s="83"/>
      <c r="BY184" s="83"/>
      <c r="BZ184" s="82"/>
      <c r="CA184" s="35"/>
      <c r="CB184" s="25"/>
      <c r="CC184" s="82"/>
      <c r="CD184" s="82"/>
      <c r="CE184" s="82"/>
      <c r="CF184" s="82"/>
      <c r="CG184" s="82"/>
      <c r="CH184" s="83"/>
    </row>
    <row r="185" spans="1:86" s="94" customFormat="1" ht="15.75" customHeight="1" outlineLevel="1" x14ac:dyDescent="0.2">
      <c r="A185" s="36"/>
      <c r="B185" s="35"/>
      <c r="C185" s="135"/>
      <c r="D185" s="5"/>
      <c r="E185" s="5"/>
      <c r="F185" s="5"/>
      <c r="G185" s="8"/>
      <c r="H185" s="24"/>
      <c r="I185" s="8"/>
      <c r="J185" s="8"/>
      <c r="K185" s="24"/>
      <c r="L185" s="24"/>
      <c r="M185" s="8"/>
      <c r="N185" s="24"/>
      <c r="O185" s="24"/>
      <c r="P185" s="24"/>
      <c r="Q185" s="24"/>
      <c r="R185" s="24"/>
      <c r="S185" s="24"/>
      <c r="T185" s="24"/>
      <c r="U185" s="24"/>
      <c r="V185" s="24"/>
      <c r="W185" s="24"/>
      <c r="X185" s="24"/>
      <c r="Y185" s="24"/>
      <c r="Z185" s="24"/>
      <c r="AA185" s="83"/>
      <c r="AB185" s="83"/>
      <c r="AC185" s="83"/>
      <c r="AD185" s="83"/>
      <c r="AE185" s="83"/>
      <c r="AF185" s="83"/>
      <c r="AG185" s="83"/>
      <c r="AH185" s="83"/>
      <c r="AI185" s="83"/>
      <c r="AJ185" s="83"/>
      <c r="AK185" s="83"/>
      <c r="AL185" s="25"/>
      <c r="AM185" s="25"/>
      <c r="AN185" s="137"/>
      <c r="AO185" s="137"/>
      <c r="AP185" s="137"/>
      <c r="AQ185" s="137"/>
      <c r="AR185" s="137"/>
      <c r="AS185" s="137"/>
      <c r="AT185" s="137"/>
      <c r="AU185" s="137"/>
      <c r="AV185" s="137"/>
      <c r="AW185" s="137"/>
      <c r="AX185" s="137"/>
      <c r="AY185" s="137"/>
      <c r="AZ185" s="137"/>
      <c r="BA185" s="137"/>
      <c r="BB185" s="137"/>
      <c r="BC185" s="137"/>
      <c r="BD185" s="137"/>
      <c r="BE185" s="137"/>
      <c r="BF185" s="137"/>
      <c r="BG185" s="137"/>
      <c r="BH185" s="137"/>
      <c r="BI185" s="137"/>
      <c r="BJ185" s="137"/>
      <c r="BK185" s="137"/>
      <c r="BL185" s="137"/>
      <c r="BM185" s="137"/>
      <c r="BN185" s="137"/>
      <c r="BO185" s="137"/>
      <c r="BP185" s="137"/>
      <c r="BQ185" s="137"/>
      <c r="BR185" s="137"/>
      <c r="BS185" s="137"/>
      <c r="BT185" s="137"/>
      <c r="BU185" s="137"/>
      <c r="BV185" s="137"/>
      <c r="BW185" s="83"/>
      <c r="BX185" s="83"/>
      <c r="BY185" s="83"/>
      <c r="BZ185" s="82"/>
      <c r="CA185" s="35"/>
      <c r="CB185" s="25"/>
      <c r="CC185" s="82"/>
      <c r="CD185" s="82"/>
      <c r="CE185" s="82"/>
      <c r="CF185" s="82"/>
      <c r="CG185" s="82"/>
      <c r="CH185" s="83"/>
    </row>
    <row r="186" spans="1:86" s="94" customFormat="1" ht="15.75" customHeight="1" outlineLevel="1" x14ac:dyDescent="0.3">
      <c r="A186" s="36"/>
      <c r="B186" s="250" t="s">
        <v>1679</v>
      </c>
      <c r="C186" s="251" t="s">
        <v>1680</v>
      </c>
      <c r="D186" s="278"/>
      <c r="E186" s="278"/>
      <c r="F186" s="278"/>
      <c r="G186" s="278"/>
      <c r="H186" s="278"/>
      <c r="I186" s="278"/>
      <c r="J186" s="278"/>
      <c r="K186" s="278"/>
      <c r="L186" s="24"/>
      <c r="M186" s="8"/>
      <c r="N186" s="24"/>
      <c r="O186" s="24"/>
      <c r="P186" s="24"/>
      <c r="Q186" s="24"/>
      <c r="R186" s="24"/>
      <c r="S186" s="24"/>
      <c r="T186" s="24"/>
      <c r="U186" s="24"/>
      <c r="V186" s="24"/>
      <c r="W186" s="24"/>
      <c r="X186" s="24"/>
      <c r="Y186" s="24"/>
      <c r="Z186" s="24"/>
      <c r="AA186" s="83"/>
      <c r="AB186" s="83"/>
      <c r="AC186" s="83"/>
      <c r="AD186" s="83"/>
      <c r="AE186" s="83"/>
      <c r="AF186" s="83"/>
      <c r="AG186" s="83"/>
      <c r="AH186" s="83"/>
      <c r="AI186" s="83"/>
      <c r="AJ186" s="83"/>
      <c r="AK186" s="83"/>
      <c r="AL186" s="25"/>
      <c r="AM186" s="25"/>
      <c r="AN186" s="137"/>
      <c r="AO186" s="137"/>
      <c r="AP186" s="137"/>
      <c r="AQ186" s="137"/>
      <c r="AR186" s="137"/>
      <c r="AS186" s="137"/>
      <c r="AT186" s="137"/>
      <c r="AU186" s="137"/>
      <c r="AV186" s="137"/>
      <c r="AW186" s="137"/>
      <c r="AX186" s="137"/>
      <c r="AY186" s="137"/>
      <c r="AZ186" s="137"/>
      <c r="BA186" s="137"/>
      <c r="BB186" s="137"/>
      <c r="BC186" s="137"/>
      <c r="BD186" s="137"/>
      <c r="BE186" s="137"/>
      <c r="BF186" s="137"/>
      <c r="BG186" s="137"/>
      <c r="BH186" s="137"/>
      <c r="BI186" s="137"/>
      <c r="BJ186" s="137"/>
      <c r="BK186" s="137"/>
      <c r="BL186" s="137"/>
      <c r="BM186" s="137"/>
      <c r="BN186" s="137"/>
      <c r="BO186" s="137"/>
      <c r="BP186" s="137"/>
      <c r="BQ186" s="137"/>
      <c r="BR186" s="137"/>
      <c r="BS186" s="137"/>
      <c r="BT186" s="137"/>
      <c r="BU186" s="137"/>
      <c r="BV186" s="137"/>
      <c r="BW186" s="83"/>
      <c r="BX186" s="83"/>
      <c r="BY186" s="83"/>
      <c r="BZ186" s="82"/>
      <c r="CA186" s="35"/>
      <c r="CB186" s="25"/>
      <c r="CC186" s="82"/>
      <c r="CD186" s="82"/>
      <c r="CE186" s="82"/>
      <c r="CF186" s="82"/>
      <c r="CG186" s="82"/>
      <c r="CH186" s="83"/>
    </row>
    <row r="187" spans="1:86" s="94" customFormat="1" ht="15.75" customHeight="1" outlineLevel="1" x14ac:dyDescent="0.3">
      <c r="A187" s="36"/>
      <c r="B187" s="250"/>
      <c r="C187" s="251"/>
      <c r="D187" s="278"/>
      <c r="E187" s="278"/>
      <c r="F187" s="278"/>
      <c r="G187" s="278"/>
      <c r="H187" s="278"/>
      <c r="I187" s="278"/>
      <c r="J187" s="278"/>
      <c r="K187" s="278"/>
      <c r="L187" s="24"/>
      <c r="M187" s="8"/>
      <c r="N187" s="24"/>
      <c r="O187" s="24"/>
      <c r="P187" s="24"/>
      <c r="Q187" s="24"/>
      <c r="R187" s="24"/>
      <c r="S187" s="24"/>
      <c r="T187" s="24"/>
      <c r="U187" s="24"/>
      <c r="V187" s="24"/>
      <c r="W187" s="24"/>
      <c r="X187" s="24"/>
      <c r="Y187" s="24"/>
      <c r="Z187" s="24"/>
      <c r="AA187" s="83"/>
      <c r="AB187" s="83"/>
      <c r="AC187" s="83"/>
      <c r="AD187" s="83"/>
      <c r="AE187" s="83"/>
      <c r="AF187" s="83"/>
      <c r="AG187" s="83"/>
      <c r="AH187" s="83"/>
      <c r="AI187" s="83"/>
      <c r="AJ187" s="83"/>
      <c r="AK187" s="83"/>
      <c r="AL187" s="25"/>
      <c r="AM187" s="25"/>
      <c r="AN187" s="137"/>
      <c r="AO187" s="137"/>
      <c r="AP187" s="137"/>
      <c r="AQ187" s="137"/>
      <c r="AR187" s="137"/>
      <c r="AS187" s="137"/>
      <c r="AT187" s="137"/>
      <c r="AU187" s="137"/>
      <c r="AV187" s="137"/>
      <c r="AW187" s="137"/>
      <c r="AX187" s="137"/>
      <c r="AY187" s="137"/>
      <c r="AZ187" s="137"/>
      <c r="BA187" s="137"/>
      <c r="BB187" s="137"/>
      <c r="BC187" s="137"/>
      <c r="BD187" s="137"/>
      <c r="BE187" s="137"/>
      <c r="BF187" s="137"/>
      <c r="BG187" s="137"/>
      <c r="BH187" s="137"/>
      <c r="BI187" s="137"/>
      <c r="BJ187" s="137"/>
      <c r="BK187" s="137"/>
      <c r="BL187" s="137"/>
      <c r="BM187" s="137"/>
      <c r="BN187" s="137"/>
      <c r="BO187" s="137"/>
      <c r="BP187" s="137"/>
      <c r="BQ187" s="137"/>
      <c r="BR187" s="137"/>
      <c r="BS187" s="137"/>
      <c r="BT187" s="137"/>
      <c r="BU187" s="137"/>
      <c r="BV187" s="137"/>
      <c r="BW187" s="83"/>
      <c r="BX187" s="83"/>
      <c r="BY187" s="83"/>
      <c r="BZ187" s="82"/>
      <c r="CA187" s="35"/>
      <c r="CB187" s="25"/>
      <c r="CC187" s="82"/>
      <c r="CD187" s="82"/>
      <c r="CE187" s="82"/>
      <c r="CF187" s="82"/>
      <c r="CG187" s="82"/>
      <c r="CH187" s="83"/>
    </row>
    <row r="188" spans="1:86" s="94" customFormat="1" ht="15.75" customHeight="1" outlineLevel="1" x14ac:dyDescent="0.25">
      <c r="A188" s="36"/>
      <c r="B188" s="82"/>
      <c r="C188" s="217" t="s">
        <v>1738</v>
      </c>
      <c r="D188" s="280"/>
      <c r="E188" s="273"/>
      <c r="F188" s="273"/>
      <c r="G188" s="273"/>
      <c r="H188" s="273"/>
      <c r="I188" s="273"/>
      <c r="J188" s="273"/>
      <c r="K188" s="273"/>
      <c r="L188" s="24"/>
      <c r="M188" s="8"/>
      <c r="N188" s="24"/>
      <c r="O188" s="24"/>
      <c r="P188" s="24"/>
      <c r="Q188" s="24"/>
      <c r="R188" s="24"/>
      <c r="S188" s="24"/>
      <c r="T188" s="24"/>
      <c r="U188" s="24"/>
      <c r="V188" s="24"/>
      <c r="W188" s="24"/>
      <c r="X188" s="24"/>
      <c r="Y188" s="24"/>
      <c r="Z188" s="24"/>
      <c r="AA188" s="83"/>
      <c r="AB188" s="83"/>
      <c r="AC188" s="83"/>
      <c r="AD188" s="83"/>
      <c r="AE188" s="83"/>
      <c r="AF188" s="83"/>
      <c r="AG188" s="83"/>
      <c r="AH188" s="83"/>
      <c r="AI188" s="83"/>
      <c r="AJ188" s="83"/>
      <c r="AK188" s="83"/>
      <c r="AL188" s="25"/>
      <c r="AM188" s="25"/>
      <c r="AN188" s="137"/>
      <c r="AO188" s="137"/>
      <c r="AP188" s="137"/>
      <c r="AQ188" s="137"/>
      <c r="AR188" s="137"/>
      <c r="AS188" s="137"/>
      <c r="AT188" s="137"/>
      <c r="AU188" s="137"/>
      <c r="AV188" s="137"/>
      <c r="AW188" s="137"/>
      <c r="AX188" s="137"/>
      <c r="AY188" s="137"/>
      <c r="AZ188" s="137"/>
      <c r="BA188" s="137"/>
      <c r="BB188" s="137"/>
      <c r="BC188" s="137"/>
      <c r="BD188" s="137"/>
      <c r="BE188" s="137"/>
      <c r="BF188" s="137"/>
      <c r="BG188" s="137"/>
      <c r="BH188" s="137"/>
      <c r="BI188" s="137"/>
      <c r="BJ188" s="137"/>
      <c r="BK188" s="137"/>
      <c r="BL188" s="137"/>
      <c r="BM188" s="137"/>
      <c r="BN188" s="137"/>
      <c r="BO188" s="137"/>
      <c r="BP188" s="137"/>
      <c r="BQ188" s="137"/>
      <c r="BR188" s="137"/>
      <c r="BS188" s="137"/>
      <c r="BT188" s="137"/>
      <c r="BU188" s="137"/>
      <c r="BV188" s="137"/>
      <c r="BW188" s="83"/>
      <c r="BX188" s="83"/>
      <c r="BY188" s="83"/>
      <c r="BZ188" s="82"/>
      <c r="CA188" s="35"/>
      <c r="CB188" s="25"/>
      <c r="CC188" s="82"/>
      <c r="CD188" s="82"/>
      <c r="CE188" s="82"/>
      <c r="CF188" s="82"/>
      <c r="CG188" s="82"/>
      <c r="CH188" s="83"/>
    </row>
    <row r="189" spans="1:86" s="94" customFormat="1" ht="15.75" customHeight="1" outlineLevel="1" x14ac:dyDescent="0.2">
      <c r="A189" s="36"/>
      <c r="B189" s="37"/>
      <c r="C189" s="1475" t="s">
        <v>1577</v>
      </c>
      <c r="D189" s="1539" t="s">
        <v>1578</v>
      </c>
      <c r="E189" s="1527" t="s">
        <v>1579</v>
      </c>
      <c r="F189" s="1526" t="s">
        <v>1676</v>
      </c>
      <c r="G189" s="1526"/>
      <c r="H189" s="1526"/>
      <c r="I189" s="1526"/>
      <c r="J189" s="1526"/>
      <c r="K189" s="1526"/>
      <c r="L189" s="24"/>
      <c r="M189" s="8"/>
      <c r="N189" s="24"/>
      <c r="O189" s="24"/>
      <c r="P189" s="24"/>
      <c r="Q189" s="24"/>
      <c r="R189" s="24"/>
      <c r="S189" s="24"/>
      <c r="T189" s="24"/>
      <c r="U189" s="24"/>
      <c r="V189" s="24"/>
      <c r="W189" s="24"/>
      <c r="X189" s="24"/>
      <c r="Y189" s="24"/>
      <c r="Z189" s="24"/>
      <c r="AA189" s="83"/>
      <c r="AB189" s="83"/>
      <c r="AC189" s="83"/>
      <c r="AD189" s="83"/>
      <c r="AE189" s="83"/>
      <c r="AF189" s="83"/>
      <c r="AG189" s="83"/>
      <c r="AH189" s="83"/>
      <c r="AI189" s="83"/>
      <c r="AJ189" s="83"/>
      <c r="AK189" s="83"/>
      <c r="AL189" s="25"/>
      <c r="AM189" s="25"/>
      <c r="AN189" s="137"/>
      <c r="AO189" s="137"/>
      <c r="AP189" s="137"/>
      <c r="AQ189" s="137"/>
      <c r="AR189" s="137"/>
      <c r="AS189" s="137"/>
      <c r="AT189" s="137"/>
      <c r="AU189" s="137"/>
      <c r="AV189" s="137"/>
      <c r="AW189" s="137"/>
      <c r="AX189" s="137"/>
      <c r="AY189" s="137"/>
      <c r="AZ189" s="137"/>
      <c r="BA189" s="137"/>
      <c r="BB189" s="137"/>
      <c r="BC189" s="137"/>
      <c r="BD189" s="137"/>
      <c r="BE189" s="137"/>
      <c r="BF189" s="137"/>
      <c r="BG189" s="137"/>
      <c r="BH189" s="137"/>
      <c r="BI189" s="137"/>
      <c r="BJ189" s="137"/>
      <c r="BK189" s="137"/>
      <c r="BL189" s="137"/>
      <c r="BM189" s="137"/>
      <c r="BN189" s="137"/>
      <c r="BO189" s="137"/>
      <c r="BP189" s="137"/>
      <c r="BQ189" s="137"/>
      <c r="BR189" s="137"/>
      <c r="BS189" s="137"/>
      <c r="BT189" s="137"/>
      <c r="BU189" s="137"/>
      <c r="BV189" s="137"/>
      <c r="BW189" s="83"/>
      <c r="BX189" s="83"/>
      <c r="BY189" s="83"/>
      <c r="BZ189" s="82"/>
      <c r="CA189" s="35"/>
      <c r="CB189" s="25"/>
      <c r="CC189" s="82"/>
      <c r="CD189" s="82"/>
      <c r="CE189" s="82"/>
      <c r="CF189" s="82"/>
      <c r="CG189" s="82"/>
      <c r="CH189" s="83"/>
    </row>
    <row r="190" spans="1:86" s="94" customFormat="1" ht="15.75" customHeight="1" outlineLevel="1" x14ac:dyDescent="0.2">
      <c r="A190" s="36"/>
      <c r="B190" s="37"/>
      <c r="C190" s="1476"/>
      <c r="D190" s="1539"/>
      <c r="E190" s="1528"/>
      <c r="F190" s="1526" t="s">
        <v>1536</v>
      </c>
      <c r="G190" s="1526"/>
      <c r="H190" s="1526" t="s">
        <v>1540</v>
      </c>
      <c r="I190" s="1526"/>
      <c r="J190" s="1526" t="s">
        <v>1541</v>
      </c>
      <c r="K190" s="1526"/>
      <c r="L190" s="24"/>
      <c r="M190" s="8"/>
      <c r="N190" s="24"/>
      <c r="O190" s="24"/>
      <c r="P190" s="24"/>
      <c r="Q190" s="24"/>
      <c r="R190" s="24"/>
      <c r="S190" s="24"/>
      <c r="T190" s="24"/>
      <c r="U190" s="24"/>
      <c r="V190" s="24"/>
      <c r="W190" s="24"/>
      <c r="X190" s="24"/>
      <c r="Y190" s="24"/>
      <c r="Z190" s="24"/>
      <c r="AA190" s="83"/>
      <c r="AB190" s="83"/>
      <c r="AC190" s="83"/>
      <c r="AD190" s="83"/>
      <c r="AE190" s="83"/>
      <c r="AF190" s="83"/>
      <c r="AG190" s="83"/>
      <c r="AH190" s="83"/>
      <c r="AI190" s="83"/>
      <c r="AJ190" s="83"/>
      <c r="AK190" s="83"/>
      <c r="AL190" s="25"/>
      <c r="AM190" s="25"/>
      <c r="AN190" s="137"/>
      <c r="AO190" s="137"/>
      <c r="AP190" s="137"/>
      <c r="AQ190" s="137"/>
      <c r="AR190" s="137"/>
      <c r="AS190" s="137"/>
      <c r="AT190" s="137"/>
      <c r="AU190" s="137"/>
      <c r="AV190" s="137"/>
      <c r="AW190" s="137"/>
      <c r="AX190" s="137"/>
      <c r="AY190" s="137"/>
      <c r="AZ190" s="137"/>
      <c r="BA190" s="137"/>
      <c r="BB190" s="137"/>
      <c r="BC190" s="137"/>
      <c r="BD190" s="137"/>
      <c r="BE190" s="137"/>
      <c r="BF190" s="137"/>
      <c r="BG190" s="137"/>
      <c r="BH190" s="137"/>
      <c r="BI190" s="137"/>
      <c r="BJ190" s="137"/>
      <c r="BK190" s="137"/>
      <c r="BL190" s="137"/>
      <c r="BM190" s="137"/>
      <c r="BN190" s="137"/>
      <c r="BO190" s="137"/>
      <c r="BP190" s="137"/>
      <c r="BQ190" s="137"/>
      <c r="BR190" s="137"/>
      <c r="BS190" s="137"/>
      <c r="BT190" s="137"/>
      <c r="BU190" s="137"/>
      <c r="BV190" s="137"/>
      <c r="BW190" s="83"/>
      <c r="BX190" s="83"/>
      <c r="BY190" s="83"/>
      <c r="BZ190" s="82"/>
      <c r="CA190" s="35"/>
      <c r="CB190" s="25"/>
      <c r="CC190" s="82"/>
      <c r="CD190" s="82"/>
      <c r="CE190" s="82"/>
      <c r="CF190" s="82"/>
      <c r="CG190" s="82"/>
      <c r="CH190" s="83"/>
    </row>
    <row r="191" spans="1:86" s="94" customFormat="1" ht="15.75" customHeight="1" outlineLevel="1" x14ac:dyDescent="0.2">
      <c r="A191" s="36"/>
      <c r="B191" s="45"/>
      <c r="C191" s="1476"/>
      <c r="D191" s="1540"/>
      <c r="E191" s="1528"/>
      <c r="F191" s="1006" t="s">
        <v>1537</v>
      </c>
      <c r="G191" s="1006" t="s">
        <v>1538</v>
      </c>
      <c r="H191" s="1006" t="s">
        <v>1537</v>
      </c>
      <c r="I191" s="1006" t="s">
        <v>1538</v>
      </c>
      <c r="J191" s="1006" t="s">
        <v>1537</v>
      </c>
      <c r="K191" s="1006" t="s">
        <v>1538</v>
      </c>
      <c r="L191" s="24"/>
      <c r="M191" s="8"/>
      <c r="N191" s="24"/>
      <c r="O191" s="24"/>
      <c r="P191" s="24"/>
      <c r="Q191" s="24"/>
      <c r="R191" s="24"/>
      <c r="S191" s="24"/>
      <c r="T191" s="24"/>
      <c r="U191" s="24"/>
      <c r="V191" s="24"/>
      <c r="W191" s="24"/>
      <c r="X191" s="24"/>
      <c r="Y191" s="24"/>
      <c r="Z191" s="24"/>
      <c r="AA191" s="83"/>
      <c r="AB191" s="83"/>
      <c r="AC191" s="83"/>
      <c r="AD191" s="83"/>
      <c r="AE191" s="83"/>
      <c r="AF191" s="83"/>
      <c r="AG191" s="83"/>
      <c r="AH191" s="83"/>
      <c r="AI191" s="83"/>
      <c r="AJ191" s="83"/>
      <c r="AK191" s="83"/>
      <c r="AL191" s="25"/>
      <c r="AM191" s="25"/>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37"/>
      <c r="BK191" s="137"/>
      <c r="BL191" s="137"/>
      <c r="BM191" s="137"/>
      <c r="BN191" s="137"/>
      <c r="BO191" s="137"/>
      <c r="BP191" s="137"/>
      <c r="BQ191" s="137"/>
      <c r="BR191" s="137"/>
      <c r="BS191" s="137"/>
      <c r="BT191" s="137"/>
      <c r="BU191" s="137"/>
      <c r="BV191" s="137"/>
      <c r="BW191" s="83"/>
      <c r="BX191" s="83"/>
      <c r="BY191" s="83"/>
      <c r="BZ191" s="82"/>
      <c r="CA191" s="35"/>
      <c r="CB191" s="25"/>
      <c r="CC191" s="82"/>
      <c r="CD191" s="82"/>
      <c r="CE191" s="82"/>
      <c r="CF191" s="82"/>
      <c r="CG191" s="82"/>
      <c r="CH191" s="83"/>
    </row>
    <row r="192" spans="1:86" s="94" customFormat="1" ht="15.75" customHeight="1" outlineLevel="1" x14ac:dyDescent="0.2">
      <c r="A192" s="36"/>
      <c r="B192" s="1009"/>
      <c r="C192" s="1014" t="s">
        <v>1672</v>
      </c>
      <c r="D192" s="1015" t="s">
        <v>1681</v>
      </c>
      <c r="E192" s="1015" t="s">
        <v>1877</v>
      </c>
      <c r="F192" s="1015">
        <f>0.00011516*1000</f>
        <v>0.11516</v>
      </c>
      <c r="G192" s="1015" t="s">
        <v>1539</v>
      </c>
      <c r="H192" s="1013"/>
      <c r="I192" s="1013"/>
      <c r="J192" s="1013"/>
      <c r="K192" s="1013"/>
      <c r="L192" s="24"/>
      <c r="M192" s="8"/>
      <c r="N192" s="24"/>
      <c r="O192" s="24"/>
      <c r="P192" s="24"/>
      <c r="Q192" s="24"/>
      <c r="R192" s="24"/>
      <c r="S192" s="24"/>
      <c r="T192" s="24"/>
      <c r="U192" s="24"/>
      <c r="V192" s="24"/>
      <c r="W192" s="24"/>
      <c r="X192" s="24"/>
      <c r="Y192" s="24"/>
      <c r="Z192" s="24"/>
      <c r="AA192" s="83"/>
      <c r="AB192" s="83"/>
      <c r="AC192" s="83"/>
      <c r="AD192" s="83"/>
      <c r="AE192" s="83"/>
      <c r="AF192" s="83"/>
      <c r="AG192" s="83"/>
      <c r="AH192" s="83"/>
      <c r="AI192" s="83"/>
      <c r="AJ192" s="83"/>
      <c r="AK192" s="83"/>
      <c r="AL192" s="25"/>
      <c r="AM192" s="25"/>
      <c r="AN192" s="137"/>
      <c r="AO192" s="137"/>
      <c r="AP192" s="137"/>
      <c r="AQ192" s="137"/>
      <c r="AR192" s="137"/>
      <c r="AS192" s="137"/>
      <c r="AT192" s="137"/>
      <c r="AU192" s="137"/>
      <c r="AV192" s="137"/>
      <c r="AW192" s="137"/>
      <c r="AX192" s="137"/>
      <c r="AY192" s="137"/>
      <c r="AZ192" s="137"/>
      <c r="BA192" s="137"/>
      <c r="BB192" s="137"/>
      <c r="BC192" s="137"/>
      <c r="BD192" s="137"/>
      <c r="BE192" s="137"/>
      <c r="BF192" s="137"/>
      <c r="BG192" s="137"/>
      <c r="BH192" s="137"/>
      <c r="BI192" s="137"/>
      <c r="BJ192" s="137"/>
      <c r="BK192" s="137"/>
      <c r="BL192" s="137"/>
      <c r="BM192" s="137"/>
      <c r="BN192" s="137"/>
      <c r="BO192" s="137"/>
      <c r="BP192" s="137"/>
      <c r="BQ192" s="137"/>
      <c r="BR192" s="137"/>
      <c r="BS192" s="137"/>
      <c r="BT192" s="137"/>
      <c r="BU192" s="137"/>
      <c r="BV192" s="137"/>
      <c r="BW192" s="83"/>
      <c r="BX192" s="83"/>
      <c r="BY192" s="83"/>
      <c r="BZ192" s="82"/>
      <c r="CA192" s="35"/>
      <c r="CB192" s="25"/>
      <c r="CC192" s="82"/>
      <c r="CD192" s="82"/>
      <c r="CE192" s="82"/>
      <c r="CF192" s="82"/>
      <c r="CG192" s="82"/>
      <c r="CH192" s="83"/>
    </row>
    <row r="193" spans="1:86" s="94" customFormat="1" ht="15" outlineLevel="1" x14ac:dyDescent="0.2">
      <c r="A193" s="36"/>
      <c r="B193" s="1011"/>
      <c r="C193" s="1501" t="s">
        <v>1686</v>
      </c>
      <c r="D193" s="1015" t="s">
        <v>1681</v>
      </c>
      <c r="E193" s="1015" t="s">
        <v>1878</v>
      </c>
      <c r="F193" s="1015">
        <f>0.0000495*1000</f>
        <v>4.9499999999999995E-2</v>
      </c>
      <c r="G193" s="1015" t="s">
        <v>1566</v>
      </c>
      <c r="H193" s="1015">
        <v>2.8082724198641043E-6</v>
      </c>
      <c r="I193" s="1015" t="s">
        <v>1566</v>
      </c>
      <c r="J193" s="1015">
        <v>9.5892228970969408E-7</v>
      </c>
      <c r="K193" s="1015" t="s">
        <v>1566</v>
      </c>
      <c r="L193" s="24"/>
      <c r="M193" s="8"/>
      <c r="N193" s="24"/>
      <c r="O193" s="24"/>
      <c r="P193" s="24"/>
      <c r="Q193" s="24"/>
      <c r="R193" s="24"/>
      <c r="S193" s="24"/>
      <c r="T193" s="24"/>
      <c r="U193" s="24"/>
      <c r="V193" s="24"/>
      <c r="W193" s="24"/>
      <c r="X193" s="24"/>
      <c r="Y193" s="24"/>
      <c r="Z193" s="24"/>
      <c r="AA193" s="83"/>
      <c r="AB193" s="83"/>
      <c r="AC193" s="83"/>
      <c r="AD193" s="83"/>
      <c r="AE193" s="83"/>
      <c r="AF193" s="83"/>
      <c r="AG193" s="83"/>
      <c r="AH193" s="83"/>
      <c r="AI193" s="83"/>
      <c r="AJ193" s="83"/>
      <c r="AK193" s="83"/>
      <c r="AL193" s="25"/>
      <c r="AM193" s="25"/>
      <c r="AN193" s="137"/>
      <c r="AO193" s="137"/>
      <c r="AP193" s="137"/>
      <c r="AQ193" s="137"/>
      <c r="AR193" s="137"/>
      <c r="AS193" s="137"/>
      <c r="AT193" s="137"/>
      <c r="AU193" s="137"/>
      <c r="AV193" s="137"/>
      <c r="AW193" s="137"/>
      <c r="AX193" s="137"/>
      <c r="AY193" s="137"/>
      <c r="AZ193" s="137"/>
      <c r="BA193" s="137"/>
      <c r="BB193" s="137"/>
      <c r="BC193" s="137"/>
      <c r="BD193" s="137"/>
      <c r="BE193" s="137"/>
      <c r="BF193" s="137"/>
      <c r="BG193" s="137"/>
      <c r="BH193" s="137"/>
      <c r="BI193" s="137"/>
      <c r="BJ193" s="137"/>
      <c r="BK193" s="137"/>
      <c r="BL193" s="137"/>
      <c r="BM193" s="137"/>
      <c r="BN193" s="137"/>
      <c r="BO193" s="137"/>
      <c r="BP193" s="137"/>
      <c r="BQ193" s="137"/>
      <c r="BR193" s="137"/>
      <c r="BS193" s="137"/>
      <c r="BT193" s="137"/>
      <c r="BU193" s="137"/>
      <c r="BV193" s="137"/>
      <c r="BW193" s="83"/>
      <c r="BX193" s="83"/>
      <c r="BY193" s="83"/>
      <c r="BZ193" s="82"/>
      <c r="CA193" s="35"/>
      <c r="CB193" s="25"/>
      <c r="CC193" s="82"/>
      <c r="CD193" s="82"/>
      <c r="CE193" s="82"/>
      <c r="CF193" s="82"/>
      <c r="CG193" s="82"/>
      <c r="CH193" s="83"/>
    </row>
    <row r="194" spans="1:86" s="94" customFormat="1" ht="15" outlineLevel="1" x14ac:dyDescent="0.2">
      <c r="A194" s="36"/>
      <c r="B194" s="1011"/>
      <c r="C194" s="1502"/>
      <c r="D194" s="1017" t="s">
        <v>1687</v>
      </c>
      <c r="E194" s="1017" t="s">
        <v>1682</v>
      </c>
      <c r="F194" s="1017">
        <f>0.0000333*1000</f>
        <v>3.3300000000000003E-2</v>
      </c>
      <c r="G194" s="1015" t="s">
        <v>1566</v>
      </c>
      <c r="H194" s="1017">
        <v>2.8082724198641043E-6</v>
      </c>
      <c r="I194" s="1015" t="s">
        <v>1566</v>
      </c>
      <c r="J194" s="1017">
        <v>9.5892228970969408E-7</v>
      </c>
      <c r="K194" s="1015" t="s">
        <v>1566</v>
      </c>
      <c r="L194" s="24"/>
      <c r="M194" s="8"/>
      <c r="N194" s="24"/>
      <c r="O194" s="24"/>
      <c r="P194" s="24"/>
      <c r="Q194" s="24"/>
      <c r="R194" s="24"/>
      <c r="S194" s="24"/>
      <c r="T194" s="24"/>
      <c r="U194" s="24"/>
      <c r="V194" s="24"/>
      <c r="W194" s="24"/>
      <c r="X194" s="24"/>
      <c r="Y194" s="24"/>
      <c r="Z194" s="24"/>
      <c r="AA194" s="83"/>
      <c r="AB194" s="83"/>
      <c r="AC194" s="83"/>
      <c r="AD194" s="83"/>
      <c r="AE194" s="83"/>
      <c r="AF194" s="83"/>
      <c r="AG194" s="83"/>
      <c r="AH194" s="83"/>
      <c r="AI194" s="83"/>
      <c r="AJ194" s="83"/>
      <c r="AK194" s="83"/>
      <c r="AL194" s="25"/>
      <c r="AM194" s="25"/>
      <c r="AN194" s="137"/>
      <c r="AO194" s="137"/>
      <c r="AP194" s="137"/>
      <c r="AQ194" s="137"/>
      <c r="AR194" s="137"/>
      <c r="AS194" s="137"/>
      <c r="AT194" s="137"/>
      <c r="AU194" s="137"/>
      <c r="AV194" s="137"/>
      <c r="AW194" s="137"/>
      <c r="AX194" s="137"/>
      <c r="AY194" s="137"/>
      <c r="AZ194" s="137"/>
      <c r="BA194" s="137"/>
      <c r="BB194" s="137"/>
      <c r="BC194" s="137"/>
      <c r="BD194" s="137"/>
      <c r="BE194" s="137"/>
      <c r="BF194" s="137"/>
      <c r="BG194" s="137"/>
      <c r="BH194" s="137"/>
      <c r="BI194" s="137"/>
      <c r="BJ194" s="137"/>
      <c r="BK194" s="137"/>
      <c r="BL194" s="137"/>
      <c r="BM194" s="137"/>
      <c r="BN194" s="137"/>
      <c r="BO194" s="137"/>
      <c r="BP194" s="137"/>
      <c r="BQ194" s="137"/>
      <c r="BR194" s="137"/>
      <c r="BS194" s="137"/>
      <c r="BT194" s="137"/>
      <c r="BU194" s="137"/>
      <c r="BV194" s="137"/>
      <c r="BW194" s="83"/>
      <c r="BX194" s="83"/>
      <c r="BY194" s="83"/>
      <c r="BZ194" s="82"/>
      <c r="CA194" s="35"/>
      <c r="CB194" s="25"/>
      <c r="CC194" s="82"/>
      <c r="CD194" s="82"/>
      <c r="CE194" s="82"/>
      <c r="CF194" s="82"/>
      <c r="CG194" s="82"/>
      <c r="CH194" s="83"/>
    </row>
    <row r="195" spans="1:86" s="94" customFormat="1" ht="15" outlineLevel="1" x14ac:dyDescent="0.2">
      <c r="A195" s="36"/>
      <c r="B195" s="1011"/>
      <c r="C195" s="1502"/>
      <c r="D195" s="1017" t="s">
        <v>1688</v>
      </c>
      <c r="E195" s="1017" t="s">
        <v>1683</v>
      </c>
      <c r="F195" s="1017">
        <f>0.0000091*1000</f>
        <v>9.0999999999999987E-3</v>
      </c>
      <c r="G195" s="1015" t="s">
        <v>1566</v>
      </c>
      <c r="H195" s="1017">
        <v>2.8082724198641043E-6</v>
      </c>
      <c r="I195" s="1015" t="s">
        <v>1566</v>
      </c>
      <c r="J195" s="1017">
        <v>9.5892228970969408E-7</v>
      </c>
      <c r="K195" s="1015" t="s">
        <v>1566</v>
      </c>
      <c r="L195" s="24"/>
      <c r="M195" s="8"/>
      <c r="N195" s="24"/>
      <c r="O195" s="24"/>
      <c r="P195" s="24"/>
      <c r="Q195" s="24"/>
      <c r="R195" s="24"/>
      <c r="S195" s="24"/>
      <c r="T195" s="24"/>
      <c r="U195" s="24"/>
      <c r="V195" s="24"/>
      <c r="W195" s="24"/>
      <c r="X195" s="24"/>
      <c r="Y195" s="24"/>
      <c r="Z195" s="24"/>
      <c r="AA195" s="83"/>
      <c r="AB195" s="83"/>
      <c r="AC195" s="83"/>
      <c r="AD195" s="83"/>
      <c r="AE195" s="83"/>
      <c r="AF195" s="83"/>
      <c r="AG195" s="83"/>
      <c r="AH195" s="83"/>
      <c r="AI195" s="83"/>
      <c r="AJ195" s="83"/>
      <c r="AK195" s="83"/>
      <c r="AL195" s="25"/>
      <c r="AM195" s="25"/>
      <c r="AN195" s="137"/>
      <c r="AO195" s="137"/>
      <c r="AP195" s="137"/>
      <c r="AQ195" s="137"/>
      <c r="AR195" s="137"/>
      <c r="AS195" s="137"/>
      <c r="AT195" s="137"/>
      <c r="AU195" s="137"/>
      <c r="AV195" s="137"/>
      <c r="AW195" s="137"/>
      <c r="AX195" s="137"/>
      <c r="AY195" s="137"/>
      <c r="AZ195" s="137"/>
      <c r="BA195" s="137"/>
      <c r="BB195" s="137"/>
      <c r="BC195" s="137"/>
      <c r="BD195" s="137"/>
      <c r="BE195" s="137"/>
      <c r="BF195" s="137"/>
      <c r="BG195" s="137"/>
      <c r="BH195" s="137"/>
      <c r="BI195" s="137"/>
      <c r="BJ195" s="137"/>
      <c r="BK195" s="137"/>
      <c r="BL195" s="137"/>
      <c r="BM195" s="137"/>
      <c r="BN195" s="137"/>
      <c r="BO195" s="137"/>
      <c r="BP195" s="137"/>
      <c r="BQ195" s="137"/>
      <c r="BR195" s="137"/>
      <c r="BS195" s="137"/>
      <c r="BT195" s="137"/>
      <c r="BU195" s="137"/>
      <c r="BV195" s="137"/>
      <c r="BW195" s="83"/>
      <c r="BX195" s="83"/>
      <c r="BY195" s="83"/>
      <c r="BZ195" s="82"/>
      <c r="CA195" s="35"/>
      <c r="CB195" s="25"/>
      <c r="CC195" s="82"/>
      <c r="CD195" s="82"/>
      <c r="CE195" s="82"/>
      <c r="CF195" s="82"/>
      <c r="CG195" s="82"/>
      <c r="CH195" s="83"/>
    </row>
    <row r="196" spans="1:86" s="94" customFormat="1" ht="30" outlineLevel="1" x14ac:dyDescent="0.2">
      <c r="A196" s="36"/>
      <c r="B196" s="1011"/>
      <c r="C196" s="1502"/>
      <c r="D196" s="1017" t="s">
        <v>1689</v>
      </c>
      <c r="E196" s="1017" t="s">
        <v>1684</v>
      </c>
      <c r="F196" s="1017">
        <f>0.0000059*1000</f>
        <v>5.8999999999999999E-3</v>
      </c>
      <c r="G196" s="1015" t="s">
        <v>1566</v>
      </c>
      <c r="H196" s="1017">
        <v>2.8082724198641043E-6</v>
      </c>
      <c r="I196" s="1017" t="s">
        <v>1566</v>
      </c>
      <c r="J196" s="1017">
        <v>9.5892228970969408E-7</v>
      </c>
      <c r="K196" s="1017" t="s">
        <v>1566</v>
      </c>
      <c r="L196" s="24"/>
      <c r="M196" s="8"/>
      <c r="N196" s="24"/>
      <c r="O196" s="24"/>
      <c r="P196" s="24"/>
      <c r="Q196" s="24"/>
      <c r="R196" s="24"/>
      <c r="S196" s="24"/>
      <c r="T196" s="24"/>
      <c r="U196" s="24"/>
      <c r="V196" s="24"/>
      <c r="W196" s="24"/>
      <c r="X196" s="24"/>
      <c r="Y196" s="24"/>
      <c r="Z196" s="24"/>
      <c r="AA196" s="83"/>
      <c r="AB196" s="83"/>
      <c r="AC196" s="83"/>
      <c r="AD196" s="83"/>
      <c r="AE196" s="83"/>
      <c r="AF196" s="83"/>
      <c r="AG196" s="83"/>
      <c r="AH196" s="83"/>
      <c r="AI196" s="83"/>
      <c r="AJ196" s="83"/>
      <c r="AK196" s="83"/>
      <c r="AL196" s="25"/>
      <c r="AM196" s="25"/>
      <c r="AN196" s="137"/>
      <c r="AO196" s="137"/>
      <c r="AP196" s="137"/>
      <c r="AQ196" s="137"/>
      <c r="AR196" s="137"/>
      <c r="AS196" s="137"/>
      <c r="AT196" s="137"/>
      <c r="AU196" s="137"/>
      <c r="AV196" s="137"/>
      <c r="AW196" s="137"/>
      <c r="AX196" s="137"/>
      <c r="AY196" s="137"/>
      <c r="AZ196" s="137"/>
      <c r="BA196" s="137"/>
      <c r="BB196" s="137"/>
      <c r="BC196" s="137"/>
      <c r="BD196" s="137"/>
      <c r="BE196" s="137"/>
      <c r="BF196" s="137"/>
      <c r="BG196" s="137"/>
      <c r="BH196" s="137"/>
      <c r="BI196" s="137"/>
      <c r="BJ196" s="137"/>
      <c r="BK196" s="137"/>
      <c r="BL196" s="137"/>
      <c r="BM196" s="137"/>
      <c r="BN196" s="137"/>
      <c r="BO196" s="137"/>
      <c r="BP196" s="137"/>
      <c r="BQ196" s="137"/>
      <c r="BR196" s="137"/>
      <c r="BS196" s="137"/>
      <c r="BT196" s="137"/>
      <c r="BU196" s="137"/>
      <c r="BV196" s="137"/>
      <c r="BW196" s="83"/>
      <c r="BX196" s="83"/>
      <c r="BY196" s="83"/>
      <c r="BZ196" s="82"/>
      <c r="CA196" s="35"/>
      <c r="CB196" s="25"/>
      <c r="CC196" s="82"/>
      <c r="CD196" s="82"/>
      <c r="CE196" s="82"/>
      <c r="CF196" s="82"/>
      <c r="CG196" s="82"/>
      <c r="CH196" s="83"/>
    </row>
    <row r="197" spans="1:86" s="94" customFormat="1" ht="30" outlineLevel="1" x14ac:dyDescent="0.2">
      <c r="A197" s="36"/>
      <c r="B197" s="35"/>
      <c r="C197" s="1502"/>
      <c r="D197" s="1017" t="s">
        <v>1690</v>
      </c>
      <c r="E197" s="1017" t="s">
        <v>1685</v>
      </c>
      <c r="F197" s="1017">
        <f>0.0000292*1000</f>
        <v>2.92E-2</v>
      </c>
      <c r="G197" s="1015" t="s">
        <v>1566</v>
      </c>
      <c r="H197" s="1017">
        <v>2.8082724198641043E-6</v>
      </c>
      <c r="I197" s="1017" t="s">
        <v>1566</v>
      </c>
      <c r="J197" s="1017">
        <v>9.5892228970969408E-7</v>
      </c>
      <c r="K197" s="1017" t="s">
        <v>1566</v>
      </c>
      <c r="L197" s="24"/>
      <c r="M197" s="8"/>
      <c r="N197" s="24"/>
      <c r="O197" s="24"/>
      <c r="P197" s="24"/>
      <c r="Q197" s="24"/>
      <c r="R197" s="24"/>
      <c r="S197" s="24"/>
      <c r="T197" s="24"/>
      <c r="U197" s="24"/>
      <c r="V197" s="24"/>
      <c r="W197" s="24"/>
      <c r="X197" s="24"/>
      <c r="Y197" s="24"/>
      <c r="Z197" s="24"/>
      <c r="AA197" s="83"/>
      <c r="AB197" s="83"/>
      <c r="AC197" s="83"/>
      <c r="AD197" s="83"/>
      <c r="AE197" s="83"/>
      <c r="AF197" s="83"/>
      <c r="AG197" s="83"/>
      <c r="AH197" s="83"/>
      <c r="AI197" s="83"/>
      <c r="AJ197" s="83"/>
      <c r="AK197" s="83"/>
      <c r="AL197" s="25"/>
      <c r="AM197" s="25"/>
      <c r="AN197" s="137"/>
      <c r="AO197" s="137"/>
      <c r="AP197" s="137"/>
      <c r="AQ197" s="137"/>
      <c r="AR197" s="137"/>
      <c r="AS197" s="137"/>
      <c r="AT197" s="137"/>
      <c r="AU197" s="137"/>
      <c r="AV197" s="137"/>
      <c r="AW197" s="137"/>
      <c r="AX197" s="137"/>
      <c r="AY197" s="137"/>
      <c r="AZ197" s="137"/>
      <c r="BA197" s="137"/>
      <c r="BB197" s="137"/>
      <c r="BC197" s="137"/>
      <c r="BD197" s="137"/>
      <c r="BE197" s="137"/>
      <c r="BF197" s="137"/>
      <c r="BG197" s="137"/>
      <c r="BH197" s="137"/>
      <c r="BI197" s="137"/>
      <c r="BJ197" s="137"/>
      <c r="BK197" s="137"/>
      <c r="BL197" s="137"/>
      <c r="BM197" s="137"/>
      <c r="BN197" s="137"/>
      <c r="BO197" s="137"/>
      <c r="BP197" s="137"/>
      <c r="BQ197" s="137"/>
      <c r="BR197" s="137"/>
      <c r="BS197" s="137"/>
      <c r="BT197" s="137"/>
      <c r="BU197" s="137"/>
      <c r="BV197" s="137"/>
      <c r="BW197" s="83"/>
      <c r="BX197" s="83"/>
      <c r="BY197" s="83"/>
      <c r="BZ197" s="82"/>
      <c r="CA197" s="35"/>
      <c r="CB197" s="25"/>
      <c r="CC197" s="82"/>
      <c r="CD197" s="82"/>
      <c r="CE197" s="82"/>
      <c r="CF197" s="82"/>
      <c r="CG197" s="82"/>
      <c r="CH197" s="83"/>
    </row>
    <row r="198" spans="1:86" s="94" customFormat="1" ht="30" outlineLevel="1" x14ac:dyDescent="0.2">
      <c r="A198" s="36"/>
      <c r="B198" s="35"/>
      <c r="C198" s="1502"/>
      <c r="D198" s="1017" t="s">
        <v>1691</v>
      </c>
      <c r="E198" s="1017" t="s">
        <v>1694</v>
      </c>
      <c r="F198" s="1017">
        <f>0.0000079*1000</f>
        <v>7.9000000000000008E-3</v>
      </c>
      <c r="G198" s="1015" t="s">
        <v>1566</v>
      </c>
      <c r="H198" s="1017">
        <v>2.8082724198641043E-6</v>
      </c>
      <c r="I198" s="1017" t="s">
        <v>1566</v>
      </c>
      <c r="J198" s="1017">
        <v>9.5892228970969408E-7</v>
      </c>
      <c r="K198" s="1017" t="s">
        <v>1566</v>
      </c>
      <c r="L198" s="24"/>
      <c r="M198" s="8"/>
      <c r="N198" s="24"/>
      <c r="O198" s="24"/>
      <c r="P198" s="24"/>
      <c r="Q198" s="24"/>
      <c r="R198" s="24"/>
      <c r="S198" s="24"/>
      <c r="T198" s="24"/>
      <c r="U198" s="24"/>
      <c r="V198" s="24"/>
      <c r="W198" s="24"/>
      <c r="X198" s="24"/>
      <c r="Y198" s="24"/>
      <c r="Z198" s="24"/>
      <c r="AA198" s="83"/>
      <c r="AB198" s="83"/>
      <c r="AC198" s="83"/>
      <c r="AD198" s="83"/>
      <c r="AE198" s="83"/>
      <c r="AF198" s="83"/>
      <c r="AG198" s="83"/>
      <c r="AH198" s="83"/>
      <c r="AI198" s="83"/>
      <c r="AJ198" s="83"/>
      <c r="AK198" s="83"/>
      <c r="AL198" s="25"/>
      <c r="AM198" s="25"/>
      <c r="AN198" s="137"/>
      <c r="AO198" s="137"/>
      <c r="AP198" s="137"/>
      <c r="AQ198" s="137"/>
      <c r="AR198" s="137"/>
      <c r="AS198" s="137"/>
      <c r="AT198" s="137"/>
      <c r="AU198" s="137"/>
      <c r="AV198" s="137"/>
      <c r="AW198" s="137"/>
      <c r="AX198" s="137"/>
      <c r="AY198" s="137"/>
      <c r="AZ198" s="137"/>
      <c r="BA198" s="137"/>
      <c r="BB198" s="137"/>
      <c r="BC198" s="137"/>
      <c r="BD198" s="137"/>
      <c r="BE198" s="137"/>
      <c r="BF198" s="137"/>
      <c r="BG198" s="137"/>
      <c r="BH198" s="137"/>
      <c r="BI198" s="137"/>
      <c r="BJ198" s="137"/>
      <c r="BK198" s="137"/>
      <c r="BL198" s="137"/>
      <c r="BM198" s="137"/>
      <c r="BN198" s="137"/>
      <c r="BO198" s="137"/>
      <c r="BP198" s="137"/>
      <c r="BQ198" s="137"/>
      <c r="BR198" s="137"/>
      <c r="BS198" s="137"/>
      <c r="BT198" s="137"/>
      <c r="BU198" s="137"/>
      <c r="BV198" s="137"/>
      <c r="BW198" s="83"/>
      <c r="BX198" s="83"/>
      <c r="BY198" s="83"/>
      <c r="BZ198" s="82"/>
      <c r="CA198" s="35"/>
      <c r="CB198" s="25"/>
      <c r="CC198" s="82"/>
      <c r="CD198" s="82"/>
      <c r="CE198" s="82"/>
      <c r="CF198" s="82"/>
      <c r="CG198" s="82"/>
      <c r="CH198" s="83"/>
    </row>
    <row r="199" spans="1:86" s="94" customFormat="1" ht="30" outlineLevel="1" x14ac:dyDescent="0.2">
      <c r="A199" s="36"/>
      <c r="B199" s="35"/>
      <c r="C199" s="1502"/>
      <c r="D199" s="1017" t="s">
        <v>1692</v>
      </c>
      <c r="E199" s="1017" t="s">
        <v>1695</v>
      </c>
      <c r="F199" s="1017">
        <f>0.0000041*1000</f>
        <v>4.0999999999999995E-3</v>
      </c>
      <c r="G199" s="1015" t="s">
        <v>1566</v>
      </c>
      <c r="H199" s="1017">
        <v>2.8082724198641043E-6</v>
      </c>
      <c r="I199" s="1017" t="s">
        <v>1566</v>
      </c>
      <c r="J199" s="1017">
        <v>9.5892228970969408E-7</v>
      </c>
      <c r="K199" s="1017" t="s">
        <v>1566</v>
      </c>
      <c r="L199" s="24"/>
      <c r="M199" s="8"/>
      <c r="N199" s="24"/>
      <c r="O199" s="24"/>
      <c r="P199" s="24"/>
      <c r="Q199" s="24"/>
      <c r="R199" s="24"/>
      <c r="S199" s="24"/>
      <c r="T199" s="24"/>
      <c r="U199" s="24"/>
      <c r="V199" s="24"/>
      <c r="W199" s="24"/>
      <c r="X199" s="24"/>
      <c r="Y199" s="24"/>
      <c r="Z199" s="24"/>
      <c r="AA199" s="83"/>
      <c r="AB199" s="83"/>
      <c r="AC199" s="83"/>
      <c r="AD199" s="83"/>
      <c r="AE199" s="83"/>
      <c r="AF199" s="83"/>
      <c r="AG199" s="83"/>
      <c r="AH199" s="83"/>
      <c r="AI199" s="83"/>
      <c r="AJ199" s="83"/>
      <c r="AK199" s="83"/>
      <c r="AL199" s="25"/>
      <c r="AM199" s="25"/>
      <c r="AN199" s="137"/>
      <c r="AO199" s="137"/>
      <c r="AP199" s="137"/>
      <c r="AQ199" s="137"/>
      <c r="AR199" s="137"/>
      <c r="AS199" s="137"/>
      <c r="AT199" s="137"/>
      <c r="AU199" s="137"/>
      <c r="AV199" s="137"/>
      <c r="AW199" s="137"/>
      <c r="AX199" s="137"/>
      <c r="AY199" s="137"/>
      <c r="AZ199" s="137"/>
      <c r="BA199" s="137"/>
      <c r="BB199" s="137"/>
      <c r="BC199" s="137"/>
      <c r="BD199" s="137"/>
      <c r="BE199" s="137"/>
      <c r="BF199" s="137"/>
      <c r="BG199" s="137"/>
      <c r="BH199" s="137"/>
      <c r="BI199" s="137"/>
      <c r="BJ199" s="137"/>
      <c r="BK199" s="137"/>
      <c r="BL199" s="137"/>
      <c r="BM199" s="137"/>
      <c r="BN199" s="137"/>
      <c r="BO199" s="137"/>
      <c r="BP199" s="137"/>
      <c r="BQ199" s="137"/>
      <c r="BR199" s="137"/>
      <c r="BS199" s="137"/>
      <c r="BT199" s="137"/>
      <c r="BU199" s="137"/>
      <c r="BV199" s="137"/>
      <c r="BW199" s="83"/>
      <c r="BX199" s="83"/>
      <c r="BY199" s="83"/>
      <c r="BZ199" s="82"/>
      <c r="CA199" s="35"/>
      <c r="CB199" s="25"/>
      <c r="CC199" s="82"/>
      <c r="CD199" s="82"/>
      <c r="CE199" s="82"/>
      <c r="CF199" s="82"/>
      <c r="CG199" s="82"/>
      <c r="CH199" s="83"/>
    </row>
    <row r="200" spans="1:86" s="94" customFormat="1" ht="30" outlineLevel="1" x14ac:dyDescent="0.2">
      <c r="A200" s="36"/>
      <c r="B200" s="35"/>
      <c r="C200" s="1502"/>
      <c r="D200" s="1017" t="s">
        <v>1697</v>
      </c>
      <c r="E200" s="1017" t="s">
        <v>1693</v>
      </c>
      <c r="F200" s="1017">
        <f>0.00002*1000</f>
        <v>0.02</v>
      </c>
      <c r="G200" s="1015" t="s">
        <v>1566</v>
      </c>
      <c r="H200" s="1017">
        <v>2.8082724198641043E-6</v>
      </c>
      <c r="I200" s="1017" t="s">
        <v>1566</v>
      </c>
      <c r="J200" s="1017">
        <v>9.5892228970969408E-7</v>
      </c>
      <c r="K200" s="1017" t="s">
        <v>1566</v>
      </c>
      <c r="L200" s="24"/>
      <c r="M200" s="8"/>
      <c r="N200" s="24"/>
      <c r="O200" s="24"/>
      <c r="P200" s="24"/>
      <c r="Q200" s="24"/>
      <c r="R200" s="24"/>
      <c r="S200" s="24"/>
      <c r="T200" s="24"/>
      <c r="U200" s="24"/>
      <c r="V200" s="24"/>
      <c r="W200" s="24"/>
      <c r="X200" s="24"/>
      <c r="Y200" s="24"/>
      <c r="Z200" s="24"/>
      <c r="AA200" s="83"/>
      <c r="AB200" s="83"/>
      <c r="AC200" s="83"/>
      <c r="AD200" s="83"/>
      <c r="AE200" s="83"/>
      <c r="AF200" s="83"/>
      <c r="AG200" s="83"/>
      <c r="AH200" s="83"/>
      <c r="AI200" s="83"/>
      <c r="AJ200" s="83"/>
      <c r="AK200" s="83"/>
      <c r="AL200" s="25"/>
      <c r="AM200" s="25"/>
      <c r="AN200" s="137"/>
      <c r="AO200" s="137"/>
      <c r="AP200" s="137"/>
      <c r="AQ200" s="137"/>
      <c r="AR200" s="137"/>
      <c r="AS200" s="137"/>
      <c r="AT200" s="137"/>
      <c r="AU200" s="137"/>
      <c r="AV200" s="137"/>
      <c r="AW200" s="137"/>
      <c r="AX200" s="137"/>
      <c r="AY200" s="137"/>
      <c r="AZ200" s="137"/>
      <c r="BA200" s="137"/>
      <c r="BB200" s="137"/>
      <c r="BC200" s="137"/>
      <c r="BD200" s="137"/>
      <c r="BE200" s="137"/>
      <c r="BF200" s="137"/>
      <c r="BG200" s="137"/>
      <c r="BH200" s="137"/>
      <c r="BI200" s="137"/>
      <c r="BJ200" s="137"/>
      <c r="BK200" s="137"/>
      <c r="BL200" s="137"/>
      <c r="BM200" s="137"/>
      <c r="BN200" s="137"/>
      <c r="BO200" s="137"/>
      <c r="BP200" s="137"/>
      <c r="BQ200" s="137"/>
      <c r="BR200" s="137"/>
      <c r="BS200" s="137"/>
      <c r="BT200" s="137"/>
      <c r="BU200" s="137"/>
      <c r="BV200" s="137"/>
      <c r="BW200" s="83"/>
      <c r="BX200" s="83"/>
      <c r="BY200" s="83"/>
      <c r="BZ200" s="82"/>
      <c r="CA200" s="35"/>
      <c r="CB200" s="25"/>
      <c r="CC200" s="82"/>
      <c r="CD200" s="82"/>
      <c r="CE200" s="82"/>
      <c r="CF200" s="82"/>
      <c r="CG200" s="82"/>
      <c r="CH200" s="83"/>
    </row>
    <row r="201" spans="1:86" s="94" customFormat="1" ht="30" outlineLevel="1" x14ac:dyDescent="0.2">
      <c r="A201" s="36"/>
      <c r="B201" s="35"/>
      <c r="C201" s="1503"/>
      <c r="D201" s="1017" t="s">
        <v>1698</v>
      </c>
      <c r="E201" s="1017" t="s">
        <v>1696</v>
      </c>
      <c r="F201" s="1017">
        <f>0.0000125*1000</f>
        <v>1.2500000000000001E-2</v>
      </c>
      <c r="G201" s="1015" t="s">
        <v>1566</v>
      </c>
      <c r="H201" s="1017">
        <v>2.8082724198641043E-6</v>
      </c>
      <c r="I201" s="1017" t="s">
        <v>1566</v>
      </c>
      <c r="J201" s="1017">
        <v>9.5892228970969408E-7</v>
      </c>
      <c r="K201" s="1017" t="s">
        <v>1566</v>
      </c>
      <c r="L201" s="24"/>
      <c r="M201" s="8"/>
      <c r="N201" s="24"/>
      <c r="O201" s="24"/>
      <c r="P201" s="24"/>
      <c r="Q201" s="24"/>
      <c r="R201" s="24"/>
      <c r="S201" s="24"/>
      <c r="T201" s="24"/>
      <c r="U201" s="24"/>
      <c r="V201" s="24"/>
      <c r="W201" s="24"/>
      <c r="X201" s="24"/>
      <c r="Y201" s="24"/>
      <c r="Z201" s="24"/>
      <c r="AA201" s="83"/>
      <c r="AB201" s="83"/>
      <c r="AC201" s="83"/>
      <c r="AD201" s="83"/>
      <c r="AE201" s="83"/>
      <c r="AF201" s="83"/>
      <c r="AG201" s="83"/>
      <c r="AH201" s="83"/>
      <c r="AI201" s="83"/>
      <c r="AJ201" s="83"/>
      <c r="AK201" s="83"/>
      <c r="AL201" s="25"/>
      <c r="AM201" s="25"/>
      <c r="AN201" s="137"/>
      <c r="AO201" s="137"/>
      <c r="AP201" s="137"/>
      <c r="AQ201" s="137"/>
      <c r="AR201" s="137"/>
      <c r="AS201" s="137"/>
      <c r="AT201" s="137"/>
      <c r="AU201" s="137"/>
      <c r="AV201" s="137"/>
      <c r="AW201" s="137"/>
      <c r="AX201" s="137"/>
      <c r="AY201" s="137"/>
      <c r="AZ201" s="137"/>
      <c r="BA201" s="137"/>
      <c r="BB201" s="137"/>
      <c r="BC201" s="137"/>
      <c r="BD201" s="137"/>
      <c r="BE201" s="137"/>
      <c r="BF201" s="137"/>
      <c r="BG201" s="137"/>
      <c r="BH201" s="137"/>
      <c r="BI201" s="137"/>
      <c r="BJ201" s="137"/>
      <c r="BK201" s="137"/>
      <c r="BL201" s="137"/>
      <c r="BM201" s="137"/>
      <c r="BN201" s="137"/>
      <c r="BO201" s="137"/>
      <c r="BP201" s="137"/>
      <c r="BQ201" s="137"/>
      <c r="BR201" s="137"/>
      <c r="BS201" s="137"/>
      <c r="BT201" s="137"/>
      <c r="BU201" s="137"/>
      <c r="BV201" s="137"/>
      <c r="BW201" s="83"/>
      <c r="BX201" s="83"/>
      <c r="BY201" s="83"/>
      <c r="BZ201" s="82"/>
      <c r="CA201" s="35"/>
      <c r="CB201" s="25"/>
      <c r="CC201" s="82"/>
      <c r="CD201" s="82"/>
      <c r="CE201" s="82"/>
      <c r="CF201" s="82"/>
      <c r="CG201" s="82"/>
      <c r="CH201" s="83"/>
    </row>
    <row r="202" spans="1:86" s="94" customFormat="1" ht="15.75" customHeight="1" outlineLevel="1" x14ac:dyDescent="0.2">
      <c r="A202" s="36"/>
      <c r="B202" s="35"/>
      <c r="C202" s="135"/>
      <c r="D202" s="5"/>
      <c r="E202" s="5"/>
      <c r="F202" s="5"/>
      <c r="G202" s="8"/>
      <c r="H202" s="24"/>
      <c r="I202" s="8"/>
      <c r="J202" s="8"/>
      <c r="K202" s="24"/>
      <c r="L202" s="24"/>
      <c r="M202" s="8"/>
      <c r="N202" s="24"/>
      <c r="O202" s="24"/>
      <c r="P202" s="24"/>
      <c r="Q202" s="24"/>
      <c r="R202" s="24"/>
      <c r="S202" s="24"/>
      <c r="T202" s="24"/>
      <c r="U202" s="24"/>
      <c r="V202" s="24"/>
      <c r="W202" s="24"/>
      <c r="X202" s="24"/>
      <c r="Y202" s="24"/>
      <c r="Z202" s="24"/>
      <c r="AA202" s="83"/>
      <c r="AB202" s="83"/>
      <c r="AC202" s="83"/>
      <c r="AD202" s="83"/>
      <c r="AE202" s="83"/>
      <c r="AF202" s="83"/>
      <c r="AG202" s="83"/>
      <c r="AH202" s="83"/>
      <c r="AI202" s="83"/>
      <c r="AJ202" s="83"/>
      <c r="AK202" s="83"/>
      <c r="AL202" s="25"/>
      <c r="AM202" s="25"/>
      <c r="AN202" s="137"/>
      <c r="AO202" s="137"/>
      <c r="AP202" s="137"/>
      <c r="AQ202" s="137"/>
      <c r="AR202" s="137"/>
      <c r="AS202" s="137"/>
      <c r="AT202" s="137"/>
      <c r="AU202" s="137"/>
      <c r="AV202" s="137"/>
      <c r="AW202" s="137"/>
      <c r="AX202" s="137"/>
      <c r="AY202" s="137"/>
      <c r="AZ202" s="137"/>
      <c r="BA202" s="137"/>
      <c r="BB202" s="137"/>
      <c r="BC202" s="137"/>
      <c r="BD202" s="137"/>
      <c r="BE202" s="137"/>
      <c r="BF202" s="137"/>
      <c r="BG202" s="137"/>
      <c r="BH202" s="137"/>
      <c r="BI202" s="137"/>
      <c r="BJ202" s="137"/>
      <c r="BK202" s="137"/>
      <c r="BL202" s="137"/>
      <c r="BM202" s="137"/>
      <c r="BN202" s="137"/>
      <c r="BO202" s="137"/>
      <c r="BP202" s="137"/>
      <c r="BQ202" s="137"/>
      <c r="BR202" s="137"/>
      <c r="BS202" s="137"/>
      <c r="BT202" s="137"/>
      <c r="BU202" s="137"/>
      <c r="BV202" s="137"/>
      <c r="BW202" s="83"/>
      <c r="BX202" s="83"/>
      <c r="BY202" s="83"/>
      <c r="BZ202" s="82"/>
      <c r="CA202" s="35"/>
      <c r="CB202" s="25"/>
      <c r="CC202" s="82"/>
      <c r="CD202" s="82"/>
      <c r="CE202" s="82"/>
      <c r="CF202" s="82"/>
      <c r="CG202" s="82"/>
      <c r="CH202" s="83"/>
    </row>
    <row r="203" spans="1:86" s="94" customFormat="1" ht="15.75" customHeight="1" outlineLevel="1" x14ac:dyDescent="0.3">
      <c r="A203" s="36"/>
      <c r="B203" s="250" t="s">
        <v>1699</v>
      </c>
      <c r="C203" s="251" t="s">
        <v>1700</v>
      </c>
      <c r="D203" s="278"/>
      <c r="E203" s="278"/>
      <c r="F203" s="278"/>
      <c r="G203" s="278"/>
      <c r="H203" s="278"/>
      <c r="I203" s="278"/>
      <c r="J203" s="278"/>
      <c r="K203" s="278"/>
      <c r="L203" s="24"/>
      <c r="M203" s="8"/>
      <c r="N203" s="24"/>
      <c r="O203" s="24"/>
      <c r="P203" s="24"/>
      <c r="Q203" s="24"/>
      <c r="R203" s="24"/>
      <c r="S203" s="24"/>
      <c r="T203" s="24"/>
      <c r="U203" s="24"/>
      <c r="V203" s="24"/>
      <c r="W203" s="24"/>
      <c r="X203" s="24"/>
      <c r="Y203" s="24"/>
      <c r="Z203" s="24"/>
      <c r="AA203" s="83"/>
      <c r="AB203" s="83"/>
      <c r="AC203" s="83"/>
      <c r="AD203" s="83"/>
      <c r="AE203" s="83"/>
      <c r="AF203" s="83"/>
      <c r="AG203" s="83"/>
      <c r="AH203" s="83"/>
      <c r="AI203" s="83"/>
      <c r="AJ203" s="83"/>
      <c r="AK203" s="83"/>
      <c r="AL203" s="25"/>
      <c r="AM203" s="25"/>
      <c r="AN203" s="137"/>
      <c r="AO203" s="137"/>
      <c r="AP203" s="137"/>
      <c r="AQ203" s="137"/>
      <c r="AR203" s="137"/>
      <c r="AS203" s="137"/>
      <c r="AT203" s="137"/>
      <c r="AU203" s="137"/>
      <c r="AV203" s="137"/>
      <c r="AW203" s="137"/>
      <c r="AX203" s="137"/>
      <c r="AY203" s="137"/>
      <c r="AZ203" s="137"/>
      <c r="BA203" s="137"/>
      <c r="BB203" s="137"/>
      <c r="BC203" s="137"/>
      <c r="BD203" s="137"/>
      <c r="BE203" s="137"/>
      <c r="BF203" s="137"/>
      <c r="BG203" s="137"/>
      <c r="BH203" s="137"/>
      <c r="BI203" s="137"/>
      <c r="BJ203" s="137"/>
      <c r="BK203" s="137"/>
      <c r="BL203" s="137"/>
      <c r="BM203" s="137"/>
      <c r="BN203" s="137"/>
      <c r="BO203" s="137"/>
      <c r="BP203" s="137"/>
      <c r="BQ203" s="137"/>
      <c r="BR203" s="137"/>
      <c r="BS203" s="137"/>
      <c r="BT203" s="137"/>
      <c r="BU203" s="137"/>
      <c r="BV203" s="137"/>
      <c r="BW203" s="83"/>
      <c r="BX203" s="83"/>
      <c r="BY203" s="83"/>
      <c r="BZ203" s="82"/>
      <c r="CA203" s="35"/>
      <c r="CB203" s="25"/>
      <c r="CC203" s="82"/>
      <c r="CD203" s="82"/>
      <c r="CE203" s="82"/>
      <c r="CF203" s="82"/>
      <c r="CG203" s="82"/>
      <c r="CH203" s="83"/>
    </row>
    <row r="204" spans="1:86" s="94" customFormat="1" ht="15.75" customHeight="1" outlineLevel="1" x14ac:dyDescent="0.3">
      <c r="A204" s="36"/>
      <c r="B204" s="250"/>
      <c r="C204" s="251"/>
      <c r="D204" s="278"/>
      <c r="E204" s="278"/>
      <c r="F204" s="278"/>
      <c r="G204" s="278"/>
      <c r="H204" s="278"/>
      <c r="I204" s="278"/>
      <c r="J204" s="278"/>
      <c r="K204" s="278"/>
      <c r="L204" s="24"/>
      <c r="M204" s="8"/>
      <c r="N204" s="24"/>
      <c r="O204" s="24"/>
      <c r="P204" s="24"/>
      <c r="Q204" s="24"/>
      <c r="R204" s="24"/>
      <c r="S204" s="24"/>
      <c r="T204" s="24"/>
      <c r="U204" s="24"/>
      <c r="V204" s="24"/>
      <c r="W204" s="24"/>
      <c r="X204" s="24"/>
      <c r="Y204" s="24"/>
      <c r="Z204" s="24"/>
      <c r="AA204" s="83"/>
      <c r="AB204" s="83"/>
      <c r="AC204" s="83"/>
      <c r="AD204" s="83"/>
      <c r="AE204" s="83"/>
      <c r="AF204" s="83"/>
      <c r="AG204" s="83"/>
      <c r="AH204" s="83"/>
      <c r="AI204" s="83"/>
      <c r="AJ204" s="83"/>
      <c r="AK204" s="83"/>
      <c r="AL204" s="25"/>
      <c r="AM204" s="25"/>
      <c r="AN204" s="137"/>
      <c r="AO204" s="137"/>
      <c r="AP204" s="137"/>
      <c r="AQ204" s="137"/>
      <c r="AR204" s="137"/>
      <c r="AS204" s="137"/>
      <c r="AT204" s="137"/>
      <c r="AU204" s="137"/>
      <c r="AV204" s="137"/>
      <c r="AW204" s="137"/>
      <c r="AX204" s="137"/>
      <c r="AY204" s="137"/>
      <c r="AZ204" s="137"/>
      <c r="BA204" s="137"/>
      <c r="BB204" s="137"/>
      <c r="BC204" s="137"/>
      <c r="BD204" s="137"/>
      <c r="BE204" s="137"/>
      <c r="BF204" s="137"/>
      <c r="BG204" s="137"/>
      <c r="BH204" s="137"/>
      <c r="BI204" s="137"/>
      <c r="BJ204" s="137"/>
      <c r="BK204" s="137"/>
      <c r="BL204" s="137"/>
      <c r="BM204" s="137"/>
      <c r="BN204" s="137"/>
      <c r="BO204" s="137"/>
      <c r="BP204" s="137"/>
      <c r="BQ204" s="137"/>
      <c r="BR204" s="137"/>
      <c r="BS204" s="137"/>
      <c r="BT204" s="137"/>
      <c r="BU204" s="137"/>
      <c r="BV204" s="137"/>
      <c r="BW204" s="83"/>
      <c r="BX204" s="83"/>
      <c r="BY204" s="83"/>
      <c r="BZ204" s="82"/>
      <c r="CA204" s="35"/>
      <c r="CB204" s="25"/>
      <c r="CC204" s="82"/>
      <c r="CD204" s="82"/>
      <c r="CE204" s="82"/>
      <c r="CF204" s="82"/>
      <c r="CG204" s="82"/>
      <c r="CH204" s="83"/>
    </row>
    <row r="205" spans="1:86" s="94" customFormat="1" ht="15.75" customHeight="1" outlineLevel="1" x14ac:dyDescent="0.25">
      <c r="A205" s="36"/>
      <c r="B205" s="82"/>
      <c r="C205" s="217" t="s">
        <v>1671</v>
      </c>
      <c r="D205" s="280"/>
      <c r="E205" s="273"/>
      <c r="F205" s="273"/>
      <c r="G205" s="273"/>
      <c r="H205" s="273"/>
      <c r="I205" s="273"/>
      <c r="J205" s="273"/>
      <c r="K205" s="273"/>
      <c r="L205" s="24"/>
      <c r="M205" s="8"/>
      <c r="N205" s="24"/>
      <c r="O205" s="24"/>
      <c r="P205" s="24"/>
      <c r="Q205" s="24"/>
      <c r="R205" s="24"/>
      <c r="S205" s="24"/>
      <c r="T205" s="24"/>
      <c r="U205" s="24"/>
      <c r="V205" s="24"/>
      <c r="W205" s="24"/>
      <c r="X205" s="24"/>
      <c r="Y205" s="24"/>
      <c r="Z205" s="24"/>
      <c r="AA205" s="83"/>
      <c r="AB205" s="83"/>
      <c r="AC205" s="83"/>
      <c r="AD205" s="83"/>
      <c r="AE205" s="83"/>
      <c r="AF205" s="83"/>
      <c r="AG205" s="83"/>
      <c r="AH205" s="83"/>
      <c r="AI205" s="83"/>
      <c r="AJ205" s="83"/>
      <c r="AK205" s="83"/>
      <c r="AL205" s="25"/>
      <c r="AM205" s="25"/>
      <c r="AN205" s="137"/>
      <c r="AO205" s="137"/>
      <c r="AP205" s="137"/>
      <c r="AQ205" s="137"/>
      <c r="AR205" s="137"/>
      <c r="AS205" s="137"/>
      <c r="AT205" s="137"/>
      <c r="AU205" s="137"/>
      <c r="AV205" s="137"/>
      <c r="AW205" s="137"/>
      <c r="AX205" s="137"/>
      <c r="AY205" s="137"/>
      <c r="AZ205" s="137"/>
      <c r="BA205" s="137"/>
      <c r="BB205" s="137"/>
      <c r="BC205" s="137"/>
      <c r="BD205" s="137"/>
      <c r="BE205" s="137"/>
      <c r="BF205" s="137"/>
      <c r="BG205" s="137"/>
      <c r="BH205" s="137"/>
      <c r="BI205" s="137"/>
      <c r="BJ205" s="137"/>
      <c r="BK205" s="137"/>
      <c r="BL205" s="137"/>
      <c r="BM205" s="137"/>
      <c r="BN205" s="137"/>
      <c r="BO205" s="137"/>
      <c r="BP205" s="137"/>
      <c r="BQ205" s="137"/>
      <c r="BR205" s="137"/>
      <c r="BS205" s="137"/>
      <c r="BT205" s="137"/>
      <c r="BU205" s="137"/>
      <c r="BV205" s="137"/>
      <c r="BW205" s="83"/>
      <c r="BX205" s="83"/>
      <c r="BY205" s="83"/>
      <c r="BZ205" s="82"/>
      <c r="CA205" s="35"/>
      <c r="CB205" s="25"/>
      <c r="CC205" s="82"/>
      <c r="CD205" s="82"/>
      <c r="CE205" s="82"/>
      <c r="CF205" s="82"/>
      <c r="CG205" s="82"/>
      <c r="CH205" s="83"/>
    </row>
    <row r="206" spans="1:86" s="94" customFormat="1" ht="15.75" customHeight="1" outlineLevel="1" x14ac:dyDescent="0.2">
      <c r="A206" s="36"/>
      <c r="B206" s="37"/>
      <c r="C206" s="1475" t="s">
        <v>1577</v>
      </c>
      <c r="D206" s="1539" t="s">
        <v>1578</v>
      </c>
      <c r="E206" s="1527" t="s">
        <v>1579</v>
      </c>
      <c r="F206" s="1526" t="s">
        <v>1676</v>
      </c>
      <c r="G206" s="1526"/>
      <c r="H206" s="1526"/>
      <c r="I206" s="1526"/>
      <c r="J206" s="1526"/>
      <c r="K206" s="1526"/>
      <c r="L206" s="24"/>
      <c r="M206" s="8"/>
      <c r="N206" s="24"/>
      <c r="O206" s="24"/>
      <c r="P206" s="24"/>
      <c r="Q206" s="24"/>
      <c r="R206" s="24"/>
      <c r="S206" s="24"/>
      <c r="T206" s="24"/>
      <c r="U206" s="24"/>
      <c r="V206" s="24"/>
      <c r="W206" s="24"/>
      <c r="X206" s="24"/>
      <c r="Y206" s="24"/>
      <c r="Z206" s="24"/>
      <c r="AA206" s="83"/>
      <c r="AB206" s="83"/>
      <c r="AC206" s="83"/>
      <c r="AD206" s="83"/>
      <c r="AE206" s="83"/>
      <c r="AF206" s="83"/>
      <c r="AG206" s="83"/>
      <c r="AH206" s="83"/>
      <c r="AI206" s="83"/>
      <c r="AJ206" s="83"/>
      <c r="AK206" s="83"/>
      <c r="AL206" s="25"/>
      <c r="AM206" s="25"/>
      <c r="AN206" s="137"/>
      <c r="AO206" s="137"/>
      <c r="AP206" s="137"/>
      <c r="AQ206" s="137"/>
      <c r="AR206" s="137"/>
      <c r="AS206" s="137"/>
      <c r="AT206" s="137"/>
      <c r="AU206" s="137"/>
      <c r="AV206" s="137"/>
      <c r="AW206" s="137"/>
      <c r="AX206" s="137"/>
      <c r="AY206" s="137"/>
      <c r="AZ206" s="137"/>
      <c r="BA206" s="137"/>
      <c r="BB206" s="137"/>
      <c r="BC206" s="137"/>
      <c r="BD206" s="137"/>
      <c r="BE206" s="137"/>
      <c r="BF206" s="137"/>
      <c r="BG206" s="137"/>
      <c r="BH206" s="137"/>
      <c r="BI206" s="137"/>
      <c r="BJ206" s="137"/>
      <c r="BK206" s="137"/>
      <c r="BL206" s="137"/>
      <c r="BM206" s="137"/>
      <c r="BN206" s="137"/>
      <c r="BO206" s="137"/>
      <c r="BP206" s="137"/>
      <c r="BQ206" s="137"/>
      <c r="BR206" s="137"/>
      <c r="BS206" s="137"/>
      <c r="BT206" s="137"/>
      <c r="BU206" s="137"/>
      <c r="BV206" s="137"/>
      <c r="BW206" s="83"/>
      <c r="BX206" s="83"/>
      <c r="BY206" s="83"/>
      <c r="BZ206" s="82"/>
      <c r="CA206" s="35"/>
      <c r="CB206" s="25"/>
      <c r="CC206" s="82"/>
      <c r="CD206" s="82"/>
      <c r="CE206" s="82"/>
      <c r="CF206" s="82"/>
      <c r="CG206" s="82"/>
      <c r="CH206" s="83"/>
    </row>
    <row r="207" spans="1:86" s="94" customFormat="1" ht="15.75" customHeight="1" outlineLevel="1" x14ac:dyDescent="0.2">
      <c r="A207" s="36"/>
      <c r="B207" s="37"/>
      <c r="C207" s="1476"/>
      <c r="D207" s="1539"/>
      <c r="E207" s="1528"/>
      <c r="F207" s="1526" t="s">
        <v>1536</v>
      </c>
      <c r="G207" s="1526"/>
      <c r="H207" s="1526" t="s">
        <v>1540</v>
      </c>
      <c r="I207" s="1526"/>
      <c r="J207" s="1526" t="s">
        <v>1541</v>
      </c>
      <c r="K207" s="1526"/>
      <c r="L207" s="24"/>
      <c r="M207" s="8"/>
      <c r="N207" s="24"/>
      <c r="O207" s="24"/>
      <c r="P207" s="24"/>
      <c r="Q207" s="24"/>
      <c r="R207" s="24"/>
      <c r="S207" s="24"/>
      <c r="T207" s="24"/>
      <c r="U207" s="24"/>
      <c r="V207" s="24"/>
      <c r="W207" s="24"/>
      <c r="X207" s="24"/>
      <c r="Y207" s="24"/>
      <c r="Z207" s="24"/>
      <c r="AA207" s="83"/>
      <c r="AB207" s="83"/>
      <c r="AC207" s="83"/>
      <c r="AD207" s="83"/>
      <c r="AE207" s="83"/>
      <c r="AF207" s="83"/>
      <c r="AG207" s="83"/>
      <c r="AH207" s="83"/>
      <c r="AI207" s="83"/>
      <c r="AJ207" s="83"/>
      <c r="AK207" s="83"/>
      <c r="AL207" s="25"/>
      <c r="AM207" s="25"/>
      <c r="AN207" s="137"/>
      <c r="AO207" s="137"/>
      <c r="AP207" s="137"/>
      <c r="AQ207" s="137"/>
      <c r="AR207" s="137"/>
      <c r="AS207" s="137"/>
      <c r="AT207" s="137"/>
      <c r="AU207" s="137"/>
      <c r="AV207" s="137"/>
      <c r="AW207" s="137"/>
      <c r="AX207" s="137"/>
      <c r="AY207" s="137"/>
      <c r="AZ207" s="137"/>
      <c r="BA207" s="137"/>
      <c r="BB207" s="137"/>
      <c r="BC207" s="137"/>
      <c r="BD207" s="137"/>
      <c r="BE207" s="137"/>
      <c r="BF207" s="137"/>
      <c r="BG207" s="137"/>
      <c r="BH207" s="137"/>
      <c r="BI207" s="137"/>
      <c r="BJ207" s="137"/>
      <c r="BK207" s="137"/>
      <c r="BL207" s="137"/>
      <c r="BM207" s="137"/>
      <c r="BN207" s="137"/>
      <c r="BO207" s="137"/>
      <c r="BP207" s="137"/>
      <c r="BQ207" s="137"/>
      <c r="BR207" s="137"/>
      <c r="BS207" s="137"/>
      <c r="BT207" s="137"/>
      <c r="BU207" s="137"/>
      <c r="BV207" s="137"/>
      <c r="BW207" s="83"/>
      <c r="BX207" s="83"/>
      <c r="BY207" s="83"/>
      <c r="BZ207" s="82"/>
      <c r="CA207" s="35"/>
      <c r="CB207" s="25"/>
      <c r="CC207" s="82"/>
      <c r="CD207" s="82"/>
      <c r="CE207" s="82"/>
      <c r="CF207" s="82"/>
      <c r="CG207" s="82"/>
      <c r="CH207" s="83"/>
    </row>
    <row r="208" spans="1:86" s="94" customFormat="1" ht="15.75" customHeight="1" outlineLevel="1" x14ac:dyDescent="0.2">
      <c r="A208" s="36"/>
      <c r="B208" s="45"/>
      <c r="C208" s="1476"/>
      <c r="D208" s="1540"/>
      <c r="E208" s="1528"/>
      <c r="F208" s="1006" t="s">
        <v>1537</v>
      </c>
      <c r="G208" s="1006" t="s">
        <v>1538</v>
      </c>
      <c r="H208" s="1006" t="s">
        <v>1537</v>
      </c>
      <c r="I208" s="1006" t="s">
        <v>1538</v>
      </c>
      <c r="J208" s="1006" t="s">
        <v>1537</v>
      </c>
      <c r="K208" s="1006" t="s">
        <v>1538</v>
      </c>
      <c r="L208" s="24"/>
      <c r="M208" s="8"/>
      <c r="N208" s="24"/>
      <c r="O208" s="24"/>
      <c r="P208" s="24"/>
      <c r="Q208" s="24"/>
      <c r="R208" s="24"/>
      <c r="S208" s="24"/>
      <c r="T208" s="24"/>
      <c r="U208" s="24"/>
      <c r="V208" s="24"/>
      <c r="W208" s="24"/>
      <c r="X208" s="24"/>
      <c r="Y208" s="24"/>
      <c r="Z208" s="24"/>
      <c r="AA208" s="83"/>
      <c r="AB208" s="83"/>
      <c r="AC208" s="83"/>
      <c r="AD208" s="83"/>
      <c r="AE208" s="83"/>
      <c r="AF208" s="83"/>
      <c r="AG208" s="83"/>
      <c r="AH208" s="83"/>
      <c r="AI208" s="83"/>
      <c r="AJ208" s="83"/>
      <c r="AK208" s="83"/>
      <c r="AL208" s="25"/>
      <c r="AM208" s="25"/>
      <c r="AN208" s="137"/>
      <c r="AO208" s="137"/>
      <c r="AP208" s="137"/>
      <c r="AQ208" s="137"/>
      <c r="AR208" s="137"/>
      <c r="AS208" s="137"/>
      <c r="AT208" s="137"/>
      <c r="AU208" s="137"/>
      <c r="AV208" s="137"/>
      <c r="AW208" s="137"/>
      <c r="AX208" s="137"/>
      <c r="AY208" s="137"/>
      <c r="AZ208" s="137"/>
      <c r="BA208" s="137"/>
      <c r="BB208" s="137"/>
      <c r="BC208" s="137"/>
      <c r="BD208" s="137"/>
      <c r="BE208" s="137"/>
      <c r="BF208" s="137"/>
      <c r="BG208" s="137"/>
      <c r="BH208" s="137"/>
      <c r="BI208" s="137"/>
      <c r="BJ208" s="137"/>
      <c r="BK208" s="137"/>
      <c r="BL208" s="137"/>
      <c r="BM208" s="137"/>
      <c r="BN208" s="137"/>
      <c r="BO208" s="137"/>
      <c r="BP208" s="137"/>
      <c r="BQ208" s="137"/>
      <c r="BR208" s="137"/>
      <c r="BS208" s="137"/>
      <c r="BT208" s="137"/>
      <c r="BU208" s="137"/>
      <c r="BV208" s="137"/>
      <c r="BW208" s="83"/>
      <c r="BX208" s="83"/>
      <c r="BY208" s="83"/>
      <c r="BZ208" s="82"/>
      <c r="CA208" s="35"/>
      <c r="CB208" s="25"/>
      <c r="CC208" s="82"/>
      <c r="CD208" s="82"/>
      <c r="CE208" s="82"/>
      <c r="CF208" s="82"/>
      <c r="CG208" s="82"/>
      <c r="CH208" s="83"/>
    </row>
    <row r="209" spans="1:86" s="94" customFormat="1" ht="15.75" customHeight="1" outlineLevel="1" x14ac:dyDescent="0.2">
      <c r="A209" s="36"/>
      <c r="B209" s="1009"/>
      <c r="C209" s="1561" t="s">
        <v>1672</v>
      </c>
      <c r="D209" s="1015" t="s">
        <v>1709</v>
      </c>
      <c r="E209" s="1015" t="s">
        <v>1701</v>
      </c>
      <c r="F209" s="1015">
        <f>0.00017147*1000</f>
        <v>0.17147000000000001</v>
      </c>
      <c r="G209" s="1015" t="s">
        <v>1539</v>
      </c>
      <c r="H209" s="1013"/>
      <c r="I209" s="1013"/>
      <c r="J209" s="1013"/>
      <c r="K209" s="1013"/>
      <c r="L209" s="24"/>
      <c r="M209" s="8"/>
      <c r="N209" s="24"/>
      <c r="O209" s="24"/>
      <c r="P209" s="24"/>
      <c r="Q209" s="24"/>
      <c r="R209" s="24"/>
      <c r="S209" s="24"/>
      <c r="T209" s="24"/>
      <c r="U209" s="24"/>
      <c r="V209" s="24"/>
      <c r="W209" s="24"/>
      <c r="X209" s="24"/>
      <c r="Y209" s="24"/>
      <c r="Z209" s="24"/>
      <c r="AA209" s="83"/>
      <c r="AB209" s="83"/>
      <c r="AC209" s="83"/>
      <c r="AD209" s="83"/>
      <c r="AE209" s="83"/>
      <c r="AF209" s="83"/>
      <c r="AG209" s="83"/>
      <c r="AH209" s="83"/>
      <c r="AI209" s="83"/>
      <c r="AJ209" s="83"/>
      <c r="AK209" s="83"/>
      <c r="AL209" s="25"/>
      <c r="AM209" s="25"/>
      <c r="AN209" s="137"/>
      <c r="AO209" s="137"/>
      <c r="AP209" s="137"/>
      <c r="AQ209" s="137"/>
      <c r="AR209" s="137"/>
      <c r="AS209" s="137"/>
      <c r="AT209" s="137"/>
      <c r="AU209" s="137"/>
      <c r="AV209" s="137"/>
      <c r="AW209" s="137"/>
      <c r="AX209" s="137"/>
      <c r="AY209" s="137"/>
      <c r="AZ209" s="137"/>
      <c r="BA209" s="137"/>
      <c r="BB209" s="137"/>
      <c r="BC209" s="137"/>
      <c r="BD209" s="137"/>
      <c r="BE209" s="137"/>
      <c r="BF209" s="137"/>
      <c r="BG209" s="137"/>
      <c r="BH209" s="137"/>
      <c r="BI209" s="137"/>
      <c r="BJ209" s="137"/>
      <c r="BK209" s="137"/>
      <c r="BL209" s="137"/>
      <c r="BM209" s="137"/>
      <c r="BN209" s="137"/>
      <c r="BO209" s="137"/>
      <c r="BP209" s="137"/>
      <c r="BQ209" s="137"/>
      <c r="BR209" s="137"/>
      <c r="BS209" s="137"/>
      <c r="BT209" s="137"/>
      <c r="BU209" s="137"/>
      <c r="BV209" s="137"/>
      <c r="BW209" s="83"/>
      <c r="BX209" s="83"/>
      <c r="BY209" s="83"/>
      <c r="BZ209" s="82"/>
      <c r="CA209" s="35"/>
      <c r="CB209" s="25"/>
      <c r="CC209" s="82"/>
      <c r="CD209" s="82"/>
      <c r="CE209" s="82"/>
      <c r="CF209" s="82"/>
      <c r="CG209" s="82"/>
      <c r="CH209" s="83"/>
    </row>
    <row r="210" spans="1:86" s="94" customFormat="1" ht="15.75" customHeight="1" outlineLevel="1" x14ac:dyDescent="0.2">
      <c r="A210" s="36"/>
      <c r="B210" s="1011"/>
      <c r="C210" s="1561"/>
      <c r="D210" s="1015" t="s">
        <v>1710</v>
      </c>
      <c r="E210" s="1015" t="s">
        <v>1702</v>
      </c>
      <c r="F210" s="1015">
        <f>0.000097*1000</f>
        <v>9.7000000000000003E-2</v>
      </c>
      <c r="G210" s="1015" t="s">
        <v>1539</v>
      </c>
      <c r="H210" s="1015"/>
      <c r="I210" s="1015"/>
      <c r="J210" s="1015"/>
      <c r="K210" s="1015"/>
      <c r="L210" s="24"/>
      <c r="M210" s="8"/>
      <c r="N210" s="24"/>
      <c r="O210" s="24"/>
      <c r="P210" s="24"/>
      <c r="Q210" s="24"/>
      <c r="R210" s="24"/>
      <c r="S210" s="24"/>
      <c r="T210" s="24"/>
      <c r="U210" s="24"/>
      <c r="V210" s="24"/>
      <c r="W210" s="24"/>
      <c r="X210" s="24"/>
      <c r="Y210" s="24"/>
      <c r="Z210" s="24"/>
      <c r="AA210" s="83"/>
      <c r="AB210" s="83"/>
      <c r="AC210" s="83"/>
      <c r="AD210" s="83"/>
      <c r="AE210" s="83"/>
      <c r="AF210" s="83"/>
      <c r="AG210" s="83"/>
      <c r="AH210" s="83"/>
      <c r="AI210" s="83"/>
      <c r="AJ210" s="83"/>
      <c r="AK210" s="83"/>
      <c r="AL210" s="25"/>
      <c r="AM210" s="25"/>
      <c r="AN210" s="137"/>
      <c r="AO210" s="137"/>
      <c r="AP210" s="137"/>
      <c r="AQ210" s="137"/>
      <c r="AR210" s="137"/>
      <c r="AS210" s="137"/>
      <c r="AT210" s="137"/>
      <c r="AU210" s="137"/>
      <c r="AV210" s="137"/>
      <c r="AW210" s="137"/>
      <c r="AX210" s="137"/>
      <c r="AY210" s="137"/>
      <c r="AZ210" s="137"/>
      <c r="BA210" s="137"/>
      <c r="BB210" s="137"/>
      <c r="BC210" s="137"/>
      <c r="BD210" s="137"/>
      <c r="BE210" s="137"/>
      <c r="BF210" s="137"/>
      <c r="BG210" s="137"/>
      <c r="BH210" s="137"/>
      <c r="BI210" s="137"/>
      <c r="BJ210" s="137"/>
      <c r="BK210" s="137"/>
      <c r="BL210" s="137"/>
      <c r="BM210" s="137"/>
      <c r="BN210" s="137"/>
      <c r="BO210" s="137"/>
      <c r="BP210" s="137"/>
      <c r="BQ210" s="137"/>
      <c r="BR210" s="137"/>
      <c r="BS210" s="137"/>
      <c r="BT210" s="137"/>
      <c r="BU210" s="137"/>
      <c r="BV210" s="137"/>
      <c r="BW210" s="83"/>
      <c r="BX210" s="83"/>
      <c r="BY210" s="83"/>
      <c r="BZ210" s="82"/>
      <c r="CA210" s="35"/>
      <c r="CB210" s="25"/>
      <c r="CC210" s="82"/>
      <c r="CD210" s="82"/>
      <c r="CE210" s="82"/>
      <c r="CF210" s="82"/>
      <c r="CG210" s="82"/>
      <c r="CH210" s="83"/>
    </row>
    <row r="211" spans="1:86" s="94" customFormat="1" ht="15.75" customHeight="1" outlineLevel="1" x14ac:dyDescent="0.2">
      <c r="A211" s="36"/>
      <c r="B211" s="1011"/>
      <c r="C211" s="1561"/>
      <c r="D211" s="1017" t="s">
        <v>1711</v>
      </c>
      <c r="E211" s="1017" t="s">
        <v>1703</v>
      </c>
      <c r="F211" s="1017">
        <f>0.00009245*1000</f>
        <v>9.2450000000000004E-2</v>
      </c>
      <c r="G211" s="1015" t="s">
        <v>1539</v>
      </c>
      <c r="H211" s="1017"/>
      <c r="I211" s="1015"/>
      <c r="J211" s="1017"/>
      <c r="K211" s="1015"/>
      <c r="L211" s="24"/>
      <c r="M211" s="8"/>
      <c r="N211" s="24"/>
      <c r="O211" s="24"/>
      <c r="P211" s="24"/>
      <c r="Q211" s="24"/>
      <c r="R211" s="24"/>
      <c r="S211" s="24"/>
      <c r="T211" s="24"/>
      <c r="U211" s="24"/>
      <c r="V211" s="24"/>
      <c r="W211" s="24"/>
      <c r="X211" s="24"/>
      <c r="Y211" s="24"/>
      <c r="Z211" s="24"/>
      <c r="AA211" s="83"/>
      <c r="AB211" s="83"/>
      <c r="AC211" s="83"/>
      <c r="AD211" s="83"/>
      <c r="AE211" s="83"/>
      <c r="AF211" s="83"/>
      <c r="AG211" s="83"/>
      <c r="AH211" s="83"/>
      <c r="AI211" s="83"/>
      <c r="AJ211" s="83"/>
      <c r="AK211" s="83"/>
      <c r="AL211" s="25"/>
      <c r="AM211" s="25"/>
      <c r="AN211" s="137"/>
      <c r="AO211" s="137"/>
      <c r="AP211" s="137"/>
      <c r="AQ211" s="137"/>
      <c r="AR211" s="137"/>
      <c r="AS211" s="137"/>
      <c r="AT211" s="137"/>
      <c r="AU211" s="137"/>
      <c r="AV211" s="137"/>
      <c r="AW211" s="137"/>
      <c r="AX211" s="137"/>
      <c r="AY211" s="137"/>
      <c r="AZ211" s="137"/>
      <c r="BA211" s="137"/>
      <c r="BB211" s="137"/>
      <c r="BC211" s="137"/>
      <c r="BD211" s="137"/>
      <c r="BE211" s="137"/>
      <c r="BF211" s="137"/>
      <c r="BG211" s="137"/>
      <c r="BH211" s="137"/>
      <c r="BI211" s="137"/>
      <c r="BJ211" s="137"/>
      <c r="BK211" s="137"/>
      <c r="BL211" s="137"/>
      <c r="BM211" s="137"/>
      <c r="BN211" s="137"/>
      <c r="BO211" s="137"/>
      <c r="BP211" s="137"/>
      <c r="BQ211" s="137"/>
      <c r="BR211" s="137"/>
      <c r="BS211" s="137"/>
      <c r="BT211" s="137"/>
      <c r="BU211" s="137"/>
      <c r="BV211" s="137"/>
      <c r="BW211" s="83"/>
      <c r="BX211" s="83"/>
      <c r="BY211" s="83"/>
      <c r="BZ211" s="82"/>
      <c r="CA211" s="35"/>
      <c r="CB211" s="25"/>
      <c r="CC211" s="82"/>
      <c r="CD211" s="82"/>
      <c r="CE211" s="82"/>
      <c r="CF211" s="82"/>
      <c r="CG211" s="82"/>
      <c r="CH211" s="83"/>
    </row>
    <row r="212" spans="1:86" s="94" customFormat="1" ht="30" outlineLevel="1" x14ac:dyDescent="0.2">
      <c r="A212" s="36"/>
      <c r="B212" s="1011"/>
      <c r="C212" s="1561"/>
      <c r="D212" s="1017" t="s">
        <v>1712</v>
      </c>
      <c r="E212" s="1017" t="s">
        <v>1704</v>
      </c>
      <c r="F212" s="1017">
        <f>0.00013867*1000</f>
        <v>0.13866999999999999</v>
      </c>
      <c r="G212" s="1015" t="s">
        <v>1539</v>
      </c>
      <c r="H212" s="1017"/>
      <c r="I212" s="1015"/>
      <c r="J212" s="1017"/>
      <c r="K212" s="1015"/>
      <c r="L212" s="24"/>
      <c r="M212" s="8"/>
      <c r="N212" s="24"/>
      <c r="O212" s="24"/>
      <c r="P212" s="24"/>
      <c r="Q212" s="24"/>
      <c r="R212" s="24"/>
      <c r="S212" s="24"/>
      <c r="T212" s="24"/>
      <c r="U212" s="24"/>
      <c r="V212" s="24"/>
      <c r="W212" s="24"/>
      <c r="X212" s="24"/>
      <c r="Y212" s="24"/>
      <c r="Z212" s="24"/>
      <c r="AA212" s="83"/>
      <c r="AB212" s="83"/>
      <c r="AC212" s="83"/>
      <c r="AD212" s="83"/>
      <c r="AE212" s="83"/>
      <c r="AF212" s="83"/>
      <c r="AG212" s="83"/>
      <c r="AH212" s="83"/>
      <c r="AI212" s="83"/>
      <c r="AJ212" s="83"/>
      <c r="AK212" s="83"/>
      <c r="AL212" s="25"/>
      <c r="AM212" s="25"/>
      <c r="AN212" s="137"/>
      <c r="AO212" s="137"/>
      <c r="AP212" s="137"/>
      <c r="AQ212" s="137"/>
      <c r="AR212" s="137"/>
      <c r="AS212" s="137"/>
      <c r="AT212" s="137"/>
      <c r="AU212" s="137"/>
      <c r="AV212" s="137"/>
      <c r="AW212" s="137"/>
      <c r="AX212" s="137"/>
      <c r="AY212" s="137"/>
      <c r="AZ212" s="137"/>
      <c r="BA212" s="137"/>
      <c r="BB212" s="137"/>
      <c r="BC212" s="137"/>
      <c r="BD212" s="137"/>
      <c r="BE212" s="137"/>
      <c r="BF212" s="137"/>
      <c r="BG212" s="137"/>
      <c r="BH212" s="137"/>
      <c r="BI212" s="137"/>
      <c r="BJ212" s="137"/>
      <c r="BK212" s="137"/>
      <c r="BL212" s="137"/>
      <c r="BM212" s="137"/>
      <c r="BN212" s="137"/>
      <c r="BO212" s="137"/>
      <c r="BP212" s="137"/>
      <c r="BQ212" s="137"/>
      <c r="BR212" s="137"/>
      <c r="BS212" s="137"/>
      <c r="BT212" s="137"/>
      <c r="BU212" s="137"/>
      <c r="BV212" s="137"/>
      <c r="BW212" s="83"/>
      <c r="BX212" s="83"/>
      <c r="BY212" s="83"/>
      <c r="BZ212" s="82"/>
      <c r="CA212" s="35"/>
      <c r="CB212" s="25"/>
      <c r="CC212" s="82"/>
      <c r="CD212" s="82"/>
      <c r="CE212" s="82"/>
      <c r="CF212" s="82"/>
      <c r="CG212" s="82"/>
      <c r="CH212" s="83"/>
    </row>
    <row r="213" spans="1:86" s="94" customFormat="1" ht="15.75" customHeight="1" outlineLevel="1" x14ac:dyDescent="0.2">
      <c r="A213" s="36"/>
      <c r="B213" s="1011"/>
      <c r="C213" s="1561"/>
      <c r="D213" s="1017" t="s">
        <v>1713</v>
      </c>
      <c r="E213" s="1017" t="s">
        <v>1705</v>
      </c>
      <c r="F213" s="1017">
        <f>0.00011319*1000</f>
        <v>0.11319</v>
      </c>
      <c r="G213" s="1015" t="s">
        <v>1539</v>
      </c>
      <c r="H213" s="1017"/>
      <c r="I213" s="1017"/>
      <c r="J213" s="1017"/>
      <c r="K213" s="1017"/>
      <c r="L213" s="24"/>
      <c r="M213" s="8"/>
      <c r="N213" s="24"/>
      <c r="O213" s="24"/>
      <c r="P213" s="24"/>
      <c r="Q213" s="24"/>
      <c r="R213" s="24"/>
      <c r="S213" s="24"/>
      <c r="T213" s="24"/>
      <c r="U213" s="24"/>
      <c r="V213" s="24"/>
      <c r="W213" s="24"/>
      <c r="X213" s="24"/>
      <c r="Y213" s="24"/>
      <c r="Z213" s="24"/>
      <c r="AA213" s="83"/>
      <c r="AB213" s="83"/>
      <c r="AC213" s="83"/>
      <c r="AD213" s="83"/>
      <c r="AE213" s="83"/>
      <c r="AF213" s="83"/>
      <c r="AG213" s="83"/>
      <c r="AH213" s="83"/>
      <c r="AI213" s="83"/>
      <c r="AJ213" s="83"/>
      <c r="AK213" s="83"/>
      <c r="AL213" s="25"/>
      <c r="AM213" s="25"/>
      <c r="AN213" s="137"/>
      <c r="AO213" s="137"/>
      <c r="AP213" s="137"/>
      <c r="AQ213" s="137"/>
      <c r="AR213" s="137"/>
      <c r="AS213" s="137"/>
      <c r="AT213" s="137"/>
      <c r="AU213" s="137"/>
      <c r="AV213" s="137"/>
      <c r="AW213" s="137"/>
      <c r="AX213" s="137"/>
      <c r="AY213" s="137"/>
      <c r="AZ213" s="137"/>
      <c r="BA213" s="137"/>
      <c r="BB213" s="137"/>
      <c r="BC213" s="137"/>
      <c r="BD213" s="137"/>
      <c r="BE213" s="137"/>
      <c r="BF213" s="137"/>
      <c r="BG213" s="137"/>
      <c r="BH213" s="137"/>
      <c r="BI213" s="137"/>
      <c r="BJ213" s="137"/>
      <c r="BK213" s="137"/>
      <c r="BL213" s="137"/>
      <c r="BM213" s="137"/>
      <c r="BN213" s="137"/>
      <c r="BO213" s="137"/>
      <c r="BP213" s="137"/>
      <c r="BQ213" s="137"/>
      <c r="BR213" s="137"/>
      <c r="BS213" s="137"/>
      <c r="BT213" s="137"/>
      <c r="BU213" s="137"/>
      <c r="BV213" s="137"/>
      <c r="BW213" s="83"/>
      <c r="BX213" s="83"/>
      <c r="BY213" s="83"/>
      <c r="BZ213" s="82"/>
      <c r="CA213" s="35"/>
      <c r="CB213" s="25"/>
      <c r="CC213" s="82"/>
      <c r="CD213" s="82"/>
      <c r="CE213" s="82"/>
      <c r="CF213" s="82"/>
      <c r="CG213" s="82"/>
      <c r="CH213" s="83"/>
    </row>
    <row r="214" spans="1:86" s="94" customFormat="1" ht="15.75" customHeight="1" outlineLevel="1" x14ac:dyDescent="0.2">
      <c r="A214" s="36"/>
      <c r="B214" s="35"/>
      <c r="C214" s="1561"/>
      <c r="D214" s="1017" t="s">
        <v>1714</v>
      </c>
      <c r="E214" s="1017" t="s">
        <v>1706</v>
      </c>
      <c r="F214" s="1017">
        <f>0.00008263*1000</f>
        <v>8.2629999999999995E-2</v>
      </c>
      <c r="G214" s="1015" t="s">
        <v>1539</v>
      </c>
      <c r="H214" s="1017"/>
      <c r="I214" s="1017"/>
      <c r="J214" s="1017"/>
      <c r="K214" s="1017"/>
      <c r="L214" s="24"/>
      <c r="M214" s="8"/>
      <c r="N214" s="24"/>
      <c r="O214" s="24"/>
      <c r="P214" s="24"/>
      <c r="Q214" s="24"/>
      <c r="R214" s="24"/>
      <c r="S214" s="24"/>
      <c r="T214" s="24"/>
      <c r="U214" s="24"/>
      <c r="V214" s="24"/>
      <c r="W214" s="24"/>
      <c r="X214" s="24"/>
      <c r="Y214" s="24"/>
      <c r="Z214" s="24"/>
      <c r="AA214" s="83"/>
      <c r="AB214" s="83"/>
      <c r="AC214" s="83"/>
      <c r="AD214" s="83"/>
      <c r="AE214" s="83"/>
      <c r="AF214" s="83"/>
      <c r="AG214" s="83"/>
      <c r="AH214" s="83"/>
      <c r="AI214" s="83"/>
      <c r="AJ214" s="83"/>
      <c r="AK214" s="83"/>
      <c r="AL214" s="25"/>
      <c r="AM214" s="25"/>
      <c r="AN214" s="137"/>
      <c r="AO214" s="137"/>
      <c r="AP214" s="137"/>
      <c r="AQ214" s="137"/>
      <c r="AR214" s="137"/>
      <c r="AS214" s="137"/>
      <c r="AT214" s="137"/>
      <c r="AU214" s="137"/>
      <c r="AV214" s="137"/>
      <c r="AW214" s="137"/>
      <c r="AX214" s="137"/>
      <c r="AY214" s="137"/>
      <c r="AZ214" s="137"/>
      <c r="BA214" s="137"/>
      <c r="BB214" s="137"/>
      <c r="BC214" s="137"/>
      <c r="BD214" s="137"/>
      <c r="BE214" s="137"/>
      <c r="BF214" s="137"/>
      <c r="BG214" s="137"/>
      <c r="BH214" s="137"/>
      <c r="BI214" s="137"/>
      <c r="BJ214" s="137"/>
      <c r="BK214" s="137"/>
      <c r="BL214" s="137"/>
      <c r="BM214" s="137"/>
      <c r="BN214" s="137"/>
      <c r="BO214" s="137"/>
      <c r="BP214" s="137"/>
      <c r="BQ214" s="137"/>
      <c r="BR214" s="137"/>
      <c r="BS214" s="137"/>
      <c r="BT214" s="137"/>
      <c r="BU214" s="137"/>
      <c r="BV214" s="137"/>
      <c r="BW214" s="83"/>
      <c r="BX214" s="83"/>
      <c r="BY214" s="83"/>
      <c r="BZ214" s="82"/>
      <c r="CA214" s="35"/>
      <c r="CB214" s="25"/>
      <c r="CC214" s="82"/>
      <c r="CD214" s="82"/>
      <c r="CE214" s="82"/>
      <c r="CF214" s="82"/>
      <c r="CG214" s="82"/>
      <c r="CH214" s="83"/>
    </row>
    <row r="215" spans="1:86" s="94" customFormat="1" ht="15.75" customHeight="1" outlineLevel="1" x14ac:dyDescent="0.2">
      <c r="A215" s="36"/>
      <c r="B215" s="35"/>
      <c r="C215" s="1561"/>
      <c r="D215" s="1017" t="s">
        <v>1715</v>
      </c>
      <c r="E215" s="1017" t="s">
        <v>1707</v>
      </c>
      <c r="F215" s="1017">
        <f>0.00023963*1000</f>
        <v>0.23963000000000001</v>
      </c>
      <c r="G215" s="1015" t="s">
        <v>1539</v>
      </c>
      <c r="H215" s="1017"/>
      <c r="I215" s="1017"/>
      <c r="J215" s="1017"/>
      <c r="K215" s="1017"/>
      <c r="L215" s="24"/>
      <c r="M215" s="8"/>
      <c r="N215" s="24"/>
      <c r="O215" s="24"/>
      <c r="P215" s="24"/>
      <c r="Q215" s="24"/>
      <c r="R215" s="24"/>
      <c r="S215" s="24"/>
      <c r="T215" s="24"/>
      <c r="U215" s="24"/>
      <c r="V215" s="24"/>
      <c r="W215" s="24"/>
      <c r="X215" s="24"/>
      <c r="Y215" s="24"/>
      <c r="Z215" s="24"/>
      <c r="AA215" s="83"/>
      <c r="AB215" s="83"/>
      <c r="AC215" s="83"/>
      <c r="AD215" s="83"/>
      <c r="AE215" s="83"/>
      <c r="AF215" s="83"/>
      <c r="AG215" s="83"/>
      <c r="AH215" s="83"/>
      <c r="AI215" s="83"/>
      <c r="AJ215" s="83"/>
      <c r="AK215" s="83"/>
      <c r="AL215" s="25"/>
      <c r="AM215" s="25"/>
      <c r="AN215" s="137"/>
      <c r="AO215" s="137"/>
      <c r="AP215" s="137"/>
      <c r="AQ215" s="137"/>
      <c r="AR215" s="137"/>
      <c r="AS215" s="137"/>
      <c r="AT215" s="137"/>
      <c r="AU215" s="137"/>
      <c r="AV215" s="137"/>
      <c r="AW215" s="137"/>
      <c r="AX215" s="137"/>
      <c r="AY215" s="137"/>
      <c r="AZ215" s="137"/>
      <c r="BA215" s="137"/>
      <c r="BB215" s="137"/>
      <c r="BC215" s="137"/>
      <c r="BD215" s="137"/>
      <c r="BE215" s="137"/>
      <c r="BF215" s="137"/>
      <c r="BG215" s="137"/>
      <c r="BH215" s="137"/>
      <c r="BI215" s="137"/>
      <c r="BJ215" s="137"/>
      <c r="BK215" s="137"/>
      <c r="BL215" s="137"/>
      <c r="BM215" s="137"/>
      <c r="BN215" s="137"/>
      <c r="BO215" s="137"/>
      <c r="BP215" s="137"/>
      <c r="BQ215" s="137"/>
      <c r="BR215" s="137"/>
      <c r="BS215" s="137"/>
      <c r="BT215" s="137"/>
      <c r="BU215" s="137"/>
      <c r="BV215" s="137"/>
      <c r="BW215" s="83"/>
      <c r="BX215" s="83"/>
      <c r="BY215" s="83"/>
      <c r="BZ215" s="82"/>
      <c r="CA215" s="35"/>
      <c r="CB215" s="25"/>
      <c r="CC215" s="82"/>
      <c r="CD215" s="82"/>
      <c r="CE215" s="82"/>
      <c r="CF215" s="82"/>
      <c r="CG215" s="82"/>
      <c r="CH215" s="83"/>
    </row>
    <row r="216" spans="1:86" s="94" customFormat="1" ht="15.75" customHeight="1" outlineLevel="1" x14ac:dyDescent="0.2">
      <c r="A216" s="36"/>
      <c r="B216" s="35"/>
      <c r="C216" s="1561"/>
      <c r="D216" s="1017" t="s">
        <v>1716</v>
      </c>
      <c r="E216" s="1017" t="s">
        <v>1708</v>
      </c>
      <c r="F216" s="1017">
        <f>0.00033052*1000</f>
        <v>0.33051999999999998</v>
      </c>
      <c r="G216" s="1015" t="s">
        <v>1539</v>
      </c>
      <c r="H216" s="1017"/>
      <c r="I216" s="1017"/>
      <c r="J216" s="1017"/>
      <c r="K216" s="1017"/>
      <c r="L216" s="24"/>
      <c r="M216" s="8"/>
      <c r="N216" s="24"/>
      <c r="O216" s="24"/>
      <c r="P216" s="24"/>
      <c r="Q216" s="24"/>
      <c r="R216" s="24"/>
      <c r="S216" s="24"/>
      <c r="T216" s="24"/>
      <c r="U216" s="24"/>
      <c r="V216" s="24"/>
      <c r="W216" s="24"/>
      <c r="X216" s="24"/>
      <c r="Y216" s="24"/>
      <c r="Z216" s="24"/>
      <c r="AA216" s="83"/>
      <c r="AB216" s="83"/>
      <c r="AC216" s="83"/>
      <c r="AD216" s="83"/>
      <c r="AE216" s="83"/>
      <c r="AF216" s="83"/>
      <c r="AG216" s="83"/>
      <c r="AH216" s="83"/>
      <c r="AI216" s="83"/>
      <c r="AJ216" s="83"/>
      <c r="AK216" s="83"/>
      <c r="AL216" s="25"/>
      <c r="AM216" s="25"/>
      <c r="AN216" s="137"/>
      <c r="AO216" s="137"/>
      <c r="AP216" s="137"/>
      <c r="AQ216" s="137"/>
      <c r="AR216" s="137"/>
      <c r="AS216" s="137"/>
      <c r="AT216" s="137"/>
      <c r="AU216" s="137"/>
      <c r="AV216" s="137"/>
      <c r="AW216" s="137"/>
      <c r="AX216" s="137"/>
      <c r="AY216" s="137"/>
      <c r="AZ216" s="137"/>
      <c r="BA216" s="137"/>
      <c r="BB216" s="137"/>
      <c r="BC216" s="137"/>
      <c r="BD216" s="137"/>
      <c r="BE216" s="137"/>
      <c r="BF216" s="137"/>
      <c r="BG216" s="137"/>
      <c r="BH216" s="137"/>
      <c r="BI216" s="137"/>
      <c r="BJ216" s="137"/>
      <c r="BK216" s="137"/>
      <c r="BL216" s="137"/>
      <c r="BM216" s="137"/>
      <c r="BN216" s="137"/>
      <c r="BO216" s="137"/>
      <c r="BP216" s="137"/>
      <c r="BQ216" s="137"/>
      <c r="BR216" s="137"/>
      <c r="BS216" s="137"/>
      <c r="BT216" s="137"/>
      <c r="BU216" s="137"/>
      <c r="BV216" s="137"/>
      <c r="BW216" s="83"/>
      <c r="BX216" s="83"/>
      <c r="BY216" s="83"/>
      <c r="BZ216" s="82"/>
      <c r="CA216" s="35"/>
      <c r="CB216" s="25"/>
      <c r="CC216" s="82"/>
      <c r="CD216" s="82"/>
      <c r="CE216" s="82"/>
      <c r="CF216" s="82"/>
      <c r="CG216" s="82"/>
      <c r="CH216" s="83"/>
    </row>
    <row r="217" spans="1:86" s="94" customFormat="1" ht="15.75" customHeight="1" outlineLevel="1" x14ac:dyDescent="0.2">
      <c r="A217" s="36"/>
      <c r="B217" s="35"/>
      <c r="C217" s="1561" t="s">
        <v>1719</v>
      </c>
      <c r="D217" s="1017" t="s">
        <v>1709</v>
      </c>
      <c r="E217" s="1017" t="s">
        <v>1701</v>
      </c>
      <c r="F217" s="1017">
        <f>0.00196073*1000</f>
        <v>1.9607299999999999</v>
      </c>
      <c r="G217" s="1015" t="s">
        <v>1566</v>
      </c>
      <c r="H217" s="1017">
        <v>2.8562185343495887E-5</v>
      </c>
      <c r="I217" s="1017" t="s">
        <v>1566</v>
      </c>
      <c r="J217" s="1017">
        <v>3.2808841197924531E-5</v>
      </c>
      <c r="K217" s="1017" t="s">
        <v>1566</v>
      </c>
      <c r="L217" s="24"/>
      <c r="M217" s="8"/>
      <c r="N217" s="24"/>
      <c r="O217" s="24"/>
      <c r="P217" s="24"/>
      <c r="Q217" s="24"/>
      <c r="R217" s="24"/>
      <c r="S217" s="24"/>
      <c r="T217" s="24"/>
      <c r="U217" s="24"/>
      <c r="V217" s="24"/>
      <c r="W217" s="24"/>
      <c r="X217" s="24"/>
      <c r="Y217" s="24"/>
      <c r="Z217" s="24"/>
      <c r="AA217" s="83"/>
      <c r="AB217" s="83"/>
      <c r="AC217" s="83"/>
      <c r="AD217" s="83"/>
      <c r="AE217" s="83"/>
      <c r="AF217" s="83"/>
      <c r="AG217" s="83"/>
      <c r="AH217" s="83"/>
      <c r="AI217" s="83"/>
      <c r="AJ217" s="83"/>
      <c r="AK217" s="83"/>
      <c r="AL217" s="25"/>
      <c r="AM217" s="25"/>
      <c r="AN217" s="137"/>
      <c r="AO217" s="137"/>
      <c r="AP217" s="137"/>
      <c r="AQ217" s="137"/>
      <c r="AR217" s="137"/>
      <c r="AS217" s="137"/>
      <c r="AT217" s="137"/>
      <c r="AU217" s="137"/>
      <c r="AV217" s="137"/>
      <c r="AW217" s="137"/>
      <c r="AX217" s="137"/>
      <c r="AY217" s="137"/>
      <c r="AZ217" s="137"/>
      <c r="BA217" s="137"/>
      <c r="BB217" s="137"/>
      <c r="BC217" s="137"/>
      <c r="BD217" s="137"/>
      <c r="BE217" s="137"/>
      <c r="BF217" s="137"/>
      <c r="BG217" s="137"/>
      <c r="BH217" s="137"/>
      <c r="BI217" s="137"/>
      <c r="BJ217" s="137"/>
      <c r="BK217" s="137"/>
      <c r="BL217" s="137"/>
      <c r="BM217" s="137"/>
      <c r="BN217" s="137"/>
      <c r="BO217" s="137"/>
      <c r="BP217" s="137"/>
      <c r="BQ217" s="137"/>
      <c r="BR217" s="137"/>
      <c r="BS217" s="137"/>
      <c r="BT217" s="137"/>
      <c r="BU217" s="137"/>
      <c r="BV217" s="137"/>
      <c r="BW217" s="83"/>
      <c r="BX217" s="83"/>
      <c r="BY217" s="83"/>
      <c r="BZ217" s="82"/>
      <c r="CA217" s="35"/>
      <c r="CB217" s="25"/>
      <c r="CC217" s="82"/>
      <c r="CD217" s="82"/>
      <c r="CE217" s="82"/>
      <c r="CF217" s="82"/>
      <c r="CG217" s="82"/>
      <c r="CH217" s="83"/>
    </row>
    <row r="218" spans="1:86" s="94" customFormat="1" ht="15.75" customHeight="1" outlineLevel="1" x14ac:dyDescent="0.2">
      <c r="A218" s="36"/>
      <c r="B218" s="35"/>
      <c r="C218" s="1561"/>
      <c r="D218" s="1015" t="s">
        <v>1884</v>
      </c>
      <c r="E218" s="1015" t="s">
        <v>1717</v>
      </c>
      <c r="F218" s="1015">
        <f>0.00147389*1000</f>
        <v>1.4738900000000001</v>
      </c>
      <c r="G218" s="1015" t="s">
        <v>1566</v>
      </c>
      <c r="H218" s="1015">
        <v>2.8562185343495887E-5</v>
      </c>
      <c r="I218" s="1015" t="s">
        <v>1566</v>
      </c>
      <c r="J218" s="1015">
        <v>3.2808841197924531E-5</v>
      </c>
      <c r="K218" s="1015" t="s">
        <v>1566</v>
      </c>
      <c r="L218" s="24"/>
      <c r="M218" s="8"/>
      <c r="N218" s="24"/>
      <c r="O218" s="24"/>
      <c r="P218" s="24"/>
      <c r="Q218" s="24"/>
      <c r="R218" s="24"/>
      <c r="S218" s="24"/>
      <c r="T218" s="24"/>
      <c r="U218" s="24"/>
      <c r="V218" s="24"/>
      <c r="W218" s="24"/>
      <c r="X218" s="24"/>
      <c r="Y218" s="24"/>
      <c r="Z218" s="24"/>
      <c r="AA218" s="83"/>
      <c r="AB218" s="83"/>
      <c r="AC218" s="83"/>
      <c r="AD218" s="83"/>
      <c r="AE218" s="83"/>
      <c r="AF218" s="83"/>
      <c r="AG218" s="83"/>
      <c r="AH218" s="83"/>
      <c r="AI218" s="83"/>
      <c r="AJ218" s="83"/>
      <c r="AK218" s="83"/>
      <c r="AL218" s="25"/>
      <c r="AM218" s="25"/>
      <c r="AN218" s="137"/>
      <c r="AO218" s="137"/>
      <c r="AP218" s="137"/>
      <c r="AQ218" s="137"/>
      <c r="AR218" s="137"/>
      <c r="AS218" s="137"/>
      <c r="AT218" s="137"/>
      <c r="AU218" s="137"/>
      <c r="AV218" s="137"/>
      <c r="AW218" s="137"/>
      <c r="AX218" s="137"/>
      <c r="AY218" s="137"/>
      <c r="AZ218" s="137"/>
      <c r="BA218" s="137"/>
      <c r="BB218" s="137"/>
      <c r="BC218" s="137"/>
      <c r="BD218" s="137"/>
      <c r="BE218" s="137"/>
      <c r="BF218" s="137"/>
      <c r="BG218" s="137"/>
      <c r="BH218" s="137"/>
      <c r="BI218" s="137"/>
      <c r="BJ218" s="137"/>
      <c r="BK218" s="137"/>
      <c r="BL218" s="137"/>
      <c r="BM218" s="137"/>
      <c r="BN218" s="137"/>
      <c r="BO218" s="137"/>
      <c r="BP218" s="137"/>
      <c r="BQ218" s="137"/>
      <c r="BR218" s="137"/>
      <c r="BS218" s="137"/>
      <c r="BT218" s="137"/>
      <c r="BU218" s="137"/>
      <c r="BV218" s="137"/>
      <c r="BW218" s="83"/>
      <c r="BX218" s="83"/>
      <c r="BY218" s="83"/>
      <c r="BZ218" s="82"/>
      <c r="CA218" s="35"/>
      <c r="CB218" s="25"/>
      <c r="CC218" s="82"/>
      <c r="CD218" s="82"/>
      <c r="CE218" s="82"/>
      <c r="CF218" s="82"/>
      <c r="CG218" s="82"/>
      <c r="CH218" s="83"/>
    </row>
    <row r="219" spans="1:86" s="94" customFormat="1" ht="15.75" customHeight="1" outlineLevel="1" x14ac:dyDescent="0.2">
      <c r="A219" s="36"/>
      <c r="B219" s="35"/>
      <c r="C219" s="1561"/>
      <c r="D219" s="1017" t="s">
        <v>1885</v>
      </c>
      <c r="E219" s="1017" t="s">
        <v>1718</v>
      </c>
      <c r="F219" s="1017">
        <f>0.00061324*1000</f>
        <v>0.61324000000000001</v>
      </c>
      <c r="G219" s="1015" t="s">
        <v>1566</v>
      </c>
      <c r="H219" s="1017">
        <v>2.8562185343495887E-5</v>
      </c>
      <c r="I219" s="1015" t="s">
        <v>1566</v>
      </c>
      <c r="J219" s="1017">
        <v>3.2808841197924531E-5</v>
      </c>
      <c r="K219" s="1015" t="s">
        <v>1566</v>
      </c>
      <c r="L219" s="24"/>
      <c r="M219" s="8"/>
      <c r="N219" s="24"/>
      <c r="O219" s="24"/>
      <c r="P219" s="24"/>
      <c r="Q219" s="24"/>
      <c r="R219" s="24"/>
      <c r="S219" s="24"/>
      <c r="T219" s="24"/>
      <c r="U219" s="24"/>
      <c r="V219" s="24"/>
      <c r="W219" s="24"/>
      <c r="X219" s="24"/>
      <c r="Y219" s="24"/>
      <c r="Z219" s="24"/>
      <c r="AA219" s="83"/>
      <c r="AB219" s="83"/>
      <c r="AC219" s="83"/>
      <c r="AD219" s="83"/>
      <c r="AE219" s="83"/>
      <c r="AF219" s="83"/>
      <c r="AG219" s="83"/>
      <c r="AH219" s="83"/>
      <c r="AI219" s="83"/>
      <c r="AJ219" s="83"/>
      <c r="AK219" s="83"/>
      <c r="AL219" s="25"/>
      <c r="AM219" s="25"/>
      <c r="AN219" s="137"/>
      <c r="AO219" s="137"/>
      <c r="AP219" s="137"/>
      <c r="AQ219" s="137"/>
      <c r="AR219" s="137"/>
      <c r="AS219" s="137"/>
      <c r="AT219" s="137"/>
      <c r="AU219" s="137"/>
      <c r="AV219" s="137"/>
      <c r="AW219" s="137"/>
      <c r="AX219" s="137"/>
      <c r="AY219" s="137"/>
      <c r="AZ219" s="137"/>
      <c r="BA219" s="137"/>
      <c r="BB219" s="137"/>
      <c r="BC219" s="137"/>
      <c r="BD219" s="137"/>
      <c r="BE219" s="137"/>
      <c r="BF219" s="137"/>
      <c r="BG219" s="137"/>
      <c r="BH219" s="137"/>
      <c r="BI219" s="137"/>
      <c r="BJ219" s="137"/>
      <c r="BK219" s="137"/>
      <c r="BL219" s="137"/>
      <c r="BM219" s="137"/>
      <c r="BN219" s="137"/>
      <c r="BO219" s="137"/>
      <c r="BP219" s="137"/>
      <c r="BQ219" s="137"/>
      <c r="BR219" s="137"/>
      <c r="BS219" s="137"/>
      <c r="BT219" s="137"/>
      <c r="BU219" s="137"/>
      <c r="BV219" s="137"/>
      <c r="BW219" s="83"/>
      <c r="BX219" s="83"/>
      <c r="BY219" s="83"/>
      <c r="BZ219" s="82"/>
      <c r="CA219" s="35"/>
      <c r="CB219" s="25"/>
      <c r="CC219" s="82"/>
      <c r="CD219" s="82"/>
      <c r="CE219" s="82"/>
      <c r="CF219" s="82"/>
      <c r="CG219" s="82"/>
      <c r="CH219" s="83"/>
    </row>
    <row r="220" spans="1:86" s="94" customFormat="1" ht="15.75" customHeight="1" outlineLevel="1" x14ac:dyDescent="0.2">
      <c r="A220" s="36"/>
      <c r="B220" s="35"/>
      <c r="C220" s="135"/>
      <c r="D220" s="5"/>
      <c r="E220" s="5"/>
      <c r="F220" s="5"/>
      <c r="G220" s="8"/>
      <c r="H220" s="24"/>
      <c r="I220" s="8"/>
      <c r="J220" s="8"/>
      <c r="K220" s="24"/>
      <c r="L220" s="24"/>
      <c r="M220" s="8"/>
      <c r="N220" s="24"/>
      <c r="O220" s="24"/>
      <c r="P220" s="24"/>
      <c r="Q220" s="24"/>
      <c r="R220" s="24"/>
      <c r="S220" s="24"/>
      <c r="T220" s="24"/>
      <c r="U220" s="24"/>
      <c r="V220" s="24"/>
      <c r="W220" s="24"/>
      <c r="X220" s="24"/>
      <c r="Y220" s="24"/>
      <c r="Z220" s="24"/>
      <c r="AA220" s="83"/>
      <c r="AB220" s="83"/>
      <c r="AC220" s="83"/>
      <c r="AD220" s="83"/>
      <c r="AE220" s="83"/>
      <c r="AF220" s="83"/>
      <c r="AG220" s="83"/>
      <c r="AH220" s="83"/>
      <c r="AI220" s="83"/>
      <c r="AJ220" s="83"/>
      <c r="AK220" s="83"/>
      <c r="AL220" s="25"/>
      <c r="AM220" s="25"/>
      <c r="AN220" s="137"/>
      <c r="AO220" s="137"/>
      <c r="AP220" s="137"/>
      <c r="AQ220" s="137"/>
      <c r="AR220" s="137"/>
      <c r="AS220" s="137"/>
      <c r="AT220" s="137"/>
      <c r="AU220" s="137"/>
      <c r="AV220" s="137"/>
      <c r="AW220" s="137"/>
      <c r="AX220" s="137"/>
      <c r="AY220" s="137"/>
      <c r="AZ220" s="137"/>
      <c r="BA220" s="137"/>
      <c r="BB220" s="137"/>
      <c r="BC220" s="137"/>
      <c r="BD220" s="137"/>
      <c r="BE220" s="137"/>
      <c r="BF220" s="137"/>
      <c r="BG220" s="137"/>
      <c r="BH220" s="137"/>
      <c r="BI220" s="137"/>
      <c r="BJ220" s="137"/>
      <c r="BK220" s="137"/>
      <c r="BL220" s="137"/>
      <c r="BM220" s="137"/>
      <c r="BN220" s="137"/>
      <c r="BO220" s="137"/>
      <c r="BP220" s="137"/>
      <c r="BQ220" s="137"/>
      <c r="BR220" s="137"/>
      <c r="BS220" s="137"/>
      <c r="BT220" s="137"/>
      <c r="BU220" s="137"/>
      <c r="BV220" s="137"/>
      <c r="BW220" s="83"/>
      <c r="BX220" s="83"/>
      <c r="BY220" s="83"/>
      <c r="BZ220" s="82"/>
      <c r="CA220" s="35"/>
      <c r="CB220" s="25"/>
      <c r="CC220" s="82"/>
      <c r="CD220" s="82"/>
      <c r="CE220" s="82"/>
      <c r="CF220" s="82"/>
      <c r="CG220" s="82"/>
      <c r="CH220" s="83"/>
    </row>
    <row r="221" spans="1:86" ht="15.75" customHeight="1" x14ac:dyDescent="0.2">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36"/>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36"/>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38"/>
      <c r="BY221" s="38"/>
      <c r="BZ221" s="38"/>
      <c r="CA221" s="38"/>
      <c r="CB221" s="36"/>
      <c r="CC221" s="36"/>
      <c r="CD221" s="12"/>
      <c r="CE221" s="12"/>
      <c r="CF221" s="12"/>
      <c r="CG221" s="12"/>
      <c r="CH221" s="12"/>
    </row>
    <row r="222" spans="1:86" ht="18.75" x14ac:dyDescent="0.2">
      <c r="A222" s="79"/>
      <c r="B222" s="222" t="s">
        <v>2269</v>
      </c>
      <c r="C222" s="78"/>
      <c r="D222" s="80"/>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81"/>
      <c r="BU222" s="81"/>
      <c r="BV222" s="81"/>
      <c r="BW222" s="81"/>
      <c r="BX222" s="117"/>
      <c r="BY222" s="117"/>
      <c r="BZ222" s="117"/>
      <c r="CA222" s="118"/>
      <c r="CB222"/>
      <c r="CC222"/>
      <c r="CD222"/>
      <c r="CE222"/>
      <c r="CF222"/>
      <c r="CG222"/>
      <c r="CH222"/>
    </row>
    <row r="223" spans="1:86" ht="15.75" customHeight="1" outlineLevel="1" x14ac:dyDescent="0.2">
      <c r="A223" s="60"/>
      <c r="B223" s="61"/>
      <c r="C223" s="62"/>
      <c r="D223" s="63"/>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AC223" s="64"/>
      <c r="AD223" s="64"/>
      <c r="AE223" s="64"/>
      <c r="AF223" s="64"/>
      <c r="AG223" s="64"/>
      <c r="AH223" s="64"/>
      <c r="AI223" s="64"/>
      <c r="AJ223" s="64"/>
      <c r="AK223" s="64"/>
      <c r="AL223" s="64"/>
      <c r="AM223" s="64"/>
      <c r="AN223" s="64"/>
      <c r="AO223" s="64"/>
      <c r="AP223" s="64"/>
      <c r="AQ223" s="64"/>
      <c r="AR223" s="64"/>
      <c r="AS223" s="64"/>
      <c r="AT223" s="64"/>
      <c r="AU223" s="64"/>
      <c r="AV223" s="64"/>
      <c r="AW223" s="64"/>
      <c r="AX223" s="64"/>
      <c r="AY223" s="64"/>
      <c r="AZ223" s="64"/>
      <c r="BA223" s="64"/>
      <c r="BB223" s="64"/>
      <c r="BC223" s="64"/>
      <c r="BD223" s="64"/>
      <c r="BE223" s="64"/>
      <c r="BF223" s="64"/>
      <c r="BG223" s="64"/>
      <c r="BH223" s="64"/>
      <c r="BI223" s="64"/>
      <c r="BJ223" s="64"/>
      <c r="BK223" s="64"/>
      <c r="BL223" s="64"/>
      <c r="BM223" s="64"/>
      <c r="BN223" s="64"/>
      <c r="BO223" s="64"/>
      <c r="BP223" s="64"/>
      <c r="BQ223" s="64"/>
      <c r="BR223" s="64"/>
      <c r="BS223" s="64"/>
      <c r="BT223" s="64"/>
      <c r="BU223" s="64"/>
      <c r="BV223" s="64"/>
      <c r="BW223" s="64"/>
      <c r="BX223" s="64"/>
      <c r="BY223" s="64"/>
      <c r="BZ223" s="64"/>
      <c r="CA223" s="64"/>
      <c r="CB223" s="64"/>
      <c r="CC223" s="64"/>
      <c r="CD223" s="64"/>
      <c r="CE223" s="64"/>
      <c r="CF223" s="64"/>
      <c r="CG223" s="64"/>
      <c r="CH223" s="64"/>
    </row>
    <row r="224" spans="1:86" ht="15.75" customHeight="1" outlineLevel="1" x14ac:dyDescent="0.25">
      <c r="A224" s="15"/>
      <c r="B224" s="10"/>
      <c r="C224" s="217" t="s">
        <v>2251</v>
      </c>
      <c r="D224" s="218"/>
      <c r="E224" s="218"/>
      <c r="F224" s="218"/>
      <c r="G224" s="218"/>
      <c r="H224" s="218"/>
      <c r="I224" s="218"/>
      <c r="J224" s="17"/>
      <c r="K224" s="17"/>
      <c r="L224" s="17"/>
      <c r="M224" s="17"/>
      <c r="N224" s="12"/>
      <c r="O224" s="12"/>
      <c r="P224" s="12"/>
      <c r="Q224" s="12"/>
      <c r="R224" s="12"/>
      <c r="S224" s="12"/>
      <c r="T224" s="12"/>
      <c r="U224" s="12"/>
      <c r="V224" s="12"/>
      <c r="W224" s="12"/>
      <c r="X224" s="12"/>
      <c r="Y224" s="12"/>
      <c r="Z224" s="12"/>
      <c r="AA224" s="12"/>
      <c r="AB224" s="12"/>
      <c r="AC224" s="12"/>
      <c r="AD224" s="12"/>
      <c r="AE224" s="36"/>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36"/>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36"/>
      <c r="BZ224" s="12"/>
      <c r="CA224" s="12"/>
      <c r="CB224" s="36"/>
      <c r="CC224" s="36"/>
      <c r="CD224" s="12"/>
      <c r="CE224" s="12"/>
      <c r="CF224" s="12"/>
      <c r="CG224" s="12"/>
      <c r="CH224" s="12"/>
    </row>
    <row r="225" spans="1:86" ht="15.75" customHeight="1" outlineLevel="1" x14ac:dyDescent="0.2">
      <c r="A225" s="9"/>
      <c r="B225" s="45"/>
      <c r="C225" s="1526" t="s">
        <v>84</v>
      </c>
      <c r="D225" s="1530" t="s">
        <v>229</v>
      </c>
      <c r="E225" s="230" t="s">
        <v>1388</v>
      </c>
      <c r="F225" s="230" t="s">
        <v>1389</v>
      </c>
      <c r="G225" s="230" t="s">
        <v>1390</v>
      </c>
      <c r="H225" s="1497" t="s">
        <v>75</v>
      </c>
      <c r="I225" s="1497"/>
      <c r="J225" s="16"/>
      <c r="K225" s="17"/>
      <c r="L225" s="17"/>
      <c r="M225" s="17"/>
      <c r="N225" s="12"/>
      <c r="O225" s="12"/>
      <c r="P225" s="12"/>
      <c r="Q225" s="12"/>
      <c r="R225" s="12"/>
      <c r="S225" s="12"/>
      <c r="T225" s="12"/>
      <c r="U225" s="12"/>
      <c r="V225" s="12"/>
      <c r="W225" s="12"/>
      <c r="X225" s="12"/>
      <c r="Y225" s="12"/>
      <c r="Z225" s="12"/>
      <c r="AA225" s="12"/>
      <c r="AB225" s="12"/>
      <c r="AC225" s="12"/>
      <c r="AD225" s="12"/>
      <c r="AE225" s="36"/>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36"/>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36"/>
      <c r="BZ225" s="12"/>
      <c r="CA225" s="12"/>
      <c r="CB225" s="36"/>
      <c r="CC225" s="36"/>
      <c r="CD225" s="12"/>
      <c r="CE225" s="12"/>
      <c r="CF225" s="12"/>
      <c r="CG225" s="12"/>
      <c r="CH225" s="12"/>
    </row>
    <row r="226" spans="1:86" ht="27.95" customHeight="1" outlineLevel="1" x14ac:dyDescent="0.2">
      <c r="A226" s="9"/>
      <c r="B226" s="45"/>
      <c r="C226" s="1526"/>
      <c r="D226" s="1477"/>
      <c r="E226" s="228" t="s">
        <v>1391</v>
      </c>
      <c r="F226" s="228" t="s">
        <v>1392</v>
      </c>
      <c r="G226" s="228" t="s">
        <v>1393</v>
      </c>
      <c r="H226" s="1497"/>
      <c r="I226" s="1497"/>
      <c r="J226" s="16"/>
      <c r="K226" s="17"/>
      <c r="L226" s="17"/>
      <c r="M226" s="17"/>
      <c r="N226" s="12"/>
      <c r="O226" s="12"/>
      <c r="P226" s="12"/>
      <c r="Q226" s="12"/>
      <c r="R226" s="12"/>
      <c r="S226" s="12"/>
      <c r="T226" s="12"/>
      <c r="U226" s="12"/>
      <c r="V226" s="12"/>
      <c r="W226" s="12"/>
      <c r="X226" s="12"/>
      <c r="Y226" s="12"/>
      <c r="Z226" s="12"/>
      <c r="AA226" s="12"/>
      <c r="AB226" s="12"/>
      <c r="AC226" s="12"/>
      <c r="AD226" s="12"/>
      <c r="AE226" s="36"/>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36"/>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36"/>
      <c r="BZ226" s="12"/>
      <c r="CA226" s="12"/>
      <c r="CB226" s="36"/>
      <c r="CC226" s="36"/>
      <c r="CD226" s="12"/>
      <c r="CE226" s="12"/>
      <c r="CF226" s="12"/>
      <c r="CG226" s="12"/>
      <c r="CH226" s="12"/>
    </row>
    <row r="227" spans="1:86" ht="15.75" customHeight="1" outlineLevel="1" x14ac:dyDescent="0.2">
      <c r="A227" s="43"/>
      <c r="B227" s="46"/>
      <c r="C227" s="245" t="str">
        <f>Listas!BN2</f>
        <v>Curta distância (d &lt; 500 km)</v>
      </c>
      <c r="D227" s="246">
        <v>0.08</v>
      </c>
      <c r="E227" s="247">
        <f>0.15598/1/1.08</f>
        <v>0.14442592592592593</v>
      </c>
      <c r="F227" s="248">
        <f>0.00006/25/1.08</f>
        <v>2.2222222222222221E-6</v>
      </c>
      <c r="G227" s="249">
        <f>0.00153/298/1.08</f>
        <v>4.7539149888143172E-6</v>
      </c>
      <c r="H227" s="1544" t="s">
        <v>617</v>
      </c>
      <c r="I227" s="1545"/>
      <c r="J227" s="134"/>
      <c r="K227" s="134"/>
      <c r="L227" s="134"/>
      <c r="M227" s="44"/>
      <c r="N227" s="44"/>
      <c r="O227" s="44"/>
      <c r="P227" s="44"/>
      <c r="Q227" s="44"/>
      <c r="R227" s="44"/>
      <c r="S227" s="44"/>
      <c r="T227" s="44"/>
      <c r="U227" s="44"/>
      <c r="V227" s="44"/>
      <c r="W227" s="44"/>
      <c r="X227" s="44"/>
      <c r="Y227" s="44"/>
      <c r="Z227" s="44"/>
      <c r="AA227" s="44"/>
      <c r="AB227" s="44"/>
      <c r="AC227" s="44"/>
      <c r="AD227" s="44"/>
      <c r="AE227" s="44"/>
      <c r="AF227" s="44"/>
      <c r="AG227" s="44"/>
      <c r="AH227" s="44"/>
      <c r="AI227" s="44"/>
      <c r="AJ227" s="44"/>
      <c r="AK227" s="44"/>
      <c r="AL227" s="44"/>
      <c r="AM227" s="44"/>
      <c r="AN227" s="44"/>
      <c r="AO227" s="44"/>
      <c r="AP227" s="44"/>
      <c r="AQ227" s="44"/>
      <c r="AR227" s="44"/>
      <c r="AS227" s="44"/>
      <c r="AT227" s="44"/>
      <c r="AU227" s="44"/>
      <c r="AV227" s="44"/>
      <c r="AW227" s="44"/>
      <c r="AX227" s="44"/>
      <c r="AY227" s="44"/>
      <c r="AZ227" s="44"/>
      <c r="BA227" s="44"/>
      <c r="BB227" s="44"/>
      <c r="BC227" s="44"/>
      <c r="BD227" s="44"/>
      <c r="BE227" s="44"/>
      <c r="BF227" s="44"/>
      <c r="BG227" s="44"/>
      <c r="BH227" s="44"/>
      <c r="BI227" s="44"/>
      <c r="BJ227" s="44"/>
      <c r="BK227" s="44"/>
      <c r="BL227" s="44"/>
      <c r="BM227" s="44"/>
      <c r="BN227" s="44"/>
      <c r="BO227" s="44"/>
      <c r="BP227" s="44"/>
      <c r="BQ227" s="44"/>
      <c r="BR227" s="44"/>
      <c r="BS227" s="44"/>
      <c r="BT227" s="44"/>
      <c r="BU227" s="44"/>
      <c r="BV227" s="44"/>
      <c r="BW227" s="44"/>
      <c r="BX227" s="44"/>
      <c r="BY227" s="44"/>
      <c r="BZ227" s="44"/>
      <c r="CA227" s="44"/>
      <c r="CB227" s="44"/>
      <c r="CC227" s="44"/>
      <c r="CD227" s="44"/>
      <c r="CE227" s="44"/>
      <c r="CF227" s="44"/>
      <c r="CG227" s="44"/>
      <c r="CH227" s="44"/>
    </row>
    <row r="228" spans="1:86" ht="15.75" customHeight="1" outlineLevel="1" x14ac:dyDescent="0.2">
      <c r="A228" s="43"/>
      <c r="B228" s="46"/>
      <c r="C228" s="245" t="str">
        <f>Listas!BN3</f>
        <v>Média distância (500 ≤ d &lt; 3.700 km)</v>
      </c>
      <c r="D228" s="246">
        <v>0.08</v>
      </c>
      <c r="E228" s="247">
        <f>0.08887/1/1.08</f>
        <v>8.2287037037037034E-2</v>
      </c>
      <c r="F228" s="248">
        <f>0/25/1.08</f>
        <v>0</v>
      </c>
      <c r="G228" s="249">
        <f>0.00087/298/1.08</f>
        <v>2.703206562266965E-6</v>
      </c>
      <c r="H228" s="1544" t="s">
        <v>617</v>
      </c>
      <c r="I228" s="1545"/>
      <c r="J228" s="134"/>
      <c r="K228" s="134"/>
      <c r="L228" s="134"/>
      <c r="M228" s="44"/>
      <c r="N228" s="44"/>
      <c r="O228" s="44"/>
      <c r="P228" s="44"/>
      <c r="Q228" s="44"/>
      <c r="R228" s="44"/>
      <c r="S228" s="44"/>
      <c r="T228" s="44"/>
      <c r="U228" s="44"/>
      <c r="V228" s="44"/>
      <c r="W228" s="44"/>
      <c r="X228" s="44"/>
      <c r="Y228" s="44"/>
      <c r="Z228" s="44"/>
      <c r="AA228" s="44"/>
      <c r="AB228" s="44"/>
      <c r="AC228" s="44"/>
      <c r="AD228" s="44"/>
      <c r="AE228" s="44"/>
      <c r="AF228" s="44"/>
      <c r="AG228" s="44"/>
      <c r="AH228" s="44"/>
      <c r="AI228" s="44"/>
      <c r="AJ228" s="44"/>
      <c r="AK228" s="44"/>
      <c r="AL228" s="44"/>
      <c r="AM228" s="44"/>
      <c r="AN228" s="44"/>
      <c r="AO228" s="44"/>
      <c r="AP228" s="44"/>
      <c r="AQ228" s="44"/>
      <c r="AR228" s="44"/>
      <c r="AS228" s="44"/>
      <c r="AT228" s="44"/>
      <c r="AU228" s="44"/>
      <c r="AV228" s="44"/>
      <c r="AW228" s="44"/>
      <c r="AX228" s="44"/>
      <c r="AY228" s="44"/>
      <c r="AZ228" s="44"/>
      <c r="BA228" s="44"/>
      <c r="BB228" s="44"/>
      <c r="BC228" s="44"/>
      <c r="BD228" s="44"/>
      <c r="BE228" s="44"/>
      <c r="BF228" s="44"/>
      <c r="BG228" s="44"/>
      <c r="BH228" s="44"/>
      <c r="BI228" s="44"/>
      <c r="BJ228" s="44"/>
      <c r="BK228" s="44"/>
      <c r="BL228" s="44"/>
      <c r="BM228" s="44"/>
      <c r="BN228" s="44"/>
      <c r="BO228" s="44"/>
      <c r="BP228" s="44"/>
      <c r="BQ228" s="44"/>
      <c r="BR228" s="44"/>
      <c r="BS228" s="44"/>
      <c r="BT228" s="44"/>
      <c r="BU228" s="44"/>
      <c r="BV228" s="44"/>
      <c r="BW228" s="44"/>
      <c r="BX228" s="44"/>
      <c r="BY228" s="44"/>
      <c r="BZ228" s="44"/>
      <c r="CA228" s="44"/>
      <c r="CB228" s="44"/>
      <c r="CC228" s="44"/>
      <c r="CD228" s="44"/>
      <c r="CE228" s="44"/>
      <c r="CF228" s="44"/>
      <c r="CG228" s="44"/>
      <c r="CH228" s="44"/>
    </row>
    <row r="229" spans="1:86" ht="15.75" customHeight="1" outlineLevel="1" x14ac:dyDescent="0.2">
      <c r="A229" s="43"/>
      <c r="B229" s="46"/>
      <c r="C229" s="245" t="str">
        <f>Listas!BN4</f>
        <v>Longa distância (d ≥ 3.700 km)</v>
      </c>
      <c r="D229" s="246">
        <v>0.08</v>
      </c>
      <c r="E229" s="247">
        <f>0.10373/1/1.08</f>
        <v>9.6046296296296296E-2</v>
      </c>
      <c r="F229" s="248">
        <f>0.00001/25/1.08</f>
        <v>3.7037037037037036E-7</v>
      </c>
      <c r="G229" s="249">
        <f>0.00103/298/1.08</f>
        <v>3.2003479990057173E-6</v>
      </c>
      <c r="H229" s="1544" t="s">
        <v>617</v>
      </c>
      <c r="I229" s="1545"/>
      <c r="J229" s="134"/>
      <c r="K229" s="134"/>
      <c r="L229" s="134"/>
      <c r="M229" s="44"/>
      <c r="N229" s="44"/>
      <c r="O229" s="44"/>
      <c r="P229" s="44"/>
      <c r="Q229" s="44"/>
      <c r="R229" s="44"/>
      <c r="S229" s="44"/>
      <c r="T229" s="44"/>
      <c r="U229" s="44"/>
      <c r="V229" s="44"/>
      <c r="W229" s="44"/>
      <c r="X229" s="44"/>
      <c r="Y229" s="44"/>
      <c r="Z229" s="44"/>
      <c r="AA229" s="44"/>
      <c r="AB229" s="44"/>
      <c r="AC229" s="44"/>
      <c r="AD229" s="44"/>
      <c r="AE229" s="44"/>
      <c r="AF229" s="44"/>
      <c r="AG229" s="44"/>
      <c r="AH229" s="44"/>
      <c r="AI229" s="44"/>
      <c r="AJ229" s="44"/>
      <c r="AK229" s="44"/>
      <c r="AL229" s="44"/>
      <c r="AM229" s="44"/>
      <c r="AN229" s="44"/>
      <c r="AO229" s="44"/>
      <c r="AP229" s="44"/>
      <c r="AQ229" s="44"/>
      <c r="AR229" s="44"/>
      <c r="AS229" s="44"/>
      <c r="AT229" s="44"/>
      <c r="AU229" s="44"/>
      <c r="AV229" s="44"/>
      <c r="AW229" s="44"/>
      <c r="AX229" s="44"/>
      <c r="AY229" s="44"/>
      <c r="AZ229" s="44"/>
      <c r="BA229" s="44"/>
      <c r="BB229" s="44"/>
      <c r="BC229" s="44"/>
      <c r="BD229" s="44"/>
      <c r="BE229" s="44"/>
      <c r="BF229" s="44"/>
      <c r="BG229" s="44"/>
      <c r="BH229" s="44"/>
      <c r="BI229" s="44"/>
      <c r="BJ229" s="44"/>
      <c r="BK229" s="44"/>
      <c r="BL229" s="44"/>
      <c r="BM229" s="44"/>
      <c r="BN229" s="44"/>
      <c r="BO229" s="44"/>
      <c r="BP229" s="44"/>
      <c r="BQ229" s="44"/>
      <c r="BR229" s="44"/>
      <c r="BS229" s="44"/>
      <c r="BT229" s="44"/>
      <c r="BU229" s="44"/>
      <c r="BV229" s="44"/>
      <c r="BW229" s="44"/>
      <c r="BX229" s="44"/>
      <c r="BY229" s="44"/>
      <c r="BZ229" s="44"/>
      <c r="CA229" s="44"/>
      <c r="CB229" s="44"/>
      <c r="CC229" s="44"/>
      <c r="CD229" s="44"/>
      <c r="CE229" s="44"/>
      <c r="CF229" s="44"/>
      <c r="CG229" s="44"/>
      <c r="CH229" s="44"/>
    </row>
    <row r="230" spans="1:86" ht="15.75" customHeight="1" x14ac:dyDescent="0.2">
      <c r="A230" s="9"/>
      <c r="B230" s="14"/>
      <c r="C230" s="21"/>
      <c r="D230" s="21"/>
      <c r="E230" s="21"/>
      <c r="F230" s="21"/>
      <c r="G230" s="21"/>
      <c r="H230" s="21"/>
      <c r="I230" s="21"/>
      <c r="J230" s="14"/>
      <c r="K230" s="14"/>
      <c r="L230" s="14"/>
      <c r="M230" s="14"/>
      <c r="N230" s="14"/>
      <c r="O230" s="14"/>
      <c r="P230" s="14"/>
      <c r="Q230" s="14"/>
      <c r="R230" s="14"/>
      <c r="S230" s="14"/>
      <c r="T230" s="14"/>
      <c r="U230" s="14"/>
      <c r="V230" s="14"/>
      <c r="W230" s="14"/>
      <c r="X230" s="14"/>
      <c r="Y230" s="14"/>
      <c r="Z230" s="14"/>
      <c r="AA230" s="14"/>
      <c r="AB230" s="14"/>
      <c r="AC230" s="14"/>
      <c r="AD230" s="14"/>
      <c r="AE230" s="33"/>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33"/>
      <c r="BC230" s="14"/>
      <c r="BD230" s="14"/>
      <c r="BE230" s="14"/>
      <c r="BF230" s="14"/>
      <c r="BG230" s="14"/>
      <c r="BH230" s="14"/>
      <c r="BI230" s="14"/>
      <c r="BJ230" s="14"/>
      <c r="BK230" s="14"/>
      <c r="BL230" s="14"/>
      <c r="BM230" s="14"/>
      <c r="BN230" s="14"/>
      <c r="BO230" s="14"/>
      <c r="BP230" s="14"/>
      <c r="BQ230" s="14"/>
      <c r="BR230" s="14"/>
      <c r="BS230" s="17"/>
      <c r="BT230" s="17"/>
      <c r="BU230" s="17"/>
      <c r="BV230" s="17"/>
      <c r="BW230" s="33"/>
      <c r="BX230" s="33"/>
      <c r="BY230" s="33"/>
      <c r="BZ230" s="33"/>
      <c r="CA230" s="33"/>
      <c r="CB230" s="35"/>
      <c r="CC230" s="35"/>
      <c r="CD230" s="17"/>
      <c r="CE230" s="17"/>
      <c r="CF230" s="17"/>
      <c r="CG230" s="17"/>
      <c r="CH230" s="17"/>
    </row>
    <row r="231" spans="1:86" ht="18.75" x14ac:dyDescent="0.2">
      <c r="A231" s="79"/>
      <c r="B231" s="222" t="s">
        <v>2270</v>
      </c>
      <c r="C231" s="78"/>
      <c r="D231" s="80"/>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81"/>
      <c r="BM231" s="81"/>
      <c r="BN231" s="81"/>
      <c r="BO231" s="81"/>
      <c r="BP231" s="81"/>
      <c r="BQ231" s="81"/>
      <c r="BR231" s="81"/>
      <c r="BS231" s="81"/>
      <c r="BT231" s="81"/>
      <c r="BU231" s="81"/>
      <c r="BV231" s="81"/>
      <c r="BW231" s="81"/>
      <c r="BX231" s="117"/>
      <c r="BY231" s="117"/>
      <c r="BZ231" s="117"/>
      <c r="CA231" s="118"/>
      <c r="CB231"/>
      <c r="CC231"/>
      <c r="CD231"/>
      <c r="CE231"/>
      <c r="CF231"/>
      <c r="CG231"/>
      <c r="CH231"/>
    </row>
    <row r="232" spans="1:86" ht="15.75" customHeight="1" outlineLevel="1" x14ac:dyDescent="0.2">
      <c r="A232" s="15"/>
      <c r="B232" s="52"/>
      <c r="E232" s="90"/>
      <c r="F232" s="90"/>
      <c r="G232" s="90"/>
      <c r="H232" s="16"/>
      <c r="I232" s="16"/>
      <c r="J232" s="17"/>
      <c r="K232" s="17"/>
      <c r="L232" s="17"/>
      <c r="M232" s="17"/>
      <c r="N232" s="17"/>
      <c r="O232" s="17"/>
      <c r="P232" s="17"/>
      <c r="Q232" s="17"/>
      <c r="R232" s="17"/>
      <c r="S232" s="17"/>
      <c r="T232" s="17"/>
      <c r="U232" s="17"/>
      <c r="V232" s="17"/>
      <c r="W232" s="17"/>
      <c r="X232" s="17"/>
      <c r="Y232" s="17"/>
      <c r="Z232" s="17"/>
      <c r="AA232" s="17"/>
      <c r="AB232" s="17"/>
      <c r="AC232" s="17"/>
      <c r="AD232" s="17"/>
      <c r="AE232" s="35"/>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35"/>
      <c r="BC232" s="17"/>
      <c r="BD232" s="17"/>
      <c r="BE232" s="17"/>
      <c r="BF232" s="17"/>
      <c r="BG232" s="17"/>
      <c r="BH232" s="17"/>
      <c r="BI232" s="17"/>
      <c r="BJ232" s="17"/>
      <c r="BK232" s="17"/>
      <c r="BL232" s="17"/>
      <c r="BM232" s="17"/>
      <c r="BN232" s="17"/>
      <c r="BO232" s="17"/>
      <c r="BP232" s="17"/>
      <c r="BQ232" s="17"/>
      <c r="BR232" s="17"/>
      <c r="BS232" s="17"/>
      <c r="BT232" s="17"/>
      <c r="BU232" s="17"/>
      <c r="BV232" s="17"/>
      <c r="BW232" s="82"/>
      <c r="BX232" s="82"/>
      <c r="BY232" s="82"/>
      <c r="BZ232" s="82"/>
      <c r="CA232" s="82"/>
      <c r="CB232" s="35"/>
      <c r="CC232" s="35"/>
      <c r="CD232" s="17"/>
      <c r="CE232" s="17"/>
      <c r="CF232" s="17"/>
      <c r="CG232" s="17"/>
      <c r="CH232" s="17"/>
    </row>
    <row r="233" spans="1:86" ht="15.75" customHeight="1" outlineLevel="1" x14ac:dyDescent="0.25">
      <c r="A233" s="15"/>
      <c r="B233" s="10"/>
      <c r="C233" s="217" t="s">
        <v>2252</v>
      </c>
      <c r="D233" s="239"/>
      <c r="E233" s="240"/>
      <c r="F233" s="240"/>
      <c r="G233" s="16"/>
      <c r="H233" s="16"/>
      <c r="I233" s="16"/>
      <c r="J233" s="17"/>
      <c r="K233" s="17"/>
      <c r="L233" s="17"/>
      <c r="M233" s="17"/>
      <c r="N233" s="17"/>
      <c r="O233" s="17"/>
      <c r="P233" s="17"/>
      <c r="Q233" s="17"/>
      <c r="R233" s="17"/>
      <c r="S233" s="17"/>
      <c r="T233" s="17"/>
      <c r="U233" s="17"/>
      <c r="V233" s="17"/>
      <c r="W233" s="17"/>
      <c r="X233" s="17"/>
      <c r="Y233" s="17"/>
      <c r="Z233" s="17"/>
      <c r="AA233" s="17"/>
      <c r="AB233" s="17"/>
      <c r="AC233" s="17"/>
      <c r="AD233" s="17"/>
      <c r="AE233" s="35"/>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35"/>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35"/>
      <c r="BZ233" s="17"/>
      <c r="CA233" s="17"/>
      <c r="CB233" s="35"/>
      <c r="CC233" s="35"/>
      <c r="CD233" s="17"/>
      <c r="CE233" s="17"/>
      <c r="CF233" s="17"/>
      <c r="CG233" s="17"/>
      <c r="CH233" s="17"/>
    </row>
    <row r="234" spans="1:86" ht="15.75" customHeight="1" outlineLevel="1" x14ac:dyDescent="0.2">
      <c r="A234" s="9"/>
      <c r="B234" s="45"/>
      <c r="C234" s="229" t="s">
        <v>98</v>
      </c>
      <c r="D234" s="229" t="s">
        <v>264</v>
      </c>
      <c r="E234" s="229" t="s">
        <v>110</v>
      </c>
      <c r="F234" s="229" t="s">
        <v>74</v>
      </c>
      <c r="G234" s="16"/>
      <c r="H234" s="16"/>
      <c r="I234" s="16"/>
      <c r="J234" s="12"/>
      <c r="K234" s="17"/>
      <c r="L234" s="17"/>
      <c r="M234" s="17"/>
      <c r="N234" s="17"/>
      <c r="O234" s="17"/>
      <c r="P234" s="17"/>
      <c r="Q234" s="17"/>
      <c r="R234" s="17"/>
      <c r="S234" s="17"/>
      <c r="T234" s="17"/>
      <c r="U234" s="17"/>
      <c r="V234" s="17"/>
      <c r="W234" s="17"/>
      <c r="X234" s="17"/>
      <c r="Y234" s="17"/>
      <c r="Z234" s="17"/>
      <c r="AA234" s="17"/>
      <c r="AB234" s="17"/>
      <c r="AC234" s="17"/>
      <c r="AD234" s="17"/>
      <c r="AE234" s="35"/>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35"/>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35"/>
      <c r="BZ234" s="17"/>
      <c r="CA234" s="17"/>
      <c r="CB234" s="35"/>
      <c r="CC234" s="35"/>
      <c r="CD234" s="17"/>
      <c r="CE234" s="17"/>
      <c r="CF234" s="17"/>
      <c r="CG234" s="17"/>
      <c r="CH234" s="17"/>
    </row>
    <row r="235" spans="1:86" ht="15.75" customHeight="1" outlineLevel="1" x14ac:dyDescent="0.2">
      <c r="A235" s="9"/>
      <c r="B235" s="46"/>
      <c r="C235" s="223" t="s">
        <v>1383</v>
      </c>
      <c r="D235" s="214" t="s">
        <v>92</v>
      </c>
      <c r="E235" s="241">
        <v>1</v>
      </c>
      <c r="F235" s="1328" t="s">
        <v>468</v>
      </c>
      <c r="G235" s="16"/>
      <c r="H235" s="16"/>
      <c r="I235" s="16"/>
      <c r="J235" s="12"/>
      <c r="K235" s="17"/>
      <c r="L235" s="17"/>
      <c r="M235" s="17"/>
      <c r="N235" s="17"/>
      <c r="O235" s="17"/>
      <c r="P235" s="17"/>
      <c r="Q235" s="17"/>
      <c r="R235" s="17"/>
      <c r="S235" s="17"/>
      <c r="T235" s="17"/>
      <c r="U235" s="17"/>
      <c r="V235" s="17"/>
      <c r="W235" s="17"/>
      <c r="X235" s="17"/>
      <c r="Y235" s="17"/>
      <c r="Z235" s="17"/>
      <c r="AA235" s="17"/>
      <c r="AB235" s="17"/>
      <c r="AC235" s="17"/>
      <c r="AD235" s="17"/>
      <c r="AE235" s="35"/>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35"/>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35"/>
      <c r="BZ235" s="17"/>
      <c r="CA235" s="17"/>
      <c r="CB235" s="35"/>
      <c r="CC235" s="35"/>
      <c r="CD235" s="17"/>
      <c r="CE235" s="17"/>
      <c r="CF235" s="17"/>
      <c r="CG235" s="17"/>
      <c r="CH235" s="17"/>
    </row>
    <row r="236" spans="1:86" ht="15.75" customHeight="1" outlineLevel="1" x14ac:dyDescent="0.2">
      <c r="A236" s="9"/>
      <c r="B236" s="46"/>
      <c r="C236" s="223" t="s">
        <v>1384</v>
      </c>
      <c r="D236" s="214" t="s">
        <v>92</v>
      </c>
      <c r="E236" s="241">
        <v>25</v>
      </c>
      <c r="F236" s="1329"/>
      <c r="G236" s="12"/>
      <c r="H236" s="12"/>
      <c r="I236" s="12"/>
      <c r="J236" s="12"/>
      <c r="K236" s="17"/>
      <c r="L236" s="17"/>
      <c r="M236" s="17"/>
      <c r="N236" s="17"/>
      <c r="O236" s="17"/>
      <c r="P236" s="17"/>
      <c r="Q236" s="17"/>
      <c r="R236" s="17"/>
      <c r="S236" s="17"/>
      <c r="T236" s="17"/>
      <c r="U236" s="17"/>
      <c r="V236" s="17"/>
      <c r="W236" s="17"/>
      <c r="X236" s="17"/>
      <c r="Y236" s="17"/>
      <c r="Z236" s="17"/>
      <c r="AA236" s="17"/>
      <c r="AB236" s="17"/>
      <c r="AC236" s="17"/>
      <c r="AD236" s="17"/>
      <c r="AE236" s="35"/>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35"/>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35"/>
      <c r="BZ236" s="17"/>
      <c r="CA236" s="17"/>
      <c r="CB236" s="35"/>
      <c r="CC236" s="35"/>
      <c r="CD236" s="17"/>
      <c r="CE236" s="17"/>
      <c r="CF236" s="17"/>
      <c r="CG236" s="17"/>
      <c r="CH236" s="17"/>
    </row>
    <row r="237" spans="1:86" ht="15.75" customHeight="1" outlineLevel="1" x14ac:dyDescent="0.2">
      <c r="A237" s="9"/>
      <c r="B237" s="46"/>
      <c r="C237" s="223" t="s">
        <v>1385</v>
      </c>
      <c r="D237" s="214" t="s">
        <v>92</v>
      </c>
      <c r="E237" s="241">
        <v>298</v>
      </c>
      <c r="F237" s="1329"/>
      <c r="G237" s="12"/>
      <c r="H237" s="12"/>
      <c r="I237" s="12"/>
      <c r="J237" s="12"/>
      <c r="K237" s="17"/>
      <c r="L237" s="17"/>
      <c r="M237" s="17"/>
      <c r="N237" s="17"/>
      <c r="O237" s="17"/>
      <c r="P237" s="17"/>
      <c r="Q237" s="17"/>
      <c r="R237" s="17"/>
      <c r="S237" s="17"/>
      <c r="T237" s="17"/>
      <c r="U237" s="17"/>
      <c r="V237" s="17"/>
      <c r="W237" s="17"/>
      <c r="X237" s="17"/>
      <c r="Y237" s="17"/>
      <c r="Z237" s="17"/>
      <c r="AA237" s="17"/>
      <c r="AB237" s="17"/>
      <c r="AC237" s="17"/>
      <c r="AD237" s="17"/>
      <c r="AE237" s="35"/>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35"/>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35"/>
      <c r="BZ237" s="17"/>
      <c r="CA237" s="17"/>
      <c r="CB237" s="35"/>
      <c r="CC237" s="35"/>
      <c r="CD237" s="17"/>
      <c r="CE237" s="17"/>
      <c r="CF237" s="17"/>
      <c r="CG237" s="17"/>
      <c r="CH237" s="17"/>
    </row>
    <row r="238" spans="1:86" ht="15.75" customHeight="1" outlineLevel="1" x14ac:dyDescent="0.2">
      <c r="A238" s="9"/>
      <c r="B238" s="46"/>
      <c r="C238" s="223" t="s">
        <v>85</v>
      </c>
      <c r="D238" s="1328" t="s">
        <v>224</v>
      </c>
      <c r="E238" s="241">
        <v>14800</v>
      </c>
      <c r="F238" s="1329"/>
      <c r="G238" s="12"/>
      <c r="H238" s="12"/>
      <c r="I238" s="12"/>
      <c r="J238" s="12"/>
      <c r="K238" s="17"/>
      <c r="L238" s="17"/>
      <c r="M238" s="17"/>
      <c r="N238" s="17"/>
      <c r="O238" s="17"/>
      <c r="P238" s="17"/>
      <c r="Q238" s="17"/>
      <c r="R238" s="17"/>
      <c r="S238" s="17"/>
      <c r="T238" s="17"/>
      <c r="U238" s="17"/>
      <c r="V238" s="17"/>
      <c r="W238" s="17"/>
      <c r="X238" s="17"/>
      <c r="Y238" s="17"/>
      <c r="Z238" s="17"/>
      <c r="AA238" s="17"/>
      <c r="AB238" s="17"/>
      <c r="AC238" s="17"/>
      <c r="AD238" s="17"/>
      <c r="AE238" s="35"/>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35"/>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35"/>
      <c r="BZ238" s="17"/>
      <c r="CA238" s="17"/>
      <c r="CB238" s="35"/>
      <c r="CC238" s="35"/>
      <c r="CD238" s="17"/>
      <c r="CE238" s="17"/>
      <c r="CF238" s="17"/>
      <c r="CG238" s="17"/>
      <c r="CH238" s="17"/>
    </row>
    <row r="239" spans="1:86" ht="15.75" customHeight="1" outlineLevel="1" x14ac:dyDescent="0.2">
      <c r="A239" s="9"/>
      <c r="B239" s="46"/>
      <c r="C239" s="223" t="s">
        <v>86</v>
      </c>
      <c r="D239" s="1329"/>
      <c r="E239" s="241">
        <v>675</v>
      </c>
      <c r="F239" s="1329"/>
      <c r="G239" s="12"/>
      <c r="H239" s="12"/>
      <c r="I239" s="12"/>
      <c r="J239" s="12"/>
      <c r="K239" s="17"/>
      <c r="L239" s="17"/>
      <c r="M239" s="17"/>
      <c r="N239" s="17"/>
      <c r="O239" s="17"/>
      <c r="P239" s="17"/>
      <c r="Q239" s="17"/>
      <c r="R239" s="17"/>
      <c r="S239" s="17"/>
      <c r="T239" s="17"/>
      <c r="U239" s="17"/>
      <c r="V239" s="17"/>
      <c r="W239" s="17"/>
      <c r="X239" s="17"/>
      <c r="Y239" s="17"/>
      <c r="Z239" s="17"/>
      <c r="AA239" s="17"/>
      <c r="AB239" s="17"/>
      <c r="AC239" s="17"/>
      <c r="AD239" s="17"/>
      <c r="AE239" s="35"/>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35"/>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35"/>
      <c r="BZ239" s="17"/>
      <c r="CA239" s="17"/>
      <c r="CB239" s="35"/>
      <c r="CC239" s="35"/>
      <c r="CD239" s="17"/>
      <c r="CE239" s="17"/>
      <c r="CF239" s="17"/>
      <c r="CG239" s="17"/>
      <c r="CH239" s="17"/>
    </row>
    <row r="240" spans="1:86" ht="15.75" customHeight="1" outlineLevel="1" x14ac:dyDescent="0.2">
      <c r="A240" s="9"/>
      <c r="B240" s="46"/>
      <c r="C240" s="223" t="s">
        <v>285</v>
      </c>
      <c r="D240" s="1329"/>
      <c r="E240" s="241">
        <v>92</v>
      </c>
      <c r="F240" s="1329"/>
      <c r="G240" s="12"/>
      <c r="H240" s="12"/>
      <c r="I240" s="12"/>
      <c r="J240" s="12"/>
      <c r="K240" s="17"/>
      <c r="L240" s="17"/>
      <c r="M240" s="17"/>
      <c r="N240" s="17"/>
      <c r="O240" s="17"/>
      <c r="P240" s="17"/>
      <c r="Q240" s="17"/>
      <c r="R240" s="17"/>
      <c r="S240" s="17"/>
      <c r="T240" s="17"/>
      <c r="U240" s="17"/>
      <c r="V240" s="17"/>
      <c r="W240" s="17"/>
      <c r="X240" s="17"/>
      <c r="Y240" s="17"/>
      <c r="Z240" s="17"/>
      <c r="AA240" s="17"/>
      <c r="AB240" s="17"/>
      <c r="AC240" s="17"/>
      <c r="AD240" s="17"/>
      <c r="AE240" s="35"/>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35"/>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35"/>
      <c r="BZ240" s="17"/>
      <c r="CA240" s="17"/>
      <c r="CB240" s="35"/>
      <c r="CC240" s="35"/>
      <c r="CD240" s="17"/>
      <c r="CE240" s="17"/>
      <c r="CF240" s="17"/>
      <c r="CG240" s="17"/>
      <c r="CH240" s="17"/>
    </row>
    <row r="241" spans="1:87" ht="15.75" customHeight="1" outlineLevel="1" x14ac:dyDescent="0.2">
      <c r="A241" s="9"/>
      <c r="B241" s="46"/>
      <c r="C241" s="223" t="s">
        <v>87</v>
      </c>
      <c r="D241" s="1329"/>
      <c r="E241" s="241">
        <v>3500</v>
      </c>
      <c r="F241" s="1329"/>
      <c r="G241" s="12"/>
      <c r="H241" s="12"/>
      <c r="I241" s="12"/>
      <c r="J241" s="12"/>
      <c r="K241" s="17"/>
      <c r="L241" s="17"/>
      <c r="M241" s="17"/>
      <c r="N241" s="17"/>
      <c r="O241" s="17"/>
      <c r="P241" s="17"/>
      <c r="Q241" s="17"/>
      <c r="R241" s="17"/>
      <c r="S241" s="17"/>
      <c r="T241" s="17"/>
      <c r="U241" s="17"/>
      <c r="V241" s="17"/>
      <c r="W241" s="17"/>
      <c r="X241" s="17"/>
      <c r="Y241" s="17"/>
      <c r="Z241" s="17"/>
      <c r="AA241" s="17"/>
      <c r="AB241" s="17"/>
      <c r="AC241" s="17"/>
      <c r="AD241" s="17"/>
      <c r="AE241" s="35"/>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35"/>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35"/>
      <c r="BZ241" s="17"/>
      <c r="CA241" s="17"/>
      <c r="CB241" s="35"/>
      <c r="CC241" s="35"/>
      <c r="CD241" s="17"/>
      <c r="CE241" s="17"/>
      <c r="CF241" s="17"/>
      <c r="CG241" s="17"/>
      <c r="CH241" s="17"/>
    </row>
    <row r="242" spans="1:87" ht="15.75" customHeight="1" outlineLevel="1" x14ac:dyDescent="0.2">
      <c r="A242" s="9"/>
      <c r="B242" s="46"/>
      <c r="C242" s="223" t="s">
        <v>287</v>
      </c>
      <c r="D242" s="1329"/>
      <c r="E242" s="241">
        <v>1100</v>
      </c>
      <c r="F242" s="1329"/>
      <c r="G242" s="12"/>
      <c r="H242" s="12"/>
      <c r="I242" s="12"/>
      <c r="J242" s="12"/>
      <c r="K242" s="17"/>
      <c r="L242" s="17"/>
      <c r="M242" s="17"/>
      <c r="N242" s="17"/>
      <c r="O242" s="17"/>
      <c r="P242" s="17"/>
      <c r="Q242" s="17"/>
      <c r="R242" s="17"/>
      <c r="S242" s="17"/>
      <c r="T242" s="17"/>
      <c r="U242" s="17"/>
      <c r="V242" s="17"/>
      <c r="W242" s="17"/>
      <c r="X242" s="17"/>
      <c r="Y242" s="17"/>
      <c r="Z242" s="17"/>
      <c r="AA242" s="17"/>
      <c r="AB242" s="17"/>
      <c r="AC242" s="17"/>
      <c r="AD242" s="17"/>
      <c r="AE242" s="35"/>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35"/>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35"/>
      <c r="BZ242" s="17"/>
      <c r="CA242" s="17"/>
      <c r="CB242" s="35"/>
      <c r="CC242" s="35"/>
      <c r="CD242" s="17"/>
      <c r="CE242" s="17"/>
      <c r="CF242" s="17"/>
      <c r="CG242" s="17"/>
      <c r="CH242" s="17"/>
    </row>
    <row r="243" spans="1:87" ht="15.75" customHeight="1" outlineLevel="1" x14ac:dyDescent="0.2">
      <c r="A243" s="9"/>
      <c r="B243" s="46"/>
      <c r="C243" s="223" t="s">
        <v>88</v>
      </c>
      <c r="D243" s="1329"/>
      <c r="E243" s="241">
        <v>1430</v>
      </c>
      <c r="F243" s="1329"/>
      <c r="G243" s="12"/>
      <c r="H243" s="12"/>
      <c r="I243" s="12"/>
      <c r="J243" s="12"/>
      <c r="K243" s="17"/>
      <c r="L243" s="17"/>
      <c r="M243" s="17"/>
      <c r="N243" s="17"/>
      <c r="O243" s="17"/>
      <c r="P243" s="17"/>
      <c r="Q243" s="17"/>
      <c r="R243" s="17"/>
      <c r="S243" s="17"/>
      <c r="T243" s="17"/>
      <c r="U243" s="17"/>
      <c r="V243" s="17"/>
      <c r="W243" s="17"/>
      <c r="X243" s="17"/>
      <c r="Y243" s="17"/>
      <c r="Z243" s="17"/>
      <c r="AA243" s="17"/>
      <c r="AB243" s="17"/>
      <c r="AC243" s="17"/>
      <c r="AD243" s="17"/>
      <c r="AE243" s="35"/>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35"/>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35"/>
      <c r="BZ243" s="17"/>
      <c r="CA243" s="17"/>
      <c r="CB243" s="35"/>
      <c r="CC243" s="35"/>
      <c r="CD243" s="17"/>
      <c r="CE243" s="17"/>
      <c r="CF243" s="17"/>
      <c r="CG243" s="17"/>
      <c r="CH243" s="17"/>
    </row>
    <row r="244" spans="1:87" ht="15.75" customHeight="1" outlineLevel="1" x14ac:dyDescent="0.2">
      <c r="A244" s="38"/>
      <c r="B244" s="46"/>
      <c r="C244" s="223" t="s">
        <v>288</v>
      </c>
      <c r="D244" s="1329"/>
      <c r="E244" s="241">
        <v>353</v>
      </c>
      <c r="F244" s="1329"/>
      <c r="G244" s="36"/>
      <c r="H244" s="36"/>
      <c r="I244" s="36"/>
      <c r="J244" s="36"/>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s="35"/>
      <c r="BI244" s="35"/>
      <c r="BJ244" s="35"/>
      <c r="BK244" s="35"/>
      <c r="BL244" s="35"/>
      <c r="BM244" s="35"/>
      <c r="BN244" s="35"/>
      <c r="BO244" s="35"/>
      <c r="BP244" s="35"/>
      <c r="BQ244" s="35"/>
      <c r="BR244" s="35"/>
      <c r="BS244" s="35"/>
      <c r="BT244" s="35"/>
      <c r="BU244" s="35"/>
      <c r="BV244" s="35"/>
      <c r="BW244" s="35"/>
      <c r="BX244" s="35"/>
      <c r="BY244" s="35"/>
      <c r="BZ244" s="35"/>
      <c r="CA244" s="35"/>
      <c r="CB244" s="35"/>
      <c r="CC244" s="35"/>
      <c r="CD244" s="35"/>
      <c r="CE244" s="35"/>
      <c r="CF244" s="35"/>
      <c r="CG244" s="35"/>
      <c r="CH244" s="35"/>
      <c r="CI244" s="94"/>
    </row>
    <row r="245" spans="1:87" ht="15.75" customHeight="1" outlineLevel="1" x14ac:dyDescent="0.2">
      <c r="A245" s="38"/>
      <c r="B245" s="46"/>
      <c r="C245" s="223" t="s">
        <v>107</v>
      </c>
      <c r="D245" s="1329"/>
      <c r="E245" s="241">
        <v>4470</v>
      </c>
      <c r="F245" s="1329"/>
      <c r="G245" s="36"/>
      <c r="H245" s="36"/>
      <c r="I245" s="36"/>
      <c r="J245" s="36"/>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c r="BI245" s="35"/>
      <c r="BJ245" s="35"/>
      <c r="BK245" s="35"/>
      <c r="BL245" s="35"/>
      <c r="BM245" s="35"/>
      <c r="BN245" s="35"/>
      <c r="BO245" s="35"/>
      <c r="BP245" s="35"/>
      <c r="BQ245" s="35"/>
      <c r="BR245" s="35"/>
      <c r="BS245" s="35"/>
      <c r="BT245" s="35"/>
      <c r="BU245" s="35"/>
      <c r="BV245" s="35"/>
      <c r="BW245" s="35"/>
      <c r="BX245" s="35"/>
      <c r="BY245" s="35"/>
      <c r="BZ245" s="35"/>
      <c r="CA245" s="35"/>
      <c r="CB245" s="35"/>
      <c r="CC245" s="35"/>
      <c r="CD245" s="35"/>
      <c r="CE245" s="35"/>
      <c r="CF245" s="35"/>
      <c r="CG245" s="35"/>
      <c r="CH245" s="35"/>
      <c r="CI245" s="94"/>
    </row>
    <row r="246" spans="1:87" ht="15.75" customHeight="1" outlineLevel="1" x14ac:dyDescent="0.2">
      <c r="A246" s="38"/>
      <c r="B246" s="46"/>
      <c r="C246" s="223" t="s">
        <v>289</v>
      </c>
      <c r="D246" s="1329"/>
      <c r="E246" s="241">
        <v>53</v>
      </c>
      <c r="F246" s="1329"/>
      <c r="G246" s="36"/>
      <c r="H246" s="36"/>
      <c r="I246" s="36"/>
      <c r="J246" s="36"/>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c r="BJ246" s="35"/>
      <c r="BK246" s="35"/>
      <c r="BL246" s="35"/>
      <c r="BM246" s="35"/>
      <c r="BN246" s="35"/>
      <c r="BO246" s="35"/>
      <c r="BP246" s="35"/>
      <c r="BQ246" s="35"/>
      <c r="BR246" s="35"/>
      <c r="BS246" s="35"/>
      <c r="BT246" s="35"/>
      <c r="BU246" s="35"/>
      <c r="BV246" s="35"/>
      <c r="BW246" s="35"/>
      <c r="BX246" s="35"/>
      <c r="BY246" s="35"/>
      <c r="BZ246" s="35"/>
      <c r="CA246" s="35"/>
      <c r="CB246" s="35"/>
      <c r="CC246" s="35"/>
      <c r="CD246" s="35"/>
      <c r="CE246" s="35"/>
      <c r="CF246" s="35"/>
      <c r="CG246" s="35"/>
      <c r="CH246" s="35"/>
      <c r="CI246" s="94"/>
    </row>
    <row r="247" spans="1:87" ht="15.75" customHeight="1" outlineLevel="1" x14ac:dyDescent="0.2">
      <c r="A247" s="38"/>
      <c r="B247" s="46"/>
      <c r="C247" s="223" t="s">
        <v>108</v>
      </c>
      <c r="D247" s="1329"/>
      <c r="E247" s="241">
        <v>124</v>
      </c>
      <c r="F247" s="1329"/>
      <c r="G247" s="36"/>
      <c r="H247" s="36"/>
      <c r="I247" s="36"/>
      <c r="J247" s="36"/>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s="35"/>
      <c r="BI247" s="35"/>
      <c r="BJ247" s="35"/>
      <c r="BK247" s="35"/>
      <c r="BL247" s="35"/>
      <c r="BM247" s="35"/>
      <c r="BN247" s="35"/>
      <c r="BO247" s="35"/>
      <c r="BP247" s="35"/>
      <c r="BQ247" s="35"/>
      <c r="BR247" s="35"/>
      <c r="BS247" s="35"/>
      <c r="BT247" s="35"/>
      <c r="BU247" s="35"/>
      <c r="BV247" s="35"/>
      <c r="BW247" s="35"/>
      <c r="BX247" s="35"/>
      <c r="BY247" s="35"/>
      <c r="BZ247" s="35"/>
      <c r="CA247" s="35"/>
      <c r="CB247" s="35"/>
      <c r="CC247" s="35"/>
      <c r="CD247" s="35"/>
      <c r="CE247" s="35"/>
      <c r="CF247" s="35"/>
      <c r="CG247" s="35"/>
      <c r="CH247" s="35"/>
      <c r="CI247" s="94"/>
    </row>
    <row r="248" spans="1:87" ht="15.75" customHeight="1" outlineLevel="1" x14ac:dyDescent="0.2">
      <c r="A248" s="38"/>
      <c r="B248" s="46"/>
      <c r="C248" s="223" t="s">
        <v>290</v>
      </c>
      <c r="D248" s="1329"/>
      <c r="E248" s="241">
        <v>12</v>
      </c>
      <c r="F248" s="1329"/>
      <c r="G248" s="36"/>
      <c r="H248" s="36"/>
      <c r="I248" s="36"/>
      <c r="J248" s="36"/>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35"/>
      <c r="BS248" s="35"/>
      <c r="BT248" s="35"/>
      <c r="BU248" s="35"/>
      <c r="BV248" s="35"/>
      <c r="BW248" s="35"/>
      <c r="BX248" s="35"/>
      <c r="BY248" s="35"/>
      <c r="BZ248" s="35"/>
      <c r="CA248" s="35"/>
      <c r="CB248" s="35"/>
      <c r="CC248" s="35"/>
      <c r="CD248" s="35"/>
      <c r="CE248" s="35"/>
      <c r="CF248" s="35"/>
      <c r="CG248" s="35"/>
      <c r="CH248" s="35"/>
      <c r="CI248" s="94"/>
    </row>
    <row r="249" spans="1:87" ht="15.75" customHeight="1" outlineLevel="1" x14ac:dyDescent="0.2">
      <c r="A249" s="38"/>
      <c r="B249" s="46"/>
      <c r="C249" s="223" t="s">
        <v>291</v>
      </c>
      <c r="D249" s="1329"/>
      <c r="E249" s="241">
        <v>3220</v>
      </c>
      <c r="F249" s="1329"/>
      <c r="G249" s="36"/>
      <c r="H249" s="36"/>
      <c r="I249" s="36"/>
      <c r="J249" s="36"/>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c r="BG249" s="35"/>
      <c r="BH249" s="35"/>
      <c r="BI249" s="35"/>
      <c r="BJ249" s="35"/>
      <c r="BK249" s="35"/>
      <c r="BL249" s="35"/>
      <c r="BM249" s="35"/>
      <c r="BN249" s="35"/>
      <c r="BO249" s="35"/>
      <c r="BP249" s="35"/>
      <c r="BQ249" s="35"/>
      <c r="BR249" s="35"/>
      <c r="BS249" s="35"/>
      <c r="BT249" s="35"/>
      <c r="BU249" s="35"/>
      <c r="BV249" s="35"/>
      <c r="BW249" s="35"/>
      <c r="BX249" s="35"/>
      <c r="BY249" s="35"/>
      <c r="BZ249" s="35"/>
      <c r="CA249" s="35"/>
      <c r="CB249" s="35"/>
      <c r="CC249" s="35"/>
      <c r="CD249" s="35"/>
      <c r="CE249" s="35"/>
      <c r="CF249" s="35"/>
      <c r="CG249" s="35"/>
      <c r="CH249" s="35"/>
      <c r="CI249" s="94"/>
    </row>
    <row r="250" spans="1:87" ht="15.75" customHeight="1" outlineLevel="1" x14ac:dyDescent="0.2">
      <c r="A250" s="9"/>
      <c r="B250" s="46"/>
      <c r="C250" s="223" t="s">
        <v>292</v>
      </c>
      <c r="D250" s="1329"/>
      <c r="E250" s="241">
        <v>1340</v>
      </c>
      <c r="F250" s="1329"/>
      <c r="G250" s="12"/>
      <c r="H250" s="12"/>
      <c r="I250" s="12"/>
      <c r="J250" s="12"/>
      <c r="K250" s="17"/>
      <c r="L250" s="17"/>
      <c r="M250" s="17"/>
      <c r="N250" s="17"/>
      <c r="O250" s="17"/>
      <c r="P250" s="17"/>
      <c r="Q250" s="17"/>
      <c r="R250" s="17"/>
      <c r="S250" s="17"/>
      <c r="T250" s="17"/>
      <c r="U250" s="17"/>
      <c r="V250" s="17"/>
      <c r="W250" s="17"/>
      <c r="X250" s="17"/>
      <c r="Y250" s="17"/>
      <c r="Z250" s="17"/>
      <c r="AA250" s="17"/>
      <c r="AB250" s="17"/>
      <c r="AC250" s="17"/>
      <c r="AD250" s="17"/>
      <c r="AE250" s="35"/>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35"/>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35"/>
      <c r="BZ250" s="17"/>
      <c r="CA250" s="17"/>
      <c r="CB250" s="35"/>
      <c r="CC250" s="35"/>
      <c r="CD250" s="17"/>
      <c r="CE250" s="17"/>
      <c r="CF250" s="17"/>
      <c r="CG250" s="17"/>
      <c r="CH250" s="17"/>
    </row>
    <row r="251" spans="1:87" ht="15.75" customHeight="1" outlineLevel="1" x14ac:dyDescent="0.2">
      <c r="A251" s="38"/>
      <c r="B251" s="46"/>
      <c r="C251" s="223" t="s">
        <v>293</v>
      </c>
      <c r="D251" s="1329"/>
      <c r="E251" s="241">
        <v>1370</v>
      </c>
      <c r="F251" s="1329"/>
      <c r="G251" s="36"/>
      <c r="H251" s="36"/>
      <c r="I251" s="36"/>
      <c r="J251" s="36"/>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c r="BI251" s="35"/>
      <c r="BJ251" s="35"/>
      <c r="BK251" s="35"/>
      <c r="BL251" s="35"/>
      <c r="BM251" s="35"/>
      <c r="BN251" s="35"/>
      <c r="BO251" s="35"/>
      <c r="BP251" s="35"/>
      <c r="BQ251" s="35"/>
      <c r="BR251" s="35"/>
      <c r="BS251" s="35"/>
      <c r="BT251" s="35"/>
      <c r="BU251" s="35"/>
      <c r="BV251" s="35"/>
      <c r="BW251" s="35"/>
      <c r="BX251" s="35"/>
      <c r="BY251" s="35"/>
      <c r="BZ251" s="35"/>
      <c r="CA251" s="35"/>
      <c r="CB251" s="35"/>
      <c r="CC251" s="35"/>
      <c r="CD251" s="35"/>
      <c r="CE251" s="35"/>
      <c r="CF251" s="35"/>
      <c r="CG251" s="35"/>
      <c r="CH251" s="35"/>
      <c r="CI251" s="94"/>
    </row>
    <row r="252" spans="1:87" ht="15.75" customHeight="1" outlineLevel="1" x14ac:dyDescent="0.2">
      <c r="A252" s="38"/>
      <c r="B252" s="46"/>
      <c r="C252" s="223" t="s">
        <v>109</v>
      </c>
      <c r="D252" s="1329"/>
      <c r="E252" s="241">
        <v>9810</v>
      </c>
      <c r="F252" s="1329"/>
      <c r="G252" s="36"/>
      <c r="H252" s="36"/>
      <c r="I252" s="36"/>
      <c r="J252" s="36"/>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c r="BI252" s="35"/>
      <c r="BJ252" s="35"/>
      <c r="BK252" s="35"/>
      <c r="BL252" s="35"/>
      <c r="BM252" s="35"/>
      <c r="BN252" s="35"/>
      <c r="BO252" s="35"/>
      <c r="BP252" s="35"/>
      <c r="BQ252" s="35"/>
      <c r="BR252" s="35"/>
      <c r="BS252" s="35"/>
      <c r="BT252" s="35"/>
      <c r="BU252" s="35"/>
      <c r="BV252" s="35"/>
      <c r="BW252" s="35"/>
      <c r="BX252" s="35"/>
      <c r="BY252" s="35"/>
      <c r="BZ252" s="35"/>
      <c r="CA252" s="35"/>
      <c r="CB252" s="35"/>
      <c r="CC252" s="35"/>
      <c r="CD252" s="35"/>
      <c r="CE252" s="35"/>
      <c r="CF252" s="35"/>
      <c r="CG252" s="35"/>
      <c r="CH252" s="35"/>
      <c r="CI252" s="94"/>
    </row>
    <row r="253" spans="1:87" ht="15.75" customHeight="1" outlineLevel="1" x14ac:dyDescent="0.2">
      <c r="A253" s="38"/>
      <c r="B253" s="46"/>
      <c r="C253" s="223" t="s">
        <v>294</v>
      </c>
      <c r="D253" s="1329"/>
      <c r="E253" s="241">
        <v>693</v>
      </c>
      <c r="F253" s="1329"/>
      <c r="G253" s="36"/>
      <c r="H253" s="36"/>
      <c r="I253" s="36"/>
      <c r="J253" s="36"/>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s="35"/>
      <c r="BI253" s="35"/>
      <c r="BJ253" s="35"/>
      <c r="BK253" s="35"/>
      <c r="BL253" s="35"/>
      <c r="BM253" s="35"/>
      <c r="BN253" s="35"/>
      <c r="BO253" s="35"/>
      <c r="BP253" s="35"/>
      <c r="BQ253" s="35"/>
      <c r="BR253" s="35"/>
      <c r="BS253" s="35"/>
      <c r="BT253" s="35"/>
      <c r="BU253" s="35"/>
      <c r="BV253" s="35"/>
      <c r="BW253" s="35"/>
      <c r="BX253" s="35"/>
      <c r="BY253" s="35"/>
      <c r="BZ253" s="35"/>
      <c r="CA253" s="35"/>
      <c r="CB253" s="35"/>
      <c r="CC253" s="35"/>
      <c r="CD253" s="35"/>
      <c r="CE253" s="35"/>
      <c r="CF253" s="35"/>
      <c r="CG253" s="35"/>
      <c r="CH253" s="35"/>
      <c r="CI253" s="94"/>
    </row>
    <row r="254" spans="1:87" ht="15.75" customHeight="1" outlineLevel="1" x14ac:dyDescent="0.2">
      <c r="A254" s="38"/>
      <c r="B254" s="46"/>
      <c r="C254" s="223" t="s">
        <v>295</v>
      </c>
      <c r="D254" s="1329"/>
      <c r="E254" s="241">
        <v>1030</v>
      </c>
      <c r="F254" s="1329"/>
      <c r="G254" s="36"/>
      <c r="H254" s="36"/>
      <c r="I254" s="36"/>
      <c r="J254" s="36"/>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c r="BG254" s="35"/>
      <c r="BH254" s="35"/>
      <c r="BI254" s="35"/>
      <c r="BJ254" s="35"/>
      <c r="BK254" s="35"/>
      <c r="BL254" s="35"/>
      <c r="BM254" s="35"/>
      <c r="BN254" s="35"/>
      <c r="BO254" s="35"/>
      <c r="BP254" s="35"/>
      <c r="BQ254" s="35"/>
      <c r="BR254" s="35"/>
      <c r="BS254" s="35"/>
      <c r="BT254" s="35"/>
      <c r="BU254" s="35"/>
      <c r="BV254" s="35"/>
      <c r="BW254" s="35"/>
      <c r="BX254" s="35"/>
      <c r="BY254" s="35"/>
      <c r="BZ254" s="35"/>
      <c r="CA254" s="35"/>
      <c r="CB254" s="35"/>
      <c r="CC254" s="35"/>
      <c r="CD254" s="35"/>
      <c r="CE254" s="35"/>
      <c r="CF254" s="35"/>
      <c r="CG254" s="35"/>
      <c r="CH254" s="35"/>
      <c r="CI254" s="94"/>
    </row>
    <row r="255" spans="1:87" ht="15.75" customHeight="1" outlineLevel="1" x14ac:dyDescent="0.2">
      <c r="A255" s="38"/>
      <c r="B255" s="46"/>
      <c r="C255" s="223" t="s">
        <v>296</v>
      </c>
      <c r="D255" s="1329"/>
      <c r="E255" s="241">
        <v>794</v>
      </c>
      <c r="F255" s="1329"/>
      <c r="G255" s="36"/>
      <c r="H255" s="36"/>
      <c r="I255" s="36"/>
      <c r="J255" s="36"/>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s="35"/>
      <c r="BI255" s="35"/>
      <c r="BJ255" s="35"/>
      <c r="BK255" s="35"/>
      <c r="BL255" s="35"/>
      <c r="BM255" s="35"/>
      <c r="BN255" s="35"/>
      <c r="BO255" s="35"/>
      <c r="BP255" s="35"/>
      <c r="BQ255" s="35"/>
      <c r="BR255" s="35"/>
      <c r="BS255" s="35"/>
      <c r="BT255" s="35"/>
      <c r="BU255" s="35"/>
      <c r="BV255" s="35"/>
      <c r="BW255" s="35"/>
      <c r="BX255" s="35"/>
      <c r="BY255" s="35"/>
      <c r="BZ255" s="35"/>
      <c r="CA255" s="35"/>
      <c r="CB255" s="35"/>
      <c r="CC255" s="35"/>
      <c r="CD255" s="35"/>
      <c r="CE255" s="35"/>
      <c r="CF255" s="35"/>
      <c r="CG255" s="35"/>
      <c r="CH255" s="35"/>
      <c r="CI255" s="94"/>
    </row>
    <row r="256" spans="1:87" ht="15.75" customHeight="1" outlineLevel="1" x14ac:dyDescent="0.2">
      <c r="A256" s="38"/>
      <c r="B256" s="46"/>
      <c r="C256" s="223" t="s">
        <v>286</v>
      </c>
      <c r="D256" s="1330"/>
      <c r="E256" s="241">
        <v>1640</v>
      </c>
      <c r="F256" s="1329"/>
      <c r="G256" s="36"/>
      <c r="H256" s="36"/>
      <c r="I256" s="36"/>
      <c r="J256" s="36"/>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s="35"/>
      <c r="BI256" s="35"/>
      <c r="BJ256" s="35"/>
      <c r="BK256" s="35"/>
      <c r="BL256" s="35"/>
      <c r="BM256" s="35"/>
      <c r="BN256" s="35"/>
      <c r="BO256" s="35"/>
      <c r="BP256" s="35"/>
      <c r="BQ256" s="35"/>
      <c r="BR256" s="35"/>
      <c r="BS256" s="35"/>
      <c r="BT256" s="35"/>
      <c r="BU256" s="35"/>
      <c r="BV256" s="35"/>
      <c r="BW256" s="35"/>
      <c r="BX256" s="35"/>
      <c r="BY256" s="35"/>
      <c r="BZ256" s="35"/>
      <c r="CA256" s="35"/>
      <c r="CB256" s="35"/>
      <c r="CC256" s="35"/>
      <c r="CD256" s="35"/>
      <c r="CE256" s="35"/>
      <c r="CF256" s="35"/>
      <c r="CG256" s="35"/>
      <c r="CH256" s="35"/>
      <c r="CI256" s="94"/>
    </row>
    <row r="257" spans="1:87" s="94" customFormat="1" ht="15.75" customHeight="1" outlineLevel="1" x14ac:dyDescent="0.2">
      <c r="A257" s="38"/>
      <c r="B257" s="46"/>
      <c r="C257" s="223" t="s">
        <v>1386</v>
      </c>
      <c r="D257" s="214" t="s">
        <v>92</v>
      </c>
      <c r="E257" s="241">
        <v>22800</v>
      </c>
      <c r="F257" s="1329"/>
      <c r="G257" s="36"/>
      <c r="H257" s="36"/>
      <c r="I257" s="36"/>
      <c r="J257" s="36"/>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c r="BO257" s="35"/>
      <c r="BP257" s="35"/>
      <c r="BQ257" s="35"/>
      <c r="BR257" s="35"/>
      <c r="BS257" s="35"/>
      <c r="BT257" s="35"/>
      <c r="BU257" s="35"/>
      <c r="BV257" s="35"/>
      <c r="BW257" s="35"/>
      <c r="BX257" s="35"/>
      <c r="BY257" s="35"/>
      <c r="BZ257" s="35"/>
      <c r="CA257" s="35"/>
      <c r="CB257" s="35"/>
      <c r="CC257" s="35"/>
      <c r="CD257" s="35"/>
      <c r="CE257" s="35"/>
      <c r="CF257" s="35"/>
      <c r="CG257" s="35"/>
      <c r="CH257" s="35"/>
    </row>
    <row r="258" spans="1:87" s="94" customFormat="1" ht="15.75" customHeight="1" outlineLevel="1" x14ac:dyDescent="0.2">
      <c r="A258" s="38"/>
      <c r="B258" s="46"/>
      <c r="C258" s="223" t="s">
        <v>1505</v>
      </c>
      <c r="D258" s="214" t="s">
        <v>92</v>
      </c>
      <c r="E258" s="241">
        <v>17200</v>
      </c>
      <c r="F258" s="1329"/>
      <c r="G258" s="36"/>
      <c r="H258" s="36"/>
      <c r="I258" s="36"/>
      <c r="J258" s="36"/>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c r="BG258" s="35"/>
      <c r="BH258" s="35"/>
      <c r="BI258" s="35"/>
      <c r="BJ258" s="35"/>
      <c r="BK258" s="35"/>
      <c r="BL258" s="35"/>
      <c r="BM258" s="35"/>
      <c r="BN258" s="35"/>
      <c r="BO258" s="35"/>
      <c r="BP258" s="35"/>
      <c r="BQ258" s="35"/>
      <c r="BR258" s="35"/>
      <c r="BS258" s="35"/>
      <c r="BT258" s="35"/>
      <c r="BU258" s="35"/>
      <c r="BV258" s="35"/>
      <c r="BW258" s="35"/>
      <c r="BX258" s="35"/>
      <c r="BY258" s="35"/>
      <c r="BZ258" s="35"/>
      <c r="CA258" s="35"/>
      <c r="CB258" s="35"/>
      <c r="CC258" s="35"/>
      <c r="CD258" s="35"/>
      <c r="CE258" s="35"/>
      <c r="CF258" s="35"/>
      <c r="CG258" s="35"/>
      <c r="CH258" s="35"/>
    </row>
    <row r="259" spans="1:87" ht="15.75" customHeight="1" outlineLevel="1" x14ac:dyDescent="0.2">
      <c r="A259" s="12"/>
      <c r="B259" s="10"/>
      <c r="C259" s="223" t="s">
        <v>458</v>
      </c>
      <c r="D259" s="1328" t="s">
        <v>225</v>
      </c>
      <c r="E259" s="241">
        <v>7390</v>
      </c>
      <c r="F259" s="1329"/>
      <c r="G259" s="12"/>
      <c r="H259" s="12"/>
      <c r="I259" s="12"/>
      <c r="J259" s="12"/>
      <c r="K259" s="17"/>
      <c r="L259" s="17"/>
      <c r="M259" s="17"/>
      <c r="N259" s="17"/>
      <c r="O259" s="17"/>
      <c r="P259" s="17"/>
      <c r="Q259" s="17"/>
      <c r="R259" s="17"/>
      <c r="S259" s="17"/>
      <c r="T259" s="17"/>
      <c r="U259" s="17"/>
      <c r="V259" s="17"/>
      <c r="W259" s="17"/>
      <c r="X259" s="17"/>
      <c r="Y259" s="17"/>
      <c r="Z259" s="17"/>
      <c r="AA259" s="17"/>
      <c r="AB259" s="17"/>
      <c r="AC259" s="17"/>
      <c r="AD259" s="17"/>
      <c r="AE259" s="35"/>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35"/>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35"/>
      <c r="BZ259" s="17"/>
      <c r="CA259" s="17"/>
      <c r="CB259" s="35"/>
      <c r="CC259" s="35"/>
      <c r="CD259" s="17"/>
      <c r="CE259" s="17"/>
      <c r="CF259" s="17"/>
      <c r="CG259" s="17"/>
      <c r="CH259" s="17"/>
    </row>
    <row r="260" spans="1:87" ht="15.75" customHeight="1" outlineLevel="1" x14ac:dyDescent="0.2">
      <c r="A260" s="12"/>
      <c r="B260" s="10"/>
      <c r="C260" s="223" t="s">
        <v>459</v>
      </c>
      <c r="D260" s="1329"/>
      <c r="E260" s="241">
        <v>12200</v>
      </c>
      <c r="F260" s="1329"/>
      <c r="G260" s="12"/>
      <c r="H260" s="12"/>
      <c r="I260" s="12"/>
      <c r="J260" s="12"/>
      <c r="K260" s="17"/>
      <c r="L260" s="17"/>
      <c r="M260" s="17"/>
      <c r="N260" s="17"/>
      <c r="O260" s="17"/>
      <c r="P260" s="17"/>
      <c r="Q260" s="17"/>
      <c r="R260" s="17"/>
      <c r="S260" s="17"/>
      <c r="T260" s="17"/>
      <c r="U260" s="17"/>
      <c r="V260" s="17"/>
      <c r="W260" s="17"/>
      <c r="X260" s="17"/>
      <c r="Y260" s="17"/>
      <c r="Z260" s="17"/>
      <c r="AA260" s="17"/>
      <c r="AB260" s="17"/>
      <c r="AC260" s="17"/>
      <c r="AD260" s="17"/>
      <c r="AE260" s="35"/>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35"/>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35"/>
      <c r="BZ260" s="17"/>
      <c r="CA260" s="17"/>
      <c r="CB260" s="35"/>
      <c r="CC260" s="35"/>
      <c r="CD260" s="17"/>
      <c r="CE260" s="17"/>
      <c r="CF260" s="17"/>
      <c r="CG260" s="17"/>
      <c r="CH260" s="17"/>
    </row>
    <row r="261" spans="1:87" ht="15.75" customHeight="1" outlineLevel="1" x14ac:dyDescent="0.2">
      <c r="A261" s="12"/>
      <c r="B261" s="10"/>
      <c r="C261" s="223" t="s">
        <v>460</v>
      </c>
      <c r="D261" s="1329"/>
      <c r="E261" s="241">
        <v>8830</v>
      </c>
      <c r="F261" s="1329"/>
      <c r="G261" s="12"/>
      <c r="H261" s="12"/>
      <c r="I261" s="12"/>
      <c r="J261" s="12"/>
      <c r="K261" s="17"/>
      <c r="L261" s="17"/>
      <c r="M261" s="17"/>
      <c r="N261" s="17"/>
      <c r="O261" s="17"/>
      <c r="P261" s="17"/>
      <c r="Q261" s="17"/>
      <c r="R261" s="17"/>
      <c r="S261" s="17"/>
      <c r="T261" s="17"/>
      <c r="U261" s="17"/>
      <c r="V261" s="17"/>
      <c r="W261" s="17"/>
      <c r="X261" s="17"/>
      <c r="Y261" s="17"/>
      <c r="Z261" s="17"/>
      <c r="AA261" s="17"/>
      <c r="AB261" s="17"/>
      <c r="AC261" s="17"/>
      <c r="AD261" s="17"/>
      <c r="AE261" s="35"/>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35"/>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35"/>
      <c r="BZ261" s="17"/>
      <c r="CA261" s="17"/>
      <c r="CB261" s="35"/>
      <c r="CC261" s="35"/>
      <c r="CD261" s="17"/>
      <c r="CE261" s="17"/>
      <c r="CF261" s="17"/>
      <c r="CG261" s="17"/>
      <c r="CH261" s="17"/>
    </row>
    <row r="262" spans="1:87" ht="15.75" customHeight="1" outlineLevel="1" x14ac:dyDescent="0.2">
      <c r="A262" s="36"/>
      <c r="B262" s="37"/>
      <c r="C262" s="223" t="s">
        <v>461</v>
      </c>
      <c r="D262" s="1329"/>
      <c r="E262" s="241">
        <v>10300</v>
      </c>
      <c r="F262" s="1329"/>
      <c r="G262" s="36"/>
      <c r="H262" s="36"/>
      <c r="I262" s="36"/>
      <c r="J262" s="36"/>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c r="BG262" s="35"/>
      <c r="BH262" s="35"/>
      <c r="BI262" s="35"/>
      <c r="BJ262" s="35"/>
      <c r="BK262" s="35"/>
      <c r="BL262" s="35"/>
      <c r="BM262" s="35"/>
      <c r="BN262" s="35"/>
      <c r="BO262" s="35"/>
      <c r="BP262" s="35"/>
      <c r="BQ262" s="35"/>
      <c r="BR262" s="35"/>
      <c r="BS262" s="35"/>
      <c r="BT262" s="35"/>
      <c r="BU262" s="35"/>
      <c r="BV262" s="35"/>
      <c r="BW262" s="35"/>
      <c r="BX262" s="35"/>
      <c r="BY262" s="35"/>
      <c r="BZ262" s="35"/>
      <c r="CA262" s="35"/>
      <c r="CB262" s="35"/>
      <c r="CC262" s="35"/>
      <c r="CD262" s="35"/>
      <c r="CE262" s="35"/>
      <c r="CF262" s="35"/>
      <c r="CG262" s="35"/>
      <c r="CH262" s="35"/>
      <c r="CI262" s="94"/>
    </row>
    <row r="263" spans="1:87" ht="15.75" customHeight="1" outlineLevel="1" x14ac:dyDescent="0.2">
      <c r="A263" s="36"/>
      <c r="B263" s="37"/>
      <c r="C263" s="223" t="s">
        <v>462</v>
      </c>
      <c r="D263" s="1329"/>
      <c r="E263" s="241">
        <v>8860</v>
      </c>
      <c r="F263" s="1329"/>
      <c r="G263" s="36"/>
      <c r="H263" s="36"/>
      <c r="I263" s="36"/>
      <c r="J263" s="36"/>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c r="BG263" s="35"/>
      <c r="BH263" s="35"/>
      <c r="BI263" s="35"/>
      <c r="BJ263" s="35"/>
      <c r="BK263" s="35"/>
      <c r="BL263" s="35"/>
      <c r="BM263" s="35"/>
      <c r="BN263" s="35"/>
      <c r="BO263" s="35"/>
      <c r="BP263" s="35"/>
      <c r="BQ263" s="35"/>
      <c r="BR263" s="35"/>
      <c r="BS263" s="35"/>
      <c r="BT263" s="35"/>
      <c r="BU263" s="35"/>
      <c r="BV263" s="35"/>
      <c r="BW263" s="35"/>
      <c r="BX263" s="35"/>
      <c r="BY263" s="35"/>
      <c r="BZ263" s="35"/>
      <c r="CA263" s="35"/>
      <c r="CB263" s="35"/>
      <c r="CC263" s="35"/>
      <c r="CD263" s="35"/>
      <c r="CE263" s="35"/>
      <c r="CF263" s="35"/>
      <c r="CG263" s="35"/>
      <c r="CH263" s="35"/>
      <c r="CI263" s="94"/>
    </row>
    <row r="264" spans="1:87" ht="15.75" customHeight="1" outlineLevel="1" x14ac:dyDescent="0.2">
      <c r="A264" s="36"/>
      <c r="B264" s="37"/>
      <c r="C264" s="223" t="s">
        <v>463</v>
      </c>
      <c r="D264" s="1329"/>
      <c r="E264" s="241">
        <v>9160</v>
      </c>
      <c r="F264" s="1329"/>
      <c r="G264" s="36"/>
      <c r="H264" s="36"/>
      <c r="I264" s="36"/>
      <c r="J264" s="36"/>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c r="BN264" s="35"/>
      <c r="BO264" s="35"/>
      <c r="BP264" s="35"/>
      <c r="BQ264" s="35"/>
      <c r="BR264" s="35"/>
      <c r="BS264" s="35"/>
      <c r="BT264" s="35"/>
      <c r="BU264" s="35"/>
      <c r="BV264" s="35"/>
      <c r="BW264" s="35"/>
      <c r="BX264" s="35"/>
      <c r="BY264" s="35"/>
      <c r="BZ264" s="35"/>
      <c r="CA264" s="35"/>
      <c r="CB264" s="35"/>
      <c r="CC264" s="35"/>
      <c r="CD264" s="35"/>
      <c r="CE264" s="35"/>
      <c r="CF264" s="35"/>
      <c r="CG264" s="35"/>
      <c r="CH264" s="35"/>
      <c r="CI264" s="94"/>
    </row>
    <row r="265" spans="1:87" ht="15.75" customHeight="1" outlineLevel="1" x14ac:dyDescent="0.2">
      <c r="A265" s="36"/>
      <c r="B265" s="37"/>
      <c r="C265" s="223" t="s">
        <v>464</v>
      </c>
      <c r="D265" s="1329"/>
      <c r="E265" s="241">
        <v>9300</v>
      </c>
      <c r="F265" s="1329"/>
      <c r="G265" s="36"/>
      <c r="H265" s="36"/>
      <c r="I265" s="36"/>
      <c r="J265" s="36"/>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c r="BO265" s="35"/>
      <c r="BP265" s="35"/>
      <c r="BQ265" s="35"/>
      <c r="BR265" s="35"/>
      <c r="BS265" s="35"/>
      <c r="BT265" s="35"/>
      <c r="BU265" s="35"/>
      <c r="BV265" s="35"/>
      <c r="BW265" s="35"/>
      <c r="BX265" s="35"/>
      <c r="BY265" s="35"/>
      <c r="BZ265" s="35"/>
      <c r="CA265" s="35"/>
      <c r="CB265" s="35"/>
      <c r="CC265" s="35"/>
      <c r="CD265" s="35"/>
      <c r="CE265" s="35"/>
      <c r="CF265" s="35"/>
      <c r="CG265" s="35"/>
      <c r="CH265" s="35"/>
      <c r="CI265" s="94"/>
    </row>
    <row r="266" spans="1:87" s="94" customFormat="1" ht="15.75" customHeight="1" outlineLevel="1" x14ac:dyDescent="0.2">
      <c r="A266" s="36"/>
      <c r="B266" s="37"/>
      <c r="C266" s="223" t="s">
        <v>465</v>
      </c>
      <c r="D266" s="1329"/>
      <c r="E266" s="241">
        <v>7500</v>
      </c>
      <c r="F266" s="1329"/>
      <c r="G266" s="36"/>
      <c r="H266" s="36"/>
      <c r="I266" s="36"/>
      <c r="J266" s="36"/>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s="35"/>
      <c r="BI266" s="35"/>
      <c r="BJ266" s="35"/>
      <c r="BK266" s="35"/>
      <c r="BL266" s="35"/>
      <c r="BM266" s="35"/>
      <c r="BN266" s="35"/>
      <c r="BO266" s="35"/>
      <c r="BP266" s="35"/>
      <c r="BQ266" s="35"/>
      <c r="BR266" s="35"/>
      <c r="BS266" s="35"/>
      <c r="BT266" s="35"/>
      <c r="BU266" s="35"/>
      <c r="BV266" s="35"/>
      <c r="BW266" s="35"/>
      <c r="BX266" s="35"/>
      <c r="BY266" s="35"/>
      <c r="BZ266" s="35"/>
      <c r="CA266" s="35"/>
      <c r="CB266" s="35"/>
      <c r="CC266" s="35"/>
      <c r="CD266" s="35"/>
      <c r="CE266" s="35"/>
      <c r="CF266" s="35"/>
      <c r="CG266" s="35"/>
      <c r="CH266" s="35"/>
    </row>
    <row r="267" spans="1:87" s="94" customFormat="1" ht="15.75" customHeight="1" outlineLevel="1" x14ac:dyDescent="0.2">
      <c r="A267" s="36"/>
      <c r="B267" s="37"/>
      <c r="C267" s="223" t="s">
        <v>466</v>
      </c>
      <c r="D267" s="1329"/>
      <c r="E267" s="241">
        <v>17700</v>
      </c>
      <c r="F267" s="1329"/>
      <c r="G267" s="36"/>
      <c r="H267" s="36"/>
      <c r="I267" s="36"/>
      <c r="J267" s="36"/>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s="35"/>
      <c r="BI267" s="35"/>
      <c r="BJ267" s="35"/>
      <c r="BK267" s="35"/>
      <c r="BL267" s="35"/>
      <c r="BM267" s="35"/>
      <c r="BN267" s="35"/>
      <c r="BO267" s="35"/>
      <c r="BP267" s="35"/>
      <c r="BQ267" s="35"/>
      <c r="BR267" s="35"/>
      <c r="BS267" s="35"/>
      <c r="BT267" s="35"/>
      <c r="BU267" s="35"/>
      <c r="BV267" s="35"/>
      <c r="BW267" s="35"/>
      <c r="BX267" s="35"/>
      <c r="BY267" s="35"/>
      <c r="BZ267" s="35"/>
      <c r="CA267" s="35"/>
      <c r="CB267" s="35"/>
      <c r="CC267" s="35"/>
      <c r="CD267" s="35"/>
      <c r="CE267" s="35"/>
      <c r="CF267" s="35"/>
      <c r="CG267" s="35"/>
      <c r="CH267" s="35"/>
    </row>
    <row r="268" spans="1:87" ht="15.75" customHeight="1" outlineLevel="1" x14ac:dyDescent="0.2">
      <c r="A268" s="12"/>
      <c r="B268" s="10"/>
      <c r="C268" s="223" t="s">
        <v>467</v>
      </c>
      <c r="D268" s="1330"/>
      <c r="E268" s="241">
        <v>17340</v>
      </c>
      <c r="F268" s="1330"/>
      <c r="G268" s="12"/>
      <c r="H268" s="12"/>
      <c r="I268" s="12"/>
      <c r="J268" s="12"/>
      <c r="K268" s="17"/>
      <c r="L268" s="17"/>
      <c r="M268" s="17"/>
      <c r="N268" s="17"/>
      <c r="O268" s="17"/>
      <c r="P268" s="17"/>
      <c r="Q268" s="17"/>
      <c r="R268" s="17"/>
      <c r="S268" s="17"/>
      <c r="T268" s="17"/>
      <c r="U268" s="17"/>
      <c r="V268" s="17"/>
      <c r="W268" s="17"/>
      <c r="X268" s="17"/>
      <c r="Y268" s="17"/>
      <c r="Z268" s="17"/>
      <c r="AA268" s="17"/>
      <c r="AB268" s="17"/>
      <c r="AC268" s="17"/>
      <c r="AD268" s="17"/>
      <c r="AE268" s="35"/>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35"/>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35"/>
      <c r="BZ268" s="17"/>
      <c r="CA268" s="17"/>
      <c r="CB268" s="35"/>
      <c r="CC268" s="35"/>
      <c r="CD268" s="17"/>
      <c r="CE268" s="17"/>
      <c r="CF268" s="17"/>
      <c r="CG268" s="17"/>
      <c r="CH268" s="17"/>
    </row>
    <row r="269" spans="1:87" s="94" customFormat="1" ht="15.75" customHeight="1" outlineLevel="1" x14ac:dyDescent="0.2">
      <c r="A269" s="36"/>
      <c r="B269" s="37"/>
      <c r="C269" s="242" t="s">
        <v>480</v>
      </c>
      <c r="D269" s="1549" t="s">
        <v>263</v>
      </c>
      <c r="E269" s="241">
        <v>0</v>
      </c>
      <c r="F269" s="1332" t="s">
        <v>1387</v>
      </c>
      <c r="G269" s="11"/>
      <c r="H269" s="36"/>
      <c r="I269" s="36"/>
      <c r="J269" s="36"/>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c r="BJ269" s="35"/>
      <c r="BK269" s="35"/>
      <c r="BL269" s="35"/>
      <c r="BM269" s="35"/>
      <c r="BN269" s="35"/>
      <c r="BO269" s="35"/>
      <c r="BP269" s="35"/>
      <c r="BQ269" s="35"/>
      <c r="BR269" s="35"/>
      <c r="BS269" s="35"/>
      <c r="BT269" s="35"/>
      <c r="BU269" s="35"/>
      <c r="BV269" s="35"/>
      <c r="BW269" s="35"/>
      <c r="BX269" s="35"/>
      <c r="BY269" s="35"/>
      <c r="BZ269" s="35"/>
      <c r="CA269" s="35"/>
      <c r="CB269" s="35"/>
      <c r="CC269" s="35"/>
      <c r="CD269" s="35"/>
      <c r="CE269" s="35"/>
      <c r="CF269" s="35"/>
      <c r="CG269" s="35"/>
      <c r="CH269" s="35"/>
    </row>
    <row r="270" spans="1:87" s="94" customFormat="1" ht="15.75" customHeight="1" outlineLevel="1" x14ac:dyDescent="0.2">
      <c r="A270" s="36"/>
      <c r="B270" s="37"/>
      <c r="C270" s="242" t="s">
        <v>147</v>
      </c>
      <c r="D270" s="1549"/>
      <c r="E270" s="241">
        <v>16.12</v>
      </c>
      <c r="F270" s="1549"/>
      <c r="G270" s="11"/>
      <c r="H270" s="36"/>
      <c r="I270" s="36"/>
      <c r="J270" s="36"/>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c r="BJ270" s="35"/>
      <c r="BK270" s="35"/>
      <c r="BL270" s="35"/>
      <c r="BM270" s="35"/>
      <c r="BN270" s="35"/>
      <c r="BO270" s="35"/>
      <c r="BP270" s="35"/>
      <c r="BQ270" s="35"/>
      <c r="BR270" s="35"/>
      <c r="BS270" s="35"/>
      <c r="BT270" s="35"/>
      <c r="BU270" s="35"/>
      <c r="BV270" s="35"/>
      <c r="BW270" s="35"/>
      <c r="BX270" s="35"/>
      <c r="BY270" s="35"/>
      <c r="BZ270" s="35"/>
      <c r="CA270" s="35"/>
      <c r="CB270" s="35"/>
      <c r="CC270" s="35"/>
      <c r="CD270" s="35"/>
      <c r="CE270" s="35"/>
      <c r="CF270" s="35"/>
      <c r="CG270" s="35"/>
      <c r="CH270" s="35"/>
    </row>
    <row r="271" spans="1:87" s="94" customFormat="1" ht="15.75" customHeight="1" outlineLevel="1" x14ac:dyDescent="0.2">
      <c r="A271" s="36"/>
      <c r="B271" s="37"/>
      <c r="C271" s="242" t="s">
        <v>148</v>
      </c>
      <c r="D271" s="1549"/>
      <c r="E271" s="241">
        <v>13.64</v>
      </c>
      <c r="F271" s="1549"/>
      <c r="G271" s="11"/>
      <c r="H271" s="36"/>
      <c r="I271" s="36"/>
      <c r="J271" s="36"/>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c r="BO271" s="35"/>
      <c r="BP271" s="35"/>
      <c r="BQ271" s="35"/>
      <c r="BR271" s="35"/>
      <c r="BS271" s="35"/>
      <c r="BT271" s="35"/>
      <c r="BU271" s="35"/>
      <c r="BV271" s="35"/>
      <c r="BW271" s="35"/>
      <c r="BX271" s="35"/>
      <c r="BY271" s="35"/>
      <c r="BZ271" s="35"/>
      <c r="CA271" s="35"/>
      <c r="CB271" s="35"/>
      <c r="CC271" s="35"/>
      <c r="CD271" s="35"/>
      <c r="CE271" s="35"/>
      <c r="CF271" s="35"/>
      <c r="CG271" s="35"/>
      <c r="CH271" s="35"/>
    </row>
    <row r="272" spans="1:87" s="94" customFormat="1" ht="15.75" customHeight="1" outlineLevel="1" x14ac:dyDescent="0.2">
      <c r="A272" s="36"/>
      <c r="B272" s="37"/>
      <c r="C272" s="242" t="s">
        <v>149</v>
      </c>
      <c r="D272" s="1549"/>
      <c r="E272" s="241">
        <v>18.599999999999998</v>
      </c>
      <c r="F272" s="1549"/>
      <c r="G272" s="11"/>
      <c r="H272" s="36"/>
      <c r="I272" s="36"/>
      <c r="J272" s="36"/>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s="35"/>
      <c r="BI272" s="35"/>
      <c r="BJ272" s="35"/>
      <c r="BK272" s="35"/>
      <c r="BL272" s="35"/>
      <c r="BM272" s="35"/>
      <c r="BN272" s="35"/>
      <c r="BO272" s="35"/>
      <c r="BP272" s="35"/>
      <c r="BQ272" s="35"/>
      <c r="BR272" s="35"/>
      <c r="BS272" s="35"/>
      <c r="BT272" s="35"/>
      <c r="BU272" s="35"/>
      <c r="BV272" s="35"/>
      <c r="BW272" s="35"/>
      <c r="BX272" s="35"/>
      <c r="BY272" s="35"/>
      <c r="BZ272" s="35"/>
      <c r="CA272" s="35"/>
      <c r="CB272" s="35"/>
      <c r="CC272" s="35"/>
      <c r="CD272" s="35"/>
      <c r="CE272" s="35"/>
      <c r="CF272" s="35"/>
      <c r="CG272" s="35"/>
      <c r="CH272" s="35"/>
    </row>
    <row r="273" spans="1:86" s="94" customFormat="1" ht="15.75" customHeight="1" outlineLevel="1" x14ac:dyDescent="0.2">
      <c r="A273" s="36"/>
      <c r="B273" s="37"/>
      <c r="C273" s="242" t="s">
        <v>150</v>
      </c>
      <c r="D273" s="1549"/>
      <c r="E273" s="241">
        <v>2100</v>
      </c>
      <c r="F273" s="1549"/>
      <c r="G273" s="11"/>
      <c r="H273" s="36"/>
      <c r="I273" s="36"/>
      <c r="J273" s="36"/>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c r="BG273" s="35"/>
      <c r="BH273" s="35"/>
      <c r="BI273" s="35"/>
      <c r="BJ273" s="35"/>
      <c r="BK273" s="35"/>
      <c r="BL273" s="35"/>
      <c r="BM273" s="35"/>
      <c r="BN273" s="35"/>
      <c r="BO273" s="35"/>
      <c r="BP273" s="35"/>
      <c r="BQ273" s="35"/>
      <c r="BR273" s="35"/>
      <c r="BS273" s="35"/>
      <c r="BT273" s="35"/>
      <c r="BU273" s="35"/>
      <c r="BV273" s="35"/>
      <c r="BW273" s="35"/>
      <c r="BX273" s="35"/>
      <c r="BY273" s="35"/>
      <c r="BZ273" s="35"/>
      <c r="CA273" s="35"/>
      <c r="CB273" s="35"/>
      <c r="CC273" s="35"/>
      <c r="CD273" s="35"/>
      <c r="CE273" s="35"/>
      <c r="CF273" s="35"/>
      <c r="CG273" s="35"/>
      <c r="CH273" s="35"/>
    </row>
    <row r="274" spans="1:86" s="94" customFormat="1" ht="15.75" customHeight="1" outlineLevel="1" x14ac:dyDescent="0.2">
      <c r="A274" s="36"/>
      <c r="B274" s="37"/>
      <c r="C274" s="242" t="s">
        <v>151</v>
      </c>
      <c r="D274" s="1549"/>
      <c r="E274" s="241">
        <v>1330</v>
      </c>
      <c r="F274" s="1549"/>
      <c r="G274" s="11"/>
      <c r="H274" s="36"/>
      <c r="I274" s="36"/>
      <c r="J274" s="36"/>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35"/>
      <c r="BI274" s="35"/>
      <c r="BJ274" s="35"/>
      <c r="BK274" s="35"/>
      <c r="BL274" s="35"/>
      <c r="BM274" s="35"/>
      <c r="BN274" s="35"/>
      <c r="BO274" s="35"/>
      <c r="BP274" s="35"/>
      <c r="BQ274" s="35"/>
      <c r="BR274" s="35"/>
      <c r="BS274" s="35"/>
      <c r="BT274" s="35"/>
      <c r="BU274" s="35"/>
      <c r="BV274" s="35"/>
      <c r="BW274" s="35"/>
      <c r="BX274" s="35"/>
      <c r="BY274" s="35"/>
      <c r="BZ274" s="35"/>
      <c r="CA274" s="35"/>
      <c r="CB274" s="35"/>
      <c r="CC274" s="35"/>
      <c r="CD274" s="35"/>
      <c r="CE274" s="35"/>
      <c r="CF274" s="35"/>
      <c r="CG274" s="35"/>
      <c r="CH274" s="35"/>
    </row>
    <row r="275" spans="1:86" s="94" customFormat="1" ht="15.75" customHeight="1" outlineLevel="1" x14ac:dyDescent="0.2">
      <c r="A275" s="36"/>
      <c r="B275" s="37"/>
      <c r="C275" s="242" t="s">
        <v>152</v>
      </c>
      <c r="D275" s="1549"/>
      <c r="E275" s="241">
        <v>1766</v>
      </c>
      <c r="F275" s="1549"/>
      <c r="G275" s="11"/>
      <c r="H275" s="36"/>
      <c r="I275" s="36"/>
      <c r="J275" s="36"/>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c r="BG275" s="35"/>
      <c r="BH275" s="35"/>
      <c r="BI275" s="35"/>
      <c r="BJ275" s="35"/>
      <c r="BK275" s="35"/>
      <c r="BL275" s="35"/>
      <c r="BM275" s="35"/>
      <c r="BN275" s="35"/>
      <c r="BO275" s="35"/>
      <c r="BP275" s="35"/>
      <c r="BQ275" s="35"/>
      <c r="BR275" s="35"/>
      <c r="BS275" s="35"/>
      <c r="BT275" s="35"/>
      <c r="BU275" s="35"/>
      <c r="BV275" s="35"/>
      <c r="BW275" s="35"/>
      <c r="BX275" s="35"/>
      <c r="BY275" s="35"/>
      <c r="BZ275" s="35"/>
      <c r="CA275" s="35"/>
      <c r="CB275" s="35"/>
      <c r="CC275" s="35"/>
      <c r="CD275" s="35"/>
      <c r="CE275" s="35"/>
      <c r="CF275" s="35"/>
      <c r="CG275" s="35"/>
      <c r="CH275" s="35"/>
    </row>
    <row r="276" spans="1:86" s="94" customFormat="1" ht="15.75" customHeight="1" outlineLevel="1" x14ac:dyDescent="0.2">
      <c r="A276" s="36"/>
      <c r="B276" s="37"/>
      <c r="C276" s="242" t="s">
        <v>153</v>
      </c>
      <c r="D276" s="1549"/>
      <c r="E276" s="241">
        <v>3443.7000000000003</v>
      </c>
      <c r="F276" s="1549"/>
      <c r="G276" s="11"/>
      <c r="H276" s="36"/>
      <c r="I276" s="36"/>
      <c r="J276" s="36"/>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35"/>
      <c r="BI276" s="35"/>
      <c r="BJ276" s="35"/>
      <c r="BK276" s="35"/>
      <c r="BL276" s="35"/>
      <c r="BM276" s="35"/>
      <c r="BN276" s="35"/>
      <c r="BO276" s="35"/>
      <c r="BP276" s="35"/>
      <c r="BQ276" s="35"/>
      <c r="BR276" s="35"/>
      <c r="BS276" s="35"/>
      <c r="BT276" s="35"/>
      <c r="BU276" s="35"/>
      <c r="BV276" s="35"/>
      <c r="BW276" s="35"/>
      <c r="BX276" s="35"/>
      <c r="BY276" s="35"/>
      <c r="BZ276" s="35"/>
      <c r="CA276" s="35"/>
      <c r="CB276" s="35"/>
      <c r="CC276" s="35"/>
      <c r="CD276" s="35"/>
      <c r="CE276" s="35"/>
      <c r="CF276" s="35"/>
      <c r="CG276" s="35"/>
      <c r="CH276" s="35"/>
    </row>
    <row r="277" spans="1:86" s="94" customFormat="1" ht="15.75" customHeight="1" outlineLevel="1" x14ac:dyDescent="0.2">
      <c r="A277" s="36"/>
      <c r="B277" s="37"/>
      <c r="C277" s="242" t="s">
        <v>154</v>
      </c>
      <c r="D277" s="1549"/>
      <c r="E277" s="241">
        <v>3921.6</v>
      </c>
      <c r="F277" s="1549"/>
      <c r="G277" s="11"/>
      <c r="H277" s="36"/>
      <c r="I277" s="36"/>
      <c r="J277" s="36"/>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c r="BJ277" s="35"/>
      <c r="BK277" s="35"/>
      <c r="BL277" s="35"/>
      <c r="BM277" s="35"/>
      <c r="BN277" s="35"/>
      <c r="BO277" s="35"/>
      <c r="BP277" s="35"/>
      <c r="BQ277" s="35"/>
      <c r="BR277" s="35"/>
      <c r="BS277" s="35"/>
      <c r="BT277" s="35"/>
      <c r="BU277" s="35"/>
      <c r="BV277" s="35"/>
      <c r="BW277" s="35"/>
      <c r="BX277" s="35"/>
      <c r="BY277" s="35"/>
      <c r="BZ277" s="35"/>
      <c r="CA277" s="35"/>
      <c r="CB277" s="35"/>
      <c r="CC277" s="35"/>
      <c r="CD277" s="35"/>
      <c r="CE277" s="35"/>
      <c r="CF277" s="35"/>
      <c r="CG277" s="35"/>
      <c r="CH277" s="35"/>
    </row>
    <row r="278" spans="1:86" s="94" customFormat="1" ht="15.75" customHeight="1" outlineLevel="1" x14ac:dyDescent="0.2">
      <c r="A278" s="36"/>
      <c r="B278" s="37"/>
      <c r="C278" s="242" t="s">
        <v>155</v>
      </c>
      <c r="D278" s="1549"/>
      <c r="E278" s="241">
        <v>0</v>
      </c>
      <c r="F278" s="1549"/>
      <c r="G278" s="11"/>
      <c r="H278" s="36"/>
      <c r="I278" s="36"/>
      <c r="J278" s="36"/>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35"/>
      <c r="BI278" s="35"/>
      <c r="BJ278" s="35"/>
      <c r="BK278" s="35"/>
      <c r="BL278" s="35"/>
      <c r="BM278" s="35"/>
      <c r="BN278" s="35"/>
      <c r="BO278" s="35"/>
      <c r="BP278" s="35"/>
      <c r="BQ278" s="35"/>
      <c r="BR278" s="35"/>
      <c r="BS278" s="35"/>
      <c r="BT278" s="35"/>
      <c r="BU278" s="35"/>
      <c r="BV278" s="35"/>
      <c r="BW278" s="35"/>
      <c r="BX278" s="35"/>
      <c r="BY278" s="35"/>
      <c r="BZ278" s="35"/>
      <c r="CA278" s="35"/>
      <c r="CB278" s="35"/>
      <c r="CC278" s="35"/>
      <c r="CD278" s="35"/>
      <c r="CE278" s="35"/>
      <c r="CF278" s="35"/>
      <c r="CG278" s="35"/>
      <c r="CH278" s="35"/>
    </row>
    <row r="279" spans="1:86" s="94" customFormat="1" ht="15.75" customHeight="1" outlineLevel="1" x14ac:dyDescent="0.2">
      <c r="A279" s="36"/>
      <c r="B279" s="37"/>
      <c r="C279" s="242" t="s">
        <v>156</v>
      </c>
      <c r="D279" s="1549"/>
      <c r="E279" s="241">
        <v>2107</v>
      </c>
      <c r="F279" s="1549"/>
      <c r="G279" s="11"/>
      <c r="H279" s="36"/>
      <c r="I279" s="36"/>
      <c r="J279" s="36"/>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c r="BI279" s="35"/>
      <c r="BJ279" s="35"/>
      <c r="BK279" s="35"/>
      <c r="BL279" s="35"/>
      <c r="BM279" s="35"/>
      <c r="BN279" s="35"/>
      <c r="BO279" s="35"/>
      <c r="BP279" s="35"/>
      <c r="BQ279" s="35"/>
      <c r="BR279" s="35"/>
      <c r="BS279" s="35"/>
      <c r="BT279" s="35"/>
      <c r="BU279" s="35"/>
      <c r="BV279" s="35"/>
      <c r="BW279" s="35"/>
      <c r="BX279" s="35"/>
      <c r="BY279" s="35"/>
      <c r="BZ279" s="35"/>
      <c r="CA279" s="35"/>
      <c r="CB279" s="35"/>
      <c r="CC279" s="35"/>
      <c r="CD279" s="35"/>
      <c r="CE279" s="35"/>
      <c r="CF279" s="35"/>
      <c r="CG279" s="35"/>
      <c r="CH279" s="35"/>
    </row>
    <row r="280" spans="1:86" s="94" customFormat="1" ht="15.75" customHeight="1" outlineLevel="1" x14ac:dyDescent="0.2">
      <c r="A280" s="36"/>
      <c r="B280" s="37"/>
      <c r="C280" s="242" t="s">
        <v>157</v>
      </c>
      <c r="D280" s="1549"/>
      <c r="E280" s="241">
        <v>2803.5</v>
      </c>
      <c r="F280" s="1549"/>
      <c r="G280" s="11"/>
      <c r="H280" s="36"/>
      <c r="I280" s="36"/>
      <c r="J280" s="36"/>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c r="BJ280" s="35"/>
      <c r="BK280" s="35"/>
      <c r="BL280" s="35"/>
      <c r="BM280" s="35"/>
      <c r="BN280" s="35"/>
      <c r="BO280" s="35"/>
      <c r="BP280" s="35"/>
      <c r="BQ280" s="35"/>
      <c r="BR280" s="35"/>
      <c r="BS280" s="35"/>
      <c r="BT280" s="35"/>
      <c r="BU280" s="35"/>
      <c r="BV280" s="35"/>
      <c r="BW280" s="35"/>
      <c r="BX280" s="35"/>
      <c r="BY280" s="35"/>
      <c r="BZ280" s="35"/>
      <c r="CA280" s="35"/>
      <c r="CB280" s="35"/>
      <c r="CC280" s="35"/>
      <c r="CD280" s="35"/>
      <c r="CE280" s="35"/>
      <c r="CF280" s="35"/>
      <c r="CG280" s="35"/>
      <c r="CH280" s="35"/>
    </row>
    <row r="281" spans="1:86" s="94" customFormat="1" ht="15.75" customHeight="1" outlineLevel="1" x14ac:dyDescent="0.2">
      <c r="A281" s="36"/>
      <c r="B281" s="37"/>
      <c r="C281" s="242" t="s">
        <v>158</v>
      </c>
      <c r="D281" s="1549"/>
      <c r="E281" s="241">
        <v>1773.85</v>
      </c>
      <c r="F281" s="1549"/>
      <c r="G281" s="11"/>
      <c r="H281" s="36"/>
      <c r="I281" s="36"/>
      <c r="J281" s="36"/>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c r="BJ281" s="35"/>
      <c r="BK281" s="35"/>
      <c r="BL281" s="35"/>
      <c r="BM281" s="35"/>
      <c r="BN281" s="35"/>
      <c r="BO281" s="35"/>
      <c r="BP281" s="35"/>
      <c r="BQ281" s="35"/>
      <c r="BR281" s="35"/>
      <c r="BS281" s="35"/>
      <c r="BT281" s="35"/>
      <c r="BU281" s="35"/>
      <c r="BV281" s="35"/>
      <c r="BW281" s="35"/>
      <c r="BX281" s="35"/>
      <c r="BY281" s="35"/>
      <c r="BZ281" s="35"/>
      <c r="CA281" s="35"/>
      <c r="CB281" s="35"/>
      <c r="CC281" s="35"/>
      <c r="CD281" s="35"/>
      <c r="CE281" s="35"/>
      <c r="CF281" s="35"/>
      <c r="CG281" s="35"/>
      <c r="CH281" s="35"/>
    </row>
    <row r="282" spans="1:86" s="94" customFormat="1" ht="15.75" customHeight="1" outlineLevel="1" x14ac:dyDescent="0.2">
      <c r="A282" s="36"/>
      <c r="B282" s="37"/>
      <c r="C282" s="242" t="s">
        <v>159</v>
      </c>
      <c r="D282" s="1549"/>
      <c r="E282" s="241">
        <v>1627.25</v>
      </c>
      <c r="F282" s="1549"/>
      <c r="G282" s="11"/>
      <c r="H282" s="36"/>
      <c r="I282" s="36"/>
      <c r="J282" s="36"/>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c r="BJ282" s="35"/>
      <c r="BK282" s="35"/>
      <c r="BL282" s="35"/>
      <c r="BM282" s="35"/>
      <c r="BN282" s="35"/>
      <c r="BO282" s="35"/>
      <c r="BP282" s="35"/>
      <c r="BQ282" s="35"/>
      <c r="BR282" s="35"/>
      <c r="BS282" s="35"/>
      <c r="BT282" s="35"/>
      <c r="BU282" s="35"/>
      <c r="BV282" s="35"/>
      <c r="BW282" s="35"/>
      <c r="BX282" s="35"/>
      <c r="BY282" s="35"/>
      <c r="BZ282" s="35"/>
      <c r="CA282" s="35"/>
      <c r="CB282" s="35"/>
      <c r="CC282" s="35"/>
      <c r="CD282" s="35"/>
      <c r="CE282" s="35"/>
      <c r="CF282" s="35"/>
      <c r="CG282" s="35"/>
      <c r="CH282" s="35"/>
    </row>
    <row r="283" spans="1:86" s="94" customFormat="1" ht="15.75" customHeight="1" outlineLevel="1" x14ac:dyDescent="0.2">
      <c r="A283" s="36"/>
      <c r="B283" s="37"/>
      <c r="C283" s="242" t="s">
        <v>160</v>
      </c>
      <c r="D283" s="1549"/>
      <c r="E283" s="241">
        <v>1551.75</v>
      </c>
      <c r="F283" s="1549"/>
      <c r="G283" s="11"/>
      <c r="H283" s="36"/>
      <c r="I283" s="36"/>
      <c r="J283" s="36"/>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row>
    <row r="284" spans="1:86" s="94" customFormat="1" ht="15.75" customHeight="1" outlineLevel="1" x14ac:dyDescent="0.2">
      <c r="A284" s="36"/>
      <c r="B284" s="37"/>
      <c r="C284" s="242" t="s">
        <v>481</v>
      </c>
      <c r="D284" s="1549"/>
      <c r="E284" s="241">
        <v>1824.5</v>
      </c>
      <c r="F284" s="1549"/>
      <c r="G284" s="11"/>
      <c r="H284" s="36"/>
      <c r="I284" s="36"/>
      <c r="J284" s="36"/>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c r="BJ284" s="35"/>
      <c r="BK284" s="35"/>
      <c r="BL284" s="35"/>
      <c r="BM284" s="35"/>
      <c r="BN284" s="35"/>
      <c r="BO284" s="35"/>
      <c r="BP284" s="35"/>
      <c r="BQ284" s="35"/>
      <c r="BR284" s="35"/>
      <c r="BS284" s="35"/>
      <c r="BT284" s="35"/>
      <c r="BU284" s="35"/>
      <c r="BV284" s="35"/>
      <c r="BW284" s="35"/>
      <c r="BX284" s="35"/>
      <c r="BY284" s="35"/>
      <c r="BZ284" s="35"/>
      <c r="CA284" s="35"/>
      <c r="CB284" s="35"/>
      <c r="CC284" s="35"/>
      <c r="CD284" s="35"/>
      <c r="CE284" s="35"/>
      <c r="CF284" s="35"/>
      <c r="CG284" s="35"/>
      <c r="CH284" s="35"/>
    </row>
    <row r="285" spans="1:86" s="94" customFormat="1" ht="15.75" customHeight="1" outlineLevel="1" x14ac:dyDescent="0.2">
      <c r="A285" s="36"/>
      <c r="B285" s="37"/>
      <c r="C285" s="242" t="s">
        <v>161</v>
      </c>
      <c r="D285" s="1549"/>
      <c r="E285" s="241">
        <v>2301.2000000000003</v>
      </c>
      <c r="F285" s="1549"/>
      <c r="G285" s="11"/>
      <c r="H285" s="36"/>
      <c r="I285" s="36"/>
      <c r="J285" s="36"/>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c r="BN285" s="35"/>
      <c r="BO285" s="35"/>
      <c r="BP285" s="35"/>
      <c r="BQ285" s="35"/>
      <c r="BR285" s="35"/>
      <c r="BS285" s="35"/>
      <c r="BT285" s="35"/>
      <c r="BU285" s="35"/>
      <c r="BV285" s="35"/>
      <c r="BW285" s="35"/>
      <c r="BX285" s="35"/>
      <c r="BY285" s="35"/>
      <c r="BZ285" s="35"/>
      <c r="CA285" s="35"/>
      <c r="CB285" s="35"/>
      <c r="CC285" s="35"/>
      <c r="CD285" s="35"/>
      <c r="CE285" s="35"/>
      <c r="CF285" s="35"/>
      <c r="CG285" s="35"/>
      <c r="CH285" s="35"/>
    </row>
    <row r="286" spans="1:86" s="94" customFormat="1" ht="15.75" customHeight="1" outlineLevel="1" x14ac:dyDescent="0.2">
      <c r="A286" s="36"/>
      <c r="B286" s="37"/>
      <c r="C286" s="242" t="s">
        <v>162</v>
      </c>
      <c r="D286" s="1549"/>
      <c r="E286" s="241">
        <v>0</v>
      </c>
      <c r="F286" s="1549"/>
      <c r="G286" s="11"/>
      <c r="H286" s="36"/>
      <c r="I286" s="36"/>
      <c r="J286" s="36"/>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c r="BG286" s="35"/>
      <c r="BH286" s="35"/>
      <c r="BI286" s="35"/>
      <c r="BJ286" s="35"/>
      <c r="BK286" s="35"/>
      <c r="BL286" s="35"/>
      <c r="BM286" s="35"/>
      <c r="BN286" s="35"/>
      <c r="BO286" s="35"/>
      <c r="BP286" s="35"/>
      <c r="BQ286" s="35"/>
      <c r="BR286" s="35"/>
      <c r="BS286" s="35"/>
      <c r="BT286" s="35"/>
      <c r="BU286" s="35"/>
      <c r="BV286" s="35"/>
      <c r="BW286" s="35"/>
      <c r="BX286" s="35"/>
      <c r="BY286" s="35"/>
      <c r="BZ286" s="35"/>
      <c r="CA286" s="35"/>
      <c r="CB286" s="35"/>
      <c r="CC286" s="35"/>
      <c r="CD286" s="35"/>
      <c r="CE286" s="35"/>
      <c r="CF286" s="35"/>
      <c r="CG286" s="35"/>
      <c r="CH286" s="35"/>
    </row>
    <row r="287" spans="1:86" s="94" customFormat="1" ht="15.75" customHeight="1" outlineLevel="1" x14ac:dyDescent="0.2">
      <c r="A287" s="36"/>
      <c r="B287" s="37"/>
      <c r="C287" s="242" t="s">
        <v>163</v>
      </c>
      <c r="D287" s="1549"/>
      <c r="E287" s="241">
        <v>0</v>
      </c>
      <c r="F287" s="1549"/>
      <c r="G287" s="11"/>
      <c r="H287" s="36"/>
      <c r="I287" s="36"/>
      <c r="J287" s="36"/>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c r="BG287" s="35"/>
      <c r="BH287" s="35"/>
      <c r="BI287" s="35"/>
      <c r="BJ287" s="35"/>
      <c r="BK287" s="35"/>
      <c r="BL287" s="35"/>
      <c r="BM287" s="35"/>
      <c r="BN287" s="35"/>
      <c r="BO287" s="35"/>
      <c r="BP287" s="35"/>
      <c r="BQ287" s="35"/>
      <c r="BR287" s="35"/>
      <c r="BS287" s="35"/>
      <c r="BT287" s="35"/>
      <c r="BU287" s="35"/>
      <c r="BV287" s="35"/>
      <c r="BW287" s="35"/>
      <c r="BX287" s="35"/>
      <c r="BY287" s="35"/>
      <c r="BZ287" s="35"/>
      <c r="CA287" s="35"/>
      <c r="CB287" s="35"/>
      <c r="CC287" s="35"/>
      <c r="CD287" s="35"/>
      <c r="CE287" s="35"/>
      <c r="CF287" s="35"/>
      <c r="CG287" s="35"/>
      <c r="CH287" s="35"/>
    </row>
    <row r="288" spans="1:86" s="94" customFormat="1" ht="15.75" customHeight="1" outlineLevel="1" x14ac:dyDescent="0.2">
      <c r="A288" s="36"/>
      <c r="B288" s="37"/>
      <c r="C288" s="242" t="s">
        <v>164</v>
      </c>
      <c r="D288" s="1549"/>
      <c r="E288" s="241">
        <v>2087.5</v>
      </c>
      <c r="F288" s="1549"/>
      <c r="G288" s="11"/>
      <c r="H288" s="36"/>
      <c r="I288" s="36"/>
      <c r="J288" s="36"/>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c r="BG288" s="35"/>
      <c r="BH288" s="35"/>
      <c r="BI288" s="35"/>
      <c r="BJ288" s="35"/>
      <c r="BK288" s="35"/>
      <c r="BL288" s="35"/>
      <c r="BM288" s="35"/>
      <c r="BN288" s="35"/>
      <c r="BO288" s="35"/>
      <c r="BP288" s="35"/>
      <c r="BQ288" s="35"/>
      <c r="BR288" s="35"/>
      <c r="BS288" s="35"/>
      <c r="BT288" s="35"/>
      <c r="BU288" s="35"/>
      <c r="BV288" s="35"/>
      <c r="BW288" s="35"/>
      <c r="BX288" s="35"/>
      <c r="BY288" s="35"/>
      <c r="BZ288" s="35"/>
      <c r="CA288" s="35"/>
      <c r="CB288" s="35"/>
      <c r="CC288" s="35"/>
      <c r="CD288" s="35"/>
      <c r="CE288" s="35"/>
      <c r="CF288" s="35"/>
      <c r="CG288" s="35"/>
      <c r="CH288" s="35"/>
    </row>
    <row r="289" spans="1:86" s="94" customFormat="1" ht="15.75" customHeight="1" outlineLevel="1" x14ac:dyDescent="0.2">
      <c r="A289" s="36"/>
      <c r="B289" s="37"/>
      <c r="C289" s="242" t="s">
        <v>165</v>
      </c>
      <c r="D289" s="1549"/>
      <c r="E289" s="241">
        <v>2228.75</v>
      </c>
      <c r="F289" s="1549"/>
      <c r="G289" s="11"/>
      <c r="H289" s="36"/>
      <c r="I289" s="36"/>
      <c r="J289" s="36"/>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c r="BG289" s="35"/>
      <c r="BH289" s="35"/>
      <c r="BI289" s="35"/>
      <c r="BJ289" s="35"/>
      <c r="BK289" s="35"/>
      <c r="BL289" s="35"/>
      <c r="BM289" s="35"/>
      <c r="BN289" s="35"/>
      <c r="BO289" s="35"/>
      <c r="BP289" s="35"/>
      <c r="BQ289" s="35"/>
      <c r="BR289" s="35"/>
      <c r="BS289" s="35"/>
      <c r="BT289" s="35"/>
      <c r="BU289" s="35"/>
      <c r="BV289" s="35"/>
      <c r="BW289" s="35"/>
      <c r="BX289" s="35"/>
      <c r="BY289" s="35"/>
      <c r="BZ289" s="35"/>
      <c r="CA289" s="35"/>
      <c r="CB289" s="35"/>
      <c r="CC289" s="35"/>
      <c r="CD289" s="35"/>
      <c r="CE289" s="35"/>
      <c r="CF289" s="35"/>
      <c r="CG289" s="35"/>
      <c r="CH289" s="35"/>
    </row>
    <row r="290" spans="1:86" s="94" customFormat="1" ht="15.75" customHeight="1" outlineLevel="1" x14ac:dyDescent="0.2">
      <c r="A290" s="36"/>
      <c r="B290" s="37"/>
      <c r="C290" s="242" t="s">
        <v>166</v>
      </c>
      <c r="D290" s="1549"/>
      <c r="E290" s="241">
        <v>13.64</v>
      </c>
      <c r="F290" s="1549"/>
      <c r="G290" s="11"/>
      <c r="H290" s="36"/>
      <c r="I290" s="36"/>
      <c r="J290" s="36"/>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c r="BG290" s="35"/>
      <c r="BH290" s="35"/>
      <c r="BI290" s="35"/>
      <c r="BJ290" s="35"/>
      <c r="BK290" s="35"/>
      <c r="BL290" s="35"/>
      <c r="BM290" s="35"/>
      <c r="BN290" s="35"/>
      <c r="BO290" s="35"/>
      <c r="BP290" s="35"/>
      <c r="BQ290" s="35"/>
      <c r="BR290" s="35"/>
      <c r="BS290" s="35"/>
      <c r="BT290" s="35"/>
      <c r="BU290" s="35"/>
      <c r="BV290" s="35"/>
      <c r="BW290" s="35"/>
      <c r="BX290" s="35"/>
      <c r="BY290" s="35"/>
      <c r="BZ290" s="35"/>
      <c r="CA290" s="35"/>
      <c r="CB290" s="35"/>
      <c r="CC290" s="35"/>
      <c r="CD290" s="35"/>
      <c r="CE290" s="35"/>
      <c r="CF290" s="35"/>
      <c r="CG290" s="35"/>
      <c r="CH290" s="35"/>
    </row>
    <row r="291" spans="1:86" s="94" customFormat="1" ht="15.75" customHeight="1" outlineLevel="1" x14ac:dyDescent="0.2">
      <c r="A291" s="36"/>
      <c r="B291" s="37"/>
      <c r="C291" s="242" t="s">
        <v>167</v>
      </c>
      <c r="D291" s="1549"/>
      <c r="E291" s="241">
        <v>3.7199999999999998</v>
      </c>
      <c r="F291" s="1549"/>
      <c r="G291" s="11"/>
      <c r="H291" s="36"/>
      <c r="I291" s="36"/>
      <c r="J291" s="36"/>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c r="BG291" s="35"/>
      <c r="BH291" s="35"/>
      <c r="BI291" s="35"/>
      <c r="BJ291" s="35"/>
      <c r="BK291" s="35"/>
      <c r="BL291" s="35"/>
      <c r="BM291" s="35"/>
      <c r="BN291" s="35"/>
      <c r="BO291" s="35"/>
      <c r="BP291" s="35"/>
      <c r="BQ291" s="35"/>
      <c r="BR291" s="35"/>
      <c r="BS291" s="35"/>
      <c r="BT291" s="35"/>
      <c r="BU291" s="35"/>
      <c r="BV291" s="35"/>
      <c r="BW291" s="35"/>
      <c r="BX291" s="35"/>
      <c r="BY291" s="35"/>
      <c r="BZ291" s="35"/>
      <c r="CA291" s="35"/>
      <c r="CB291" s="35"/>
      <c r="CC291" s="35"/>
      <c r="CD291" s="35"/>
      <c r="CE291" s="35"/>
      <c r="CF291" s="35"/>
      <c r="CG291" s="35"/>
      <c r="CH291" s="35"/>
    </row>
    <row r="292" spans="1:86" s="94" customFormat="1" ht="15.75" customHeight="1" outlineLevel="1" x14ac:dyDescent="0.2">
      <c r="A292" s="36"/>
      <c r="B292" s="37"/>
      <c r="C292" s="242" t="s">
        <v>168</v>
      </c>
      <c r="D292" s="1549"/>
      <c r="E292" s="241">
        <v>441.5</v>
      </c>
      <c r="F292" s="1549"/>
      <c r="G292" s="11"/>
      <c r="H292" s="36"/>
      <c r="I292" s="36"/>
      <c r="J292" s="36"/>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c r="BG292" s="35"/>
      <c r="BH292" s="35"/>
      <c r="BI292" s="35"/>
      <c r="BJ292" s="35"/>
      <c r="BK292" s="35"/>
      <c r="BL292" s="35"/>
      <c r="BM292" s="35"/>
      <c r="BN292" s="35"/>
      <c r="BO292" s="35"/>
      <c r="BP292" s="35"/>
      <c r="BQ292" s="35"/>
      <c r="BR292" s="35"/>
      <c r="BS292" s="35"/>
      <c r="BT292" s="35"/>
      <c r="BU292" s="35"/>
      <c r="BV292" s="35"/>
      <c r="BW292" s="35"/>
      <c r="BX292" s="35"/>
      <c r="BY292" s="35"/>
      <c r="BZ292" s="35"/>
      <c r="CA292" s="35"/>
      <c r="CB292" s="35"/>
      <c r="CC292" s="35"/>
      <c r="CD292" s="35"/>
      <c r="CE292" s="35"/>
      <c r="CF292" s="35"/>
      <c r="CG292" s="35"/>
      <c r="CH292" s="35"/>
    </row>
    <row r="293" spans="1:86" s="94" customFormat="1" ht="15.75" customHeight="1" outlineLevel="1" x14ac:dyDescent="0.2">
      <c r="A293" s="36"/>
      <c r="B293" s="37"/>
      <c r="C293" s="242" t="s">
        <v>169</v>
      </c>
      <c r="D293" s="1549"/>
      <c r="E293" s="241">
        <v>2053.1</v>
      </c>
      <c r="F293" s="1549"/>
      <c r="G293" s="11"/>
      <c r="H293" s="36"/>
      <c r="I293" s="36"/>
      <c r="J293" s="36"/>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c r="BG293" s="35"/>
      <c r="BH293" s="35"/>
      <c r="BI293" s="35"/>
      <c r="BJ293" s="35"/>
      <c r="BK293" s="35"/>
      <c r="BL293" s="35"/>
      <c r="BM293" s="35"/>
      <c r="BN293" s="35"/>
      <c r="BO293" s="35"/>
      <c r="BP293" s="35"/>
      <c r="BQ293" s="35"/>
      <c r="BR293" s="35"/>
      <c r="BS293" s="35"/>
      <c r="BT293" s="35"/>
      <c r="BU293" s="35"/>
      <c r="BV293" s="35"/>
      <c r="BW293" s="35"/>
      <c r="BX293" s="35"/>
      <c r="BY293" s="35"/>
      <c r="BZ293" s="35"/>
      <c r="CA293" s="35"/>
      <c r="CB293" s="35"/>
      <c r="CC293" s="35"/>
      <c r="CD293" s="35"/>
      <c r="CE293" s="35"/>
      <c r="CF293" s="35"/>
      <c r="CG293" s="35"/>
      <c r="CH293" s="35"/>
    </row>
    <row r="294" spans="1:86" s="94" customFormat="1" ht="15.75" customHeight="1" outlineLevel="1" x14ac:dyDescent="0.2">
      <c r="A294" s="36"/>
      <c r="B294" s="37"/>
      <c r="C294" s="242" t="s">
        <v>170</v>
      </c>
      <c r="D294" s="1549"/>
      <c r="E294" s="241">
        <v>0</v>
      </c>
      <c r="F294" s="1549"/>
      <c r="G294" s="11"/>
      <c r="H294" s="36"/>
      <c r="I294" s="36"/>
      <c r="J294" s="36"/>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c r="BG294" s="35"/>
      <c r="BH294" s="35"/>
      <c r="BI294" s="35"/>
      <c r="BJ294" s="35"/>
      <c r="BK294" s="35"/>
      <c r="BL294" s="35"/>
      <c r="BM294" s="35"/>
      <c r="BN294" s="35"/>
      <c r="BO294" s="35"/>
      <c r="BP294" s="35"/>
      <c r="BQ294" s="35"/>
      <c r="BR294" s="35"/>
      <c r="BS294" s="35"/>
      <c r="BT294" s="35"/>
      <c r="BU294" s="35"/>
      <c r="BV294" s="35"/>
      <c r="BW294" s="35"/>
      <c r="BX294" s="35"/>
      <c r="BY294" s="35"/>
      <c r="BZ294" s="35"/>
      <c r="CA294" s="35"/>
      <c r="CB294" s="35"/>
      <c r="CC294" s="35"/>
      <c r="CD294" s="35"/>
      <c r="CE294" s="35"/>
      <c r="CF294" s="35"/>
      <c r="CG294" s="35"/>
      <c r="CH294" s="35"/>
    </row>
    <row r="295" spans="1:86" s="94" customFormat="1" ht="15.75" customHeight="1" outlineLevel="1" x14ac:dyDescent="0.2">
      <c r="A295" s="36"/>
      <c r="B295" s="37"/>
      <c r="C295" s="242" t="s">
        <v>171</v>
      </c>
      <c r="D295" s="1549"/>
      <c r="E295" s="241">
        <v>0</v>
      </c>
      <c r="F295" s="1549"/>
      <c r="G295" s="11"/>
      <c r="H295" s="36"/>
      <c r="I295" s="36"/>
      <c r="J295" s="36"/>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c r="BN295" s="35"/>
      <c r="BO295" s="35"/>
      <c r="BP295" s="35"/>
      <c r="BQ295" s="35"/>
      <c r="BR295" s="35"/>
      <c r="BS295" s="35"/>
      <c r="BT295" s="35"/>
      <c r="BU295" s="35"/>
      <c r="BV295" s="35"/>
      <c r="BW295" s="35"/>
      <c r="BX295" s="35"/>
      <c r="BY295" s="35"/>
      <c r="BZ295" s="35"/>
      <c r="CA295" s="35"/>
      <c r="CB295" s="35"/>
      <c r="CC295" s="35"/>
      <c r="CD295" s="35"/>
      <c r="CE295" s="35"/>
      <c r="CF295" s="35"/>
      <c r="CG295" s="35"/>
      <c r="CH295" s="35"/>
    </row>
    <row r="296" spans="1:86" s="94" customFormat="1" ht="15.75" customHeight="1" outlineLevel="1" x14ac:dyDescent="0.2">
      <c r="A296" s="36"/>
      <c r="B296" s="37"/>
      <c r="C296" s="242" t="s">
        <v>172</v>
      </c>
      <c r="D296" s="1549"/>
      <c r="E296" s="241">
        <v>22.32</v>
      </c>
      <c r="F296" s="1549"/>
      <c r="G296" s="11"/>
      <c r="H296" s="36"/>
      <c r="I296" s="36"/>
      <c r="J296" s="36"/>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c r="BN296" s="35"/>
      <c r="BO296" s="35"/>
      <c r="BP296" s="35"/>
      <c r="BQ296" s="35"/>
      <c r="BR296" s="35"/>
      <c r="BS296" s="35"/>
      <c r="BT296" s="35"/>
      <c r="BU296" s="35"/>
      <c r="BV296" s="35"/>
      <c r="BW296" s="35"/>
      <c r="BX296" s="35"/>
      <c r="BY296" s="35"/>
      <c r="BZ296" s="35"/>
      <c r="CA296" s="35"/>
      <c r="CB296" s="35"/>
      <c r="CC296" s="35"/>
      <c r="CD296" s="35"/>
      <c r="CE296" s="35"/>
      <c r="CF296" s="35"/>
      <c r="CG296" s="35"/>
      <c r="CH296" s="35"/>
    </row>
    <row r="297" spans="1:86" s="94" customFormat="1" ht="15.75" customHeight="1" outlineLevel="1" x14ac:dyDescent="0.2">
      <c r="A297" s="36"/>
      <c r="B297" s="37"/>
      <c r="C297" s="242" t="s">
        <v>173</v>
      </c>
      <c r="D297" s="1549"/>
      <c r="E297" s="241">
        <v>93</v>
      </c>
      <c r="F297" s="1549"/>
      <c r="G297" s="11"/>
      <c r="H297" s="36"/>
      <c r="I297" s="36"/>
      <c r="J297" s="36"/>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c r="BG297" s="35"/>
      <c r="BH297" s="35"/>
      <c r="BI297" s="35"/>
      <c r="BJ297" s="35"/>
      <c r="BK297" s="35"/>
      <c r="BL297" s="35"/>
      <c r="BM297" s="35"/>
      <c r="BN297" s="35"/>
      <c r="BO297" s="35"/>
      <c r="BP297" s="35"/>
      <c r="BQ297" s="35"/>
      <c r="BR297" s="35"/>
      <c r="BS297" s="35"/>
      <c r="BT297" s="35"/>
      <c r="BU297" s="35"/>
      <c r="BV297" s="35"/>
      <c r="BW297" s="35"/>
      <c r="BX297" s="35"/>
      <c r="BY297" s="35"/>
      <c r="BZ297" s="35"/>
      <c r="CA297" s="35"/>
      <c r="CB297" s="35"/>
      <c r="CC297" s="35"/>
      <c r="CD297" s="35"/>
      <c r="CE297" s="35"/>
      <c r="CF297" s="35"/>
      <c r="CG297" s="35"/>
      <c r="CH297" s="35"/>
    </row>
    <row r="298" spans="1:86" s="94" customFormat="1" ht="15.75" customHeight="1" outlineLevel="1" x14ac:dyDescent="0.2">
      <c r="A298" s="36"/>
      <c r="B298" s="37"/>
      <c r="C298" s="242" t="s">
        <v>174</v>
      </c>
      <c r="D298" s="1549"/>
      <c r="E298" s="241">
        <v>843.69999999999993</v>
      </c>
      <c r="F298" s="1549"/>
      <c r="G298" s="11"/>
      <c r="H298" s="36"/>
      <c r="I298" s="36"/>
      <c r="J298" s="36"/>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c r="BI298" s="35"/>
      <c r="BJ298" s="35"/>
      <c r="BK298" s="35"/>
      <c r="BL298" s="35"/>
      <c r="BM298" s="35"/>
      <c r="BN298" s="35"/>
      <c r="BO298" s="35"/>
      <c r="BP298" s="35"/>
      <c r="BQ298" s="35"/>
      <c r="BR298" s="35"/>
      <c r="BS298" s="35"/>
      <c r="BT298" s="35"/>
      <c r="BU298" s="35"/>
      <c r="BV298" s="35"/>
      <c r="BW298" s="35"/>
      <c r="BX298" s="35"/>
      <c r="BY298" s="35"/>
      <c r="BZ298" s="35"/>
      <c r="CA298" s="35"/>
      <c r="CB298" s="35"/>
      <c r="CC298" s="35"/>
      <c r="CD298" s="35"/>
      <c r="CE298" s="35"/>
      <c r="CF298" s="35"/>
      <c r="CG298" s="35"/>
      <c r="CH298" s="35"/>
    </row>
    <row r="299" spans="1:86" s="94" customFormat="1" ht="15.75" customHeight="1" outlineLevel="1" x14ac:dyDescent="0.2">
      <c r="A299" s="36"/>
      <c r="B299" s="37"/>
      <c r="C299" s="242" t="s">
        <v>175</v>
      </c>
      <c r="D299" s="1549"/>
      <c r="E299" s="241">
        <v>2346</v>
      </c>
      <c r="F299" s="1549"/>
      <c r="G299" s="11"/>
      <c r="H299" s="36"/>
      <c r="I299" s="36"/>
      <c r="J299" s="36"/>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c r="BG299" s="35"/>
      <c r="BH299" s="35"/>
      <c r="BI299" s="35"/>
      <c r="BJ299" s="35"/>
      <c r="BK299" s="35"/>
      <c r="BL299" s="35"/>
      <c r="BM299" s="35"/>
      <c r="BN299" s="35"/>
      <c r="BO299" s="35"/>
      <c r="BP299" s="35"/>
      <c r="BQ299" s="35"/>
      <c r="BR299" s="35"/>
      <c r="BS299" s="35"/>
      <c r="BT299" s="35"/>
      <c r="BU299" s="35"/>
      <c r="BV299" s="35"/>
      <c r="BW299" s="35"/>
      <c r="BX299" s="35"/>
      <c r="BY299" s="35"/>
      <c r="BZ299" s="35"/>
      <c r="CA299" s="35"/>
      <c r="CB299" s="35"/>
      <c r="CC299" s="35"/>
      <c r="CD299" s="35"/>
      <c r="CE299" s="35"/>
      <c r="CF299" s="35"/>
      <c r="CG299" s="35"/>
      <c r="CH299" s="35"/>
    </row>
    <row r="300" spans="1:86" s="94" customFormat="1" ht="15.75" customHeight="1" outlineLevel="1" x14ac:dyDescent="0.2">
      <c r="A300" s="36"/>
      <c r="B300" s="37"/>
      <c r="C300" s="242" t="s">
        <v>482</v>
      </c>
      <c r="D300" s="1549"/>
      <c r="E300" s="241">
        <v>3026.69</v>
      </c>
      <c r="F300" s="1549"/>
      <c r="G300" s="11"/>
      <c r="H300" s="36"/>
      <c r="I300" s="36"/>
      <c r="J300" s="36"/>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c r="BN300" s="35"/>
      <c r="BO300" s="35"/>
      <c r="BP300" s="35"/>
      <c r="BQ300" s="35"/>
      <c r="BR300" s="35"/>
      <c r="BS300" s="35"/>
      <c r="BT300" s="35"/>
      <c r="BU300" s="35"/>
      <c r="BV300" s="35"/>
      <c r="BW300" s="35"/>
      <c r="BX300" s="35"/>
      <c r="BY300" s="35"/>
      <c r="BZ300" s="35"/>
      <c r="CA300" s="35"/>
      <c r="CB300" s="35"/>
      <c r="CC300" s="35"/>
      <c r="CD300" s="35"/>
      <c r="CE300" s="35"/>
      <c r="CF300" s="35"/>
      <c r="CG300" s="35"/>
      <c r="CH300" s="35"/>
    </row>
    <row r="301" spans="1:86" s="94" customFormat="1" ht="15.75" customHeight="1" outlineLevel="1" x14ac:dyDescent="0.2">
      <c r="A301" s="36"/>
      <c r="B301" s="37"/>
      <c r="C301" s="242" t="s">
        <v>483</v>
      </c>
      <c r="D301" s="1549"/>
      <c r="E301" s="241">
        <v>1809.3400000000001</v>
      </c>
      <c r="F301" s="1549"/>
      <c r="G301" s="11"/>
      <c r="H301" s="36"/>
      <c r="I301" s="36"/>
      <c r="J301" s="36"/>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c r="BG301" s="35"/>
      <c r="BH301" s="35"/>
      <c r="BI301" s="35"/>
      <c r="BJ301" s="35"/>
      <c r="BK301" s="35"/>
      <c r="BL301" s="35"/>
      <c r="BM301" s="35"/>
      <c r="BN301" s="35"/>
      <c r="BO301" s="35"/>
      <c r="BP301" s="35"/>
      <c r="BQ301" s="35"/>
      <c r="BR301" s="35"/>
      <c r="BS301" s="35"/>
      <c r="BT301" s="35"/>
      <c r="BU301" s="35"/>
      <c r="BV301" s="35"/>
      <c r="BW301" s="35"/>
      <c r="BX301" s="35"/>
      <c r="BY301" s="35"/>
      <c r="BZ301" s="35"/>
      <c r="CA301" s="35"/>
      <c r="CB301" s="35"/>
      <c r="CC301" s="35"/>
      <c r="CD301" s="35"/>
      <c r="CE301" s="35"/>
      <c r="CF301" s="35"/>
      <c r="CG301" s="35"/>
      <c r="CH301" s="35"/>
    </row>
    <row r="302" spans="1:86" s="94" customFormat="1" ht="15.75" customHeight="1" outlineLevel="1" x14ac:dyDescent="0.2">
      <c r="A302" s="36"/>
      <c r="B302" s="37"/>
      <c r="C302" s="242" t="s">
        <v>176</v>
      </c>
      <c r="D302" s="1549"/>
      <c r="E302" s="241">
        <v>3.1</v>
      </c>
      <c r="F302" s="1549"/>
      <c r="G302" s="11"/>
      <c r="H302" s="36"/>
      <c r="I302" s="36"/>
      <c r="J302" s="36"/>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c r="BG302" s="35"/>
      <c r="BH302" s="35"/>
      <c r="BI302" s="35"/>
      <c r="BJ302" s="35"/>
      <c r="BK302" s="35"/>
      <c r="BL302" s="35"/>
      <c r="BM302" s="35"/>
      <c r="BN302" s="35"/>
      <c r="BO302" s="35"/>
      <c r="BP302" s="35"/>
      <c r="BQ302" s="35"/>
      <c r="BR302" s="35"/>
      <c r="BS302" s="35"/>
      <c r="BT302" s="35"/>
      <c r="BU302" s="35"/>
      <c r="BV302" s="35"/>
      <c r="BW302" s="35"/>
      <c r="BX302" s="35"/>
      <c r="BY302" s="35"/>
      <c r="BZ302" s="35"/>
      <c r="CA302" s="35"/>
      <c r="CB302" s="35"/>
      <c r="CC302" s="35"/>
      <c r="CD302" s="35"/>
      <c r="CE302" s="35"/>
      <c r="CF302" s="35"/>
      <c r="CG302" s="35"/>
      <c r="CH302" s="35"/>
    </row>
    <row r="303" spans="1:86" s="94" customFormat="1" ht="15.75" customHeight="1" outlineLevel="1" x14ac:dyDescent="0.2">
      <c r="A303" s="36"/>
      <c r="B303" s="37"/>
      <c r="C303" s="242" t="s">
        <v>177</v>
      </c>
      <c r="D303" s="1549"/>
      <c r="E303" s="241">
        <v>2966.7</v>
      </c>
      <c r="F303" s="1549"/>
      <c r="G303" s="11"/>
      <c r="H303" s="36"/>
      <c r="I303" s="36"/>
      <c r="J303" s="36"/>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c r="BG303" s="35"/>
      <c r="BH303" s="35"/>
      <c r="BI303" s="35"/>
      <c r="BJ303" s="35"/>
      <c r="BK303" s="35"/>
      <c r="BL303" s="35"/>
      <c r="BM303" s="35"/>
      <c r="BN303" s="35"/>
      <c r="BO303" s="35"/>
      <c r="BP303" s="35"/>
      <c r="BQ303" s="35"/>
      <c r="BR303" s="35"/>
      <c r="BS303" s="35"/>
      <c r="BT303" s="35"/>
      <c r="BU303" s="35"/>
      <c r="BV303" s="35"/>
      <c r="BW303" s="35"/>
      <c r="BX303" s="35"/>
      <c r="BY303" s="35"/>
      <c r="BZ303" s="35"/>
      <c r="CA303" s="35"/>
      <c r="CB303" s="35"/>
      <c r="CC303" s="35"/>
      <c r="CD303" s="35"/>
      <c r="CE303" s="35"/>
      <c r="CF303" s="35"/>
      <c r="CG303" s="35"/>
      <c r="CH303" s="35"/>
    </row>
    <row r="304" spans="1:86" s="94" customFormat="1" ht="15.75" customHeight="1" outlineLevel="1" x14ac:dyDescent="0.2">
      <c r="A304" s="36"/>
      <c r="B304" s="37"/>
      <c r="C304" s="242" t="s">
        <v>484</v>
      </c>
      <c r="D304" s="1549"/>
      <c r="E304" s="241">
        <v>2383.9</v>
      </c>
      <c r="F304" s="1549"/>
      <c r="G304" s="11"/>
      <c r="H304" s="36"/>
      <c r="I304" s="36"/>
      <c r="J304" s="36"/>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c r="BG304" s="35"/>
      <c r="BH304" s="35"/>
      <c r="BI304" s="35"/>
      <c r="BJ304" s="35"/>
      <c r="BK304" s="35"/>
      <c r="BL304" s="35"/>
      <c r="BM304" s="35"/>
      <c r="BN304" s="35"/>
      <c r="BO304" s="35"/>
      <c r="BP304" s="35"/>
      <c r="BQ304" s="35"/>
      <c r="BR304" s="35"/>
      <c r="BS304" s="35"/>
      <c r="BT304" s="35"/>
      <c r="BU304" s="35"/>
      <c r="BV304" s="35"/>
      <c r="BW304" s="35"/>
      <c r="BX304" s="35"/>
      <c r="BY304" s="35"/>
      <c r="BZ304" s="35"/>
      <c r="CA304" s="35"/>
      <c r="CB304" s="35"/>
      <c r="CC304" s="35"/>
      <c r="CD304" s="35"/>
      <c r="CE304" s="35"/>
      <c r="CF304" s="35"/>
      <c r="CG304" s="35"/>
      <c r="CH304" s="35"/>
    </row>
    <row r="305" spans="1:86" s="94" customFormat="1" ht="15.75" customHeight="1" outlineLevel="1" x14ac:dyDescent="0.2">
      <c r="A305" s="36"/>
      <c r="B305" s="37"/>
      <c r="C305" s="242" t="s">
        <v>178</v>
      </c>
      <c r="D305" s="1549"/>
      <c r="E305" s="241">
        <v>1258.4000000000001</v>
      </c>
      <c r="F305" s="1549"/>
      <c r="G305" s="11"/>
      <c r="H305" s="36"/>
      <c r="I305" s="36"/>
      <c r="J305" s="36"/>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G305" s="35"/>
      <c r="BH305" s="35"/>
      <c r="BI305" s="35"/>
      <c r="BJ305" s="35"/>
      <c r="BK305" s="35"/>
      <c r="BL305" s="35"/>
      <c r="BM305" s="35"/>
      <c r="BN305" s="35"/>
      <c r="BO305" s="35"/>
      <c r="BP305" s="35"/>
      <c r="BQ305" s="35"/>
      <c r="BR305" s="35"/>
      <c r="BS305" s="35"/>
      <c r="BT305" s="35"/>
      <c r="BU305" s="35"/>
      <c r="BV305" s="35"/>
      <c r="BW305" s="35"/>
      <c r="BX305" s="35"/>
      <c r="BY305" s="35"/>
      <c r="BZ305" s="35"/>
      <c r="CA305" s="35"/>
      <c r="CB305" s="35"/>
      <c r="CC305" s="35"/>
      <c r="CD305" s="35"/>
      <c r="CE305" s="35"/>
      <c r="CF305" s="35"/>
      <c r="CG305" s="35"/>
      <c r="CH305" s="35"/>
    </row>
    <row r="306" spans="1:86" s="94" customFormat="1" ht="15.75" customHeight="1" outlineLevel="1" x14ac:dyDescent="0.2">
      <c r="A306" s="36"/>
      <c r="B306" s="37"/>
      <c r="C306" s="242" t="s">
        <v>485</v>
      </c>
      <c r="D306" s="1549"/>
      <c r="E306" s="241">
        <v>2630.6</v>
      </c>
      <c r="F306" s="1549"/>
      <c r="G306" s="11"/>
      <c r="H306" s="36"/>
      <c r="I306" s="36"/>
      <c r="J306" s="36"/>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s="35"/>
      <c r="BI306" s="35"/>
      <c r="BJ306" s="35"/>
      <c r="BK306" s="35"/>
      <c r="BL306" s="35"/>
      <c r="BM306" s="35"/>
      <c r="BN306" s="35"/>
      <c r="BO306" s="35"/>
      <c r="BP306" s="35"/>
      <c r="BQ306" s="35"/>
      <c r="BR306" s="35"/>
      <c r="BS306" s="35"/>
      <c r="BT306" s="35"/>
      <c r="BU306" s="35"/>
      <c r="BV306" s="35"/>
      <c r="BW306" s="35"/>
      <c r="BX306" s="35"/>
      <c r="BY306" s="35"/>
      <c r="BZ306" s="35"/>
      <c r="CA306" s="35"/>
      <c r="CB306" s="35"/>
      <c r="CC306" s="35"/>
      <c r="CD306" s="35"/>
      <c r="CE306" s="35"/>
      <c r="CF306" s="35"/>
      <c r="CG306" s="35"/>
      <c r="CH306" s="35"/>
    </row>
    <row r="307" spans="1:86" s="94" customFormat="1" ht="15.75" customHeight="1" outlineLevel="1" x14ac:dyDescent="0.2">
      <c r="A307" s="36"/>
      <c r="B307" s="37"/>
      <c r="C307" s="242" t="s">
        <v>486</v>
      </c>
      <c r="D307" s="1549"/>
      <c r="E307" s="241">
        <v>3189.5</v>
      </c>
      <c r="F307" s="1549"/>
      <c r="G307" s="11"/>
      <c r="H307" s="36"/>
      <c r="I307" s="36"/>
      <c r="J307" s="36"/>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c r="BG307" s="35"/>
      <c r="BH307" s="35"/>
      <c r="BI307" s="35"/>
      <c r="BJ307" s="35"/>
      <c r="BK307" s="35"/>
      <c r="BL307" s="35"/>
      <c r="BM307" s="35"/>
      <c r="BN307" s="35"/>
      <c r="BO307" s="35"/>
      <c r="BP307" s="35"/>
      <c r="BQ307" s="35"/>
      <c r="BR307" s="35"/>
      <c r="BS307" s="35"/>
      <c r="BT307" s="35"/>
      <c r="BU307" s="35"/>
      <c r="BV307" s="35"/>
      <c r="BW307" s="35"/>
      <c r="BX307" s="35"/>
      <c r="BY307" s="35"/>
      <c r="BZ307" s="35"/>
      <c r="CA307" s="35"/>
      <c r="CB307" s="35"/>
      <c r="CC307" s="35"/>
      <c r="CD307" s="35"/>
      <c r="CE307" s="35"/>
      <c r="CF307" s="35"/>
      <c r="CG307" s="35"/>
      <c r="CH307" s="35"/>
    </row>
    <row r="308" spans="1:86" s="94" customFormat="1" ht="15.75" customHeight="1" outlineLevel="1" x14ac:dyDescent="0.2">
      <c r="A308" s="36"/>
      <c r="B308" s="37"/>
      <c r="C308" s="242" t="s">
        <v>487</v>
      </c>
      <c r="D308" s="1549"/>
      <c r="E308" s="241">
        <v>3142.95</v>
      </c>
      <c r="F308" s="1549"/>
      <c r="G308" s="11"/>
      <c r="H308" s="36"/>
      <c r="I308" s="36"/>
      <c r="J308" s="36"/>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s="35"/>
      <c r="BI308" s="35"/>
      <c r="BJ308" s="35"/>
      <c r="BK308" s="35"/>
      <c r="BL308" s="35"/>
      <c r="BM308" s="35"/>
      <c r="BN308" s="35"/>
      <c r="BO308" s="35"/>
      <c r="BP308" s="35"/>
      <c r="BQ308" s="35"/>
      <c r="BR308" s="35"/>
      <c r="BS308" s="35"/>
      <c r="BT308" s="35"/>
      <c r="BU308" s="35"/>
      <c r="BV308" s="35"/>
      <c r="BW308" s="35"/>
      <c r="BX308" s="35"/>
      <c r="BY308" s="35"/>
      <c r="BZ308" s="35"/>
      <c r="CA308" s="35"/>
      <c r="CB308" s="35"/>
      <c r="CC308" s="35"/>
      <c r="CD308" s="35"/>
      <c r="CE308" s="35"/>
      <c r="CF308" s="35"/>
      <c r="CG308" s="35"/>
      <c r="CH308" s="35"/>
    </row>
    <row r="309" spans="1:86" s="94" customFormat="1" ht="15.75" customHeight="1" outlineLevel="1" x14ac:dyDescent="0.2">
      <c r="A309" s="36"/>
      <c r="B309" s="37"/>
      <c r="C309" s="242" t="s">
        <v>488</v>
      </c>
      <c r="D309" s="1549"/>
      <c r="E309" s="241">
        <v>2525.6000000000004</v>
      </c>
      <c r="F309" s="1549"/>
      <c r="G309" s="11"/>
      <c r="H309" s="36"/>
      <c r="I309" s="36"/>
      <c r="J309" s="36"/>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35"/>
      <c r="BI309" s="35"/>
      <c r="BJ309" s="35"/>
      <c r="BK309" s="35"/>
      <c r="BL309" s="35"/>
      <c r="BM309" s="35"/>
      <c r="BN309" s="35"/>
      <c r="BO309" s="35"/>
      <c r="BP309" s="35"/>
      <c r="BQ309" s="35"/>
      <c r="BR309" s="35"/>
      <c r="BS309" s="35"/>
      <c r="BT309" s="35"/>
      <c r="BU309" s="35"/>
      <c r="BV309" s="35"/>
      <c r="BW309" s="35"/>
      <c r="BX309" s="35"/>
      <c r="BY309" s="35"/>
      <c r="BZ309" s="35"/>
      <c r="CA309" s="35"/>
      <c r="CB309" s="35"/>
      <c r="CC309" s="35"/>
      <c r="CD309" s="35"/>
      <c r="CE309" s="35"/>
      <c r="CF309" s="35"/>
      <c r="CG309" s="35"/>
      <c r="CH309" s="35"/>
    </row>
    <row r="310" spans="1:86" s="94" customFormat="1" ht="15.75" customHeight="1" outlineLevel="1" x14ac:dyDescent="0.2">
      <c r="A310" s="36"/>
      <c r="B310" s="37"/>
      <c r="C310" s="242" t="s">
        <v>489</v>
      </c>
      <c r="D310" s="1549"/>
      <c r="E310" s="241">
        <v>3084.5</v>
      </c>
      <c r="F310" s="1549"/>
      <c r="G310" s="11"/>
      <c r="H310" s="36"/>
      <c r="I310" s="36"/>
      <c r="J310" s="36"/>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c r="BG310" s="35"/>
      <c r="BH310" s="35"/>
      <c r="BI310" s="35"/>
      <c r="BJ310" s="35"/>
      <c r="BK310" s="35"/>
      <c r="BL310" s="35"/>
      <c r="BM310" s="35"/>
      <c r="BN310" s="35"/>
      <c r="BO310" s="35"/>
      <c r="BP310" s="35"/>
      <c r="BQ310" s="35"/>
      <c r="BR310" s="35"/>
      <c r="BS310" s="35"/>
      <c r="BT310" s="35"/>
      <c r="BU310" s="35"/>
      <c r="BV310" s="35"/>
      <c r="BW310" s="35"/>
      <c r="BX310" s="35"/>
      <c r="BY310" s="35"/>
      <c r="BZ310" s="35"/>
      <c r="CA310" s="35"/>
      <c r="CB310" s="35"/>
      <c r="CC310" s="35"/>
      <c r="CD310" s="35"/>
      <c r="CE310" s="35"/>
      <c r="CF310" s="35"/>
      <c r="CG310" s="35"/>
      <c r="CH310" s="35"/>
    </row>
    <row r="311" spans="1:86" s="94" customFormat="1" ht="15.75" customHeight="1" outlineLevel="1" x14ac:dyDescent="0.2">
      <c r="A311" s="36"/>
      <c r="B311" s="37"/>
      <c r="C311" s="242" t="s">
        <v>490</v>
      </c>
      <c r="D311" s="1549"/>
      <c r="E311" s="241">
        <v>2725.45</v>
      </c>
      <c r="F311" s="1549"/>
      <c r="G311" s="11"/>
      <c r="H311" s="36"/>
      <c r="I311" s="36"/>
      <c r="J311" s="36"/>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c r="BI311" s="35"/>
      <c r="BJ311" s="35"/>
      <c r="BK311" s="35"/>
      <c r="BL311" s="35"/>
      <c r="BM311" s="35"/>
      <c r="BN311" s="35"/>
      <c r="BO311" s="35"/>
      <c r="BP311" s="35"/>
      <c r="BQ311" s="35"/>
      <c r="BR311" s="35"/>
      <c r="BS311" s="35"/>
      <c r="BT311" s="35"/>
      <c r="BU311" s="35"/>
      <c r="BV311" s="35"/>
      <c r="BW311" s="35"/>
      <c r="BX311" s="35"/>
      <c r="BY311" s="35"/>
      <c r="BZ311" s="35"/>
      <c r="CA311" s="35"/>
      <c r="CB311" s="35"/>
      <c r="CC311" s="35"/>
      <c r="CD311" s="35"/>
      <c r="CE311" s="35"/>
      <c r="CF311" s="35"/>
      <c r="CG311" s="35"/>
      <c r="CH311" s="35"/>
    </row>
    <row r="312" spans="1:86" s="94" customFormat="1" ht="15.75" customHeight="1" outlineLevel="1" x14ac:dyDescent="0.2">
      <c r="A312" s="36"/>
      <c r="B312" s="37"/>
      <c r="C312" s="242" t="s">
        <v>491</v>
      </c>
      <c r="D312" s="1549"/>
      <c r="E312" s="241">
        <v>2591.9899999999998</v>
      </c>
      <c r="F312" s="1549"/>
      <c r="G312" s="11"/>
      <c r="H312" s="36"/>
      <c r="I312" s="36"/>
      <c r="J312" s="36"/>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c r="BG312" s="35"/>
      <c r="BH312" s="35"/>
      <c r="BI312" s="35"/>
      <c r="BJ312" s="35"/>
      <c r="BK312" s="35"/>
      <c r="BL312" s="35"/>
      <c r="BM312" s="35"/>
      <c r="BN312" s="35"/>
      <c r="BO312" s="35"/>
      <c r="BP312" s="35"/>
      <c r="BQ312" s="35"/>
      <c r="BR312" s="35"/>
      <c r="BS312" s="35"/>
      <c r="BT312" s="35"/>
      <c r="BU312" s="35"/>
      <c r="BV312" s="35"/>
      <c r="BW312" s="35"/>
      <c r="BX312" s="35"/>
      <c r="BY312" s="35"/>
      <c r="BZ312" s="35"/>
      <c r="CA312" s="35"/>
      <c r="CB312" s="35"/>
      <c r="CC312" s="35"/>
      <c r="CD312" s="35"/>
      <c r="CE312" s="35"/>
      <c r="CF312" s="35"/>
      <c r="CG312" s="35"/>
      <c r="CH312" s="35"/>
    </row>
    <row r="313" spans="1:86" s="94" customFormat="1" ht="15.75" customHeight="1" outlineLevel="1" x14ac:dyDescent="0.2">
      <c r="A313" s="36"/>
      <c r="B313" s="37"/>
      <c r="C313" s="242" t="s">
        <v>492</v>
      </c>
      <c r="D313" s="1549"/>
      <c r="E313" s="241">
        <v>2280.25</v>
      </c>
      <c r="F313" s="1549"/>
      <c r="G313" s="11"/>
      <c r="H313" s="36"/>
      <c r="I313" s="36"/>
      <c r="J313" s="36"/>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c r="BG313" s="35"/>
      <c r="BH313" s="35"/>
      <c r="BI313" s="35"/>
      <c r="BJ313" s="35"/>
      <c r="BK313" s="35"/>
      <c r="BL313" s="35"/>
      <c r="BM313" s="35"/>
      <c r="BN313" s="35"/>
      <c r="BO313" s="35"/>
      <c r="BP313" s="35"/>
      <c r="BQ313" s="35"/>
      <c r="BR313" s="35"/>
      <c r="BS313" s="35"/>
      <c r="BT313" s="35"/>
      <c r="BU313" s="35"/>
      <c r="BV313" s="35"/>
      <c r="BW313" s="35"/>
      <c r="BX313" s="35"/>
      <c r="BY313" s="35"/>
      <c r="BZ313" s="35"/>
      <c r="CA313" s="35"/>
      <c r="CB313" s="35"/>
      <c r="CC313" s="35"/>
      <c r="CD313" s="35"/>
      <c r="CE313" s="35"/>
      <c r="CF313" s="35"/>
      <c r="CG313" s="35"/>
      <c r="CH313" s="35"/>
    </row>
    <row r="314" spans="1:86" s="94" customFormat="1" ht="15.75" customHeight="1" outlineLevel="1" x14ac:dyDescent="0.2">
      <c r="A314" s="36"/>
      <c r="B314" s="37"/>
      <c r="C314" s="242" t="s">
        <v>493</v>
      </c>
      <c r="D314" s="1549"/>
      <c r="E314" s="241">
        <v>2439.6</v>
      </c>
      <c r="F314" s="1549"/>
      <c r="G314" s="11"/>
      <c r="H314" s="36"/>
      <c r="I314" s="36"/>
      <c r="J314" s="36"/>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c r="BG314" s="35"/>
      <c r="BH314" s="35"/>
      <c r="BI314" s="35"/>
      <c r="BJ314" s="35"/>
      <c r="BK314" s="35"/>
      <c r="BL314" s="35"/>
      <c r="BM314" s="35"/>
      <c r="BN314" s="35"/>
      <c r="BO314" s="35"/>
      <c r="BP314" s="35"/>
      <c r="BQ314" s="35"/>
      <c r="BR314" s="35"/>
      <c r="BS314" s="35"/>
      <c r="BT314" s="35"/>
      <c r="BU314" s="35"/>
      <c r="BV314" s="35"/>
      <c r="BW314" s="35"/>
      <c r="BX314" s="35"/>
      <c r="BY314" s="35"/>
      <c r="BZ314" s="35"/>
      <c r="CA314" s="35"/>
      <c r="CB314" s="35"/>
      <c r="CC314" s="35"/>
      <c r="CD314" s="35"/>
      <c r="CE314" s="35"/>
      <c r="CF314" s="35"/>
      <c r="CG314" s="35"/>
      <c r="CH314" s="35"/>
    </row>
    <row r="315" spans="1:86" s="94" customFormat="1" ht="15.75" customHeight="1" outlineLevel="1" x14ac:dyDescent="0.2">
      <c r="A315" s="36"/>
      <c r="B315" s="37"/>
      <c r="C315" s="242" t="s">
        <v>494</v>
      </c>
      <c r="D315" s="1549"/>
      <c r="E315" s="241">
        <v>1505.125</v>
      </c>
      <c r="F315" s="1549"/>
      <c r="G315" s="11"/>
      <c r="H315" s="36"/>
      <c r="I315" s="36"/>
      <c r="J315" s="36"/>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c r="BG315" s="35"/>
      <c r="BH315" s="35"/>
      <c r="BI315" s="35"/>
      <c r="BJ315" s="35"/>
      <c r="BK315" s="35"/>
      <c r="BL315" s="35"/>
      <c r="BM315" s="35"/>
      <c r="BN315" s="35"/>
      <c r="BO315" s="35"/>
      <c r="BP315" s="35"/>
      <c r="BQ315" s="35"/>
      <c r="BR315" s="35"/>
      <c r="BS315" s="35"/>
      <c r="BT315" s="35"/>
      <c r="BU315" s="35"/>
      <c r="BV315" s="35"/>
      <c r="BW315" s="35"/>
      <c r="BX315" s="35"/>
      <c r="BY315" s="35"/>
      <c r="BZ315" s="35"/>
      <c r="CA315" s="35"/>
      <c r="CB315" s="35"/>
      <c r="CC315" s="35"/>
      <c r="CD315" s="35"/>
      <c r="CE315" s="35"/>
      <c r="CF315" s="35"/>
      <c r="CG315" s="35"/>
      <c r="CH315" s="35"/>
    </row>
    <row r="316" spans="1:86" s="94" customFormat="1" ht="15.75" customHeight="1" outlineLevel="1" x14ac:dyDescent="0.2">
      <c r="A316" s="36"/>
      <c r="B316" s="37"/>
      <c r="C316" s="242" t="s">
        <v>495</v>
      </c>
      <c r="D316" s="1549"/>
      <c r="E316" s="241">
        <v>1508.4</v>
      </c>
      <c r="F316" s="1549"/>
      <c r="G316" s="11"/>
      <c r="H316" s="36"/>
      <c r="I316" s="36"/>
      <c r="J316" s="36"/>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c r="BG316" s="35"/>
      <c r="BH316" s="35"/>
      <c r="BI316" s="35"/>
      <c r="BJ316" s="35"/>
      <c r="BK316" s="35"/>
      <c r="BL316" s="35"/>
      <c r="BM316" s="35"/>
      <c r="BN316" s="35"/>
      <c r="BO316" s="35"/>
      <c r="BP316" s="35"/>
      <c r="BQ316" s="35"/>
      <c r="BR316" s="35"/>
      <c r="BS316" s="35"/>
      <c r="BT316" s="35"/>
      <c r="BU316" s="35"/>
      <c r="BV316" s="35"/>
      <c r="BW316" s="35"/>
      <c r="BX316" s="35"/>
      <c r="BY316" s="35"/>
      <c r="BZ316" s="35"/>
      <c r="CA316" s="35"/>
      <c r="CB316" s="35"/>
      <c r="CC316" s="35"/>
      <c r="CD316" s="35"/>
      <c r="CE316" s="35"/>
      <c r="CF316" s="35"/>
      <c r="CG316" s="35"/>
      <c r="CH316" s="35"/>
    </row>
    <row r="317" spans="1:86" s="94" customFormat="1" ht="15.75" customHeight="1" outlineLevel="1" x14ac:dyDescent="0.2">
      <c r="A317" s="36"/>
      <c r="B317" s="37"/>
      <c r="C317" s="242" t="s">
        <v>496</v>
      </c>
      <c r="D317" s="1549"/>
      <c r="E317" s="241">
        <v>2138.25</v>
      </c>
      <c r="F317" s="1549"/>
      <c r="G317" s="11"/>
      <c r="H317" s="36"/>
      <c r="I317" s="36"/>
      <c r="J317" s="36"/>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c r="BN317" s="35"/>
      <c r="BO317" s="35"/>
      <c r="BP317" s="35"/>
      <c r="BQ317" s="35"/>
      <c r="BR317" s="35"/>
      <c r="BS317" s="35"/>
      <c r="BT317" s="35"/>
      <c r="BU317" s="35"/>
      <c r="BV317" s="35"/>
      <c r="BW317" s="35"/>
      <c r="BX317" s="35"/>
      <c r="BY317" s="35"/>
      <c r="BZ317" s="35"/>
      <c r="CA317" s="35"/>
      <c r="CB317" s="35"/>
      <c r="CC317" s="35"/>
      <c r="CD317" s="35"/>
      <c r="CE317" s="35"/>
      <c r="CF317" s="35"/>
      <c r="CG317" s="35"/>
      <c r="CH317" s="35"/>
    </row>
    <row r="318" spans="1:86" s="94" customFormat="1" ht="15.75" customHeight="1" outlineLevel="1" x14ac:dyDescent="0.2">
      <c r="A318" s="36"/>
      <c r="B318" s="37"/>
      <c r="C318" s="242" t="s">
        <v>497</v>
      </c>
      <c r="D318" s="1549"/>
      <c r="E318" s="241">
        <v>3606.5</v>
      </c>
      <c r="F318" s="1549"/>
      <c r="G318" s="11"/>
      <c r="H318" s="36"/>
      <c r="I318" s="36"/>
      <c r="J318" s="36"/>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c r="BG318" s="35"/>
      <c r="BH318" s="35"/>
      <c r="BI318" s="35"/>
      <c r="BJ318" s="35"/>
      <c r="BK318" s="35"/>
      <c r="BL318" s="35"/>
      <c r="BM318" s="35"/>
      <c r="BN318" s="35"/>
      <c r="BO318" s="35"/>
      <c r="BP318" s="35"/>
      <c r="BQ318" s="35"/>
      <c r="BR318" s="35"/>
      <c r="BS318" s="35"/>
      <c r="BT318" s="35"/>
      <c r="BU318" s="35"/>
      <c r="BV318" s="35"/>
      <c r="BW318" s="35"/>
      <c r="BX318" s="35"/>
      <c r="BY318" s="35"/>
      <c r="BZ318" s="35"/>
      <c r="CA318" s="35"/>
      <c r="CB318" s="35"/>
      <c r="CC318" s="35"/>
      <c r="CD318" s="35"/>
      <c r="CE318" s="35"/>
      <c r="CF318" s="35"/>
      <c r="CG318" s="35"/>
      <c r="CH318" s="35"/>
    </row>
    <row r="319" spans="1:86" s="94" customFormat="1" ht="15.75" customHeight="1" outlineLevel="1" x14ac:dyDescent="0.2">
      <c r="A319" s="36"/>
      <c r="B319" s="37"/>
      <c r="C319" s="242" t="s">
        <v>498</v>
      </c>
      <c r="D319" s="1549"/>
      <c r="E319" s="241">
        <v>12.4</v>
      </c>
      <c r="F319" s="1549"/>
      <c r="G319" s="11"/>
      <c r="H319" s="36"/>
      <c r="I319" s="36"/>
      <c r="J319" s="36"/>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c r="BL319" s="35"/>
      <c r="BM319" s="35"/>
      <c r="BN319" s="35"/>
      <c r="BO319" s="35"/>
      <c r="BP319" s="35"/>
      <c r="BQ319" s="35"/>
      <c r="BR319" s="35"/>
      <c r="BS319" s="35"/>
      <c r="BT319" s="35"/>
      <c r="BU319" s="35"/>
      <c r="BV319" s="35"/>
      <c r="BW319" s="35"/>
      <c r="BX319" s="35"/>
      <c r="BY319" s="35"/>
      <c r="BZ319" s="35"/>
      <c r="CA319" s="35"/>
      <c r="CB319" s="35"/>
      <c r="CC319" s="35"/>
      <c r="CD319" s="35"/>
      <c r="CE319" s="35"/>
      <c r="CF319" s="35"/>
      <c r="CG319" s="35"/>
      <c r="CH319" s="35"/>
    </row>
    <row r="320" spans="1:86" s="94" customFormat="1" ht="15.75" customHeight="1" outlineLevel="1" x14ac:dyDescent="0.2">
      <c r="A320" s="36"/>
      <c r="B320" s="37"/>
      <c r="C320" s="242" t="s">
        <v>499</v>
      </c>
      <c r="D320" s="1549"/>
      <c r="E320" s="241">
        <v>94.24</v>
      </c>
      <c r="F320" s="1549"/>
      <c r="G320" s="11"/>
      <c r="H320" s="36"/>
      <c r="I320" s="36"/>
      <c r="J320" s="36"/>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c r="BG320" s="35"/>
      <c r="BH320" s="35"/>
      <c r="BI320" s="35"/>
      <c r="BJ320" s="35"/>
      <c r="BK320" s="35"/>
      <c r="BL320" s="35"/>
      <c r="BM320" s="35"/>
      <c r="BN320" s="35"/>
      <c r="BO320" s="35"/>
      <c r="BP320" s="35"/>
      <c r="BQ320" s="35"/>
      <c r="BR320" s="35"/>
      <c r="BS320" s="35"/>
      <c r="BT320" s="35"/>
      <c r="BU320" s="35"/>
      <c r="BV320" s="35"/>
      <c r="BW320" s="35"/>
      <c r="BX320" s="35"/>
      <c r="BY320" s="35"/>
      <c r="BZ320" s="35"/>
      <c r="CA320" s="35"/>
      <c r="CB320" s="35"/>
      <c r="CC320" s="35"/>
      <c r="CD320" s="35"/>
      <c r="CE320" s="35"/>
      <c r="CF320" s="35"/>
      <c r="CG320" s="35"/>
      <c r="CH320" s="35"/>
    </row>
    <row r="321" spans="1:86" s="94" customFormat="1" ht="15.75" customHeight="1" outlineLevel="1" x14ac:dyDescent="0.2">
      <c r="A321" s="36"/>
      <c r="B321" s="37"/>
      <c r="C321" s="242" t="s">
        <v>500</v>
      </c>
      <c r="D321" s="1549"/>
      <c r="E321" s="241">
        <v>35.96</v>
      </c>
      <c r="F321" s="1549"/>
      <c r="G321" s="11"/>
      <c r="H321" s="36"/>
      <c r="I321" s="36"/>
      <c r="J321" s="36"/>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c r="BG321" s="35"/>
      <c r="BH321" s="35"/>
      <c r="BI321" s="35"/>
      <c r="BJ321" s="35"/>
      <c r="BK321" s="35"/>
      <c r="BL321" s="35"/>
      <c r="BM321" s="35"/>
      <c r="BN321" s="35"/>
      <c r="BO321" s="35"/>
      <c r="BP321" s="35"/>
      <c r="BQ321" s="35"/>
      <c r="BR321" s="35"/>
      <c r="BS321" s="35"/>
      <c r="BT321" s="35"/>
      <c r="BU321" s="35"/>
      <c r="BV321" s="35"/>
      <c r="BW321" s="35"/>
      <c r="BX321" s="35"/>
      <c r="BY321" s="35"/>
      <c r="BZ321" s="35"/>
      <c r="CA321" s="35"/>
      <c r="CB321" s="35"/>
      <c r="CC321" s="35"/>
      <c r="CD321" s="35"/>
      <c r="CE321" s="35"/>
      <c r="CF321" s="35"/>
      <c r="CG321" s="35"/>
      <c r="CH321" s="35"/>
    </row>
    <row r="322" spans="1:86" s="94" customFormat="1" ht="15.75" customHeight="1" outlineLevel="1" x14ac:dyDescent="0.2">
      <c r="A322" s="36"/>
      <c r="B322" s="37"/>
      <c r="C322" s="242" t="s">
        <v>501</v>
      </c>
      <c r="D322" s="1549"/>
      <c r="E322" s="241">
        <v>0</v>
      </c>
      <c r="F322" s="1549"/>
      <c r="G322" s="11"/>
      <c r="H322" s="36"/>
      <c r="I322" s="36"/>
      <c r="J322" s="36"/>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s="35"/>
      <c r="BI322" s="35"/>
      <c r="BJ322" s="35"/>
      <c r="BK322" s="35"/>
      <c r="BL322" s="35"/>
      <c r="BM322" s="35"/>
      <c r="BN322" s="35"/>
      <c r="BO322" s="35"/>
      <c r="BP322" s="35"/>
      <c r="BQ322" s="35"/>
      <c r="BR322" s="35"/>
      <c r="BS322" s="35"/>
      <c r="BT322" s="35"/>
      <c r="BU322" s="35"/>
      <c r="BV322" s="35"/>
      <c r="BW322" s="35"/>
      <c r="BX322" s="35"/>
      <c r="BY322" s="35"/>
      <c r="BZ322" s="35"/>
      <c r="CA322" s="35"/>
      <c r="CB322" s="35"/>
      <c r="CC322" s="35"/>
      <c r="CD322" s="35"/>
      <c r="CE322" s="35"/>
      <c r="CF322" s="35"/>
      <c r="CG322" s="35"/>
      <c r="CH322" s="35"/>
    </row>
    <row r="323" spans="1:86" s="94" customFormat="1" ht="15.75" customHeight="1" outlineLevel="1" x14ac:dyDescent="0.2">
      <c r="A323" s="36"/>
      <c r="B323" s="37"/>
      <c r="C323" s="242" t="s">
        <v>502</v>
      </c>
      <c r="D323" s="1549"/>
      <c r="E323" s="241">
        <v>0</v>
      </c>
      <c r="F323" s="1549"/>
      <c r="G323" s="11"/>
      <c r="H323" s="36"/>
      <c r="I323" s="36"/>
      <c r="J323" s="36"/>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c r="BG323" s="35"/>
      <c r="BH323" s="35"/>
      <c r="BI323" s="35"/>
      <c r="BJ323" s="35"/>
      <c r="BK323" s="35"/>
      <c r="BL323" s="35"/>
      <c r="BM323" s="35"/>
      <c r="BN323" s="35"/>
      <c r="BO323" s="35"/>
      <c r="BP323" s="35"/>
      <c r="BQ323" s="35"/>
      <c r="BR323" s="35"/>
      <c r="BS323" s="35"/>
      <c r="BT323" s="35"/>
      <c r="BU323" s="35"/>
      <c r="BV323" s="35"/>
      <c r="BW323" s="35"/>
      <c r="BX323" s="35"/>
      <c r="BY323" s="35"/>
      <c r="BZ323" s="35"/>
      <c r="CA323" s="35"/>
      <c r="CB323" s="35"/>
      <c r="CC323" s="35"/>
      <c r="CD323" s="35"/>
      <c r="CE323" s="35"/>
      <c r="CF323" s="35"/>
      <c r="CG323" s="35"/>
      <c r="CH323" s="35"/>
    </row>
    <row r="324" spans="1:86" s="94" customFormat="1" ht="15.75" customHeight="1" outlineLevel="1" x14ac:dyDescent="0.2">
      <c r="A324" s="36"/>
      <c r="B324" s="37"/>
      <c r="C324" s="242" t="s">
        <v>503</v>
      </c>
      <c r="D324" s="1549"/>
      <c r="E324" s="241">
        <v>3245.4</v>
      </c>
      <c r="F324" s="1549"/>
      <c r="G324" s="11"/>
      <c r="H324" s="36"/>
      <c r="I324" s="36"/>
      <c r="J324" s="36"/>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c r="BG324" s="35"/>
      <c r="BH324" s="35"/>
      <c r="BI324" s="35"/>
      <c r="BJ324" s="35"/>
      <c r="BK324" s="35"/>
      <c r="BL324" s="35"/>
      <c r="BM324" s="35"/>
      <c r="BN324" s="35"/>
      <c r="BO324" s="35"/>
      <c r="BP324" s="35"/>
      <c r="BQ324" s="35"/>
      <c r="BR324" s="35"/>
      <c r="BS324" s="35"/>
      <c r="BT324" s="35"/>
      <c r="BU324" s="35"/>
      <c r="BV324" s="35"/>
      <c r="BW324" s="35"/>
      <c r="BX324" s="35"/>
      <c r="BY324" s="35"/>
      <c r="BZ324" s="35"/>
      <c r="CA324" s="35"/>
      <c r="CB324" s="35"/>
      <c r="CC324" s="35"/>
      <c r="CD324" s="35"/>
      <c r="CE324" s="35"/>
      <c r="CF324" s="35"/>
      <c r="CG324" s="35"/>
      <c r="CH324" s="35"/>
    </row>
    <row r="325" spans="1:86" s="94" customFormat="1" ht="15.75" customHeight="1" outlineLevel="1" x14ac:dyDescent="0.2">
      <c r="A325" s="36"/>
      <c r="B325" s="37"/>
      <c r="C325" s="242" t="s">
        <v>504</v>
      </c>
      <c r="D325" s="1549"/>
      <c r="E325" s="241">
        <v>24.8</v>
      </c>
      <c r="F325" s="1549"/>
      <c r="G325" s="11"/>
      <c r="H325" s="36"/>
      <c r="I325" s="36"/>
      <c r="J325" s="36"/>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s="35"/>
      <c r="BI325" s="35"/>
      <c r="BJ325" s="35"/>
      <c r="BK325" s="35"/>
      <c r="BL325" s="35"/>
      <c r="BM325" s="35"/>
      <c r="BN325" s="35"/>
      <c r="BO325" s="35"/>
      <c r="BP325" s="35"/>
      <c r="BQ325" s="35"/>
      <c r="BR325" s="35"/>
      <c r="BS325" s="35"/>
      <c r="BT325" s="35"/>
      <c r="BU325" s="35"/>
      <c r="BV325" s="35"/>
      <c r="BW325" s="35"/>
      <c r="BX325" s="35"/>
      <c r="BY325" s="35"/>
      <c r="BZ325" s="35"/>
      <c r="CA325" s="35"/>
      <c r="CB325" s="35"/>
      <c r="CC325" s="35"/>
      <c r="CD325" s="35"/>
      <c r="CE325" s="35"/>
      <c r="CF325" s="35"/>
      <c r="CG325" s="35"/>
      <c r="CH325" s="35"/>
    </row>
    <row r="326" spans="1:86" s="94" customFormat="1" ht="15.75" customHeight="1" outlineLevel="1" x14ac:dyDescent="0.2">
      <c r="A326" s="36"/>
      <c r="B326" s="37"/>
      <c r="C326" s="242" t="s">
        <v>505</v>
      </c>
      <c r="D326" s="1549"/>
      <c r="E326" s="241">
        <v>0</v>
      </c>
      <c r="F326" s="1549"/>
      <c r="G326" s="11"/>
      <c r="H326" s="36"/>
      <c r="I326" s="36"/>
      <c r="J326" s="36"/>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35"/>
      <c r="BJ326" s="35"/>
      <c r="BK326" s="35"/>
      <c r="BL326" s="35"/>
      <c r="BM326" s="35"/>
      <c r="BN326" s="35"/>
      <c r="BO326" s="35"/>
      <c r="BP326" s="35"/>
      <c r="BQ326" s="35"/>
      <c r="BR326" s="35"/>
      <c r="BS326" s="35"/>
      <c r="BT326" s="35"/>
      <c r="BU326" s="35"/>
      <c r="BV326" s="35"/>
      <c r="BW326" s="35"/>
      <c r="BX326" s="35"/>
      <c r="BY326" s="35"/>
      <c r="BZ326" s="35"/>
      <c r="CA326" s="35"/>
      <c r="CB326" s="35"/>
      <c r="CC326" s="35"/>
      <c r="CD326" s="35"/>
      <c r="CE326" s="35"/>
      <c r="CF326" s="35"/>
      <c r="CG326" s="35"/>
      <c r="CH326" s="35"/>
    </row>
    <row r="327" spans="1:86" s="94" customFormat="1" ht="15.75" customHeight="1" outlineLevel="1" x14ac:dyDescent="0.2">
      <c r="A327" s="36"/>
      <c r="B327" s="37"/>
      <c r="C327" s="242" t="s">
        <v>506</v>
      </c>
      <c r="D327" s="1549"/>
      <c r="E327" s="241">
        <v>0</v>
      </c>
      <c r="F327" s="1549"/>
      <c r="G327" s="11"/>
      <c r="H327" s="36"/>
      <c r="I327" s="36"/>
      <c r="J327" s="36"/>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c r="BN327" s="35"/>
      <c r="BO327" s="35"/>
      <c r="BP327" s="35"/>
      <c r="BQ327" s="35"/>
      <c r="BR327" s="35"/>
      <c r="BS327" s="35"/>
      <c r="BT327" s="35"/>
      <c r="BU327" s="35"/>
      <c r="BV327" s="35"/>
      <c r="BW327" s="35"/>
      <c r="BX327" s="35"/>
      <c r="BY327" s="35"/>
      <c r="BZ327" s="35"/>
      <c r="CA327" s="35"/>
      <c r="CB327" s="35"/>
      <c r="CC327" s="35"/>
      <c r="CD327" s="35"/>
      <c r="CE327" s="35"/>
      <c r="CF327" s="35"/>
      <c r="CG327" s="35"/>
      <c r="CH327" s="35"/>
    </row>
    <row r="328" spans="1:86" s="94" customFormat="1" ht="15.75" customHeight="1" outlineLevel="1" x14ac:dyDescent="0.2">
      <c r="A328" s="36"/>
      <c r="B328" s="37"/>
      <c r="C328" s="242" t="s">
        <v>507</v>
      </c>
      <c r="D328" s="1549"/>
      <c r="E328" s="241">
        <v>1805.05</v>
      </c>
      <c r="F328" s="1549"/>
      <c r="G328" s="11"/>
      <c r="H328" s="36"/>
      <c r="I328" s="36"/>
      <c r="J328" s="36"/>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c r="BG328" s="35"/>
      <c r="BH328" s="35"/>
      <c r="BI328" s="35"/>
      <c r="BJ328" s="35"/>
      <c r="BK328" s="35"/>
      <c r="BL328" s="35"/>
      <c r="BM328" s="35"/>
      <c r="BN328" s="35"/>
      <c r="BO328" s="35"/>
      <c r="BP328" s="35"/>
      <c r="BQ328" s="35"/>
      <c r="BR328" s="35"/>
      <c r="BS328" s="35"/>
      <c r="BT328" s="35"/>
      <c r="BU328" s="35"/>
      <c r="BV328" s="35"/>
      <c r="BW328" s="35"/>
      <c r="BX328" s="35"/>
      <c r="BY328" s="35"/>
      <c r="BZ328" s="35"/>
      <c r="CA328" s="35"/>
      <c r="CB328" s="35"/>
      <c r="CC328" s="35"/>
      <c r="CD328" s="35"/>
      <c r="CE328" s="35"/>
      <c r="CF328" s="35"/>
      <c r="CG328" s="35"/>
      <c r="CH328" s="35"/>
    </row>
    <row r="329" spans="1:86" s="94" customFormat="1" ht="15.75" customHeight="1" outlineLevel="1" x14ac:dyDescent="0.2">
      <c r="A329" s="36"/>
      <c r="B329" s="37"/>
      <c r="C329" s="242" t="s">
        <v>508</v>
      </c>
      <c r="D329" s="1549"/>
      <c r="E329" s="241">
        <v>2264.4349999999999</v>
      </c>
      <c r="F329" s="1549"/>
      <c r="G329" s="11"/>
      <c r="H329" s="36"/>
      <c r="I329" s="36"/>
      <c r="J329" s="36"/>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c r="BI329" s="35"/>
      <c r="BJ329" s="35"/>
      <c r="BK329" s="35"/>
      <c r="BL329" s="35"/>
      <c r="BM329" s="35"/>
      <c r="BN329" s="35"/>
      <c r="BO329" s="35"/>
      <c r="BP329" s="35"/>
      <c r="BQ329" s="35"/>
      <c r="BR329" s="35"/>
      <c r="BS329" s="35"/>
      <c r="BT329" s="35"/>
      <c r="BU329" s="35"/>
      <c r="BV329" s="35"/>
      <c r="BW329" s="35"/>
      <c r="BX329" s="35"/>
      <c r="BY329" s="35"/>
      <c r="BZ329" s="35"/>
      <c r="CA329" s="35"/>
      <c r="CB329" s="35"/>
      <c r="CC329" s="35"/>
      <c r="CD329" s="35"/>
      <c r="CE329" s="35"/>
      <c r="CF329" s="35"/>
      <c r="CG329" s="35"/>
      <c r="CH329" s="35"/>
    </row>
    <row r="330" spans="1:86" s="94" customFormat="1" ht="15.75" customHeight="1" outlineLevel="1" x14ac:dyDescent="0.2">
      <c r="A330" s="36"/>
      <c r="B330" s="37"/>
      <c r="C330" s="242" t="s">
        <v>509</v>
      </c>
      <c r="D330" s="1549"/>
      <c r="E330" s="241">
        <v>1982.5</v>
      </c>
      <c r="F330" s="1549"/>
      <c r="G330" s="11"/>
      <c r="H330" s="36"/>
      <c r="I330" s="36"/>
      <c r="J330" s="36"/>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c r="BG330" s="35"/>
      <c r="BH330" s="35"/>
      <c r="BI330" s="35"/>
      <c r="BJ330" s="35"/>
      <c r="BK330" s="35"/>
      <c r="BL330" s="35"/>
      <c r="BM330" s="35"/>
      <c r="BN330" s="35"/>
      <c r="BO330" s="35"/>
      <c r="BP330" s="35"/>
      <c r="BQ330" s="35"/>
      <c r="BR330" s="35"/>
      <c r="BS330" s="35"/>
      <c r="BT330" s="35"/>
      <c r="BU330" s="35"/>
      <c r="BV330" s="35"/>
      <c r="BW330" s="35"/>
      <c r="BX330" s="35"/>
      <c r="BY330" s="35"/>
      <c r="BZ330" s="35"/>
      <c r="CA330" s="35"/>
      <c r="CB330" s="35"/>
      <c r="CC330" s="35"/>
      <c r="CD330" s="35"/>
      <c r="CE330" s="35"/>
      <c r="CF330" s="35"/>
      <c r="CG330" s="35"/>
      <c r="CH330" s="35"/>
    </row>
    <row r="331" spans="1:86" s="94" customFormat="1" ht="15.75" customHeight="1" outlineLevel="1" x14ac:dyDescent="0.2">
      <c r="A331" s="36"/>
      <c r="B331" s="37"/>
      <c r="C331" s="242" t="s">
        <v>510</v>
      </c>
      <c r="D331" s="1549"/>
      <c r="E331" s="241">
        <v>144.15199999999999</v>
      </c>
      <c r="F331" s="1549"/>
      <c r="G331" s="11"/>
      <c r="H331" s="36"/>
      <c r="I331" s="36"/>
      <c r="J331" s="36"/>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c r="BG331" s="35"/>
      <c r="BH331" s="35"/>
      <c r="BI331" s="35"/>
      <c r="BJ331" s="35"/>
      <c r="BK331" s="35"/>
      <c r="BL331" s="35"/>
      <c r="BM331" s="35"/>
      <c r="BN331" s="35"/>
      <c r="BO331" s="35"/>
      <c r="BP331" s="35"/>
      <c r="BQ331" s="35"/>
      <c r="BR331" s="35"/>
      <c r="BS331" s="35"/>
      <c r="BT331" s="35"/>
      <c r="BU331" s="35"/>
      <c r="BV331" s="35"/>
      <c r="BW331" s="35"/>
      <c r="BX331" s="35"/>
      <c r="BY331" s="35"/>
      <c r="BZ331" s="35"/>
      <c r="CA331" s="35"/>
      <c r="CB331" s="35"/>
      <c r="CC331" s="35"/>
      <c r="CD331" s="35"/>
      <c r="CE331" s="35"/>
      <c r="CF331" s="35"/>
      <c r="CG331" s="35"/>
      <c r="CH331" s="35"/>
    </row>
    <row r="332" spans="1:86" s="94" customFormat="1" ht="15.75" customHeight="1" outlineLevel="1" x14ac:dyDescent="0.2">
      <c r="A332" s="36"/>
      <c r="B332" s="37"/>
      <c r="C332" s="242" t="s">
        <v>511</v>
      </c>
      <c r="D332" s="1549"/>
      <c r="E332" s="241">
        <v>0</v>
      </c>
      <c r="F332" s="1549"/>
      <c r="G332" s="11"/>
      <c r="H332" s="36"/>
      <c r="I332" s="36"/>
      <c r="J332" s="36"/>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c r="BG332" s="35"/>
      <c r="BH332" s="35"/>
      <c r="BI332" s="35"/>
      <c r="BJ332" s="35"/>
      <c r="BK332" s="35"/>
      <c r="BL332" s="35"/>
      <c r="BM332" s="35"/>
      <c r="BN332" s="35"/>
      <c r="BO332" s="35"/>
      <c r="BP332" s="35"/>
      <c r="BQ332" s="35"/>
      <c r="BR332" s="35"/>
      <c r="BS332" s="35"/>
      <c r="BT332" s="35"/>
      <c r="BU332" s="35"/>
      <c r="BV332" s="35"/>
      <c r="BW332" s="35"/>
      <c r="BX332" s="35"/>
      <c r="BY332" s="35"/>
      <c r="BZ332" s="35"/>
      <c r="CA332" s="35"/>
      <c r="CB332" s="35"/>
      <c r="CC332" s="35"/>
      <c r="CD332" s="35"/>
      <c r="CE332" s="35"/>
      <c r="CF332" s="35"/>
      <c r="CG332" s="35"/>
      <c r="CH332" s="35"/>
    </row>
    <row r="333" spans="1:86" s="94" customFormat="1" ht="15.75" customHeight="1" outlineLevel="1" x14ac:dyDescent="0.2">
      <c r="A333" s="36"/>
      <c r="B333" s="37"/>
      <c r="C333" s="242" t="s">
        <v>512</v>
      </c>
      <c r="D333" s="1549"/>
      <c r="E333" s="241">
        <v>1887.97</v>
      </c>
      <c r="F333" s="1549"/>
      <c r="G333" s="11"/>
      <c r="H333" s="36"/>
      <c r="I333" s="36"/>
      <c r="J333" s="36"/>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c r="BG333" s="35"/>
      <c r="BH333" s="35"/>
      <c r="BI333" s="35"/>
      <c r="BJ333" s="35"/>
      <c r="BK333" s="35"/>
      <c r="BL333" s="35"/>
      <c r="BM333" s="35"/>
      <c r="BN333" s="35"/>
      <c r="BO333" s="35"/>
      <c r="BP333" s="35"/>
      <c r="BQ333" s="35"/>
      <c r="BR333" s="35"/>
      <c r="BS333" s="35"/>
      <c r="BT333" s="35"/>
      <c r="BU333" s="35"/>
      <c r="BV333" s="35"/>
      <c r="BW333" s="35"/>
      <c r="BX333" s="35"/>
      <c r="BY333" s="35"/>
      <c r="BZ333" s="35"/>
      <c r="CA333" s="35"/>
      <c r="CB333" s="35"/>
      <c r="CC333" s="35"/>
      <c r="CD333" s="35"/>
      <c r="CE333" s="35"/>
      <c r="CF333" s="35"/>
      <c r="CG333" s="35"/>
      <c r="CH333" s="35"/>
    </row>
    <row r="334" spans="1:86" s="94" customFormat="1" ht="15.75" customHeight="1" outlineLevel="1" x14ac:dyDescent="0.2">
      <c r="A334" s="36"/>
      <c r="B334" s="37"/>
      <c r="C334" s="242" t="s">
        <v>513</v>
      </c>
      <c r="D334" s="1549"/>
      <c r="E334" s="241">
        <v>0</v>
      </c>
      <c r="F334" s="1549"/>
      <c r="G334" s="11"/>
      <c r="H334" s="36"/>
      <c r="I334" s="36"/>
      <c r="J334" s="36"/>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5"/>
      <c r="BP334" s="35"/>
      <c r="BQ334" s="35"/>
      <c r="BR334" s="35"/>
      <c r="BS334" s="35"/>
      <c r="BT334" s="35"/>
      <c r="BU334" s="35"/>
      <c r="BV334" s="35"/>
      <c r="BW334" s="35"/>
      <c r="BX334" s="35"/>
      <c r="BY334" s="35"/>
      <c r="BZ334" s="35"/>
      <c r="CA334" s="35"/>
      <c r="CB334" s="35"/>
      <c r="CC334" s="35"/>
      <c r="CD334" s="35"/>
      <c r="CE334" s="35"/>
      <c r="CF334" s="35"/>
      <c r="CG334" s="35"/>
      <c r="CH334" s="35"/>
    </row>
    <row r="335" spans="1:86" s="94" customFormat="1" ht="15.75" customHeight="1" outlineLevel="1" x14ac:dyDescent="0.2">
      <c r="A335" s="36"/>
      <c r="B335" s="37"/>
      <c r="C335" s="242" t="s">
        <v>514</v>
      </c>
      <c r="D335" s="1549"/>
      <c r="E335" s="241">
        <v>87.2</v>
      </c>
      <c r="F335" s="1549"/>
      <c r="G335" s="11"/>
      <c r="H335" s="36"/>
      <c r="I335" s="36"/>
      <c r="J335" s="36"/>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c r="BI335" s="35"/>
      <c r="BJ335" s="35"/>
      <c r="BK335" s="35"/>
      <c r="BL335" s="35"/>
      <c r="BM335" s="35"/>
      <c r="BN335" s="35"/>
      <c r="BO335" s="35"/>
      <c r="BP335" s="35"/>
      <c r="BQ335" s="35"/>
      <c r="BR335" s="35"/>
      <c r="BS335" s="35"/>
      <c r="BT335" s="35"/>
      <c r="BU335" s="35"/>
      <c r="BV335" s="35"/>
      <c r="BW335" s="35"/>
      <c r="BX335" s="35"/>
      <c r="BY335" s="35"/>
      <c r="BZ335" s="35"/>
      <c r="CA335" s="35"/>
      <c r="CB335" s="35"/>
      <c r="CC335" s="35"/>
      <c r="CD335" s="35"/>
      <c r="CE335" s="35"/>
      <c r="CF335" s="35"/>
      <c r="CG335" s="35"/>
      <c r="CH335" s="35"/>
    </row>
    <row r="336" spans="1:86" s="94" customFormat="1" ht="15.75" customHeight="1" outlineLevel="1" x14ac:dyDescent="0.2">
      <c r="A336" s="36"/>
      <c r="B336" s="37"/>
      <c r="C336" s="242" t="s">
        <v>515</v>
      </c>
      <c r="D336" s="1549"/>
      <c r="E336" s="241">
        <v>128.69999999999999</v>
      </c>
      <c r="F336" s="1549"/>
      <c r="G336" s="11"/>
      <c r="H336" s="36"/>
      <c r="I336" s="36"/>
      <c r="J336" s="36"/>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c r="BG336" s="35"/>
      <c r="BH336" s="35"/>
      <c r="BI336" s="35"/>
      <c r="BJ336" s="35"/>
      <c r="BK336" s="35"/>
      <c r="BL336" s="35"/>
      <c r="BM336" s="35"/>
      <c r="BN336" s="35"/>
      <c r="BO336" s="35"/>
      <c r="BP336" s="35"/>
      <c r="BQ336" s="35"/>
      <c r="BR336" s="35"/>
      <c r="BS336" s="35"/>
      <c r="BT336" s="35"/>
      <c r="BU336" s="35"/>
      <c r="BV336" s="35"/>
      <c r="BW336" s="35"/>
      <c r="BX336" s="35"/>
      <c r="BY336" s="35"/>
      <c r="BZ336" s="35"/>
      <c r="CA336" s="35"/>
      <c r="CB336" s="35"/>
      <c r="CC336" s="35"/>
      <c r="CD336" s="35"/>
      <c r="CE336" s="35"/>
      <c r="CF336" s="35"/>
      <c r="CG336" s="35"/>
      <c r="CH336" s="35"/>
    </row>
    <row r="337" spans="1:86" s="94" customFormat="1" ht="15.75" customHeight="1" outlineLevel="1" x14ac:dyDescent="0.2">
      <c r="A337" s="36"/>
      <c r="B337" s="37"/>
      <c r="C337" s="242" t="s">
        <v>179</v>
      </c>
      <c r="D337" s="1549"/>
      <c r="E337" s="241">
        <v>32.488</v>
      </c>
      <c r="F337" s="1549"/>
      <c r="G337" s="11"/>
      <c r="H337" s="36"/>
      <c r="I337" s="36"/>
      <c r="J337" s="36"/>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c r="BG337" s="35"/>
      <c r="BH337" s="35"/>
      <c r="BI337" s="35"/>
      <c r="BJ337" s="35"/>
      <c r="BK337" s="35"/>
      <c r="BL337" s="35"/>
      <c r="BM337" s="35"/>
      <c r="BN337" s="35"/>
      <c r="BO337" s="35"/>
      <c r="BP337" s="35"/>
      <c r="BQ337" s="35"/>
      <c r="BR337" s="35"/>
      <c r="BS337" s="35"/>
      <c r="BT337" s="35"/>
      <c r="BU337" s="35"/>
      <c r="BV337" s="35"/>
      <c r="BW337" s="35"/>
      <c r="BX337" s="35"/>
      <c r="BY337" s="35"/>
      <c r="BZ337" s="35"/>
      <c r="CA337" s="35"/>
      <c r="CB337" s="35"/>
      <c r="CC337" s="35"/>
      <c r="CD337" s="35"/>
      <c r="CE337" s="35"/>
      <c r="CF337" s="35"/>
      <c r="CG337" s="35"/>
      <c r="CH337" s="35"/>
    </row>
    <row r="338" spans="1:86" s="94" customFormat="1" ht="15.75" customHeight="1" outlineLevel="1" x14ac:dyDescent="0.2">
      <c r="A338" s="36"/>
      <c r="B338" s="37"/>
      <c r="C338" s="242" t="s">
        <v>180</v>
      </c>
      <c r="D338" s="1549"/>
      <c r="E338" s="241">
        <v>0</v>
      </c>
      <c r="F338" s="1549"/>
      <c r="G338" s="11"/>
      <c r="H338" s="36"/>
      <c r="I338" s="36"/>
      <c r="J338" s="36"/>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c r="BG338" s="35"/>
      <c r="BH338" s="35"/>
      <c r="BI338" s="35"/>
      <c r="BJ338" s="35"/>
      <c r="BK338" s="35"/>
      <c r="BL338" s="35"/>
      <c r="BM338" s="35"/>
      <c r="BN338" s="35"/>
      <c r="BO338" s="35"/>
      <c r="BP338" s="35"/>
      <c r="BQ338" s="35"/>
      <c r="BR338" s="35"/>
      <c r="BS338" s="35"/>
      <c r="BT338" s="35"/>
      <c r="BU338" s="35"/>
      <c r="BV338" s="35"/>
      <c r="BW338" s="35"/>
      <c r="BX338" s="35"/>
      <c r="BY338" s="35"/>
      <c r="BZ338" s="35"/>
      <c r="CA338" s="35"/>
      <c r="CB338" s="35"/>
      <c r="CC338" s="35"/>
      <c r="CD338" s="35"/>
      <c r="CE338" s="35"/>
      <c r="CF338" s="35"/>
      <c r="CG338" s="35"/>
      <c r="CH338" s="35"/>
    </row>
    <row r="339" spans="1:86" s="94" customFormat="1" ht="15.75" customHeight="1" outlineLevel="1" x14ac:dyDescent="0.2">
      <c r="A339" s="36"/>
      <c r="B339" s="37"/>
      <c r="C339" s="242" t="s">
        <v>181</v>
      </c>
      <c r="D339" s="1549"/>
      <c r="E339" s="241">
        <v>0</v>
      </c>
      <c r="F339" s="1549"/>
      <c r="G339" s="11"/>
      <c r="H339" s="36"/>
      <c r="I339" s="36"/>
      <c r="J339" s="36"/>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c r="BG339" s="35"/>
      <c r="BH339" s="35"/>
      <c r="BI339" s="35"/>
      <c r="BJ339" s="35"/>
      <c r="BK339" s="35"/>
      <c r="BL339" s="35"/>
      <c r="BM339" s="35"/>
      <c r="BN339" s="35"/>
      <c r="BO339" s="35"/>
      <c r="BP339" s="35"/>
      <c r="BQ339" s="35"/>
      <c r="BR339" s="35"/>
      <c r="BS339" s="35"/>
      <c r="BT339" s="35"/>
      <c r="BU339" s="35"/>
      <c r="BV339" s="35"/>
      <c r="BW339" s="35"/>
      <c r="BX339" s="35"/>
      <c r="BY339" s="35"/>
      <c r="BZ339" s="35"/>
      <c r="CA339" s="35"/>
      <c r="CB339" s="35"/>
      <c r="CC339" s="35"/>
      <c r="CD339" s="35"/>
      <c r="CE339" s="35"/>
      <c r="CF339" s="35"/>
      <c r="CG339" s="35"/>
      <c r="CH339" s="35"/>
    </row>
    <row r="340" spans="1:86" s="94" customFormat="1" ht="15.75" customHeight="1" outlineLevel="1" x14ac:dyDescent="0.2">
      <c r="A340" s="36"/>
      <c r="B340" s="37"/>
      <c r="C340" s="242" t="s">
        <v>182</v>
      </c>
      <c r="D340" s="1549"/>
      <c r="E340" s="241">
        <v>5934.8</v>
      </c>
      <c r="F340" s="1549"/>
      <c r="G340" s="11"/>
      <c r="H340" s="36"/>
      <c r="I340" s="36"/>
      <c r="J340" s="36"/>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c r="BG340" s="35"/>
      <c r="BH340" s="35"/>
      <c r="BI340" s="35"/>
      <c r="BJ340" s="35"/>
      <c r="BK340" s="35"/>
      <c r="BL340" s="35"/>
      <c r="BM340" s="35"/>
      <c r="BN340" s="35"/>
      <c r="BO340" s="35"/>
      <c r="BP340" s="35"/>
      <c r="BQ340" s="35"/>
      <c r="BR340" s="35"/>
      <c r="BS340" s="35"/>
      <c r="BT340" s="35"/>
      <c r="BU340" s="35"/>
      <c r="BV340" s="35"/>
      <c r="BW340" s="35"/>
      <c r="BX340" s="35"/>
      <c r="BY340" s="35"/>
      <c r="BZ340" s="35"/>
      <c r="CA340" s="35"/>
      <c r="CB340" s="35"/>
      <c r="CC340" s="35"/>
      <c r="CD340" s="35"/>
      <c r="CE340" s="35"/>
      <c r="CF340" s="35"/>
      <c r="CG340" s="35"/>
      <c r="CH340" s="35"/>
    </row>
    <row r="341" spans="1:86" s="94" customFormat="1" ht="15.75" customHeight="1" outlineLevel="1" x14ac:dyDescent="0.2">
      <c r="A341" s="36"/>
      <c r="B341" s="37"/>
      <c r="C341" s="242" t="s">
        <v>183</v>
      </c>
      <c r="D341" s="1549"/>
      <c r="E341" s="241">
        <v>325.34999999999997</v>
      </c>
      <c r="F341" s="1549"/>
      <c r="G341" s="11"/>
      <c r="H341" s="36"/>
      <c r="I341" s="36"/>
      <c r="J341" s="36"/>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c r="BG341" s="35"/>
      <c r="BH341" s="35"/>
      <c r="BI341" s="35"/>
      <c r="BJ341" s="35"/>
      <c r="BK341" s="35"/>
      <c r="BL341" s="35"/>
      <c r="BM341" s="35"/>
      <c r="BN341" s="35"/>
      <c r="BO341" s="35"/>
      <c r="BP341" s="35"/>
      <c r="BQ341" s="35"/>
      <c r="BR341" s="35"/>
      <c r="BS341" s="35"/>
      <c r="BT341" s="35"/>
      <c r="BU341" s="35"/>
      <c r="BV341" s="35"/>
      <c r="BW341" s="35"/>
      <c r="BX341" s="35"/>
      <c r="BY341" s="35"/>
      <c r="BZ341" s="35"/>
      <c r="CA341" s="35"/>
      <c r="CB341" s="35"/>
      <c r="CC341" s="35"/>
      <c r="CD341" s="35"/>
      <c r="CE341" s="35"/>
      <c r="CF341" s="35"/>
      <c r="CG341" s="35"/>
      <c r="CH341" s="35"/>
    </row>
    <row r="342" spans="1:86" s="94" customFormat="1" ht="15.75" customHeight="1" outlineLevel="1" x14ac:dyDescent="0.2">
      <c r="A342" s="36"/>
      <c r="B342" s="37"/>
      <c r="C342" s="242" t="s">
        <v>184</v>
      </c>
      <c r="D342" s="1549"/>
      <c r="E342" s="241">
        <v>0</v>
      </c>
      <c r="F342" s="1549"/>
      <c r="G342" s="11"/>
      <c r="H342" s="36"/>
      <c r="I342" s="36"/>
      <c r="J342" s="36"/>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c r="BG342" s="35"/>
      <c r="BH342" s="35"/>
      <c r="BI342" s="35"/>
      <c r="BJ342" s="35"/>
      <c r="BK342" s="35"/>
      <c r="BL342" s="35"/>
      <c r="BM342" s="35"/>
      <c r="BN342" s="35"/>
      <c r="BO342" s="35"/>
      <c r="BP342" s="35"/>
      <c r="BQ342" s="35"/>
      <c r="BR342" s="35"/>
      <c r="BS342" s="35"/>
      <c r="BT342" s="35"/>
      <c r="BU342" s="35"/>
      <c r="BV342" s="35"/>
      <c r="BW342" s="35"/>
      <c r="BX342" s="35"/>
      <c r="BY342" s="35"/>
      <c r="BZ342" s="35"/>
      <c r="CA342" s="35"/>
      <c r="CB342" s="35"/>
      <c r="CC342" s="35"/>
      <c r="CD342" s="35"/>
      <c r="CE342" s="35"/>
      <c r="CF342" s="35"/>
      <c r="CG342" s="35"/>
      <c r="CH342" s="35"/>
    </row>
    <row r="343" spans="1:86" s="94" customFormat="1" ht="15.75" customHeight="1" outlineLevel="1" x14ac:dyDescent="0.2">
      <c r="A343" s="36"/>
      <c r="B343" s="37"/>
      <c r="C343" s="242" t="s">
        <v>185</v>
      </c>
      <c r="D343" s="1549"/>
      <c r="E343" s="241">
        <v>0</v>
      </c>
      <c r="F343" s="1549"/>
      <c r="G343" s="11"/>
      <c r="H343" s="36"/>
      <c r="I343" s="36"/>
      <c r="J343" s="36"/>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c r="BJ343" s="35"/>
      <c r="BK343" s="35"/>
      <c r="BL343" s="35"/>
      <c r="BM343" s="35"/>
      <c r="BN343" s="35"/>
      <c r="BO343" s="35"/>
      <c r="BP343" s="35"/>
      <c r="BQ343" s="35"/>
      <c r="BR343" s="35"/>
      <c r="BS343" s="35"/>
      <c r="BT343" s="35"/>
      <c r="BU343" s="35"/>
      <c r="BV343" s="35"/>
      <c r="BW343" s="35"/>
      <c r="BX343" s="35"/>
      <c r="BY343" s="35"/>
      <c r="BZ343" s="35"/>
      <c r="CA343" s="35"/>
      <c r="CB343" s="35"/>
      <c r="CC343" s="35"/>
      <c r="CD343" s="35"/>
      <c r="CE343" s="35"/>
      <c r="CF343" s="35"/>
      <c r="CG343" s="35"/>
      <c r="CH343" s="35"/>
    </row>
    <row r="344" spans="1:86" s="94" customFormat="1" ht="15.75" customHeight="1" outlineLevel="1" x14ac:dyDescent="0.2">
      <c r="A344" s="36"/>
      <c r="B344" s="37"/>
      <c r="C344" s="242" t="s">
        <v>298</v>
      </c>
      <c r="D344" s="1549"/>
      <c r="E344" s="241">
        <v>3985</v>
      </c>
      <c r="F344" s="1549"/>
      <c r="G344" s="11"/>
      <c r="H344" s="36"/>
      <c r="I344" s="36"/>
      <c r="J344" s="36"/>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c r="BI344" s="35"/>
      <c r="BJ344" s="35"/>
      <c r="BK344" s="35"/>
      <c r="BL344" s="35"/>
      <c r="BM344" s="35"/>
      <c r="BN344" s="35"/>
      <c r="BO344" s="35"/>
      <c r="BP344" s="35"/>
      <c r="BQ344" s="35"/>
      <c r="BR344" s="35"/>
      <c r="BS344" s="35"/>
      <c r="BT344" s="35"/>
      <c r="BU344" s="35"/>
      <c r="BV344" s="35"/>
      <c r="BW344" s="35"/>
      <c r="BX344" s="35"/>
      <c r="BY344" s="35"/>
      <c r="BZ344" s="35"/>
      <c r="CA344" s="35"/>
      <c r="CB344" s="35"/>
      <c r="CC344" s="35"/>
      <c r="CD344" s="35"/>
      <c r="CE344" s="35"/>
      <c r="CF344" s="35"/>
      <c r="CG344" s="35"/>
      <c r="CH344" s="35"/>
    </row>
    <row r="345" spans="1:86" s="94" customFormat="1" ht="15.75" customHeight="1" outlineLevel="1" x14ac:dyDescent="0.2">
      <c r="A345" s="36"/>
      <c r="B345" s="37"/>
      <c r="C345" s="242" t="s">
        <v>186</v>
      </c>
      <c r="D345" s="1549"/>
      <c r="E345" s="241">
        <v>13214</v>
      </c>
      <c r="F345" s="1549"/>
      <c r="G345" s="11"/>
      <c r="H345" s="36"/>
      <c r="I345" s="36"/>
      <c r="J345" s="36"/>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c r="BI345" s="35"/>
      <c r="BJ345" s="35"/>
      <c r="BK345" s="35"/>
      <c r="BL345" s="35"/>
      <c r="BM345" s="35"/>
      <c r="BN345" s="35"/>
      <c r="BO345" s="35"/>
      <c r="BP345" s="35"/>
      <c r="BQ345" s="35"/>
      <c r="BR345" s="35"/>
      <c r="BS345" s="35"/>
      <c r="BT345" s="35"/>
      <c r="BU345" s="35"/>
      <c r="BV345" s="35"/>
      <c r="BW345" s="35"/>
      <c r="BX345" s="35"/>
      <c r="BY345" s="35"/>
      <c r="BZ345" s="35"/>
      <c r="CA345" s="35"/>
      <c r="CB345" s="35"/>
      <c r="CC345" s="35"/>
      <c r="CD345" s="35"/>
      <c r="CE345" s="35"/>
      <c r="CF345" s="35"/>
      <c r="CG345" s="35"/>
      <c r="CH345" s="35"/>
    </row>
    <row r="346" spans="1:86" s="94" customFormat="1" ht="15.75" customHeight="1" outlineLevel="1" x14ac:dyDescent="0.2">
      <c r="A346" s="36"/>
      <c r="B346" s="37"/>
      <c r="C346" s="242" t="s">
        <v>187</v>
      </c>
      <c r="D346" s="1549"/>
      <c r="E346" s="241">
        <v>13396</v>
      </c>
      <c r="F346" s="1549"/>
      <c r="G346" s="11"/>
      <c r="H346" s="36"/>
      <c r="I346" s="36"/>
      <c r="J346" s="36"/>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c r="BJ346" s="35"/>
      <c r="BK346" s="35"/>
      <c r="BL346" s="35"/>
      <c r="BM346" s="35"/>
      <c r="BN346" s="35"/>
      <c r="BO346" s="35"/>
      <c r="BP346" s="35"/>
      <c r="BQ346" s="35"/>
      <c r="BR346" s="35"/>
      <c r="BS346" s="35"/>
      <c r="BT346" s="35"/>
      <c r="BU346" s="35"/>
      <c r="BV346" s="35"/>
      <c r="BW346" s="35"/>
      <c r="BX346" s="35"/>
      <c r="BY346" s="35"/>
      <c r="BZ346" s="35"/>
      <c r="CA346" s="35"/>
      <c r="CB346" s="35"/>
      <c r="CC346" s="35"/>
      <c r="CD346" s="35"/>
      <c r="CE346" s="35"/>
      <c r="CF346" s="35"/>
      <c r="CG346" s="35"/>
      <c r="CH346" s="35"/>
    </row>
    <row r="347" spans="1:86" s="94" customFormat="1" ht="15.75" customHeight="1" outlineLevel="1" x14ac:dyDescent="0.2">
      <c r="A347" s="36"/>
      <c r="B347" s="37"/>
      <c r="C347" s="242" t="s">
        <v>297</v>
      </c>
      <c r="D347" s="1549"/>
      <c r="E347" s="241">
        <v>4944.8</v>
      </c>
      <c r="F347" s="1549"/>
      <c r="G347" s="11"/>
      <c r="H347" s="36"/>
      <c r="I347" s="36"/>
      <c r="J347" s="36"/>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c r="BJ347" s="35"/>
      <c r="BK347" s="35"/>
      <c r="BL347" s="35"/>
      <c r="BM347" s="35"/>
      <c r="BN347" s="35"/>
      <c r="BO347" s="35"/>
      <c r="BP347" s="35"/>
      <c r="BQ347" s="35"/>
      <c r="BR347" s="35"/>
      <c r="BS347" s="35"/>
      <c r="BT347" s="35"/>
      <c r="BU347" s="35"/>
      <c r="BV347" s="35"/>
      <c r="BW347" s="35"/>
      <c r="BX347" s="35"/>
      <c r="BY347" s="35"/>
      <c r="BZ347" s="35"/>
      <c r="CA347" s="35"/>
      <c r="CB347" s="35"/>
      <c r="CC347" s="35"/>
      <c r="CD347" s="35"/>
      <c r="CE347" s="35"/>
      <c r="CF347" s="35"/>
      <c r="CG347" s="35"/>
      <c r="CH347" s="35"/>
    </row>
    <row r="348" spans="1:86" s="94" customFormat="1" ht="15.75" customHeight="1" outlineLevel="1" x14ac:dyDescent="0.2">
      <c r="A348" s="36"/>
      <c r="B348" s="37"/>
      <c r="C348" s="242" t="s">
        <v>516</v>
      </c>
      <c r="D348" s="1549"/>
      <c r="E348" s="241">
        <v>0</v>
      </c>
      <c r="F348" s="1549"/>
      <c r="G348" s="11"/>
      <c r="H348" s="36"/>
      <c r="I348" s="36"/>
      <c r="J348" s="36"/>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c r="BG348" s="35"/>
      <c r="BH348" s="35"/>
      <c r="BI348" s="35"/>
      <c r="BJ348" s="35"/>
      <c r="BK348" s="35"/>
      <c r="BL348" s="35"/>
      <c r="BM348" s="35"/>
      <c r="BN348" s="35"/>
      <c r="BO348" s="35"/>
      <c r="BP348" s="35"/>
      <c r="BQ348" s="35"/>
      <c r="BR348" s="35"/>
      <c r="BS348" s="35"/>
      <c r="BT348" s="35"/>
      <c r="BU348" s="35"/>
      <c r="BV348" s="35"/>
      <c r="BW348" s="35"/>
      <c r="BX348" s="35"/>
      <c r="BY348" s="35"/>
      <c r="BZ348" s="35"/>
      <c r="CA348" s="35"/>
      <c r="CB348" s="35"/>
      <c r="CC348" s="35"/>
      <c r="CD348" s="35"/>
      <c r="CE348" s="35"/>
      <c r="CF348" s="35"/>
      <c r="CG348" s="35"/>
      <c r="CH348" s="35"/>
    </row>
    <row r="349" spans="1:86" s="94" customFormat="1" ht="15.75" customHeight="1" outlineLevel="1" x14ac:dyDescent="0.2">
      <c r="A349" s="36"/>
      <c r="B349" s="37"/>
      <c r="C349" s="242" t="s">
        <v>517</v>
      </c>
      <c r="D349" s="1549"/>
      <c r="E349" s="241">
        <v>0</v>
      </c>
      <c r="F349" s="1549"/>
      <c r="G349" s="11"/>
      <c r="H349" s="36"/>
      <c r="I349" s="36"/>
      <c r="J349" s="36"/>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c r="BJ349" s="35"/>
      <c r="BK349" s="35"/>
      <c r="BL349" s="35"/>
      <c r="BM349" s="35"/>
      <c r="BN349" s="35"/>
      <c r="BO349" s="35"/>
      <c r="BP349" s="35"/>
      <c r="BQ349" s="35"/>
      <c r="BR349" s="35"/>
      <c r="BS349" s="35"/>
      <c r="BT349" s="35"/>
      <c r="BU349" s="35"/>
      <c r="BV349" s="35"/>
      <c r="BW349" s="35"/>
      <c r="BX349" s="35"/>
      <c r="BY349" s="35"/>
      <c r="BZ349" s="35"/>
      <c r="CA349" s="35"/>
      <c r="CB349" s="35"/>
      <c r="CC349" s="35"/>
      <c r="CD349" s="35"/>
      <c r="CE349" s="35"/>
      <c r="CF349" s="35"/>
      <c r="CG349" s="35"/>
      <c r="CH349" s="35"/>
    </row>
    <row r="350" spans="1:86" s="94" customFormat="1" ht="15.75" customHeight="1" outlineLevel="1" x14ac:dyDescent="0.2">
      <c r="A350" s="36"/>
      <c r="B350" s="37"/>
      <c r="C350" s="242" t="s">
        <v>518</v>
      </c>
      <c r="D350" s="1549"/>
      <c r="E350" s="241">
        <v>189.3</v>
      </c>
      <c r="F350" s="1549"/>
      <c r="G350" s="11"/>
      <c r="H350" s="36"/>
      <c r="I350" s="36"/>
      <c r="J350" s="36"/>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35"/>
      <c r="BS350" s="35"/>
      <c r="BT350" s="35"/>
      <c r="BU350" s="35"/>
      <c r="BV350" s="35"/>
      <c r="BW350" s="35"/>
      <c r="BX350" s="35"/>
      <c r="BY350" s="35"/>
      <c r="BZ350" s="35"/>
      <c r="CA350" s="35"/>
      <c r="CB350" s="35"/>
      <c r="CC350" s="35"/>
      <c r="CD350" s="35"/>
      <c r="CE350" s="35"/>
      <c r="CF350" s="35"/>
      <c r="CG350" s="35"/>
      <c r="CH350" s="35"/>
    </row>
    <row r="351" spans="1:86" ht="15.75" customHeight="1" outlineLevel="1" x14ac:dyDescent="0.2">
      <c r="A351" s="12"/>
      <c r="B351" s="17"/>
      <c r="C351" s="244" t="s">
        <v>479</v>
      </c>
      <c r="D351" s="49"/>
      <c r="E351" s="50"/>
      <c r="F351" s="82"/>
      <c r="G351" s="12"/>
      <c r="H351" s="12"/>
      <c r="I351" s="12"/>
      <c r="J351" s="17"/>
      <c r="K351" s="17"/>
      <c r="L351" s="17"/>
      <c r="M351" s="17"/>
      <c r="N351" s="17"/>
      <c r="O351" s="17"/>
      <c r="P351" s="17"/>
      <c r="Q351" s="17"/>
      <c r="R351" s="17"/>
      <c r="S351" s="17"/>
      <c r="T351" s="17"/>
      <c r="U351" s="17"/>
      <c r="V351" s="17"/>
      <c r="W351" s="17"/>
      <c r="X351" s="17"/>
      <c r="Y351" s="17"/>
      <c r="Z351" s="17"/>
      <c r="AA351" s="17"/>
      <c r="AB351" s="17"/>
      <c r="AC351" s="17"/>
      <c r="AD351" s="17"/>
      <c r="AE351" s="35"/>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35"/>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c r="BY351" s="35"/>
      <c r="BZ351" s="17"/>
      <c r="CA351" s="17"/>
      <c r="CB351" s="35"/>
      <c r="CC351" s="35"/>
      <c r="CD351" s="17"/>
      <c r="CE351" s="17"/>
      <c r="CF351" s="17"/>
      <c r="CG351" s="17"/>
      <c r="CH351" s="17"/>
    </row>
    <row r="352" spans="1:86" ht="15.75" customHeight="1" x14ac:dyDescent="0.2">
      <c r="A352" s="12"/>
      <c r="B352" s="12"/>
      <c r="C352" s="18"/>
      <c r="D352" s="18"/>
      <c r="E352" s="18"/>
      <c r="F352" s="17"/>
      <c r="G352" s="17"/>
      <c r="H352" s="17"/>
      <c r="I352" s="17"/>
      <c r="J352" s="17"/>
      <c r="K352" s="17"/>
      <c r="L352" s="17"/>
      <c r="M352" s="17"/>
      <c r="N352" s="17"/>
      <c r="O352" s="17"/>
      <c r="P352" s="17"/>
      <c r="Q352" s="17"/>
      <c r="R352" s="17"/>
      <c r="S352" s="12"/>
      <c r="T352" s="12"/>
      <c r="U352" s="12"/>
      <c r="V352" s="12"/>
      <c r="W352" s="12"/>
      <c r="X352" s="12"/>
      <c r="Y352" s="17"/>
      <c r="Z352" s="17"/>
      <c r="AA352" s="17"/>
      <c r="AB352" s="17"/>
      <c r="AC352" s="17"/>
      <c r="AD352" s="17"/>
      <c r="AE352" s="35"/>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35"/>
      <c r="BC352" s="17"/>
      <c r="BD352" s="17"/>
      <c r="BE352" s="17"/>
      <c r="BF352" s="17"/>
      <c r="BG352" s="17"/>
      <c r="BH352" s="17"/>
      <c r="BI352" s="17"/>
      <c r="BJ352" s="17"/>
      <c r="BK352" s="17"/>
      <c r="BL352" s="17"/>
      <c r="BM352" s="17"/>
      <c r="BN352" s="17"/>
      <c r="BO352" s="17"/>
      <c r="BP352" s="17"/>
      <c r="BQ352" s="17"/>
      <c r="BR352" s="17"/>
      <c r="BS352" s="17"/>
      <c r="BT352" s="17"/>
      <c r="BU352" s="17"/>
      <c r="BV352" s="17"/>
      <c r="BW352" s="33"/>
      <c r="BX352" s="33"/>
      <c r="BY352" s="33"/>
      <c r="BZ352" s="33"/>
      <c r="CA352" s="33"/>
      <c r="CB352" s="35"/>
      <c r="CC352" s="35"/>
      <c r="CD352" s="17"/>
      <c r="CE352" s="17"/>
      <c r="CF352" s="17"/>
      <c r="CG352" s="17"/>
      <c r="CH352" s="17"/>
    </row>
    <row r="353" spans="1:86" ht="18.75" x14ac:dyDescent="0.2">
      <c r="A353" s="79"/>
      <c r="B353" s="222" t="s">
        <v>2271</v>
      </c>
      <c r="C353" s="78"/>
      <c r="D353" s="80"/>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c r="AP353" s="81"/>
      <c r="AQ353" s="81"/>
      <c r="AR353" s="81"/>
      <c r="AS353" s="81"/>
      <c r="AT353" s="81"/>
      <c r="AU353" s="81"/>
      <c r="AV353" s="81"/>
      <c r="AW353" s="81"/>
      <c r="AX353" s="81"/>
      <c r="AY353" s="81"/>
      <c r="AZ353" s="81"/>
      <c r="BA353" s="81"/>
      <c r="BB353" s="81"/>
      <c r="BC353" s="81"/>
      <c r="BD353" s="81"/>
      <c r="BE353" s="81"/>
      <c r="BF353" s="81"/>
      <c r="BG353" s="81"/>
      <c r="BH353" s="81"/>
      <c r="BI353" s="81"/>
      <c r="BJ353" s="81"/>
      <c r="BK353" s="81"/>
      <c r="BL353" s="81"/>
      <c r="BM353" s="81"/>
      <c r="BN353" s="81"/>
      <c r="BO353" s="81"/>
      <c r="BP353" s="81"/>
      <c r="BQ353" s="81"/>
      <c r="BR353" s="81"/>
      <c r="BS353" s="81"/>
      <c r="BT353" s="81"/>
      <c r="BU353" s="81"/>
      <c r="BV353" s="81"/>
      <c r="BW353" s="81"/>
      <c r="BX353" s="117"/>
      <c r="BY353" s="117"/>
      <c r="BZ353" s="117"/>
      <c r="CA353" s="118"/>
      <c r="CB353"/>
      <c r="CC353"/>
      <c r="CD353"/>
      <c r="CE353"/>
      <c r="CF353"/>
      <c r="CG353"/>
      <c r="CH353"/>
    </row>
    <row r="354" spans="1:86" ht="15.75" customHeight="1" x14ac:dyDescent="0.2">
      <c r="A354" s="12"/>
      <c r="B354" s="17"/>
      <c r="C354" s="17"/>
      <c r="D354" s="17"/>
      <c r="E354" s="17"/>
      <c r="F354" s="14"/>
      <c r="G354" s="14"/>
      <c r="H354" s="14"/>
      <c r="I354" s="45"/>
      <c r="J354" s="39"/>
      <c r="K354" s="16"/>
      <c r="L354" s="17"/>
      <c r="M354" s="17"/>
      <c r="N354" s="17"/>
      <c r="O354" s="17"/>
      <c r="P354" s="17"/>
      <c r="Q354" s="17"/>
      <c r="R354" s="17"/>
      <c r="S354" s="12"/>
      <c r="T354" s="12"/>
      <c r="U354" s="12"/>
      <c r="V354" s="12"/>
      <c r="W354" s="12"/>
      <c r="X354" s="12"/>
      <c r="Y354" s="17"/>
      <c r="Z354" s="17"/>
      <c r="AA354" s="17"/>
      <c r="AB354" s="17"/>
      <c r="AC354" s="17"/>
      <c r="AD354" s="17"/>
      <c r="AE354" s="35"/>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35"/>
      <c r="BC354" s="17"/>
      <c r="BD354" s="17"/>
      <c r="BE354" s="17"/>
      <c r="BF354" s="17"/>
      <c r="BG354" s="17"/>
      <c r="BH354" s="17"/>
      <c r="BI354" s="17"/>
      <c r="BJ354" s="17"/>
      <c r="BK354" s="17"/>
      <c r="BL354" s="17"/>
      <c r="BM354" s="17"/>
      <c r="BN354" s="17"/>
      <c r="BO354" s="17"/>
      <c r="BP354" s="17"/>
      <c r="BQ354" s="17"/>
      <c r="BR354" s="17"/>
      <c r="BS354" s="17"/>
      <c r="BT354" s="17"/>
      <c r="BU354" s="17"/>
      <c r="BV354" s="17"/>
      <c r="BW354" s="82"/>
      <c r="BX354" s="82"/>
      <c r="BY354" s="82"/>
      <c r="BZ354" s="82"/>
      <c r="CA354" s="82"/>
      <c r="CB354" s="35"/>
      <c r="CC354" s="35"/>
      <c r="CD354" s="17"/>
      <c r="CE354" s="17"/>
      <c r="CF354" s="17"/>
      <c r="CG354" s="17"/>
      <c r="CH354" s="17"/>
    </row>
    <row r="355" spans="1:86" ht="15.75" customHeight="1" x14ac:dyDescent="0.25">
      <c r="A355" s="15"/>
      <c r="B355" s="10"/>
      <c r="C355" s="217" t="s">
        <v>2253</v>
      </c>
      <c r="D355" s="218"/>
      <c r="E355" s="218"/>
      <c r="F355" s="218"/>
      <c r="G355" s="218"/>
      <c r="H355" s="218"/>
      <c r="I355" s="218"/>
      <c r="J355" s="219"/>
      <c r="K355" s="17"/>
      <c r="L355" s="17"/>
      <c r="M355" s="17"/>
      <c r="N355" s="17"/>
      <c r="O355" s="17"/>
      <c r="P355" s="17"/>
      <c r="Q355" s="17"/>
      <c r="R355" s="17"/>
      <c r="S355" s="12"/>
      <c r="T355" s="12"/>
      <c r="U355" s="12"/>
      <c r="V355" s="12"/>
      <c r="W355" s="12"/>
      <c r="X355" s="12"/>
      <c r="Y355" s="17"/>
      <c r="Z355" s="17"/>
      <c r="AA355" s="17"/>
      <c r="AB355" s="17"/>
      <c r="AC355" s="17"/>
      <c r="AD355" s="17"/>
      <c r="AE355" s="35"/>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35"/>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c r="BY355" s="35"/>
      <c r="BZ355" s="17"/>
      <c r="CA355" s="17"/>
      <c r="CB355" s="35"/>
      <c r="CC355" s="35"/>
      <c r="CD355" s="17"/>
      <c r="CE355" s="17"/>
      <c r="CF355" s="17"/>
      <c r="CG355" s="17"/>
      <c r="CH355" s="17"/>
    </row>
    <row r="356" spans="1:86" ht="18" customHeight="1" x14ac:dyDescent="0.2">
      <c r="A356" s="15"/>
      <c r="B356" s="15"/>
      <c r="C356" s="220" t="s">
        <v>203</v>
      </c>
      <c r="D356" s="1556" t="s">
        <v>202</v>
      </c>
      <c r="E356" s="1557"/>
      <c r="F356" s="1557"/>
      <c r="G356" s="1557"/>
      <c r="H356" s="1557"/>
      <c r="I356" s="1557"/>
      <c r="J356" s="1558"/>
      <c r="K356" s="16"/>
      <c r="L356" s="17"/>
      <c r="M356" s="17"/>
      <c r="N356" s="17"/>
      <c r="O356" s="17"/>
      <c r="P356" s="17"/>
      <c r="Q356" s="17"/>
      <c r="R356" s="17"/>
      <c r="S356" s="12"/>
      <c r="T356" s="12"/>
      <c r="U356" s="12"/>
      <c r="V356" s="12"/>
      <c r="W356" s="12"/>
      <c r="X356" s="12"/>
      <c r="Y356" s="17"/>
      <c r="Z356" s="17"/>
      <c r="AA356" s="17"/>
      <c r="AB356" s="17"/>
      <c r="AC356" s="17"/>
      <c r="AD356" s="17"/>
      <c r="AE356" s="35"/>
      <c r="AF356" s="17"/>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36"/>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36"/>
      <c r="BZ356" s="12"/>
      <c r="CA356" s="12"/>
      <c r="CB356" s="36"/>
      <c r="CC356" s="36"/>
      <c r="CD356" s="12"/>
      <c r="CE356" s="12"/>
      <c r="CF356" s="12"/>
      <c r="CG356" s="12"/>
      <c r="CH356" s="12"/>
    </row>
    <row r="357" spans="1:86" ht="15.75" customHeight="1" x14ac:dyDescent="0.2">
      <c r="A357" s="15"/>
      <c r="B357" s="15"/>
      <c r="C357" s="1498" t="s">
        <v>441</v>
      </c>
      <c r="D357" s="1513" t="s">
        <v>123</v>
      </c>
      <c r="E357" s="1514"/>
      <c r="F357" s="1514"/>
      <c r="G357" s="1514"/>
      <c r="H357" s="1514"/>
      <c r="I357" s="1514"/>
      <c r="J357" s="1515"/>
      <c r="K357" s="16"/>
      <c r="L357" s="17"/>
      <c r="M357" s="17"/>
      <c r="N357" s="17"/>
      <c r="O357" s="17"/>
      <c r="P357" s="17"/>
      <c r="Q357" s="17"/>
      <c r="R357" s="17"/>
      <c r="S357" s="12"/>
      <c r="T357" s="12"/>
      <c r="U357" s="12"/>
      <c r="V357" s="12"/>
      <c r="W357" s="12"/>
      <c r="X357" s="12"/>
      <c r="Y357" s="17"/>
      <c r="Z357" s="17"/>
      <c r="AA357" s="17"/>
      <c r="AB357" s="17"/>
      <c r="AC357" s="17"/>
      <c r="AD357" s="17"/>
      <c r="AE357" s="35"/>
      <c r="AF357" s="17"/>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36"/>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36"/>
      <c r="BZ357" s="12"/>
      <c r="CA357" s="12"/>
      <c r="CB357" s="36"/>
      <c r="CC357" s="36"/>
      <c r="CD357" s="12"/>
      <c r="CE357" s="12"/>
      <c r="CF357" s="12"/>
      <c r="CG357" s="12"/>
      <c r="CH357" s="12"/>
    </row>
    <row r="358" spans="1:86" ht="15.75" customHeight="1" x14ac:dyDescent="0.2">
      <c r="A358" s="15"/>
      <c r="B358" s="15"/>
      <c r="C358" s="1498"/>
      <c r="D358" s="1541" t="s">
        <v>122</v>
      </c>
      <c r="E358" s="1542"/>
      <c r="F358" s="1542"/>
      <c r="G358" s="1542"/>
      <c r="H358" s="1542"/>
      <c r="I358" s="1542"/>
      <c r="J358" s="1543"/>
      <c r="K358" s="16"/>
      <c r="L358" s="17"/>
      <c r="M358" s="17"/>
      <c r="N358" s="17"/>
      <c r="O358" s="17"/>
      <c r="P358" s="17"/>
      <c r="Q358" s="17"/>
      <c r="R358" s="17"/>
      <c r="S358" s="12"/>
      <c r="T358" s="12"/>
      <c r="U358" s="12"/>
      <c r="V358" s="12"/>
      <c r="W358" s="12"/>
      <c r="X358" s="12"/>
      <c r="Y358" s="17"/>
      <c r="Z358" s="17"/>
      <c r="AA358" s="17"/>
      <c r="AB358" s="17"/>
      <c r="AC358" s="17"/>
      <c r="AD358" s="17"/>
      <c r="AE358" s="35"/>
      <c r="AF358" s="17"/>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36"/>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36"/>
      <c r="BZ358" s="12"/>
      <c r="CA358" s="12"/>
      <c r="CB358" s="36"/>
      <c r="CC358" s="36"/>
      <c r="CD358" s="12"/>
      <c r="CE358" s="12"/>
      <c r="CF358" s="12"/>
      <c r="CG358" s="12"/>
      <c r="CH358" s="12"/>
    </row>
    <row r="359" spans="1:86" s="94" customFormat="1" ht="15.75" customHeight="1" x14ac:dyDescent="0.2">
      <c r="A359" s="32"/>
      <c r="B359" s="32"/>
      <c r="C359" s="1498" t="s">
        <v>519</v>
      </c>
      <c r="D359" s="1494" t="s">
        <v>520</v>
      </c>
      <c r="E359" s="1495"/>
      <c r="F359" s="1495"/>
      <c r="G359" s="1495"/>
      <c r="H359" s="1495"/>
      <c r="I359" s="1495"/>
      <c r="J359" s="1496"/>
      <c r="K359" s="34"/>
      <c r="L359" s="35"/>
      <c r="M359" s="35"/>
      <c r="N359" s="35"/>
      <c r="O359" s="35"/>
      <c r="P359" s="35"/>
      <c r="Q359" s="35"/>
      <c r="R359" s="35"/>
      <c r="S359" s="36"/>
      <c r="T359" s="36"/>
      <c r="U359" s="36"/>
      <c r="V359" s="36"/>
      <c r="W359" s="36"/>
      <c r="X359" s="36"/>
      <c r="Y359" s="35"/>
      <c r="Z359" s="35"/>
      <c r="AA359" s="35"/>
      <c r="AB359" s="35"/>
      <c r="AC359" s="35"/>
      <c r="AD359" s="35"/>
      <c r="AE359" s="35"/>
      <c r="AF359" s="35"/>
      <c r="AG359" s="36"/>
      <c r="AH359" s="36"/>
      <c r="AI359" s="36"/>
      <c r="AJ359" s="36"/>
      <c r="AK359" s="36"/>
      <c r="AL359" s="36"/>
      <c r="AM359" s="36"/>
      <c r="AN359" s="36"/>
      <c r="AO359" s="36"/>
      <c r="AP359" s="36"/>
      <c r="AQ359" s="36"/>
      <c r="AR359" s="36"/>
      <c r="AS359" s="36"/>
      <c r="AT359" s="36"/>
      <c r="AU359" s="36"/>
      <c r="AV359" s="36"/>
      <c r="AW359" s="36"/>
      <c r="AX359" s="36"/>
      <c r="AY359" s="36"/>
      <c r="AZ359" s="36"/>
      <c r="BA359" s="36"/>
      <c r="BB359" s="36"/>
      <c r="BC359" s="36"/>
      <c r="BD359" s="36"/>
      <c r="BE359" s="36"/>
      <c r="BF359" s="36"/>
      <c r="BG359" s="36"/>
      <c r="BH359" s="36"/>
      <c r="BI359" s="36"/>
      <c r="BJ359" s="36"/>
      <c r="BK359" s="36"/>
      <c r="BL359" s="36"/>
      <c r="BM359" s="36"/>
      <c r="BN359" s="36"/>
      <c r="BO359" s="36"/>
      <c r="BP359" s="36"/>
      <c r="BQ359" s="36"/>
      <c r="BR359" s="36"/>
      <c r="BS359" s="36"/>
      <c r="BT359" s="36"/>
      <c r="BU359" s="36"/>
      <c r="BV359" s="36"/>
      <c r="BW359" s="36"/>
      <c r="BX359" s="36"/>
      <c r="BY359" s="36"/>
      <c r="BZ359" s="36"/>
      <c r="CA359" s="36"/>
      <c r="CB359" s="36"/>
      <c r="CC359" s="36"/>
      <c r="CD359" s="36"/>
      <c r="CE359" s="36"/>
      <c r="CF359" s="36"/>
      <c r="CG359" s="36"/>
      <c r="CH359" s="36"/>
    </row>
    <row r="360" spans="1:86" s="94" customFormat="1" ht="15.75" customHeight="1" x14ac:dyDescent="0.2">
      <c r="A360" s="32"/>
      <c r="B360" s="32"/>
      <c r="C360" s="1498"/>
      <c r="D360" s="1550" t="s">
        <v>521</v>
      </c>
      <c r="E360" s="1551"/>
      <c r="F360" s="1551"/>
      <c r="G360" s="1551"/>
      <c r="H360" s="1551"/>
      <c r="I360" s="1551"/>
      <c r="J360" s="1552"/>
      <c r="K360" s="34"/>
      <c r="L360" s="35"/>
      <c r="M360" s="35"/>
      <c r="N360" s="35"/>
      <c r="O360" s="35"/>
      <c r="P360" s="35"/>
      <c r="Q360" s="35"/>
      <c r="R360" s="35"/>
      <c r="S360" s="36"/>
      <c r="T360" s="36"/>
      <c r="U360" s="36"/>
      <c r="V360" s="36"/>
      <c r="W360" s="36"/>
      <c r="X360" s="36"/>
      <c r="Y360" s="35"/>
      <c r="Z360" s="35"/>
      <c r="AA360" s="35"/>
      <c r="AB360" s="35"/>
      <c r="AC360" s="35"/>
      <c r="AD360" s="35"/>
      <c r="AE360" s="35"/>
      <c r="AF360" s="35"/>
      <c r="AG360" s="36"/>
      <c r="AH360" s="36"/>
      <c r="AI360" s="36"/>
      <c r="AJ360" s="36"/>
      <c r="AK360" s="36"/>
      <c r="AL360" s="36"/>
      <c r="AM360" s="36"/>
      <c r="AN360" s="36"/>
      <c r="AO360" s="36"/>
      <c r="AP360" s="36"/>
      <c r="AQ360" s="36"/>
      <c r="AR360" s="36"/>
      <c r="AS360" s="36"/>
      <c r="AT360" s="36"/>
      <c r="AU360" s="36"/>
      <c r="AV360" s="36"/>
      <c r="AW360" s="36"/>
      <c r="AX360" s="36"/>
      <c r="AY360" s="36"/>
      <c r="AZ360" s="36"/>
      <c r="BA360" s="36"/>
      <c r="BB360" s="36"/>
      <c r="BC360" s="36"/>
      <c r="BD360" s="36"/>
      <c r="BE360" s="36"/>
      <c r="BF360" s="36"/>
      <c r="BG360" s="36"/>
      <c r="BH360" s="36"/>
      <c r="BI360" s="36"/>
      <c r="BJ360" s="36"/>
      <c r="BK360" s="36"/>
      <c r="BL360" s="36"/>
      <c r="BM360" s="36"/>
      <c r="BN360" s="36"/>
      <c r="BO360" s="36"/>
      <c r="BP360" s="36"/>
      <c r="BQ360" s="36"/>
      <c r="BR360" s="36"/>
      <c r="BS360" s="36"/>
      <c r="BT360" s="36"/>
      <c r="BU360" s="36"/>
      <c r="BV360" s="36"/>
      <c r="BW360" s="36"/>
      <c r="BX360" s="36"/>
      <c r="BY360" s="36"/>
      <c r="BZ360" s="36"/>
      <c r="CA360" s="36"/>
      <c r="CB360" s="36"/>
      <c r="CC360" s="36"/>
      <c r="CD360" s="36"/>
      <c r="CE360" s="36"/>
      <c r="CF360" s="36"/>
      <c r="CG360" s="36"/>
      <c r="CH360" s="36"/>
    </row>
    <row r="361" spans="1:86" s="94" customFormat="1" ht="15.75" customHeight="1" x14ac:dyDescent="0.2">
      <c r="A361" s="32"/>
      <c r="B361" s="32"/>
      <c r="C361" s="1498" t="s">
        <v>621</v>
      </c>
      <c r="D361" s="1494" t="s">
        <v>622</v>
      </c>
      <c r="E361" s="1495"/>
      <c r="F361" s="1495"/>
      <c r="G361" s="1495"/>
      <c r="H361" s="1495"/>
      <c r="I361" s="1495"/>
      <c r="J361" s="1496"/>
      <c r="K361" s="34"/>
      <c r="L361" s="35"/>
      <c r="M361" s="35"/>
      <c r="N361" s="35"/>
      <c r="O361" s="35"/>
      <c r="P361" s="35"/>
      <c r="Q361" s="35"/>
      <c r="R361" s="35"/>
      <c r="S361" s="36"/>
      <c r="T361" s="36"/>
      <c r="U361" s="36"/>
      <c r="V361" s="36"/>
      <c r="W361" s="36"/>
      <c r="X361" s="36"/>
      <c r="Y361" s="35"/>
      <c r="Z361" s="35"/>
      <c r="AA361" s="35"/>
      <c r="AB361" s="35"/>
      <c r="AC361" s="35"/>
      <c r="AD361" s="35"/>
      <c r="AE361" s="35"/>
      <c r="AF361" s="35"/>
      <c r="AG361" s="36"/>
      <c r="AH361" s="36"/>
      <c r="AI361" s="36"/>
      <c r="AJ361" s="36"/>
      <c r="AK361" s="36"/>
      <c r="AL361" s="36"/>
      <c r="AM361" s="36"/>
      <c r="AN361" s="36"/>
      <c r="AO361" s="36"/>
      <c r="AP361" s="36"/>
      <c r="AQ361" s="36"/>
      <c r="AR361" s="36"/>
      <c r="AS361" s="36"/>
      <c r="AT361" s="36"/>
      <c r="AU361" s="36"/>
      <c r="AV361" s="36"/>
      <c r="AW361" s="36"/>
      <c r="AX361" s="36"/>
      <c r="AY361" s="36"/>
      <c r="AZ361" s="36"/>
      <c r="BA361" s="36"/>
      <c r="BB361" s="36"/>
      <c r="BC361" s="36"/>
      <c r="BD361" s="36"/>
      <c r="BE361" s="36"/>
      <c r="BF361" s="36"/>
      <c r="BG361" s="36"/>
      <c r="BH361" s="36"/>
      <c r="BI361" s="36"/>
      <c r="BJ361" s="36"/>
      <c r="BK361" s="36"/>
      <c r="BL361" s="36"/>
      <c r="BM361" s="36"/>
      <c r="BN361" s="36"/>
      <c r="BO361" s="36"/>
      <c r="BP361" s="36"/>
      <c r="BQ361" s="36"/>
      <c r="BR361" s="36"/>
      <c r="BS361" s="36"/>
      <c r="BT361" s="36"/>
      <c r="BU361" s="36"/>
      <c r="BV361" s="36"/>
      <c r="BW361" s="36"/>
      <c r="BX361" s="36"/>
      <c r="BY361" s="36"/>
      <c r="BZ361" s="36"/>
      <c r="CA361" s="36"/>
      <c r="CB361" s="36"/>
      <c r="CC361" s="36"/>
      <c r="CD361" s="36"/>
      <c r="CE361" s="36"/>
      <c r="CF361" s="36"/>
      <c r="CG361" s="36"/>
      <c r="CH361" s="36"/>
    </row>
    <row r="362" spans="1:86" s="94" customFormat="1" ht="15.75" customHeight="1" x14ac:dyDescent="0.2">
      <c r="A362" s="32"/>
      <c r="B362" s="32"/>
      <c r="C362" s="1498"/>
      <c r="D362" s="1491" t="s">
        <v>350</v>
      </c>
      <c r="E362" s="1499"/>
      <c r="F362" s="1499"/>
      <c r="G362" s="1499"/>
      <c r="H362" s="1499"/>
      <c r="I362" s="1499"/>
      <c r="J362" s="1500"/>
      <c r="K362" s="34"/>
      <c r="L362" s="35"/>
      <c r="M362" s="35"/>
      <c r="N362" s="35"/>
      <c r="O362" s="35"/>
      <c r="P362" s="35"/>
      <c r="Q362" s="35"/>
      <c r="R362" s="35"/>
      <c r="S362" s="36"/>
      <c r="T362" s="36"/>
      <c r="U362" s="36"/>
      <c r="V362" s="36"/>
      <c r="W362" s="36"/>
      <c r="X362" s="36"/>
      <c r="Y362" s="35"/>
      <c r="Z362" s="35"/>
      <c r="AA362" s="35"/>
      <c r="AB362" s="35"/>
      <c r="AC362" s="35"/>
      <c r="AD362" s="35"/>
      <c r="AE362" s="35"/>
      <c r="AF362" s="35"/>
      <c r="AG362" s="36"/>
      <c r="AH362" s="36"/>
      <c r="AI362" s="36"/>
      <c r="AJ362" s="36"/>
      <c r="AK362" s="36"/>
      <c r="AL362" s="36"/>
      <c r="AM362" s="36"/>
      <c r="AN362" s="36"/>
      <c r="AO362" s="36"/>
      <c r="AP362" s="36"/>
      <c r="AQ362" s="36"/>
      <c r="AR362" s="36"/>
      <c r="AS362" s="36"/>
      <c r="AT362" s="36"/>
      <c r="AU362" s="36"/>
      <c r="AV362" s="36"/>
      <c r="AW362" s="36"/>
      <c r="AX362" s="36"/>
      <c r="AY362" s="36"/>
      <c r="AZ362" s="36"/>
      <c r="BA362" s="36"/>
      <c r="BB362" s="36"/>
      <c r="BC362" s="36"/>
      <c r="BD362" s="36"/>
      <c r="BE362" s="36"/>
      <c r="BF362" s="36"/>
      <c r="BG362" s="36"/>
      <c r="BH362" s="36"/>
      <c r="BI362" s="36"/>
      <c r="BJ362" s="36"/>
      <c r="BK362" s="36"/>
      <c r="BL362" s="36"/>
      <c r="BM362" s="36"/>
      <c r="BN362" s="36"/>
      <c r="BO362" s="36"/>
      <c r="BP362" s="36"/>
      <c r="BQ362" s="36"/>
      <c r="BR362" s="36"/>
      <c r="BS362" s="36"/>
      <c r="BT362" s="36"/>
      <c r="BU362" s="36"/>
      <c r="BV362" s="36"/>
      <c r="BW362" s="36"/>
      <c r="BX362" s="36"/>
      <c r="BY362" s="36"/>
      <c r="BZ362" s="36"/>
      <c r="CA362" s="36"/>
      <c r="CB362" s="36"/>
      <c r="CC362" s="36"/>
      <c r="CD362" s="36"/>
      <c r="CE362" s="36"/>
      <c r="CF362" s="36"/>
      <c r="CG362" s="36"/>
      <c r="CH362" s="36"/>
    </row>
    <row r="363" spans="1:86" s="94" customFormat="1" ht="15.75" customHeight="1" x14ac:dyDescent="0.2">
      <c r="A363" s="32"/>
      <c r="B363" s="32"/>
      <c r="C363" s="1498" t="s">
        <v>2255</v>
      </c>
      <c r="D363" s="1494" t="s">
        <v>2256</v>
      </c>
      <c r="E363" s="1495"/>
      <c r="F363" s="1495"/>
      <c r="G363" s="1495"/>
      <c r="H363" s="1495"/>
      <c r="I363" s="1495"/>
      <c r="J363" s="1496"/>
      <c r="K363" s="34"/>
      <c r="L363" s="35"/>
      <c r="M363" s="35"/>
      <c r="N363" s="35"/>
      <c r="O363" s="35"/>
      <c r="P363" s="35"/>
      <c r="Q363" s="35"/>
      <c r="R363" s="35"/>
      <c r="S363" s="36"/>
      <c r="T363" s="36"/>
      <c r="U363" s="36"/>
      <c r="V363" s="36"/>
      <c r="W363" s="36"/>
      <c r="X363" s="36"/>
      <c r="Y363" s="35"/>
      <c r="Z363" s="35"/>
      <c r="AA363" s="35"/>
      <c r="AB363" s="35"/>
      <c r="AC363" s="35"/>
      <c r="AD363" s="35"/>
      <c r="AE363" s="35"/>
      <c r="AF363" s="35"/>
      <c r="AG363" s="36"/>
      <c r="AH363" s="36"/>
      <c r="AI363" s="36"/>
      <c r="AJ363" s="36"/>
      <c r="AK363" s="36"/>
      <c r="AL363" s="36"/>
      <c r="AM363" s="36"/>
      <c r="AN363" s="36"/>
      <c r="AO363" s="36"/>
      <c r="AP363" s="36"/>
      <c r="AQ363" s="36"/>
      <c r="AR363" s="36"/>
      <c r="AS363" s="36"/>
      <c r="AT363" s="36"/>
      <c r="AU363" s="36"/>
      <c r="AV363" s="36"/>
      <c r="AW363" s="36"/>
      <c r="AX363" s="36"/>
      <c r="AY363" s="36"/>
      <c r="AZ363" s="36"/>
      <c r="BA363" s="36"/>
      <c r="BB363" s="36"/>
      <c r="BC363" s="36"/>
      <c r="BD363" s="36"/>
      <c r="BE363" s="36"/>
      <c r="BF363" s="36"/>
      <c r="BG363" s="36"/>
      <c r="BH363" s="36"/>
      <c r="BI363" s="36"/>
      <c r="BJ363" s="36"/>
      <c r="BK363" s="36"/>
      <c r="BL363" s="36"/>
      <c r="BM363" s="36"/>
      <c r="BN363" s="36"/>
      <c r="BO363" s="36"/>
      <c r="BP363" s="36"/>
      <c r="BQ363" s="36"/>
      <c r="BR363" s="36"/>
      <c r="BS363" s="36"/>
      <c r="BT363" s="36"/>
      <c r="BU363" s="36"/>
      <c r="BV363" s="36"/>
      <c r="BW363" s="36"/>
      <c r="BX363" s="36"/>
      <c r="BY363" s="36"/>
      <c r="BZ363" s="36"/>
      <c r="CA363" s="36"/>
      <c r="CB363" s="36"/>
      <c r="CC363" s="36"/>
      <c r="CD363" s="36"/>
      <c r="CE363" s="36"/>
      <c r="CF363" s="36"/>
      <c r="CG363" s="36"/>
      <c r="CH363" s="36"/>
    </row>
    <row r="364" spans="1:86" s="94" customFormat="1" ht="15.75" customHeight="1" x14ac:dyDescent="0.2">
      <c r="A364" s="32"/>
      <c r="B364" s="32"/>
      <c r="C364" s="1498"/>
      <c r="D364" s="1221" t="s">
        <v>2257</v>
      </c>
      <c r="E364" s="215"/>
      <c r="F364" s="215"/>
      <c r="G364" s="215"/>
      <c r="H364" s="215"/>
      <c r="I364" s="215"/>
      <c r="J364" s="216"/>
      <c r="K364" s="34"/>
      <c r="L364" s="35"/>
      <c r="M364" s="35"/>
      <c r="N364" s="35"/>
      <c r="O364" s="35"/>
      <c r="P364" s="35"/>
      <c r="Q364" s="35"/>
      <c r="R364" s="35"/>
      <c r="S364" s="36"/>
      <c r="T364" s="36"/>
      <c r="U364" s="36"/>
      <c r="V364" s="36"/>
      <c r="W364" s="36"/>
      <c r="X364" s="36"/>
      <c r="Y364" s="35"/>
      <c r="Z364" s="35"/>
      <c r="AA364" s="35"/>
      <c r="AB364" s="35"/>
      <c r="AC364" s="35"/>
      <c r="AD364" s="35"/>
      <c r="AE364" s="35"/>
      <c r="AF364" s="35"/>
      <c r="AG364" s="36"/>
      <c r="AH364" s="36"/>
      <c r="AI364" s="36"/>
      <c r="AJ364" s="36"/>
      <c r="AK364" s="36"/>
      <c r="AL364" s="36"/>
      <c r="AM364" s="36"/>
      <c r="AN364" s="36"/>
      <c r="AO364" s="36"/>
      <c r="AP364" s="36"/>
      <c r="AQ364" s="36"/>
      <c r="AR364" s="36"/>
      <c r="AS364" s="36"/>
      <c r="AT364" s="36"/>
      <c r="AU364" s="36"/>
      <c r="AV364" s="36"/>
      <c r="AW364" s="36"/>
      <c r="AX364" s="36"/>
      <c r="AY364" s="36"/>
      <c r="AZ364" s="36"/>
      <c r="BA364" s="36"/>
      <c r="BB364" s="36"/>
      <c r="BC364" s="36"/>
      <c r="BD364" s="36"/>
      <c r="BE364" s="36"/>
      <c r="BF364" s="36"/>
      <c r="BG364" s="36"/>
      <c r="BH364" s="36"/>
      <c r="BI364" s="36"/>
      <c r="BJ364" s="36"/>
      <c r="BK364" s="36"/>
      <c r="BL364" s="36"/>
      <c r="BM364" s="36"/>
      <c r="BN364" s="36"/>
      <c r="BO364" s="36"/>
      <c r="BP364" s="36"/>
      <c r="BQ364" s="36"/>
      <c r="BR364" s="36"/>
      <c r="BS364" s="36"/>
      <c r="BT364" s="36"/>
      <c r="BU364" s="36"/>
      <c r="BV364" s="36"/>
      <c r="BW364" s="36"/>
      <c r="BX364" s="36"/>
      <c r="BY364" s="36"/>
      <c r="BZ364" s="36"/>
      <c r="CA364" s="36"/>
      <c r="CB364" s="36"/>
      <c r="CC364" s="36"/>
      <c r="CD364" s="36"/>
      <c r="CE364" s="36"/>
      <c r="CF364" s="36"/>
      <c r="CG364" s="36"/>
      <c r="CH364" s="36"/>
    </row>
    <row r="365" spans="1:86" ht="15.75" customHeight="1" x14ac:dyDescent="0.2">
      <c r="A365" s="15"/>
      <c r="B365" s="15"/>
      <c r="C365" s="1498" t="s">
        <v>617</v>
      </c>
      <c r="D365" s="1553" t="s">
        <v>618</v>
      </c>
      <c r="E365" s="1554"/>
      <c r="F365" s="1554"/>
      <c r="G365" s="1554"/>
      <c r="H365" s="1554"/>
      <c r="I365" s="1554"/>
      <c r="J365" s="1555"/>
      <c r="K365" s="16"/>
      <c r="L365" s="17"/>
      <c r="M365" s="17"/>
      <c r="N365" s="17"/>
      <c r="O365" s="17"/>
      <c r="P365" s="17"/>
      <c r="Q365" s="17"/>
      <c r="R365" s="17"/>
      <c r="S365" s="12"/>
      <c r="T365" s="12"/>
      <c r="U365" s="12"/>
      <c r="V365" s="12"/>
      <c r="W365" s="12"/>
      <c r="X365" s="12"/>
      <c r="Y365" s="17"/>
      <c r="Z365" s="17"/>
      <c r="AA365" s="17"/>
      <c r="AB365" s="17"/>
      <c r="AC365" s="17"/>
      <c r="AD365" s="17"/>
      <c r="AE365" s="35"/>
      <c r="AF365" s="17"/>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36"/>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36"/>
      <c r="BZ365" s="12"/>
      <c r="CA365" s="12"/>
      <c r="CB365" s="36"/>
      <c r="CC365" s="36"/>
      <c r="CD365" s="12"/>
      <c r="CE365" s="12"/>
      <c r="CF365" s="12"/>
      <c r="CG365" s="12"/>
      <c r="CH365" s="12"/>
    </row>
    <row r="366" spans="1:86" ht="15.75" customHeight="1" x14ac:dyDescent="0.2">
      <c r="A366" s="12"/>
      <c r="B366" s="15"/>
      <c r="C366" s="1498"/>
      <c r="D366" s="1516" t="s">
        <v>619</v>
      </c>
      <c r="E366" s="1517"/>
      <c r="F366" s="1517"/>
      <c r="G366" s="1517"/>
      <c r="H366" s="1517"/>
      <c r="I366" s="1517"/>
      <c r="J366" s="1518"/>
      <c r="K366" s="16"/>
      <c r="L366" s="17"/>
      <c r="M366" s="17"/>
      <c r="N366" s="17"/>
      <c r="O366" s="17"/>
      <c r="P366" s="17"/>
      <c r="Q366" s="17"/>
      <c r="R366" s="17"/>
      <c r="S366" s="12"/>
      <c r="T366" s="12"/>
      <c r="U366" s="12"/>
      <c r="V366" s="12"/>
      <c r="W366" s="12"/>
      <c r="X366" s="12"/>
      <c r="Y366" s="17"/>
      <c r="Z366" s="17"/>
      <c r="AA366" s="17"/>
      <c r="AB366" s="17"/>
      <c r="AC366" s="17"/>
      <c r="AD366" s="17"/>
      <c r="AE366" s="35"/>
      <c r="AF366" s="17"/>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36"/>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36"/>
      <c r="BZ366" s="12"/>
      <c r="CA366" s="12"/>
      <c r="CB366" s="36"/>
      <c r="CC366" s="36"/>
      <c r="CD366" s="12"/>
      <c r="CE366" s="12"/>
      <c r="CF366" s="12"/>
      <c r="CG366" s="12"/>
      <c r="CH366" s="12"/>
    </row>
    <row r="367" spans="1:86" s="94" customFormat="1" ht="15.75" customHeight="1" x14ac:dyDescent="0.2">
      <c r="A367" s="36"/>
      <c r="B367" s="32"/>
      <c r="C367" s="1190" t="s">
        <v>2258</v>
      </c>
      <c r="D367" s="1223" t="s">
        <v>2259</v>
      </c>
      <c r="E367" s="1224"/>
      <c r="F367" s="1224"/>
      <c r="G367" s="1224"/>
      <c r="H367" s="1224"/>
      <c r="I367" s="1224"/>
      <c r="J367" s="1225"/>
      <c r="K367" s="34"/>
      <c r="L367" s="35"/>
      <c r="M367" s="35"/>
      <c r="N367" s="35"/>
      <c r="O367" s="35"/>
      <c r="P367" s="35"/>
      <c r="Q367" s="35"/>
      <c r="R367" s="35"/>
      <c r="S367" s="36"/>
      <c r="T367" s="36"/>
      <c r="U367" s="36"/>
      <c r="V367" s="36"/>
      <c r="W367" s="36"/>
      <c r="X367" s="36"/>
      <c r="Y367" s="35"/>
      <c r="Z367" s="35"/>
      <c r="AA367" s="35"/>
      <c r="AB367" s="35"/>
      <c r="AC367" s="35"/>
      <c r="AD367" s="35"/>
      <c r="AE367" s="35"/>
      <c r="AF367" s="35"/>
      <c r="AG367" s="36"/>
      <c r="AH367" s="36"/>
      <c r="AI367" s="36"/>
      <c r="AJ367" s="36"/>
      <c r="AK367" s="36"/>
      <c r="AL367" s="36"/>
      <c r="AM367" s="36"/>
      <c r="AN367" s="36"/>
      <c r="AO367" s="36"/>
      <c r="AP367" s="36"/>
      <c r="AQ367" s="36"/>
      <c r="AR367" s="36"/>
      <c r="AS367" s="36"/>
      <c r="AT367" s="36"/>
      <c r="AU367" s="36"/>
      <c r="AV367" s="36"/>
      <c r="AW367" s="36"/>
      <c r="AX367" s="36"/>
      <c r="AY367" s="36"/>
      <c r="AZ367" s="36"/>
      <c r="BA367" s="36"/>
      <c r="BB367" s="36"/>
      <c r="BC367" s="36"/>
      <c r="BD367" s="36"/>
      <c r="BE367" s="36"/>
      <c r="BF367" s="36"/>
      <c r="BG367" s="36"/>
      <c r="BH367" s="36"/>
      <c r="BI367" s="36"/>
      <c r="BJ367" s="36"/>
      <c r="BK367" s="36"/>
      <c r="BL367" s="36"/>
      <c r="BM367" s="36"/>
      <c r="BN367" s="36"/>
      <c r="BO367" s="36"/>
      <c r="BP367" s="36"/>
      <c r="BQ367" s="36"/>
      <c r="BR367" s="36"/>
      <c r="BS367" s="36"/>
      <c r="BT367" s="36"/>
      <c r="BU367" s="36"/>
      <c r="BV367" s="36"/>
      <c r="BW367" s="36"/>
      <c r="BX367" s="36"/>
      <c r="BY367" s="36"/>
      <c r="BZ367" s="36"/>
      <c r="CA367" s="36"/>
      <c r="CB367" s="36"/>
      <c r="CC367" s="36"/>
      <c r="CD367" s="36"/>
      <c r="CE367" s="36"/>
      <c r="CF367" s="36"/>
      <c r="CG367" s="36"/>
      <c r="CH367" s="36"/>
    </row>
    <row r="368" spans="1:86" s="94" customFormat="1" ht="15.75" customHeight="1" x14ac:dyDescent="0.2">
      <c r="A368" s="36"/>
      <c r="B368" s="32"/>
      <c r="C368" s="1559" t="s">
        <v>2262</v>
      </c>
      <c r="D368" s="94" t="s">
        <v>2260</v>
      </c>
      <c r="E368" s="1219"/>
      <c r="F368" s="1219"/>
      <c r="G368" s="1219"/>
      <c r="H368" s="1219"/>
      <c r="I368" s="1219"/>
      <c r="J368" s="1220"/>
      <c r="K368" s="34"/>
      <c r="L368" s="35"/>
      <c r="M368" s="35"/>
      <c r="N368" s="35"/>
      <c r="O368" s="35"/>
      <c r="P368" s="35"/>
      <c r="Q368" s="35"/>
      <c r="R368" s="35"/>
      <c r="S368" s="36"/>
      <c r="T368" s="36"/>
      <c r="U368" s="36"/>
      <c r="V368" s="36"/>
      <c r="W368" s="36"/>
      <c r="X368" s="36"/>
      <c r="Y368" s="35"/>
      <c r="Z368" s="35"/>
      <c r="AA368" s="35"/>
      <c r="AB368" s="35"/>
      <c r="AC368" s="35"/>
      <c r="AD368" s="35"/>
      <c r="AE368" s="35"/>
      <c r="AF368" s="35"/>
      <c r="AG368" s="36"/>
      <c r="AH368" s="36"/>
      <c r="AI368" s="36"/>
      <c r="AJ368" s="36"/>
      <c r="AK368" s="36"/>
      <c r="AL368" s="36"/>
      <c r="AM368" s="36"/>
      <c r="AN368" s="36"/>
      <c r="AO368" s="36"/>
      <c r="AP368" s="36"/>
      <c r="AQ368" s="36"/>
      <c r="AR368" s="36"/>
      <c r="AS368" s="36"/>
      <c r="AT368" s="36"/>
      <c r="AU368" s="36"/>
      <c r="AV368" s="36"/>
      <c r="AW368" s="36"/>
      <c r="AX368" s="36"/>
      <c r="AY368" s="36"/>
      <c r="AZ368" s="36"/>
      <c r="BA368" s="36"/>
      <c r="BB368" s="36"/>
      <c r="BC368" s="36"/>
      <c r="BD368" s="36"/>
      <c r="BE368" s="36"/>
      <c r="BF368" s="36"/>
      <c r="BG368" s="36"/>
      <c r="BH368" s="36"/>
      <c r="BI368" s="36"/>
      <c r="BJ368" s="36"/>
      <c r="BK368" s="36"/>
      <c r="BL368" s="36"/>
      <c r="BM368" s="36"/>
      <c r="BN368" s="36"/>
      <c r="BO368" s="36"/>
      <c r="BP368" s="36"/>
      <c r="BQ368" s="36"/>
      <c r="BR368" s="36"/>
      <c r="BS368" s="36"/>
      <c r="BT368" s="36"/>
      <c r="BU368" s="36"/>
      <c r="BV368" s="36"/>
      <c r="BW368" s="36"/>
      <c r="BX368" s="36"/>
      <c r="BY368" s="36"/>
      <c r="BZ368" s="36"/>
      <c r="CA368" s="36"/>
      <c r="CB368" s="36"/>
      <c r="CC368" s="36"/>
      <c r="CD368" s="36"/>
      <c r="CE368" s="36"/>
      <c r="CF368" s="36"/>
      <c r="CG368" s="36"/>
      <c r="CH368" s="36"/>
    </row>
    <row r="369" spans="1:86" s="94" customFormat="1" ht="15.75" customHeight="1" x14ac:dyDescent="0.2">
      <c r="A369" s="36"/>
      <c r="B369" s="32"/>
      <c r="C369" s="1560"/>
      <c r="D369" s="1222" t="s">
        <v>2261</v>
      </c>
      <c r="E369" s="1219"/>
      <c r="F369" s="1219"/>
      <c r="G369" s="1219"/>
      <c r="H369" s="1219"/>
      <c r="I369" s="1219"/>
      <c r="J369" s="1220"/>
      <c r="K369" s="34"/>
      <c r="L369" s="35"/>
      <c r="M369" s="35"/>
      <c r="N369" s="35"/>
      <c r="O369" s="35"/>
      <c r="P369" s="35"/>
      <c r="Q369" s="35"/>
      <c r="R369" s="35"/>
      <c r="S369" s="36"/>
      <c r="T369" s="36"/>
      <c r="U369" s="36"/>
      <c r="V369" s="36"/>
      <c r="W369" s="36"/>
      <c r="X369" s="36"/>
      <c r="Y369" s="35"/>
      <c r="Z369" s="35"/>
      <c r="AA369" s="35"/>
      <c r="AB369" s="35"/>
      <c r="AC369" s="35"/>
      <c r="AD369" s="35"/>
      <c r="AE369" s="35"/>
      <c r="AF369" s="35"/>
      <c r="AG369" s="36"/>
      <c r="AH369" s="36"/>
      <c r="AI369" s="36"/>
      <c r="AJ369" s="36"/>
      <c r="AK369" s="36"/>
      <c r="AL369" s="36"/>
      <c r="AM369" s="36"/>
      <c r="AN369" s="36"/>
      <c r="AO369" s="36"/>
      <c r="AP369" s="36"/>
      <c r="AQ369" s="36"/>
      <c r="AR369" s="36"/>
      <c r="AS369" s="36"/>
      <c r="AT369" s="36"/>
      <c r="AU369" s="36"/>
      <c r="AV369" s="36"/>
      <c r="AW369" s="36"/>
      <c r="AX369" s="36"/>
      <c r="AY369" s="36"/>
      <c r="AZ369" s="36"/>
      <c r="BA369" s="36"/>
      <c r="BB369" s="36"/>
      <c r="BC369" s="36"/>
      <c r="BD369" s="36"/>
      <c r="BE369" s="36"/>
      <c r="BF369" s="36"/>
      <c r="BG369" s="36"/>
      <c r="BH369" s="36"/>
      <c r="BI369" s="36"/>
      <c r="BJ369" s="36"/>
      <c r="BK369" s="36"/>
      <c r="BL369" s="36"/>
      <c r="BM369" s="36"/>
      <c r="BN369" s="36"/>
      <c r="BO369" s="36"/>
      <c r="BP369" s="36"/>
      <c r="BQ369" s="36"/>
      <c r="BR369" s="36"/>
      <c r="BS369" s="36"/>
      <c r="BT369" s="36"/>
      <c r="BU369" s="36"/>
      <c r="BV369" s="36"/>
      <c r="BW369" s="36"/>
      <c r="BX369" s="36"/>
      <c r="BY369" s="36"/>
      <c r="BZ369" s="36"/>
      <c r="CA369" s="36"/>
      <c r="CB369" s="36"/>
      <c r="CC369" s="36"/>
      <c r="CD369" s="36"/>
      <c r="CE369" s="36"/>
      <c r="CF369" s="36"/>
      <c r="CG369" s="36"/>
      <c r="CH369" s="36"/>
    </row>
    <row r="370" spans="1:86" ht="15.75" customHeight="1" x14ac:dyDescent="0.2">
      <c r="A370" s="12"/>
      <c r="B370" s="15"/>
      <c r="C370" s="1525" t="s">
        <v>394</v>
      </c>
      <c r="D370" s="1522" t="s">
        <v>89</v>
      </c>
      <c r="E370" s="1523"/>
      <c r="F370" s="1523"/>
      <c r="G370" s="1523"/>
      <c r="H370" s="1523"/>
      <c r="I370" s="1523"/>
      <c r="J370" s="1524"/>
      <c r="K370" s="11"/>
      <c r="L370" s="12"/>
      <c r="M370" s="12"/>
      <c r="N370" s="12"/>
      <c r="O370" s="12"/>
      <c r="P370" s="12"/>
      <c r="Q370" s="12"/>
      <c r="R370" s="12"/>
      <c r="S370" s="12"/>
      <c r="T370" s="12"/>
      <c r="U370" s="12"/>
      <c r="V370" s="12"/>
      <c r="W370" s="12"/>
      <c r="X370" s="12"/>
      <c r="Y370" s="17"/>
      <c r="Z370" s="17"/>
      <c r="AA370" s="17"/>
      <c r="AB370" s="17"/>
      <c r="AC370" s="17"/>
      <c r="AD370" s="17"/>
      <c r="AE370" s="35"/>
      <c r="AF370" s="17"/>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36"/>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36"/>
      <c r="BZ370" s="12"/>
      <c r="CA370" s="12"/>
      <c r="CB370" s="36"/>
      <c r="CC370" s="36"/>
      <c r="CD370" s="12"/>
      <c r="CE370" s="12"/>
      <c r="CF370" s="12"/>
      <c r="CG370" s="12"/>
      <c r="CH370" s="12"/>
    </row>
    <row r="371" spans="1:86" ht="15.75" customHeight="1" x14ac:dyDescent="0.2">
      <c r="A371" s="12"/>
      <c r="B371" s="15"/>
      <c r="C371" s="1525"/>
      <c r="D371" s="1519" t="s">
        <v>90</v>
      </c>
      <c r="E371" s="1520"/>
      <c r="F371" s="1520"/>
      <c r="G371" s="1520"/>
      <c r="H371" s="1520"/>
      <c r="I371" s="1520"/>
      <c r="J371" s="1521"/>
      <c r="K371" s="11"/>
      <c r="L371" s="12"/>
      <c r="M371" s="12"/>
      <c r="N371" s="12"/>
      <c r="O371" s="12"/>
      <c r="P371" s="12"/>
      <c r="Q371" s="12"/>
      <c r="R371" s="12"/>
      <c r="S371" s="12"/>
      <c r="T371" s="12"/>
      <c r="U371" s="12"/>
      <c r="V371" s="12"/>
      <c r="W371" s="12"/>
      <c r="X371" s="12"/>
      <c r="Y371" s="17"/>
      <c r="Z371" s="17"/>
      <c r="AA371" s="17"/>
      <c r="AB371" s="17"/>
      <c r="AC371" s="17"/>
      <c r="AD371" s="17"/>
      <c r="AE371" s="35"/>
      <c r="AF371" s="17"/>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36"/>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36"/>
      <c r="BZ371" s="12"/>
      <c r="CA371" s="12"/>
      <c r="CB371" s="36"/>
      <c r="CC371" s="36"/>
      <c r="CD371" s="12"/>
      <c r="CE371" s="12"/>
      <c r="CF371" s="12"/>
      <c r="CG371" s="12"/>
      <c r="CH371" s="12"/>
    </row>
    <row r="372" spans="1:86" ht="15.75" customHeight="1" x14ac:dyDescent="0.2">
      <c r="A372" s="12"/>
      <c r="B372" s="15"/>
      <c r="C372" s="1525"/>
      <c r="D372" s="1486" t="s">
        <v>91</v>
      </c>
      <c r="E372" s="1487"/>
      <c r="F372" s="1487"/>
      <c r="G372" s="1487"/>
      <c r="H372" s="1487"/>
      <c r="I372" s="1487"/>
      <c r="J372" s="1488"/>
      <c r="K372" s="11"/>
      <c r="L372" s="12"/>
      <c r="M372" s="12"/>
      <c r="N372" s="12"/>
      <c r="O372" s="12"/>
      <c r="P372" s="12"/>
      <c r="Q372" s="12"/>
      <c r="R372" s="12"/>
      <c r="S372" s="12"/>
      <c r="T372" s="12"/>
      <c r="U372" s="12"/>
      <c r="V372" s="12"/>
      <c r="W372" s="12"/>
      <c r="X372" s="12"/>
      <c r="Y372" s="17"/>
      <c r="Z372" s="17"/>
      <c r="AA372" s="17"/>
      <c r="AB372" s="17"/>
      <c r="AC372" s="17"/>
      <c r="AD372" s="17"/>
      <c r="AE372" s="35"/>
      <c r="AF372" s="17"/>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36"/>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36"/>
      <c r="BZ372" s="12"/>
      <c r="CA372" s="12"/>
      <c r="CB372" s="36"/>
      <c r="CC372" s="36"/>
      <c r="CD372" s="12"/>
      <c r="CE372" s="12"/>
      <c r="CF372" s="12"/>
      <c r="CG372" s="12"/>
      <c r="CH372" s="12"/>
    </row>
    <row r="373" spans="1:86" s="94" customFormat="1" ht="15.75" customHeight="1" x14ac:dyDescent="0.2">
      <c r="A373" s="36"/>
      <c r="B373" s="32"/>
      <c r="C373" s="1489" t="s">
        <v>468</v>
      </c>
      <c r="D373" s="1504" t="s">
        <v>469</v>
      </c>
      <c r="E373" s="1505"/>
      <c r="F373" s="1505"/>
      <c r="G373" s="1505"/>
      <c r="H373" s="1505"/>
      <c r="I373" s="1505"/>
      <c r="J373" s="1506"/>
      <c r="K373" s="11"/>
      <c r="L373" s="36"/>
      <c r="M373" s="36"/>
      <c r="N373" s="36"/>
      <c r="O373" s="36"/>
      <c r="P373" s="36"/>
      <c r="Q373" s="36"/>
      <c r="R373" s="36"/>
      <c r="S373" s="36"/>
      <c r="T373" s="36"/>
      <c r="U373" s="36"/>
      <c r="V373" s="36"/>
      <c r="W373" s="36"/>
      <c r="X373" s="36"/>
      <c r="Y373" s="35"/>
      <c r="Z373" s="35"/>
      <c r="AA373" s="35"/>
      <c r="AB373" s="35"/>
      <c r="AC373" s="35"/>
      <c r="AD373" s="35"/>
      <c r="AE373" s="35"/>
      <c r="AF373" s="35"/>
      <c r="AG373" s="36"/>
      <c r="AH373" s="36"/>
      <c r="AI373" s="36"/>
      <c r="AJ373" s="36"/>
      <c r="AK373" s="36"/>
      <c r="AL373" s="36"/>
      <c r="AM373" s="36"/>
      <c r="AN373" s="36"/>
      <c r="AO373" s="36"/>
      <c r="AP373" s="36"/>
      <c r="AQ373" s="36"/>
      <c r="AR373" s="36"/>
      <c r="AS373" s="36"/>
      <c r="AT373" s="36"/>
      <c r="AU373" s="36"/>
      <c r="AV373" s="36"/>
      <c r="AW373" s="36"/>
      <c r="AX373" s="36"/>
      <c r="AY373" s="36"/>
      <c r="AZ373" s="36"/>
      <c r="BA373" s="36"/>
      <c r="BB373" s="36"/>
      <c r="BC373" s="36"/>
      <c r="BD373" s="36"/>
      <c r="BE373" s="36"/>
      <c r="BF373" s="36"/>
      <c r="BG373" s="36"/>
      <c r="BH373" s="36"/>
      <c r="BI373" s="36"/>
      <c r="BJ373" s="36"/>
      <c r="BK373" s="36"/>
      <c r="BL373" s="36"/>
      <c r="BM373" s="36"/>
      <c r="BN373" s="36"/>
      <c r="BO373" s="36"/>
      <c r="BP373" s="36"/>
      <c r="BQ373" s="36"/>
      <c r="BR373" s="36"/>
      <c r="BS373" s="36"/>
      <c r="BT373" s="36"/>
      <c r="BU373" s="36"/>
      <c r="BV373" s="36"/>
      <c r="BW373" s="36"/>
      <c r="BX373" s="36"/>
      <c r="BY373" s="36"/>
      <c r="BZ373" s="36"/>
      <c r="CA373" s="36"/>
      <c r="CB373" s="36"/>
      <c r="CC373" s="36"/>
      <c r="CD373" s="36"/>
      <c r="CE373" s="36"/>
      <c r="CF373" s="36"/>
      <c r="CG373" s="36"/>
      <c r="CH373" s="36"/>
    </row>
    <row r="374" spans="1:86" s="94" customFormat="1" ht="15.75" customHeight="1" x14ac:dyDescent="0.2">
      <c r="A374" s="36"/>
      <c r="B374" s="32"/>
      <c r="C374" s="1490"/>
      <c r="D374" s="1491" t="s">
        <v>470</v>
      </c>
      <c r="E374" s="1492"/>
      <c r="F374" s="1492"/>
      <c r="G374" s="1492"/>
      <c r="H374" s="1492"/>
      <c r="I374" s="1492"/>
      <c r="J374" s="1493"/>
      <c r="K374" s="11"/>
      <c r="L374" s="36"/>
      <c r="M374" s="36"/>
      <c r="N374" s="36"/>
      <c r="O374" s="36"/>
      <c r="P374" s="36"/>
      <c r="Q374" s="36"/>
      <c r="R374" s="36"/>
      <c r="S374" s="36"/>
      <c r="T374" s="36"/>
      <c r="U374" s="36"/>
      <c r="V374" s="36"/>
      <c r="W374" s="36"/>
      <c r="X374" s="36"/>
      <c r="Y374" s="35"/>
      <c r="Z374" s="35"/>
      <c r="AA374" s="35"/>
      <c r="AB374" s="35"/>
      <c r="AC374" s="35"/>
      <c r="AD374" s="35"/>
      <c r="AE374" s="35"/>
      <c r="AF374" s="35"/>
      <c r="AG374" s="36"/>
      <c r="AH374" s="36"/>
      <c r="AI374" s="36"/>
      <c r="AJ374" s="36"/>
      <c r="AK374" s="36"/>
      <c r="AL374" s="36"/>
      <c r="AM374" s="36"/>
      <c r="AN374" s="36"/>
      <c r="AO374" s="36"/>
      <c r="AP374" s="36"/>
      <c r="AQ374" s="36"/>
      <c r="AR374" s="36"/>
      <c r="AS374" s="36"/>
      <c r="AT374" s="36"/>
      <c r="AU374" s="36"/>
      <c r="AV374" s="36"/>
      <c r="AW374" s="36"/>
      <c r="AX374" s="36"/>
      <c r="AY374" s="36"/>
      <c r="AZ374" s="36"/>
      <c r="BA374" s="36"/>
      <c r="BB374" s="36"/>
      <c r="BC374" s="36"/>
      <c r="BD374" s="36"/>
      <c r="BE374" s="36"/>
      <c r="BF374" s="36"/>
      <c r="BG374" s="36"/>
      <c r="BH374" s="36"/>
      <c r="BI374" s="36"/>
      <c r="BJ374" s="36"/>
      <c r="BK374" s="36"/>
      <c r="BL374" s="36"/>
      <c r="BM374" s="36"/>
      <c r="BN374" s="36"/>
      <c r="BO374" s="36"/>
      <c r="BP374" s="36"/>
      <c r="BQ374" s="36"/>
      <c r="BR374" s="36"/>
      <c r="BS374" s="36"/>
      <c r="BT374" s="36"/>
      <c r="BU374" s="36"/>
      <c r="BV374" s="36"/>
      <c r="BW374" s="36"/>
      <c r="BX374" s="36"/>
      <c r="BY374" s="36"/>
      <c r="BZ374" s="36"/>
      <c r="CA374" s="36"/>
      <c r="CB374" s="36"/>
      <c r="CC374" s="36"/>
      <c r="CD374" s="36"/>
      <c r="CE374" s="36"/>
      <c r="CF374" s="36"/>
      <c r="CG374" s="36"/>
      <c r="CH374" s="36"/>
    </row>
    <row r="375" spans="1:86" ht="15.75" customHeight="1" x14ac:dyDescent="0.2">
      <c r="A375" s="12"/>
      <c r="B375" s="15"/>
      <c r="C375" s="1498" t="s">
        <v>2254</v>
      </c>
      <c r="D375" s="1513" t="s">
        <v>2263</v>
      </c>
      <c r="E375" s="1514"/>
      <c r="F375" s="1514"/>
      <c r="G375" s="1514"/>
      <c r="H375" s="1514"/>
      <c r="I375" s="1514"/>
      <c r="J375" s="1515"/>
      <c r="K375" s="11"/>
      <c r="L375" s="12"/>
      <c r="M375" s="12"/>
      <c r="N375" s="12"/>
      <c r="O375" s="12"/>
      <c r="P375" s="12"/>
      <c r="Q375" s="12"/>
      <c r="R375" s="12"/>
      <c r="S375" s="12"/>
      <c r="T375" s="12"/>
      <c r="U375" s="12"/>
      <c r="V375" s="12"/>
      <c r="W375" s="12"/>
      <c r="X375" s="12"/>
      <c r="Y375" s="17"/>
      <c r="Z375" s="17"/>
      <c r="AA375" s="17"/>
      <c r="AB375" s="17"/>
      <c r="AC375" s="17"/>
      <c r="AD375" s="17"/>
      <c r="AE375" s="35"/>
      <c r="AF375" s="17"/>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36"/>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36"/>
      <c r="BZ375" s="12"/>
      <c r="CA375" s="12"/>
      <c r="CB375" s="36"/>
      <c r="CC375" s="36"/>
      <c r="CD375" s="12"/>
      <c r="CE375" s="12"/>
      <c r="CF375" s="12"/>
      <c r="CG375" s="12"/>
      <c r="CH375" s="12"/>
    </row>
    <row r="376" spans="1:86" ht="15.75" customHeight="1" x14ac:dyDescent="0.2">
      <c r="A376" s="12"/>
      <c r="B376" s="15"/>
      <c r="C376" s="1498"/>
      <c r="D376" s="1510" t="s">
        <v>2264</v>
      </c>
      <c r="E376" s="1511"/>
      <c r="F376" s="1511"/>
      <c r="G376" s="1511"/>
      <c r="H376" s="1511"/>
      <c r="I376" s="1511"/>
      <c r="J376" s="1512"/>
      <c r="K376" s="11"/>
      <c r="L376" s="12"/>
      <c r="M376" s="12"/>
      <c r="N376" s="12"/>
      <c r="O376" s="12"/>
      <c r="P376" s="12"/>
      <c r="Q376" s="12"/>
      <c r="R376" s="12"/>
      <c r="S376" s="12"/>
      <c r="T376" s="12"/>
      <c r="U376" s="12"/>
      <c r="V376" s="12"/>
      <c r="W376" s="12"/>
      <c r="X376" s="12"/>
      <c r="Y376" s="17"/>
      <c r="Z376" s="17"/>
      <c r="AA376" s="17"/>
      <c r="AB376" s="17"/>
      <c r="AC376" s="17"/>
      <c r="AD376" s="17"/>
      <c r="AE376" s="35"/>
      <c r="AF376" s="17"/>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36"/>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36"/>
      <c r="BZ376" s="12"/>
      <c r="CA376" s="12"/>
      <c r="CB376" s="36"/>
      <c r="CC376" s="36"/>
      <c r="CD376" s="12"/>
      <c r="CE376" s="12"/>
      <c r="CF376" s="12"/>
      <c r="CG376" s="12"/>
      <c r="CH376" s="12"/>
    </row>
    <row r="377" spans="1:86" ht="15.75" customHeight="1" x14ac:dyDescent="0.2">
      <c r="C377" s="1498" t="s">
        <v>2265</v>
      </c>
      <c r="D377" s="1494" t="s">
        <v>2266</v>
      </c>
      <c r="E377" s="1495"/>
      <c r="F377" s="1495"/>
      <c r="G377" s="1495"/>
      <c r="H377" s="1495"/>
      <c r="I377" s="1495"/>
      <c r="J377" s="1496"/>
    </row>
    <row r="378" spans="1:86" ht="15.75" customHeight="1" x14ac:dyDescent="0.2">
      <c r="C378" s="1498"/>
      <c r="D378" s="1491"/>
      <c r="E378" s="1499"/>
      <c r="F378" s="1499"/>
      <c r="G378" s="1499"/>
      <c r="H378" s="1499"/>
      <c r="I378" s="1499"/>
      <c r="J378" s="1500"/>
    </row>
    <row r="379" spans="1:86" ht="13.5" customHeight="1" x14ac:dyDescent="0.2">
      <c r="C379" s="1498" t="s">
        <v>442</v>
      </c>
      <c r="D379" s="1494" t="s">
        <v>307</v>
      </c>
      <c r="E379" s="1495"/>
      <c r="F379" s="1495"/>
      <c r="G379" s="1495"/>
      <c r="H379" s="1495"/>
      <c r="I379" s="1495"/>
      <c r="J379" s="1496"/>
    </row>
    <row r="380" spans="1:86" ht="15.75" customHeight="1" x14ac:dyDescent="0.2">
      <c r="C380" s="1498"/>
      <c r="D380" s="1507" t="s">
        <v>1381</v>
      </c>
      <c r="E380" s="1508"/>
      <c r="F380" s="1508"/>
      <c r="G380" s="1508"/>
      <c r="H380" s="1508"/>
      <c r="I380" s="1508"/>
      <c r="J380" s="1509"/>
    </row>
    <row r="381" spans="1:86" ht="15.75" customHeight="1" x14ac:dyDescent="0.2">
      <c r="A381"/>
      <c r="B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row>
    <row r="382" spans="1:86" ht="15.75" customHeight="1" x14ac:dyDescent="0.2">
      <c r="A382"/>
      <c r="B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row>
    <row r="383" spans="1:86" ht="15.75" customHeight="1" x14ac:dyDescent="0.2">
      <c r="A383"/>
      <c r="B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row>
    <row r="384" spans="1:86" ht="15.75" customHeight="1" x14ac:dyDescent="0.2">
      <c r="A384"/>
      <c r="B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row>
    <row r="385" spans="1:86" ht="15.75" customHeight="1" x14ac:dyDescent="0.2">
      <c r="A385"/>
      <c r="B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row>
    <row r="386" spans="1:86" ht="15.75" customHeight="1" x14ac:dyDescent="0.2">
      <c r="A386"/>
      <c r="B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row>
    <row r="387" spans="1:86" ht="15.75" customHeight="1" x14ac:dyDescent="0.2">
      <c r="A387"/>
      <c r="B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row>
    <row r="388" spans="1:86" ht="15.75" customHeight="1" x14ac:dyDescent="0.2">
      <c r="A388"/>
      <c r="B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row>
    <row r="389" spans="1:86" ht="15.75" customHeight="1" x14ac:dyDescent="0.2">
      <c r="A389"/>
      <c r="B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row>
    <row r="390" spans="1:86" ht="15.75" customHeight="1" x14ac:dyDescent="0.2">
      <c r="A390"/>
      <c r="B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row>
    <row r="391" spans="1:86" ht="15.75" customHeight="1" x14ac:dyDescent="0.2">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row>
    <row r="392" spans="1:86" ht="15.75" customHeight="1" x14ac:dyDescent="0.2">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row>
    <row r="393" spans="1:86" ht="15.75" customHeight="1" x14ac:dyDescent="0.2">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row>
    <row r="394" spans="1:86" ht="15.75" customHeight="1" x14ac:dyDescent="0.2">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row>
    <row r="395" spans="1:86" x14ac:dyDescent="0.2">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row>
    <row r="396" spans="1:86" x14ac:dyDescent="0.2">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row>
    <row r="397" spans="1:86" x14ac:dyDescent="0.2">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row>
    <row r="398" spans="1:86" x14ac:dyDescent="0.2">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row>
    <row r="399" spans="1:86" x14ac:dyDescent="0.2">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row>
    <row r="400" spans="1:86" x14ac:dyDescent="0.2">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row>
    <row r="401" spans="1:86" x14ac:dyDescent="0.2">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row>
    <row r="402" spans="1:86" x14ac:dyDescent="0.2">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row>
    <row r="403" spans="1:86" x14ac:dyDescent="0.2">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row>
    <row r="404" spans="1:86" x14ac:dyDescent="0.2">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row>
    <row r="405" spans="1:86" x14ac:dyDescent="0.2">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row>
    <row r="406" spans="1:86" x14ac:dyDescent="0.2">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row>
    <row r="407" spans="1:86" x14ac:dyDescent="0.2">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row>
    <row r="408" spans="1:86" x14ac:dyDescent="0.2">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row>
    <row r="409" spans="1:86" x14ac:dyDescent="0.2">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row>
    <row r="410" spans="1:86" x14ac:dyDescent="0.2">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row>
    <row r="411" spans="1:86" x14ac:dyDescent="0.2">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row>
    <row r="412" spans="1:86" x14ac:dyDescent="0.2">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row>
    <row r="413" spans="1:86" x14ac:dyDescent="0.2">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row>
    <row r="414" spans="1:86" x14ac:dyDescent="0.2">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row>
    <row r="415" spans="1:86" x14ac:dyDescent="0.2">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row>
    <row r="416" spans="1:86" x14ac:dyDescent="0.2">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row>
    <row r="417" spans="1:86" x14ac:dyDescent="0.2">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row>
    <row r="418" spans="1:86" x14ac:dyDescent="0.2">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row>
    <row r="419" spans="1:86" x14ac:dyDescent="0.2">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row>
    <row r="420" spans="1:86" x14ac:dyDescent="0.2">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row>
    <row r="421" spans="1:86" x14ac:dyDescent="0.2">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row>
    <row r="422" spans="1:86" x14ac:dyDescent="0.2">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row>
    <row r="423" spans="1:86" x14ac:dyDescent="0.2">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row>
    <row r="424" spans="1:86" x14ac:dyDescent="0.2">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row>
    <row r="425" spans="1:86" x14ac:dyDescent="0.2">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row>
    <row r="426" spans="1:86" x14ac:dyDescent="0.2">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row>
    <row r="427" spans="1:86" x14ac:dyDescent="0.2">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row>
    <row r="428" spans="1:86" x14ac:dyDescent="0.2">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row>
    <row r="429" spans="1:86" x14ac:dyDescent="0.2">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row>
    <row r="430" spans="1:86" x14ac:dyDescent="0.2">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row>
    <row r="431" spans="1:86" x14ac:dyDescent="0.2">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row>
    <row r="432" spans="1:86" x14ac:dyDescent="0.2">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row>
    <row r="433" spans="1:86" x14ac:dyDescent="0.2">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row>
    <row r="434" spans="1:86" x14ac:dyDescent="0.2">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row>
    <row r="435" spans="1:86" x14ac:dyDescent="0.2">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row>
    <row r="436" spans="1:86" x14ac:dyDescent="0.2">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row>
    <row r="437" spans="1:86" x14ac:dyDescent="0.2">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row>
    <row r="438" spans="1:86" x14ac:dyDescent="0.2">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row>
    <row r="439" spans="1:86" x14ac:dyDescent="0.2">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row>
    <row r="440" spans="1:86" x14ac:dyDescent="0.2">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row>
    <row r="441" spans="1:86" x14ac:dyDescent="0.2">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row>
    <row r="442" spans="1:86" x14ac:dyDescent="0.2">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row>
    <row r="443" spans="1:86" x14ac:dyDescent="0.2">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row>
    <row r="444" spans="1:86" x14ac:dyDescent="0.2">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row>
    <row r="445" spans="1:86" x14ac:dyDescent="0.2">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row>
    <row r="446" spans="1:86" x14ac:dyDescent="0.2">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row>
    <row r="447" spans="1:86" x14ac:dyDescent="0.2">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row>
    <row r="448" spans="1:86" x14ac:dyDescent="0.2">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row>
    <row r="449" spans="1:86" x14ac:dyDescent="0.2">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row>
    <row r="450" spans="1:86" x14ac:dyDescent="0.2">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row>
    <row r="451" spans="1:86" x14ac:dyDescent="0.2">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row>
    <row r="452" spans="1:86" x14ac:dyDescent="0.2">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row>
    <row r="453" spans="1:86" x14ac:dyDescent="0.2">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row>
    <row r="454" spans="1:86" x14ac:dyDescent="0.2">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row>
    <row r="455" spans="1:86" x14ac:dyDescent="0.2">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row>
    <row r="456" spans="1:86" x14ac:dyDescent="0.2">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row>
    <row r="457" spans="1:86" x14ac:dyDescent="0.2">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row>
    <row r="458" spans="1:86" x14ac:dyDescent="0.2">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row>
    <row r="459" spans="1:86" x14ac:dyDescent="0.2">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row>
    <row r="460" spans="1:86" x14ac:dyDescent="0.2">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row>
    <row r="461" spans="1:86" x14ac:dyDescent="0.2">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row>
    <row r="462" spans="1:86" x14ac:dyDescent="0.2">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row>
    <row r="463" spans="1:86" x14ac:dyDescent="0.2">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row>
    <row r="464" spans="1:86" x14ac:dyDescent="0.2">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row>
    <row r="465" spans="1:86" x14ac:dyDescent="0.2">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row>
    <row r="466" spans="1:86" x14ac:dyDescent="0.2">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row>
    <row r="467" spans="1:86" x14ac:dyDescent="0.2">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row>
    <row r="468" spans="1:86" x14ac:dyDescent="0.2">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row>
    <row r="469" spans="1:86" x14ac:dyDescent="0.2">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row>
    <row r="470" spans="1:86" x14ac:dyDescent="0.2">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row>
    <row r="471" spans="1:86" x14ac:dyDescent="0.2">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row>
    <row r="472" spans="1:86" x14ac:dyDescent="0.2">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row>
    <row r="473" spans="1:86" x14ac:dyDescent="0.2">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row>
    <row r="474" spans="1:86" x14ac:dyDescent="0.2">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row>
    <row r="475" spans="1:86" x14ac:dyDescent="0.2">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row>
    <row r="476" spans="1:86" x14ac:dyDescent="0.2">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row>
    <row r="477" spans="1:86" x14ac:dyDescent="0.2">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row>
    <row r="478" spans="1:86" x14ac:dyDescent="0.2">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row>
    <row r="479" spans="1:86" x14ac:dyDescent="0.2">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row>
    <row r="480" spans="1:86" x14ac:dyDescent="0.2">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row>
    <row r="481" spans="1:86" x14ac:dyDescent="0.2">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row>
    <row r="482" spans="1:86" x14ac:dyDescent="0.2">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row>
    <row r="483" spans="1:86" x14ac:dyDescent="0.2">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row>
    <row r="484" spans="1:86" x14ac:dyDescent="0.2">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row>
    <row r="485" spans="1:86" x14ac:dyDescent="0.2">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row>
    <row r="486" spans="1:86" x14ac:dyDescent="0.2">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row>
    <row r="487" spans="1:86" x14ac:dyDescent="0.2">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row>
    <row r="488" spans="1:86" x14ac:dyDescent="0.2">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row>
    <row r="489" spans="1:86" x14ac:dyDescent="0.2">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row>
    <row r="490" spans="1:86" x14ac:dyDescent="0.2">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row>
    <row r="491" spans="1:86" x14ac:dyDescent="0.2">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row>
    <row r="492" spans="1:86" x14ac:dyDescent="0.2">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row>
    <row r="493" spans="1:86" x14ac:dyDescent="0.2">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row>
    <row r="494" spans="1:86" x14ac:dyDescent="0.2">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row>
    <row r="495" spans="1:86" x14ac:dyDescent="0.2">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row>
    <row r="496" spans="1:86" x14ac:dyDescent="0.2">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row>
    <row r="497" spans="1:86" x14ac:dyDescent="0.2">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row>
    <row r="498" spans="1:86" x14ac:dyDescent="0.2">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row>
    <row r="499" spans="1:86" x14ac:dyDescent="0.2">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row>
    <row r="500" spans="1:86" x14ac:dyDescent="0.2">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row>
    <row r="501" spans="1:86" x14ac:dyDescent="0.2">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row>
    <row r="502" spans="1:86" x14ac:dyDescent="0.2">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row>
    <row r="503" spans="1:86" x14ac:dyDescent="0.2">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row>
    <row r="504" spans="1:86" x14ac:dyDescent="0.2">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row>
    <row r="505" spans="1:86" x14ac:dyDescent="0.2">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row>
    <row r="506" spans="1:86" x14ac:dyDescent="0.2">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row>
    <row r="507" spans="1:86" x14ac:dyDescent="0.2">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row>
    <row r="508" spans="1:86" x14ac:dyDescent="0.2">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row>
    <row r="509" spans="1:86" x14ac:dyDescent="0.2">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row>
    <row r="510" spans="1:86" x14ac:dyDescent="0.2">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row>
    <row r="511" spans="1:86" x14ac:dyDescent="0.2">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row>
    <row r="512" spans="1:86" x14ac:dyDescent="0.2">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row>
    <row r="513" spans="1:86" x14ac:dyDescent="0.2">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row>
    <row r="514" spans="1:86" x14ac:dyDescent="0.2">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row>
    <row r="515" spans="1:86" x14ac:dyDescent="0.2">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row>
    <row r="516" spans="1:86" x14ac:dyDescent="0.2">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row>
    <row r="517" spans="1:86" x14ac:dyDescent="0.2">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row>
    <row r="518" spans="1:86" x14ac:dyDescent="0.2">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row>
    <row r="519" spans="1:86" x14ac:dyDescent="0.2">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row>
    <row r="520" spans="1:86" x14ac:dyDescent="0.2">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row>
    <row r="521" spans="1:86" x14ac:dyDescent="0.2">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row>
    <row r="522" spans="1:86" x14ac:dyDescent="0.2">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row>
    <row r="523" spans="1:86" x14ac:dyDescent="0.2">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row>
    <row r="524" spans="1:86" x14ac:dyDescent="0.2">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row>
    <row r="525" spans="1:86" x14ac:dyDescent="0.2">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row>
    <row r="526" spans="1:86" x14ac:dyDescent="0.2">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row>
    <row r="527" spans="1:86" x14ac:dyDescent="0.2">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row>
    <row r="528" spans="1:86" x14ac:dyDescent="0.2">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row>
    <row r="529" spans="1:86" x14ac:dyDescent="0.2">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row>
    <row r="530" spans="1:86" x14ac:dyDescent="0.2">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row>
    <row r="531" spans="1:86" x14ac:dyDescent="0.2">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row>
    <row r="532" spans="1:86" x14ac:dyDescent="0.2">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row>
    <row r="533" spans="1:86" x14ac:dyDescent="0.2">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row>
    <row r="534" spans="1:86" x14ac:dyDescent="0.2">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row>
    <row r="535" spans="1:86" x14ac:dyDescent="0.2">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row>
    <row r="536" spans="1:86" x14ac:dyDescent="0.2">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row>
    <row r="537" spans="1:86" x14ac:dyDescent="0.2">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row>
    <row r="538" spans="1:86" x14ac:dyDescent="0.2">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row>
    <row r="539" spans="1:86" x14ac:dyDescent="0.2">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row>
    <row r="540" spans="1:86" x14ac:dyDescent="0.2">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row>
    <row r="541" spans="1:86" x14ac:dyDescent="0.2">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row>
    <row r="542" spans="1:86" x14ac:dyDescent="0.2">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row>
    <row r="543" spans="1:86" x14ac:dyDescent="0.2">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row>
    <row r="544" spans="1:86" x14ac:dyDescent="0.2">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row>
    <row r="545" spans="1:86" x14ac:dyDescent="0.2">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row>
    <row r="546" spans="1:86" x14ac:dyDescent="0.2">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row>
    <row r="547" spans="1:86" x14ac:dyDescent="0.2">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row>
    <row r="548" spans="1:86" x14ac:dyDescent="0.2">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row>
    <row r="549" spans="1:86" x14ac:dyDescent="0.2">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row>
    <row r="550" spans="1:86" x14ac:dyDescent="0.2">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row>
    <row r="551" spans="1:86" x14ac:dyDescent="0.2">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row>
    <row r="552" spans="1:86" x14ac:dyDescent="0.2">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row>
    <row r="553" spans="1:86" x14ac:dyDescent="0.2">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row>
    <row r="554" spans="1:86" x14ac:dyDescent="0.2">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row>
    <row r="555" spans="1:86" x14ac:dyDescent="0.2">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row>
    <row r="556" spans="1:86" x14ac:dyDescent="0.2">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row>
    <row r="557" spans="1:86" x14ac:dyDescent="0.2">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row>
    <row r="558" spans="1:86" x14ac:dyDescent="0.2">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row>
    <row r="559" spans="1:86" x14ac:dyDescent="0.2">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row>
    <row r="560" spans="1:86" x14ac:dyDescent="0.2">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row>
    <row r="561" spans="1:86" x14ac:dyDescent="0.2">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row>
    <row r="562" spans="1:86" x14ac:dyDescent="0.2">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row>
    <row r="563" spans="1:86" x14ac:dyDescent="0.2">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row>
    <row r="564" spans="1:86" x14ac:dyDescent="0.2">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row>
    <row r="565" spans="1:86" x14ac:dyDescent="0.2">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row>
    <row r="566" spans="1:86" x14ac:dyDescent="0.2">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row>
    <row r="567" spans="1:86" x14ac:dyDescent="0.2">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row>
    <row r="568" spans="1:86" x14ac:dyDescent="0.2">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row>
    <row r="569" spans="1:86" x14ac:dyDescent="0.2">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row>
    <row r="570" spans="1:86" x14ac:dyDescent="0.2">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row>
    <row r="571" spans="1:86" x14ac:dyDescent="0.2">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row>
    <row r="572" spans="1:86" x14ac:dyDescent="0.2">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row>
    <row r="573" spans="1:86" x14ac:dyDescent="0.2">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row>
    <row r="574" spans="1:86" x14ac:dyDescent="0.2">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row>
    <row r="575" spans="1:86" x14ac:dyDescent="0.2">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row>
    <row r="576" spans="1:86" x14ac:dyDescent="0.2">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row>
    <row r="577" spans="1:86" x14ac:dyDescent="0.2">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row>
    <row r="578" spans="1:86" x14ac:dyDescent="0.2">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row>
    <row r="579" spans="1:86" x14ac:dyDescent="0.2">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row>
    <row r="580" spans="1:86" x14ac:dyDescent="0.2">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row>
    <row r="581" spans="1:86" x14ac:dyDescent="0.2">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row>
    <row r="582" spans="1:86" x14ac:dyDescent="0.2">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row>
    <row r="583" spans="1:86" x14ac:dyDescent="0.2">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row>
    <row r="584" spans="1:86" x14ac:dyDescent="0.2">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row>
    <row r="585" spans="1:86" x14ac:dyDescent="0.2">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row>
    <row r="586" spans="1:86" x14ac:dyDescent="0.2">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row>
    <row r="587" spans="1:86" x14ac:dyDescent="0.2">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row>
    <row r="588" spans="1:86" x14ac:dyDescent="0.2">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row>
    <row r="589" spans="1:86" x14ac:dyDescent="0.2">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row>
    <row r="590" spans="1:86" x14ac:dyDescent="0.2">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row>
    <row r="591" spans="1:86" x14ac:dyDescent="0.2">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row>
    <row r="592" spans="1:86" x14ac:dyDescent="0.2">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row>
    <row r="593" spans="1:86" x14ac:dyDescent="0.2">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row>
    <row r="594" spans="1:86" x14ac:dyDescent="0.2">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row>
    <row r="595" spans="1:86" x14ac:dyDescent="0.2">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row>
    <row r="596" spans="1:86" x14ac:dyDescent="0.2">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row>
    <row r="597" spans="1:86" x14ac:dyDescent="0.2">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row>
    <row r="598" spans="1:86" x14ac:dyDescent="0.2">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row>
    <row r="599" spans="1:86" x14ac:dyDescent="0.2">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row>
    <row r="600" spans="1:86" x14ac:dyDescent="0.2">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row>
    <row r="601" spans="1:86" x14ac:dyDescent="0.2">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row>
    <row r="602" spans="1:86" x14ac:dyDescent="0.2">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row>
    <row r="603" spans="1:86" x14ac:dyDescent="0.2">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row>
    <row r="604" spans="1:86" x14ac:dyDescent="0.2">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row>
    <row r="605" spans="1:86" x14ac:dyDescent="0.2">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row>
    <row r="606" spans="1:86" x14ac:dyDescent="0.2">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row>
    <row r="607" spans="1:86" x14ac:dyDescent="0.2">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row>
    <row r="608" spans="1:86" x14ac:dyDescent="0.2">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row>
    <row r="609" spans="1:86" x14ac:dyDescent="0.2">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row>
    <row r="610" spans="1:86" x14ac:dyDescent="0.2">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row>
    <row r="611" spans="1:86" x14ac:dyDescent="0.2">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row>
    <row r="612" spans="1:86" x14ac:dyDescent="0.2">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row>
    <row r="613" spans="1:86" x14ac:dyDescent="0.2">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row>
    <row r="614" spans="1:86" x14ac:dyDescent="0.2">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row>
    <row r="615" spans="1:86" x14ac:dyDescent="0.2">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row>
    <row r="616" spans="1:86" x14ac:dyDescent="0.2">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row>
    <row r="617" spans="1:86" x14ac:dyDescent="0.2">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row>
    <row r="618" spans="1:86" x14ac:dyDescent="0.2">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row>
    <row r="619" spans="1:86" x14ac:dyDescent="0.2">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row>
    <row r="620" spans="1:86" x14ac:dyDescent="0.2">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row>
    <row r="621" spans="1:86" x14ac:dyDescent="0.2">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row>
    <row r="622" spans="1:86" x14ac:dyDescent="0.2">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row>
    <row r="623" spans="1:86" x14ac:dyDescent="0.2">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row>
    <row r="624" spans="1:86" x14ac:dyDescent="0.2">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row>
    <row r="625" spans="1:86" x14ac:dyDescent="0.2">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row>
    <row r="626" spans="1:86" x14ac:dyDescent="0.2">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row>
    <row r="627" spans="1:86" x14ac:dyDescent="0.2">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row>
    <row r="628" spans="1:86" x14ac:dyDescent="0.2">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row>
    <row r="629" spans="1:86" x14ac:dyDescent="0.2">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row>
    <row r="630" spans="1:86" x14ac:dyDescent="0.2">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row>
    <row r="631" spans="1:86" x14ac:dyDescent="0.2">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row>
    <row r="632" spans="1:86" x14ac:dyDescent="0.2">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row>
    <row r="633" spans="1:86" x14ac:dyDescent="0.2">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row>
    <row r="634" spans="1:86" x14ac:dyDescent="0.2">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row>
    <row r="635" spans="1:86" x14ac:dyDescent="0.2">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row>
    <row r="636" spans="1:86" x14ac:dyDescent="0.2">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row>
    <row r="637" spans="1:86" x14ac:dyDescent="0.2">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row>
    <row r="638" spans="1:86" x14ac:dyDescent="0.2">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row>
    <row r="639" spans="1:86" x14ac:dyDescent="0.2">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row>
    <row r="640" spans="1:86" x14ac:dyDescent="0.2">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row>
    <row r="641" spans="1:86" x14ac:dyDescent="0.2">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row>
    <row r="642" spans="1:86" x14ac:dyDescent="0.2">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row>
    <row r="643" spans="1:86" x14ac:dyDescent="0.2">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row>
    <row r="644" spans="1:86" x14ac:dyDescent="0.2">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row>
    <row r="645" spans="1:86" x14ac:dyDescent="0.2">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row>
    <row r="646" spans="1:86" x14ac:dyDescent="0.2">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row>
    <row r="647" spans="1:86" x14ac:dyDescent="0.2">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row>
    <row r="648" spans="1:86" x14ac:dyDescent="0.2">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row>
    <row r="649" spans="1:86" x14ac:dyDescent="0.2">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row>
    <row r="650" spans="1:86" x14ac:dyDescent="0.2">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row>
    <row r="651" spans="1:86" x14ac:dyDescent="0.2">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row>
    <row r="652" spans="1:86" x14ac:dyDescent="0.2">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row>
    <row r="653" spans="1:86" x14ac:dyDescent="0.2">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row>
    <row r="654" spans="1:86" x14ac:dyDescent="0.2">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row>
    <row r="655" spans="1:86" x14ac:dyDescent="0.2">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row>
    <row r="656" spans="1:86" x14ac:dyDescent="0.2">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row>
    <row r="657" spans="1:86" x14ac:dyDescent="0.2">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row>
    <row r="658" spans="1:86" x14ac:dyDescent="0.2">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row>
    <row r="659" spans="1:86" x14ac:dyDescent="0.2">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row>
    <row r="660" spans="1:86" x14ac:dyDescent="0.2">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row>
    <row r="661" spans="1:86" x14ac:dyDescent="0.2">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row>
    <row r="662" spans="1:86" x14ac:dyDescent="0.2">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row>
    <row r="663" spans="1:86" x14ac:dyDescent="0.2">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row>
    <row r="664" spans="1:86" x14ac:dyDescent="0.2">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row>
    <row r="665" spans="1:86" x14ac:dyDescent="0.2">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row>
    <row r="666" spans="1:86" x14ac:dyDescent="0.2">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row>
    <row r="667" spans="1:86" x14ac:dyDescent="0.2">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row>
    <row r="668" spans="1:86" x14ac:dyDescent="0.2">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row>
    <row r="669" spans="1:86" x14ac:dyDescent="0.2">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row>
    <row r="670" spans="1:86" x14ac:dyDescent="0.2">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row>
    <row r="671" spans="1:86" x14ac:dyDescent="0.2">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row>
    <row r="672" spans="1:86" x14ac:dyDescent="0.2">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row>
    <row r="673" spans="1:86" x14ac:dyDescent="0.2">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row>
    <row r="674" spans="1:86" x14ac:dyDescent="0.2">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row>
    <row r="675" spans="1:86" x14ac:dyDescent="0.2">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row>
    <row r="676" spans="1:86" x14ac:dyDescent="0.2">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row>
    <row r="677" spans="1:86" x14ac:dyDescent="0.2">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row>
    <row r="678" spans="1:86" x14ac:dyDescent="0.2">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row>
    <row r="679" spans="1:86" x14ac:dyDescent="0.2">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row>
    <row r="680" spans="1:86" x14ac:dyDescent="0.2">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row>
    <row r="681" spans="1:86" x14ac:dyDescent="0.2">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row>
    <row r="682" spans="1:86" x14ac:dyDescent="0.2">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row>
    <row r="683" spans="1:86" x14ac:dyDescent="0.2">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row>
    <row r="684" spans="1:86" x14ac:dyDescent="0.2">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row>
    <row r="685" spans="1:86" x14ac:dyDescent="0.2">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row>
    <row r="686" spans="1:86" x14ac:dyDescent="0.2">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row>
    <row r="687" spans="1:86" x14ac:dyDescent="0.2">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row>
    <row r="688" spans="1:86" x14ac:dyDescent="0.2">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row>
    <row r="689" spans="1:86" x14ac:dyDescent="0.2">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row>
    <row r="690" spans="1:86" x14ac:dyDescent="0.2">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row>
    <row r="691" spans="1:86" x14ac:dyDescent="0.2">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row>
    <row r="692" spans="1:86" x14ac:dyDescent="0.2">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row>
    <row r="693" spans="1:86" x14ac:dyDescent="0.2">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row>
    <row r="694" spans="1:86" x14ac:dyDescent="0.2">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row>
    <row r="695" spans="1:86" x14ac:dyDescent="0.2">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row>
    <row r="696" spans="1:86" x14ac:dyDescent="0.2">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row>
    <row r="697" spans="1:86" x14ac:dyDescent="0.2">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row>
    <row r="698" spans="1:86" x14ac:dyDescent="0.2">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row>
    <row r="699" spans="1:86" x14ac:dyDescent="0.2">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row>
    <row r="700" spans="1:86" x14ac:dyDescent="0.2">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row>
    <row r="701" spans="1:86" x14ac:dyDescent="0.2">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row>
    <row r="702" spans="1:86" x14ac:dyDescent="0.2">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row>
    <row r="703" spans="1:86" x14ac:dyDescent="0.2">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row>
    <row r="704" spans="1:86" x14ac:dyDescent="0.2">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row>
    <row r="705" spans="1:86" x14ac:dyDescent="0.2">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row>
    <row r="706" spans="1:86" x14ac:dyDescent="0.2">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row>
    <row r="707" spans="1:86" x14ac:dyDescent="0.2">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row>
    <row r="708" spans="1:86" x14ac:dyDescent="0.2">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row>
    <row r="709" spans="1:86" x14ac:dyDescent="0.2">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row>
    <row r="710" spans="1:86" x14ac:dyDescent="0.2">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row>
    <row r="711" spans="1:86" x14ac:dyDescent="0.2">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row>
    <row r="712" spans="1:86" x14ac:dyDescent="0.2">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row>
    <row r="713" spans="1:86" x14ac:dyDescent="0.2">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row>
    <row r="714" spans="1:86" x14ac:dyDescent="0.2">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row>
    <row r="715" spans="1:86" x14ac:dyDescent="0.2">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row>
    <row r="716" spans="1:86" x14ac:dyDescent="0.2">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row>
    <row r="717" spans="1:86" x14ac:dyDescent="0.2">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row>
    <row r="718" spans="1:86" x14ac:dyDescent="0.2">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row>
    <row r="719" spans="1:86" x14ac:dyDescent="0.2">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row>
    <row r="720" spans="1:86" x14ac:dyDescent="0.2">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row>
    <row r="721" spans="1:86" x14ac:dyDescent="0.2">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row>
    <row r="722" spans="1:86" x14ac:dyDescent="0.2">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row>
    <row r="723" spans="1:86" x14ac:dyDescent="0.2">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row>
    <row r="724" spans="1:86" x14ac:dyDescent="0.2">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row>
    <row r="725" spans="1:86" x14ac:dyDescent="0.2">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row>
    <row r="726" spans="1:86" x14ac:dyDescent="0.2">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row>
    <row r="727" spans="1:86" x14ac:dyDescent="0.2">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row>
    <row r="728" spans="1:86" x14ac:dyDescent="0.2">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row>
    <row r="729" spans="1:86" x14ac:dyDescent="0.2">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row>
    <row r="730" spans="1:86" x14ac:dyDescent="0.2">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row>
    <row r="731" spans="1:86" x14ac:dyDescent="0.2">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row>
    <row r="732" spans="1:86" x14ac:dyDescent="0.2">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row>
    <row r="733" spans="1:86" x14ac:dyDescent="0.2">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row>
    <row r="734" spans="1:86" x14ac:dyDescent="0.2">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row>
    <row r="735" spans="1:86" x14ac:dyDescent="0.2">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row>
    <row r="736" spans="1:86" x14ac:dyDescent="0.2">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row>
    <row r="737" spans="1:86" x14ac:dyDescent="0.2">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row>
    <row r="738" spans="1:86" x14ac:dyDescent="0.2">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row>
    <row r="739" spans="1:86" x14ac:dyDescent="0.2">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row>
    <row r="740" spans="1:86" x14ac:dyDescent="0.2">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row>
    <row r="741" spans="1:86" x14ac:dyDescent="0.2">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row>
    <row r="742" spans="1:86" x14ac:dyDescent="0.2">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row>
    <row r="743" spans="1:86" x14ac:dyDescent="0.2">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row>
    <row r="744" spans="1:86" x14ac:dyDescent="0.2">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row>
    <row r="745" spans="1:86" x14ac:dyDescent="0.2">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row>
    <row r="746" spans="1:86" x14ac:dyDescent="0.2">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row>
    <row r="747" spans="1:86" x14ac:dyDescent="0.2">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row>
    <row r="748" spans="1:86" x14ac:dyDescent="0.2">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row>
    <row r="749" spans="1:86" x14ac:dyDescent="0.2">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row>
    <row r="750" spans="1:86" x14ac:dyDescent="0.2">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row>
    <row r="751" spans="1:86" x14ac:dyDescent="0.2">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row>
    <row r="752" spans="1:86" x14ac:dyDescent="0.2">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row>
    <row r="753" spans="1:86" x14ac:dyDescent="0.2">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row>
    <row r="754" spans="1:86" x14ac:dyDescent="0.2">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row>
    <row r="755" spans="1:86" x14ac:dyDescent="0.2">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row>
    <row r="756" spans="1:86" x14ac:dyDescent="0.2">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row>
    <row r="757" spans="1:86" x14ac:dyDescent="0.2">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row>
    <row r="758" spans="1:86" x14ac:dyDescent="0.2">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row>
    <row r="759" spans="1:86" x14ac:dyDescent="0.2">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row>
    <row r="760" spans="1:86" x14ac:dyDescent="0.2">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row>
    <row r="761" spans="1:86" x14ac:dyDescent="0.2">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row>
    <row r="762" spans="1:86" x14ac:dyDescent="0.2">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row>
    <row r="763" spans="1:86" x14ac:dyDescent="0.2">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row>
    <row r="764" spans="1:86" x14ac:dyDescent="0.2">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row>
    <row r="765" spans="1:86" x14ac:dyDescent="0.2">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row>
    <row r="766" spans="1:86" x14ac:dyDescent="0.2">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row>
    <row r="767" spans="1:86" x14ac:dyDescent="0.2">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row>
    <row r="768" spans="1:86" x14ac:dyDescent="0.2">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row>
    <row r="769" spans="1:86" x14ac:dyDescent="0.2">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row>
    <row r="770" spans="1:86" x14ac:dyDescent="0.2">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row>
    <row r="771" spans="1:86" x14ac:dyDescent="0.2">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row>
    <row r="772" spans="1:86" x14ac:dyDescent="0.2">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row>
    <row r="773" spans="1:86" x14ac:dyDescent="0.2">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row>
    <row r="774" spans="1:86" x14ac:dyDescent="0.2">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row>
    <row r="775" spans="1:86" x14ac:dyDescent="0.2">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row>
    <row r="776" spans="1:86" x14ac:dyDescent="0.2">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row>
    <row r="777" spans="1:86" x14ac:dyDescent="0.2">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row>
    <row r="778" spans="1:86" x14ac:dyDescent="0.2">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row>
    <row r="779" spans="1:86" x14ac:dyDescent="0.2">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row>
    <row r="780" spans="1:86" x14ac:dyDescent="0.2">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row>
    <row r="781" spans="1:86" x14ac:dyDescent="0.2">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row>
    <row r="782" spans="1:86" x14ac:dyDescent="0.2">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row>
    <row r="783" spans="1:86" x14ac:dyDescent="0.2">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row>
    <row r="784" spans="1:86" x14ac:dyDescent="0.2">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row>
    <row r="785" spans="1:86" x14ac:dyDescent="0.2">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row>
    <row r="786" spans="1:86" x14ac:dyDescent="0.2">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row>
    <row r="787" spans="1:86" x14ac:dyDescent="0.2">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row>
    <row r="788" spans="1:86" x14ac:dyDescent="0.2">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row>
    <row r="789" spans="1:86" x14ac:dyDescent="0.2">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row>
    <row r="790" spans="1:86" x14ac:dyDescent="0.2">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row>
    <row r="791" spans="1:86" x14ac:dyDescent="0.2">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row>
    <row r="792" spans="1:86" x14ac:dyDescent="0.2">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row>
    <row r="793" spans="1:86" x14ac:dyDescent="0.2">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row>
    <row r="794" spans="1:86" x14ac:dyDescent="0.2">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row>
    <row r="795" spans="1:86" x14ac:dyDescent="0.2">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row>
    <row r="796" spans="1:86" x14ac:dyDescent="0.2">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row>
    <row r="797" spans="1:86" x14ac:dyDescent="0.2">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row>
    <row r="798" spans="1:86" x14ac:dyDescent="0.2">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row>
    <row r="799" spans="1:86" x14ac:dyDescent="0.2">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row>
    <row r="800" spans="1:86" x14ac:dyDescent="0.2">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row>
    <row r="801" spans="1:86" x14ac:dyDescent="0.2">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row>
    <row r="802" spans="1:86" x14ac:dyDescent="0.2">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row>
    <row r="803" spans="1:86" x14ac:dyDescent="0.2">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row>
    <row r="804" spans="1:86" x14ac:dyDescent="0.2">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row>
    <row r="805" spans="1:86" x14ac:dyDescent="0.2">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row>
    <row r="806" spans="1:86" x14ac:dyDescent="0.2">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row>
    <row r="807" spans="1:86" x14ac:dyDescent="0.2">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row>
    <row r="808" spans="1:86" x14ac:dyDescent="0.2">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row>
    <row r="809" spans="1:86" x14ac:dyDescent="0.2">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row>
    <row r="810" spans="1:86" x14ac:dyDescent="0.2">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row>
    <row r="811" spans="1:86" x14ac:dyDescent="0.2">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row>
    <row r="812" spans="1:86" x14ac:dyDescent="0.2">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row>
    <row r="813" spans="1:86" x14ac:dyDescent="0.2">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row>
    <row r="814" spans="1:86" x14ac:dyDescent="0.2">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row>
    <row r="815" spans="1:86" x14ac:dyDescent="0.2">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row>
    <row r="816" spans="1:86" x14ac:dyDescent="0.2">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row>
    <row r="817" spans="1:86" x14ac:dyDescent="0.2">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row>
    <row r="818" spans="1:86" x14ac:dyDescent="0.2">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row>
    <row r="819" spans="1:86" x14ac:dyDescent="0.2">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row>
    <row r="820" spans="1:86" x14ac:dyDescent="0.2">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row>
    <row r="821" spans="1:86" x14ac:dyDescent="0.2">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row>
    <row r="822" spans="1:86" x14ac:dyDescent="0.2">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row>
    <row r="823" spans="1:86" x14ac:dyDescent="0.2">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row>
    <row r="824" spans="1:86" x14ac:dyDescent="0.2">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row>
    <row r="825" spans="1:86" x14ac:dyDescent="0.2">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row>
    <row r="826" spans="1:86" x14ac:dyDescent="0.2">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row>
    <row r="827" spans="1:86" x14ac:dyDescent="0.2">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row>
    <row r="828" spans="1:86" x14ac:dyDescent="0.2">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row>
    <row r="829" spans="1:86" x14ac:dyDescent="0.2">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row>
    <row r="830" spans="1:86" x14ac:dyDescent="0.2">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row>
    <row r="831" spans="1:86" x14ac:dyDescent="0.2">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row>
    <row r="832" spans="1:86" x14ac:dyDescent="0.2">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row>
    <row r="833" spans="1:86" x14ac:dyDescent="0.2">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row>
    <row r="834" spans="1:86" x14ac:dyDescent="0.2">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row>
    <row r="835" spans="1:86" x14ac:dyDescent="0.2">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row>
    <row r="836" spans="1:86" x14ac:dyDescent="0.2">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row>
    <row r="837" spans="1:86" x14ac:dyDescent="0.2">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row>
    <row r="838" spans="1:86" x14ac:dyDescent="0.2">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row>
    <row r="839" spans="1:86" x14ac:dyDescent="0.2">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row>
    <row r="840" spans="1:86" x14ac:dyDescent="0.2">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row>
    <row r="841" spans="1:86" x14ac:dyDescent="0.2">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row>
    <row r="842" spans="1:86" x14ac:dyDescent="0.2">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row>
    <row r="843" spans="1:86" x14ac:dyDescent="0.2">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row>
    <row r="844" spans="1:86" x14ac:dyDescent="0.2">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row>
    <row r="845" spans="1:86" x14ac:dyDescent="0.2">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row>
    <row r="846" spans="1:86" x14ac:dyDescent="0.2">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row>
    <row r="847" spans="1:86" x14ac:dyDescent="0.2">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row>
    <row r="848" spans="1:86" x14ac:dyDescent="0.2">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row>
    <row r="849" spans="1:86" x14ac:dyDescent="0.2">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row>
    <row r="850" spans="1:86" x14ac:dyDescent="0.2">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row>
    <row r="851" spans="1:86" x14ac:dyDescent="0.2">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row>
    <row r="852" spans="1:86" x14ac:dyDescent="0.2">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row>
    <row r="853" spans="1:86" x14ac:dyDescent="0.2">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row>
    <row r="854" spans="1:86" x14ac:dyDescent="0.2">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row>
    <row r="855" spans="1:86" x14ac:dyDescent="0.2">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row>
    <row r="856" spans="1:86" x14ac:dyDescent="0.2">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row>
    <row r="857" spans="1:86" x14ac:dyDescent="0.2">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row>
    <row r="858" spans="1:86" x14ac:dyDescent="0.2">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row>
    <row r="859" spans="1:86" x14ac:dyDescent="0.2">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row>
    <row r="860" spans="1:86" x14ac:dyDescent="0.2">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row>
    <row r="861" spans="1:86" x14ac:dyDescent="0.2">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row>
    <row r="862" spans="1:86" x14ac:dyDescent="0.2">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row>
    <row r="863" spans="1:86" x14ac:dyDescent="0.2">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row>
    <row r="864" spans="1:86" x14ac:dyDescent="0.2">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row>
    <row r="865" spans="1:86" x14ac:dyDescent="0.2">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row>
    <row r="866" spans="1:86" x14ac:dyDescent="0.2">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row>
    <row r="867" spans="1:86" x14ac:dyDescent="0.2">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row>
    <row r="868" spans="1:86" x14ac:dyDescent="0.2">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row>
    <row r="869" spans="1:86" x14ac:dyDescent="0.2">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row>
    <row r="870" spans="1:86" x14ac:dyDescent="0.2">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row>
    <row r="871" spans="1:86" x14ac:dyDescent="0.2">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row>
    <row r="872" spans="1:86" x14ac:dyDescent="0.2">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row>
    <row r="873" spans="1:86" x14ac:dyDescent="0.2">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row>
    <row r="874" spans="1:86" x14ac:dyDescent="0.2">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row>
    <row r="875" spans="1:86" x14ac:dyDescent="0.2">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row>
    <row r="876" spans="1:86" x14ac:dyDescent="0.2">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row>
    <row r="877" spans="1:86" x14ac:dyDescent="0.2">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row>
    <row r="878" spans="1:86" x14ac:dyDescent="0.2">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row>
    <row r="879" spans="1:86" x14ac:dyDescent="0.2">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row>
    <row r="880" spans="1:86" x14ac:dyDescent="0.2">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row>
    <row r="881" spans="1:86" x14ac:dyDescent="0.2">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row>
    <row r="882" spans="1:86" x14ac:dyDescent="0.2">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row>
    <row r="883" spans="1:86" x14ac:dyDescent="0.2">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row>
    <row r="884" spans="1:86" x14ac:dyDescent="0.2">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row>
    <row r="885" spans="1:86" x14ac:dyDescent="0.2">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row>
    <row r="886" spans="1:86" x14ac:dyDescent="0.2">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row>
    <row r="887" spans="1:86" x14ac:dyDescent="0.2">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row>
    <row r="888" spans="1:86" x14ac:dyDescent="0.2">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row>
    <row r="889" spans="1:86" x14ac:dyDescent="0.2">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c r="BY889"/>
      <c r="BZ889"/>
      <c r="CA889"/>
      <c r="CB889"/>
      <c r="CC889"/>
      <c r="CD889"/>
      <c r="CE889"/>
      <c r="CF889"/>
      <c r="CG889"/>
      <c r="CH889"/>
    </row>
    <row r="890" spans="1:86" x14ac:dyDescent="0.2">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c r="BY890"/>
      <c r="BZ890"/>
      <c r="CA890"/>
      <c r="CB890"/>
      <c r="CC890"/>
      <c r="CD890"/>
      <c r="CE890"/>
      <c r="CF890"/>
      <c r="CG890"/>
      <c r="CH890"/>
    </row>
    <row r="891" spans="1:86" x14ac:dyDescent="0.2">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c r="BY891"/>
      <c r="BZ891"/>
      <c r="CA891"/>
      <c r="CB891"/>
      <c r="CC891"/>
      <c r="CD891"/>
      <c r="CE891"/>
      <c r="CF891"/>
      <c r="CG891"/>
      <c r="CH891"/>
    </row>
    <row r="892" spans="1:86" x14ac:dyDescent="0.2">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c r="BY892"/>
      <c r="BZ892"/>
      <c r="CA892"/>
      <c r="CB892"/>
      <c r="CC892"/>
      <c r="CD892"/>
      <c r="CE892"/>
      <c r="CF892"/>
      <c r="CG892"/>
      <c r="CH892"/>
    </row>
    <row r="893" spans="1:86" x14ac:dyDescent="0.2">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c r="BY893"/>
      <c r="BZ893"/>
      <c r="CA893"/>
      <c r="CB893"/>
      <c r="CC893"/>
      <c r="CD893"/>
      <c r="CE893"/>
      <c r="CF893"/>
      <c r="CG893"/>
      <c r="CH893"/>
    </row>
    <row r="894" spans="1:86" x14ac:dyDescent="0.2">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c r="BY894"/>
      <c r="BZ894"/>
      <c r="CA894"/>
      <c r="CB894"/>
      <c r="CC894"/>
      <c r="CD894"/>
      <c r="CE894"/>
      <c r="CF894"/>
      <c r="CG894"/>
      <c r="CH894"/>
    </row>
    <row r="895" spans="1:86" x14ac:dyDescent="0.2">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row>
    <row r="896" spans="1:86" x14ac:dyDescent="0.2">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c r="BY896"/>
      <c r="BZ896"/>
      <c r="CA896"/>
      <c r="CB896"/>
      <c r="CC896"/>
      <c r="CD896"/>
      <c r="CE896"/>
      <c r="CF896"/>
      <c r="CG896"/>
      <c r="CH896"/>
    </row>
    <row r="897" spans="1:86" x14ac:dyDescent="0.2">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c r="BY897"/>
      <c r="BZ897"/>
      <c r="CA897"/>
      <c r="CB897"/>
      <c r="CC897"/>
      <c r="CD897"/>
      <c r="CE897"/>
      <c r="CF897"/>
      <c r="CG897"/>
      <c r="CH897"/>
    </row>
    <row r="898" spans="1:86" x14ac:dyDescent="0.2">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c r="BY898"/>
      <c r="BZ898"/>
      <c r="CA898"/>
      <c r="CB898"/>
      <c r="CC898"/>
      <c r="CD898"/>
      <c r="CE898"/>
      <c r="CF898"/>
      <c r="CG898"/>
      <c r="CH898"/>
    </row>
    <row r="899" spans="1:86" x14ac:dyDescent="0.2">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c r="BY899"/>
      <c r="BZ899"/>
      <c r="CA899"/>
      <c r="CB899"/>
      <c r="CC899"/>
      <c r="CD899"/>
      <c r="CE899"/>
      <c r="CF899"/>
      <c r="CG899"/>
      <c r="CH899"/>
    </row>
    <row r="900" spans="1:86" x14ac:dyDescent="0.2">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c r="BY900"/>
      <c r="BZ900"/>
      <c r="CA900"/>
      <c r="CB900"/>
      <c r="CC900"/>
      <c r="CD900"/>
      <c r="CE900"/>
      <c r="CF900"/>
      <c r="CG900"/>
      <c r="CH900"/>
    </row>
    <row r="901" spans="1:86" x14ac:dyDescent="0.2">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c r="BY901"/>
      <c r="BZ901"/>
      <c r="CA901"/>
      <c r="CB901"/>
      <c r="CC901"/>
      <c r="CD901"/>
      <c r="CE901"/>
      <c r="CF901"/>
      <c r="CG901"/>
      <c r="CH901"/>
    </row>
    <row r="902" spans="1:86" x14ac:dyDescent="0.2">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c r="BY902"/>
      <c r="BZ902"/>
      <c r="CA902"/>
      <c r="CB902"/>
      <c r="CC902"/>
      <c r="CD902"/>
      <c r="CE902"/>
      <c r="CF902"/>
      <c r="CG902"/>
      <c r="CH902"/>
    </row>
    <row r="903" spans="1:86" x14ac:dyDescent="0.2">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c r="BY903"/>
      <c r="BZ903"/>
      <c r="CA903"/>
      <c r="CB903"/>
      <c r="CC903"/>
      <c r="CD903"/>
      <c r="CE903"/>
      <c r="CF903"/>
      <c r="CG903"/>
      <c r="CH903"/>
    </row>
    <row r="904" spans="1:86" x14ac:dyDescent="0.2">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c r="BY904"/>
      <c r="BZ904"/>
      <c r="CA904"/>
      <c r="CB904"/>
      <c r="CC904"/>
      <c r="CD904"/>
      <c r="CE904"/>
      <c r="CF904"/>
      <c r="CG904"/>
      <c r="CH904"/>
    </row>
    <row r="905" spans="1:86" x14ac:dyDescent="0.2">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c r="BY905"/>
      <c r="BZ905"/>
      <c r="CA905"/>
      <c r="CB905"/>
      <c r="CC905"/>
      <c r="CD905"/>
      <c r="CE905"/>
      <c r="CF905"/>
      <c r="CG905"/>
      <c r="CH905"/>
    </row>
    <row r="906" spans="1:86" x14ac:dyDescent="0.2">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c r="BY906"/>
      <c r="BZ906"/>
      <c r="CA906"/>
      <c r="CB906"/>
      <c r="CC906"/>
      <c r="CD906"/>
      <c r="CE906"/>
      <c r="CF906"/>
      <c r="CG906"/>
      <c r="CH906"/>
    </row>
    <row r="907" spans="1:86" x14ac:dyDescent="0.2">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c r="BY907"/>
      <c r="BZ907"/>
      <c r="CA907"/>
      <c r="CB907"/>
      <c r="CC907"/>
      <c r="CD907"/>
      <c r="CE907"/>
      <c r="CF907"/>
      <c r="CG907"/>
      <c r="CH907"/>
    </row>
    <row r="908" spans="1:86" x14ac:dyDescent="0.2">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row>
    <row r="909" spans="1:86" x14ac:dyDescent="0.2">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c r="BY909"/>
      <c r="BZ909"/>
      <c r="CA909"/>
      <c r="CB909"/>
      <c r="CC909"/>
      <c r="CD909"/>
      <c r="CE909"/>
      <c r="CF909"/>
      <c r="CG909"/>
      <c r="CH909"/>
    </row>
    <row r="910" spans="1:86" x14ac:dyDescent="0.2">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row>
    <row r="911" spans="1:86" x14ac:dyDescent="0.2">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row>
    <row r="912" spans="1:86" x14ac:dyDescent="0.2">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c r="BY912"/>
      <c r="BZ912"/>
      <c r="CA912"/>
      <c r="CB912"/>
      <c r="CC912"/>
      <c r="CD912"/>
      <c r="CE912"/>
      <c r="CF912"/>
      <c r="CG912"/>
      <c r="CH912"/>
    </row>
    <row r="913" spans="1:86" x14ac:dyDescent="0.2">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c r="BY913"/>
      <c r="BZ913"/>
      <c r="CA913"/>
      <c r="CB913"/>
      <c r="CC913"/>
      <c r="CD913"/>
      <c r="CE913"/>
      <c r="CF913"/>
      <c r="CG913"/>
      <c r="CH913"/>
    </row>
    <row r="914" spans="1:86" x14ac:dyDescent="0.2">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c r="BY914"/>
      <c r="BZ914"/>
      <c r="CA914"/>
      <c r="CB914"/>
      <c r="CC914"/>
      <c r="CD914"/>
      <c r="CE914"/>
      <c r="CF914"/>
      <c r="CG914"/>
      <c r="CH914"/>
    </row>
    <row r="915" spans="1:86" x14ac:dyDescent="0.2">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c r="BY915"/>
      <c r="BZ915"/>
      <c r="CA915"/>
      <c r="CB915"/>
      <c r="CC915"/>
      <c r="CD915"/>
      <c r="CE915"/>
      <c r="CF915"/>
      <c r="CG915"/>
      <c r="CH915"/>
    </row>
    <row r="916" spans="1:86" x14ac:dyDescent="0.2">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row>
    <row r="917" spans="1:86" x14ac:dyDescent="0.2">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c r="BY917"/>
      <c r="BZ917"/>
      <c r="CA917"/>
      <c r="CB917"/>
      <c r="CC917"/>
      <c r="CD917"/>
      <c r="CE917"/>
      <c r="CF917"/>
      <c r="CG917"/>
      <c r="CH917"/>
    </row>
    <row r="918" spans="1:86" x14ac:dyDescent="0.2">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c r="BY918"/>
      <c r="BZ918"/>
      <c r="CA918"/>
      <c r="CB918"/>
      <c r="CC918"/>
      <c r="CD918"/>
      <c r="CE918"/>
      <c r="CF918"/>
      <c r="CG918"/>
      <c r="CH918"/>
    </row>
    <row r="919" spans="1:86" x14ac:dyDescent="0.2">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c r="BY919"/>
      <c r="BZ919"/>
      <c r="CA919"/>
      <c r="CB919"/>
      <c r="CC919"/>
      <c r="CD919"/>
      <c r="CE919"/>
      <c r="CF919"/>
      <c r="CG919"/>
      <c r="CH919"/>
    </row>
    <row r="920" spans="1:86" x14ac:dyDescent="0.2">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c r="BY920"/>
      <c r="BZ920"/>
      <c r="CA920"/>
      <c r="CB920"/>
      <c r="CC920"/>
      <c r="CD920"/>
      <c r="CE920"/>
      <c r="CF920"/>
      <c r="CG920"/>
      <c r="CH920"/>
    </row>
    <row r="921" spans="1:86" x14ac:dyDescent="0.2">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c r="BY921"/>
      <c r="BZ921"/>
      <c r="CA921"/>
      <c r="CB921"/>
      <c r="CC921"/>
      <c r="CD921"/>
      <c r="CE921"/>
      <c r="CF921"/>
      <c r="CG921"/>
      <c r="CH921"/>
    </row>
    <row r="922" spans="1:86" x14ac:dyDescent="0.2">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c r="BY922"/>
      <c r="BZ922"/>
      <c r="CA922"/>
      <c r="CB922"/>
      <c r="CC922"/>
      <c r="CD922"/>
      <c r="CE922"/>
      <c r="CF922"/>
      <c r="CG922"/>
      <c r="CH922"/>
    </row>
    <row r="923" spans="1:86" x14ac:dyDescent="0.2">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c r="BY923"/>
      <c r="BZ923"/>
      <c r="CA923"/>
      <c r="CB923"/>
      <c r="CC923"/>
      <c r="CD923"/>
      <c r="CE923"/>
      <c r="CF923"/>
      <c r="CG923"/>
      <c r="CH923"/>
    </row>
    <row r="924" spans="1:86" x14ac:dyDescent="0.2">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c r="BY924"/>
      <c r="BZ924"/>
      <c r="CA924"/>
      <c r="CB924"/>
      <c r="CC924"/>
      <c r="CD924"/>
      <c r="CE924"/>
      <c r="CF924"/>
      <c r="CG924"/>
      <c r="CH924"/>
    </row>
    <row r="925" spans="1:86" x14ac:dyDescent="0.2">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c r="BY925"/>
      <c r="BZ925"/>
      <c r="CA925"/>
      <c r="CB925"/>
      <c r="CC925"/>
      <c r="CD925"/>
      <c r="CE925"/>
      <c r="CF925"/>
      <c r="CG925"/>
      <c r="CH925"/>
    </row>
    <row r="926" spans="1:86" x14ac:dyDescent="0.2">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c r="BY926"/>
      <c r="BZ926"/>
      <c r="CA926"/>
      <c r="CB926"/>
      <c r="CC926"/>
      <c r="CD926"/>
      <c r="CE926"/>
      <c r="CF926"/>
      <c r="CG926"/>
      <c r="CH926"/>
    </row>
    <row r="927" spans="1:86" x14ac:dyDescent="0.2">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c r="BY927"/>
      <c r="BZ927"/>
      <c r="CA927"/>
      <c r="CB927"/>
      <c r="CC927"/>
      <c r="CD927"/>
      <c r="CE927"/>
      <c r="CF927"/>
      <c r="CG927"/>
      <c r="CH927"/>
    </row>
    <row r="928" spans="1:86" x14ac:dyDescent="0.2">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c r="BY928"/>
      <c r="BZ928"/>
      <c r="CA928"/>
      <c r="CB928"/>
      <c r="CC928"/>
      <c r="CD928"/>
      <c r="CE928"/>
      <c r="CF928"/>
      <c r="CG928"/>
      <c r="CH928"/>
    </row>
    <row r="929" spans="1:86" x14ac:dyDescent="0.2">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c r="BY929"/>
      <c r="BZ929"/>
      <c r="CA929"/>
      <c r="CB929"/>
      <c r="CC929"/>
      <c r="CD929"/>
      <c r="CE929"/>
      <c r="CF929"/>
      <c r="CG929"/>
      <c r="CH929"/>
    </row>
    <row r="930" spans="1:86" x14ac:dyDescent="0.2">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c r="BY930"/>
      <c r="BZ930"/>
      <c r="CA930"/>
      <c r="CB930"/>
      <c r="CC930"/>
      <c r="CD930"/>
      <c r="CE930"/>
      <c r="CF930"/>
      <c r="CG930"/>
      <c r="CH930"/>
    </row>
    <row r="931" spans="1:86" x14ac:dyDescent="0.2">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c r="BY931"/>
      <c r="BZ931"/>
      <c r="CA931"/>
      <c r="CB931"/>
      <c r="CC931"/>
      <c r="CD931"/>
      <c r="CE931"/>
      <c r="CF931"/>
      <c r="CG931"/>
      <c r="CH931"/>
    </row>
    <row r="932" spans="1:86" x14ac:dyDescent="0.2">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row>
    <row r="933" spans="1:86" x14ac:dyDescent="0.2">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row>
    <row r="934" spans="1:86" x14ac:dyDescent="0.2">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row>
    <row r="935" spans="1:86" x14ac:dyDescent="0.2">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row>
    <row r="936" spans="1:86" x14ac:dyDescent="0.2">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c r="BY936"/>
      <c r="BZ936"/>
      <c r="CA936"/>
      <c r="CB936"/>
      <c r="CC936"/>
      <c r="CD936"/>
      <c r="CE936"/>
      <c r="CF936"/>
      <c r="CG936"/>
      <c r="CH936"/>
    </row>
    <row r="937" spans="1:86" x14ac:dyDescent="0.2">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c r="BY937"/>
      <c r="BZ937"/>
      <c r="CA937"/>
      <c r="CB937"/>
      <c r="CC937"/>
      <c r="CD937"/>
      <c r="CE937"/>
      <c r="CF937"/>
      <c r="CG937"/>
      <c r="CH937"/>
    </row>
    <row r="938" spans="1:86" x14ac:dyDescent="0.2">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c r="BY938"/>
      <c r="BZ938"/>
      <c r="CA938"/>
      <c r="CB938"/>
      <c r="CC938"/>
      <c r="CD938"/>
      <c r="CE938"/>
      <c r="CF938"/>
      <c r="CG938"/>
      <c r="CH938"/>
    </row>
    <row r="939" spans="1:86" x14ac:dyDescent="0.2">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c r="BY939"/>
      <c r="BZ939"/>
      <c r="CA939"/>
      <c r="CB939"/>
      <c r="CC939"/>
      <c r="CD939"/>
      <c r="CE939"/>
      <c r="CF939"/>
      <c r="CG939"/>
      <c r="CH939"/>
    </row>
    <row r="940" spans="1:86" x14ac:dyDescent="0.2">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c r="BY940"/>
      <c r="BZ940"/>
      <c r="CA940"/>
      <c r="CB940"/>
      <c r="CC940"/>
      <c r="CD940"/>
      <c r="CE940"/>
      <c r="CF940"/>
      <c r="CG940"/>
      <c r="CH940"/>
    </row>
    <row r="941" spans="1:86" x14ac:dyDescent="0.2">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c r="BY941"/>
      <c r="BZ941"/>
      <c r="CA941"/>
      <c r="CB941"/>
      <c r="CC941"/>
      <c r="CD941"/>
      <c r="CE941"/>
      <c r="CF941"/>
      <c r="CG941"/>
      <c r="CH941"/>
    </row>
    <row r="942" spans="1:86" x14ac:dyDescent="0.2">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c r="BY942"/>
      <c r="BZ942"/>
      <c r="CA942"/>
      <c r="CB942"/>
      <c r="CC942"/>
      <c r="CD942"/>
      <c r="CE942"/>
      <c r="CF942"/>
      <c r="CG942"/>
      <c r="CH942"/>
    </row>
    <row r="943" spans="1:86" x14ac:dyDescent="0.2">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c r="BY943"/>
      <c r="BZ943"/>
      <c r="CA943"/>
      <c r="CB943"/>
      <c r="CC943"/>
      <c r="CD943"/>
      <c r="CE943"/>
      <c r="CF943"/>
      <c r="CG943"/>
      <c r="CH943"/>
    </row>
    <row r="944" spans="1:86" x14ac:dyDescent="0.2">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row>
    <row r="945" spans="1:86" x14ac:dyDescent="0.2">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c r="BY945"/>
      <c r="BZ945"/>
      <c r="CA945"/>
      <c r="CB945"/>
      <c r="CC945"/>
      <c r="CD945"/>
      <c r="CE945"/>
      <c r="CF945"/>
      <c r="CG945"/>
      <c r="CH945"/>
    </row>
    <row r="946" spans="1:86" x14ac:dyDescent="0.2">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c r="BY946"/>
      <c r="BZ946"/>
      <c r="CA946"/>
      <c r="CB946"/>
      <c r="CC946"/>
      <c r="CD946"/>
      <c r="CE946"/>
      <c r="CF946"/>
      <c r="CG946"/>
      <c r="CH946"/>
    </row>
    <row r="947" spans="1:86" x14ac:dyDescent="0.2">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c r="BY947"/>
      <c r="BZ947"/>
      <c r="CA947"/>
      <c r="CB947"/>
      <c r="CC947"/>
      <c r="CD947"/>
      <c r="CE947"/>
      <c r="CF947"/>
      <c r="CG947"/>
      <c r="CH947"/>
    </row>
    <row r="948" spans="1:86" x14ac:dyDescent="0.2">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c r="BY948"/>
      <c r="BZ948"/>
      <c r="CA948"/>
      <c r="CB948"/>
      <c r="CC948"/>
      <c r="CD948"/>
      <c r="CE948"/>
      <c r="CF948"/>
      <c r="CG948"/>
      <c r="CH948"/>
    </row>
    <row r="949" spans="1:86" x14ac:dyDescent="0.2">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c r="BY949"/>
      <c r="BZ949"/>
      <c r="CA949"/>
      <c r="CB949"/>
      <c r="CC949"/>
      <c r="CD949"/>
      <c r="CE949"/>
      <c r="CF949"/>
      <c r="CG949"/>
      <c r="CH949"/>
    </row>
    <row r="950" spans="1:86" x14ac:dyDescent="0.2">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c r="BY950"/>
      <c r="BZ950"/>
      <c r="CA950"/>
      <c r="CB950"/>
      <c r="CC950"/>
      <c r="CD950"/>
      <c r="CE950"/>
      <c r="CF950"/>
      <c r="CG950"/>
      <c r="CH950"/>
    </row>
    <row r="951" spans="1:86" x14ac:dyDescent="0.2">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c r="BY951"/>
      <c r="BZ951"/>
      <c r="CA951"/>
      <c r="CB951"/>
      <c r="CC951"/>
      <c r="CD951"/>
      <c r="CE951"/>
      <c r="CF951"/>
      <c r="CG951"/>
      <c r="CH951"/>
    </row>
    <row r="952" spans="1:86" x14ac:dyDescent="0.2">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c r="BY952"/>
      <c r="BZ952"/>
      <c r="CA952"/>
      <c r="CB952"/>
      <c r="CC952"/>
      <c r="CD952"/>
      <c r="CE952"/>
      <c r="CF952"/>
      <c r="CG952"/>
      <c r="CH952"/>
    </row>
    <row r="953" spans="1:86" x14ac:dyDescent="0.2">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c r="BY953"/>
      <c r="BZ953"/>
      <c r="CA953"/>
      <c r="CB953"/>
      <c r="CC953"/>
      <c r="CD953"/>
      <c r="CE953"/>
      <c r="CF953"/>
      <c r="CG953"/>
      <c r="CH953"/>
    </row>
    <row r="954" spans="1:86" x14ac:dyDescent="0.2">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c r="BY954"/>
      <c r="BZ954"/>
      <c r="CA954"/>
      <c r="CB954"/>
      <c r="CC954"/>
      <c r="CD954"/>
      <c r="CE954"/>
      <c r="CF954"/>
      <c r="CG954"/>
      <c r="CH954"/>
    </row>
    <row r="955" spans="1:86" x14ac:dyDescent="0.2">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c r="BY955"/>
      <c r="BZ955"/>
      <c r="CA955"/>
      <c r="CB955"/>
      <c r="CC955"/>
      <c r="CD955"/>
      <c r="CE955"/>
      <c r="CF955"/>
      <c r="CG955"/>
      <c r="CH955"/>
    </row>
    <row r="956" spans="1:86" x14ac:dyDescent="0.2">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c r="BY956"/>
      <c r="BZ956"/>
      <c r="CA956"/>
      <c r="CB956"/>
      <c r="CC956"/>
      <c r="CD956"/>
      <c r="CE956"/>
      <c r="CF956"/>
      <c r="CG956"/>
      <c r="CH956"/>
    </row>
    <row r="957" spans="1:86" x14ac:dyDescent="0.2">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c r="BY957"/>
      <c r="BZ957"/>
      <c r="CA957"/>
      <c r="CB957"/>
      <c r="CC957"/>
      <c r="CD957"/>
      <c r="CE957"/>
      <c r="CF957"/>
      <c r="CG957"/>
      <c r="CH957"/>
    </row>
    <row r="958" spans="1:86" x14ac:dyDescent="0.2">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c r="BY958"/>
      <c r="BZ958"/>
      <c r="CA958"/>
      <c r="CB958"/>
      <c r="CC958"/>
      <c r="CD958"/>
      <c r="CE958"/>
      <c r="CF958"/>
      <c r="CG958"/>
      <c r="CH958"/>
    </row>
    <row r="959" spans="1:86" x14ac:dyDescent="0.2">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c r="BY959"/>
      <c r="BZ959"/>
      <c r="CA959"/>
      <c r="CB959"/>
      <c r="CC959"/>
      <c r="CD959"/>
      <c r="CE959"/>
      <c r="CF959"/>
      <c r="CG959"/>
      <c r="CH959"/>
    </row>
    <row r="960" spans="1:86" x14ac:dyDescent="0.2">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c r="BY960"/>
      <c r="BZ960"/>
      <c r="CA960"/>
      <c r="CB960"/>
      <c r="CC960"/>
      <c r="CD960"/>
      <c r="CE960"/>
      <c r="CF960"/>
      <c r="CG960"/>
      <c r="CH960"/>
    </row>
    <row r="961" spans="1:86" x14ac:dyDescent="0.2">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c r="BY961"/>
      <c r="BZ961"/>
      <c r="CA961"/>
      <c r="CB961"/>
      <c r="CC961"/>
      <c r="CD961"/>
      <c r="CE961"/>
      <c r="CF961"/>
      <c r="CG961"/>
      <c r="CH961"/>
    </row>
    <row r="962" spans="1:86" x14ac:dyDescent="0.2">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c r="BY962"/>
      <c r="BZ962"/>
      <c r="CA962"/>
      <c r="CB962"/>
      <c r="CC962"/>
      <c r="CD962"/>
      <c r="CE962"/>
      <c r="CF962"/>
      <c r="CG962"/>
      <c r="CH962"/>
    </row>
    <row r="963" spans="1:86" x14ac:dyDescent="0.2">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c r="BY963"/>
      <c r="BZ963"/>
      <c r="CA963"/>
      <c r="CB963"/>
      <c r="CC963"/>
      <c r="CD963"/>
      <c r="CE963"/>
      <c r="CF963"/>
      <c r="CG963"/>
      <c r="CH963"/>
    </row>
    <row r="964" spans="1:86" x14ac:dyDescent="0.2">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c r="BY964"/>
      <c r="BZ964"/>
      <c r="CA964"/>
      <c r="CB964"/>
      <c r="CC964"/>
      <c r="CD964"/>
      <c r="CE964"/>
      <c r="CF964"/>
      <c r="CG964"/>
      <c r="CH964"/>
    </row>
    <row r="965" spans="1:86" x14ac:dyDescent="0.2">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c r="BY965"/>
      <c r="BZ965"/>
      <c r="CA965"/>
      <c r="CB965"/>
      <c r="CC965"/>
      <c r="CD965"/>
      <c r="CE965"/>
      <c r="CF965"/>
      <c r="CG965"/>
      <c r="CH965"/>
    </row>
    <row r="966" spans="1:86" x14ac:dyDescent="0.2">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c r="BY966"/>
      <c r="BZ966"/>
      <c r="CA966"/>
      <c r="CB966"/>
      <c r="CC966"/>
      <c r="CD966"/>
      <c r="CE966"/>
      <c r="CF966"/>
      <c r="CG966"/>
      <c r="CH966"/>
    </row>
    <row r="967" spans="1:86" x14ac:dyDescent="0.2">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c r="BY967"/>
      <c r="BZ967"/>
      <c r="CA967"/>
      <c r="CB967"/>
      <c r="CC967"/>
      <c r="CD967"/>
      <c r="CE967"/>
      <c r="CF967"/>
      <c r="CG967"/>
      <c r="CH967"/>
    </row>
    <row r="968" spans="1:86" x14ac:dyDescent="0.2">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c r="BY968"/>
      <c r="BZ968"/>
      <c r="CA968"/>
      <c r="CB968"/>
      <c r="CC968"/>
      <c r="CD968"/>
      <c r="CE968"/>
      <c r="CF968"/>
      <c r="CG968"/>
      <c r="CH968"/>
    </row>
    <row r="969" spans="1:86" x14ac:dyDescent="0.2">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c r="BY969"/>
      <c r="BZ969"/>
      <c r="CA969"/>
      <c r="CB969"/>
      <c r="CC969"/>
      <c r="CD969"/>
      <c r="CE969"/>
      <c r="CF969"/>
      <c r="CG969"/>
      <c r="CH969"/>
    </row>
    <row r="970" spans="1:86" x14ac:dyDescent="0.2">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row>
    <row r="971" spans="1:86" x14ac:dyDescent="0.2">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row>
    <row r="972" spans="1:86" x14ac:dyDescent="0.2">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c r="BY972"/>
      <c r="BZ972"/>
      <c r="CA972"/>
      <c r="CB972"/>
      <c r="CC972"/>
      <c r="CD972"/>
      <c r="CE972"/>
      <c r="CF972"/>
      <c r="CG972"/>
      <c r="CH972"/>
    </row>
    <row r="973" spans="1:86" x14ac:dyDescent="0.2">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c r="BY973"/>
      <c r="BZ973"/>
      <c r="CA973"/>
      <c r="CB973"/>
      <c r="CC973"/>
      <c r="CD973"/>
      <c r="CE973"/>
      <c r="CF973"/>
      <c r="CG973"/>
      <c r="CH973"/>
    </row>
    <row r="974" spans="1:86" x14ac:dyDescent="0.2">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c r="BY974"/>
      <c r="BZ974"/>
      <c r="CA974"/>
      <c r="CB974"/>
      <c r="CC974"/>
      <c r="CD974"/>
      <c r="CE974"/>
      <c r="CF974"/>
      <c r="CG974"/>
      <c r="CH974"/>
    </row>
    <row r="975" spans="1:86" x14ac:dyDescent="0.2">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c r="BY975"/>
      <c r="BZ975"/>
      <c r="CA975"/>
      <c r="CB975"/>
      <c r="CC975"/>
      <c r="CD975"/>
      <c r="CE975"/>
      <c r="CF975"/>
      <c r="CG975"/>
      <c r="CH975"/>
    </row>
    <row r="976" spans="1:86" x14ac:dyDescent="0.2">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c r="BY976"/>
      <c r="BZ976"/>
      <c r="CA976"/>
      <c r="CB976"/>
      <c r="CC976"/>
      <c r="CD976"/>
      <c r="CE976"/>
      <c r="CF976"/>
      <c r="CG976"/>
      <c r="CH976"/>
    </row>
    <row r="977" spans="1:86" x14ac:dyDescent="0.2">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c r="BY977"/>
      <c r="BZ977"/>
      <c r="CA977"/>
      <c r="CB977"/>
      <c r="CC977"/>
      <c r="CD977"/>
      <c r="CE977"/>
      <c r="CF977"/>
      <c r="CG977"/>
      <c r="CH977"/>
    </row>
    <row r="978" spans="1:86" x14ac:dyDescent="0.2">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c r="BY978"/>
      <c r="BZ978"/>
      <c r="CA978"/>
      <c r="CB978"/>
      <c r="CC978"/>
      <c r="CD978"/>
      <c r="CE978"/>
      <c r="CF978"/>
      <c r="CG978"/>
      <c r="CH978"/>
    </row>
    <row r="979" spans="1:86" x14ac:dyDescent="0.2">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c r="BY979"/>
      <c r="BZ979"/>
      <c r="CA979"/>
      <c r="CB979"/>
      <c r="CC979"/>
      <c r="CD979"/>
      <c r="CE979"/>
      <c r="CF979"/>
      <c r="CG979"/>
      <c r="CH979"/>
    </row>
    <row r="980" spans="1:86" x14ac:dyDescent="0.2">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c r="BY980"/>
      <c r="BZ980"/>
      <c r="CA980"/>
      <c r="CB980"/>
      <c r="CC980"/>
      <c r="CD980"/>
      <c r="CE980"/>
      <c r="CF980"/>
      <c r="CG980"/>
      <c r="CH980"/>
    </row>
    <row r="981" spans="1:86" x14ac:dyDescent="0.2">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c r="BY981"/>
      <c r="BZ981"/>
      <c r="CA981"/>
      <c r="CB981"/>
      <c r="CC981"/>
      <c r="CD981"/>
      <c r="CE981"/>
      <c r="CF981"/>
      <c r="CG981"/>
      <c r="CH981"/>
    </row>
    <row r="982" spans="1:86" x14ac:dyDescent="0.2">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c r="BY982"/>
      <c r="BZ982"/>
      <c r="CA982"/>
      <c r="CB982"/>
      <c r="CC982"/>
      <c r="CD982"/>
      <c r="CE982"/>
      <c r="CF982"/>
      <c r="CG982"/>
      <c r="CH982"/>
    </row>
    <row r="983" spans="1:86" x14ac:dyDescent="0.2">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c r="BY983"/>
      <c r="BZ983"/>
      <c r="CA983"/>
      <c r="CB983"/>
      <c r="CC983"/>
      <c r="CD983"/>
      <c r="CE983"/>
      <c r="CF983"/>
      <c r="CG983"/>
      <c r="CH983"/>
    </row>
    <row r="984" spans="1:86" x14ac:dyDescent="0.2">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c r="BY984"/>
      <c r="BZ984"/>
      <c r="CA984"/>
      <c r="CB984"/>
      <c r="CC984"/>
      <c r="CD984"/>
      <c r="CE984"/>
      <c r="CF984"/>
      <c r="CG984"/>
      <c r="CH984"/>
    </row>
    <row r="985" spans="1:86" x14ac:dyDescent="0.2">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c r="BY985"/>
      <c r="BZ985"/>
      <c r="CA985"/>
      <c r="CB985"/>
      <c r="CC985"/>
      <c r="CD985"/>
      <c r="CE985"/>
      <c r="CF985"/>
      <c r="CG985"/>
      <c r="CH985"/>
    </row>
    <row r="986" spans="1:86" x14ac:dyDescent="0.2">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c r="BY986"/>
      <c r="BZ986"/>
      <c r="CA986"/>
      <c r="CB986"/>
      <c r="CC986"/>
      <c r="CD986"/>
      <c r="CE986"/>
      <c r="CF986"/>
      <c r="CG986"/>
      <c r="CH986"/>
    </row>
    <row r="987" spans="1:86" x14ac:dyDescent="0.2">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c r="BY987"/>
      <c r="BZ987"/>
      <c r="CA987"/>
      <c r="CB987"/>
      <c r="CC987"/>
      <c r="CD987"/>
      <c r="CE987"/>
      <c r="CF987"/>
      <c r="CG987"/>
      <c r="CH987"/>
    </row>
    <row r="988" spans="1:86" x14ac:dyDescent="0.2">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c r="BY988"/>
      <c r="BZ988"/>
      <c r="CA988"/>
      <c r="CB988"/>
      <c r="CC988"/>
      <c r="CD988"/>
      <c r="CE988"/>
      <c r="CF988"/>
      <c r="CG988"/>
      <c r="CH988"/>
    </row>
    <row r="989" spans="1:86" x14ac:dyDescent="0.2">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c r="BY989"/>
      <c r="BZ989"/>
      <c r="CA989"/>
      <c r="CB989"/>
      <c r="CC989"/>
      <c r="CD989"/>
      <c r="CE989"/>
      <c r="CF989"/>
      <c r="CG989"/>
      <c r="CH989"/>
    </row>
    <row r="990" spans="1:86" x14ac:dyDescent="0.2">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c r="BY990"/>
      <c r="BZ990"/>
      <c r="CA990"/>
      <c r="CB990"/>
      <c r="CC990"/>
      <c r="CD990"/>
      <c r="CE990"/>
      <c r="CF990"/>
      <c r="CG990"/>
      <c r="CH990"/>
    </row>
    <row r="991" spans="1:86" x14ac:dyDescent="0.2">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row>
    <row r="992" spans="1:86" x14ac:dyDescent="0.2">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c r="BY992"/>
      <c r="BZ992"/>
      <c r="CA992"/>
      <c r="CB992"/>
      <c r="CC992"/>
      <c r="CD992"/>
      <c r="CE992"/>
      <c r="CF992"/>
      <c r="CG992"/>
      <c r="CH992"/>
    </row>
    <row r="993" spans="1:86" x14ac:dyDescent="0.2">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row>
    <row r="994" spans="1:86" x14ac:dyDescent="0.2">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row>
    <row r="995" spans="1:86" x14ac:dyDescent="0.2">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row>
    <row r="996" spans="1:86" x14ac:dyDescent="0.2">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row>
    <row r="997" spans="1:86" x14ac:dyDescent="0.2">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c r="BY997"/>
      <c r="BZ997"/>
      <c r="CA997"/>
      <c r="CB997"/>
      <c r="CC997"/>
      <c r="CD997"/>
      <c r="CE997"/>
      <c r="CF997"/>
      <c r="CG997"/>
      <c r="CH997"/>
    </row>
    <row r="998" spans="1:86" x14ac:dyDescent="0.2">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c r="BY998"/>
      <c r="BZ998"/>
      <c r="CA998"/>
      <c r="CB998"/>
      <c r="CC998"/>
      <c r="CD998"/>
      <c r="CE998"/>
      <c r="CF998"/>
      <c r="CG998"/>
      <c r="CH998"/>
    </row>
    <row r="999" spans="1:86" x14ac:dyDescent="0.2">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c r="BY999"/>
      <c r="BZ999"/>
      <c r="CA999"/>
      <c r="CB999"/>
      <c r="CC999"/>
      <c r="CD999"/>
      <c r="CE999"/>
      <c r="CF999"/>
      <c r="CG999"/>
      <c r="CH999"/>
    </row>
    <row r="1000" spans="1:86" x14ac:dyDescent="0.2">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row>
    <row r="1001" spans="1:86" x14ac:dyDescent="0.2">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row>
    <row r="1002" spans="1:86" x14ac:dyDescent="0.2">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row>
    <row r="1003" spans="1:86" x14ac:dyDescent="0.2">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row>
    <row r="1004" spans="1:86" x14ac:dyDescent="0.2">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row>
    <row r="1005" spans="1:86" x14ac:dyDescent="0.2">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row>
    <row r="1006" spans="1:86" x14ac:dyDescent="0.2">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row>
    <row r="1007" spans="1:86" x14ac:dyDescent="0.2">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row>
    <row r="1008" spans="1:86" x14ac:dyDescent="0.2">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row>
    <row r="1009" spans="1:86" x14ac:dyDescent="0.2">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row>
    <row r="1010" spans="1:86" x14ac:dyDescent="0.2">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row>
    <row r="1011" spans="1:86" x14ac:dyDescent="0.2">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row>
    <row r="1012" spans="1:86" x14ac:dyDescent="0.2">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row>
    <row r="1013" spans="1:86" x14ac:dyDescent="0.2">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row>
    <row r="1014" spans="1:86" x14ac:dyDescent="0.2">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row>
    <row r="1015" spans="1:86" x14ac:dyDescent="0.2">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row>
    <row r="1016" spans="1:86" x14ac:dyDescent="0.2">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row>
    <row r="1017" spans="1:86" x14ac:dyDescent="0.2">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row>
    <row r="1018" spans="1:86" x14ac:dyDescent="0.2">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row>
    <row r="1019" spans="1:86" x14ac:dyDescent="0.2">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row>
    <row r="1020" spans="1:86" x14ac:dyDescent="0.2">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row>
    <row r="1021" spans="1:86" x14ac:dyDescent="0.2">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row>
    <row r="1022" spans="1:86" x14ac:dyDescent="0.2">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row>
    <row r="1023" spans="1:86" x14ac:dyDescent="0.2">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row>
    <row r="1024" spans="1:86" x14ac:dyDescent="0.2">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row>
    <row r="1025" spans="1:86" x14ac:dyDescent="0.2">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row>
    <row r="1026" spans="1:86" x14ac:dyDescent="0.2">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row>
    <row r="1027" spans="1:86" x14ac:dyDescent="0.2">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row>
    <row r="1028" spans="1:86" x14ac:dyDescent="0.2">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row>
    <row r="1029" spans="1:86" x14ac:dyDescent="0.2">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row>
    <row r="1030" spans="1:86" x14ac:dyDescent="0.2">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row>
    <row r="1031" spans="1:86" x14ac:dyDescent="0.2">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row>
    <row r="1032" spans="1:86" x14ac:dyDescent="0.2">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row>
    <row r="1033" spans="1:86" x14ac:dyDescent="0.2">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row>
    <row r="1034" spans="1:86" x14ac:dyDescent="0.2">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row>
    <row r="1035" spans="1:86" x14ac:dyDescent="0.2">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row>
    <row r="1036" spans="1:86" x14ac:dyDescent="0.2">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row>
    <row r="1037" spans="1:86" x14ac:dyDescent="0.2">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row>
    <row r="1038" spans="1:86" x14ac:dyDescent="0.2">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row>
    <row r="1039" spans="1:86" x14ac:dyDescent="0.2">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row>
    <row r="1040" spans="1:86" x14ac:dyDescent="0.2">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row>
    <row r="1041" spans="1:86" x14ac:dyDescent="0.2">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row>
    <row r="1042" spans="1:86" x14ac:dyDescent="0.2">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row>
    <row r="1043" spans="1:86" x14ac:dyDescent="0.2">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row>
    <row r="1044" spans="1:86" x14ac:dyDescent="0.2">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row>
    <row r="1045" spans="1:86" x14ac:dyDescent="0.2">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row>
    <row r="1046" spans="1:86" x14ac:dyDescent="0.2">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row>
    <row r="1047" spans="1:86" x14ac:dyDescent="0.2">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row>
    <row r="1048" spans="1:86" x14ac:dyDescent="0.2">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row>
    <row r="1049" spans="1:86" x14ac:dyDescent="0.2">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row>
    <row r="1050" spans="1:86" x14ac:dyDescent="0.2">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row>
    <row r="1051" spans="1:86" x14ac:dyDescent="0.2">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row>
    <row r="1052" spans="1:86" x14ac:dyDescent="0.2">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row>
    <row r="1053" spans="1:86" x14ac:dyDescent="0.2">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row>
    <row r="1054" spans="1:86" x14ac:dyDescent="0.2">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row>
    <row r="1055" spans="1:86" x14ac:dyDescent="0.2">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row>
    <row r="1056" spans="1:86" x14ac:dyDescent="0.2">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row>
    <row r="1057" spans="1:86" x14ac:dyDescent="0.2">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row>
    <row r="1058" spans="1:86" x14ac:dyDescent="0.2">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row>
    <row r="1059" spans="1:86" x14ac:dyDescent="0.2">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row>
    <row r="1060" spans="1:86" x14ac:dyDescent="0.2">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row>
    <row r="1061" spans="1:86" x14ac:dyDescent="0.2">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row>
    <row r="1062" spans="1:86" x14ac:dyDescent="0.2">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row>
    <row r="1063" spans="1:86" x14ac:dyDescent="0.2">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row>
    <row r="1064" spans="1:86" x14ac:dyDescent="0.2">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row>
    <row r="1065" spans="1:86" x14ac:dyDescent="0.2">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row>
    <row r="1066" spans="1:86" x14ac:dyDescent="0.2">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row>
    <row r="1067" spans="1:86" x14ac:dyDescent="0.2">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row>
    <row r="1068" spans="1:86" x14ac:dyDescent="0.2">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row>
    <row r="1069" spans="1:86" x14ac:dyDescent="0.2">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row>
    <row r="1070" spans="1:86" x14ac:dyDescent="0.2">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row>
    <row r="1071" spans="1:86" x14ac:dyDescent="0.2">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row>
    <row r="1072" spans="1:86" x14ac:dyDescent="0.2">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row>
    <row r="1073" spans="1:86" x14ac:dyDescent="0.2">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row>
    <row r="1074" spans="1:86" x14ac:dyDescent="0.2">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row>
    <row r="1075" spans="1:86" x14ac:dyDescent="0.2">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row>
    <row r="1076" spans="1:86" x14ac:dyDescent="0.2">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row>
    <row r="1077" spans="1:86" x14ac:dyDescent="0.2">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row>
    <row r="1078" spans="1:86" x14ac:dyDescent="0.2">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row>
    <row r="1079" spans="1:86" x14ac:dyDescent="0.2">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row>
    <row r="1080" spans="1:86" x14ac:dyDescent="0.2">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row>
    <row r="1081" spans="1:86" x14ac:dyDescent="0.2">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row>
    <row r="1082" spans="1:86" x14ac:dyDescent="0.2">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row>
    <row r="1083" spans="1:86" x14ac:dyDescent="0.2">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row>
    <row r="1084" spans="1:86" x14ac:dyDescent="0.2">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row>
    <row r="1085" spans="1:86" x14ac:dyDescent="0.2">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row>
    <row r="1086" spans="1:86" x14ac:dyDescent="0.2">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row>
    <row r="1087" spans="1:86" x14ac:dyDescent="0.2">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row>
    <row r="1088" spans="1:86" x14ac:dyDescent="0.2">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row>
    <row r="1089" spans="1:86" x14ac:dyDescent="0.2">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row>
    <row r="1090" spans="1:86" x14ac:dyDescent="0.2">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row>
    <row r="1091" spans="1:86" x14ac:dyDescent="0.2">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row>
    <row r="1092" spans="1:86" x14ac:dyDescent="0.2">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row>
    <row r="1093" spans="1:86" x14ac:dyDescent="0.2">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row>
    <row r="1094" spans="1:86" x14ac:dyDescent="0.2">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row>
    <row r="1095" spans="1:86" x14ac:dyDescent="0.2">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row>
    <row r="1096" spans="1:86" x14ac:dyDescent="0.2">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row>
    <row r="1097" spans="1:86" x14ac:dyDescent="0.2">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row>
    <row r="1098" spans="1:86" x14ac:dyDescent="0.2">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row>
    <row r="1099" spans="1:86" x14ac:dyDescent="0.2">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row>
    <row r="1100" spans="1:86" x14ac:dyDescent="0.2">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row>
    <row r="1101" spans="1:86" x14ac:dyDescent="0.2">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row>
    <row r="1102" spans="1:86" x14ac:dyDescent="0.2">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row>
    <row r="1103" spans="1:86" x14ac:dyDescent="0.2">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row>
    <row r="1104" spans="1:86" x14ac:dyDescent="0.2">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row>
    <row r="1105" spans="1:86" x14ac:dyDescent="0.2">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row>
    <row r="1106" spans="1:86" x14ac:dyDescent="0.2">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row>
    <row r="1107" spans="1:86" x14ac:dyDescent="0.2">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row>
    <row r="1108" spans="1:86" x14ac:dyDescent="0.2">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row>
    <row r="1109" spans="1:86" x14ac:dyDescent="0.2">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row>
    <row r="1110" spans="1:86" x14ac:dyDescent="0.2">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row>
    <row r="1111" spans="1:86" x14ac:dyDescent="0.2">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row>
    <row r="1112" spans="1:86" x14ac:dyDescent="0.2">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row>
    <row r="1113" spans="1:86" x14ac:dyDescent="0.2">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row>
    <row r="1114" spans="1:86" x14ac:dyDescent="0.2">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row>
    <row r="1115" spans="1:86" x14ac:dyDescent="0.2">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row>
    <row r="1116" spans="1:86" x14ac:dyDescent="0.2">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row>
    <row r="1117" spans="1:86" x14ac:dyDescent="0.2">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row>
    <row r="1118" spans="1:86" x14ac:dyDescent="0.2">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row>
    <row r="1119" spans="1:86" x14ac:dyDescent="0.2">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row>
    <row r="1120" spans="1:86" x14ac:dyDescent="0.2">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row>
    <row r="1121" spans="1:86" x14ac:dyDescent="0.2">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row>
    <row r="1122" spans="1:86" x14ac:dyDescent="0.2">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row>
    <row r="1123" spans="1:86" x14ac:dyDescent="0.2">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row>
    <row r="1124" spans="1:86" x14ac:dyDescent="0.2">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row>
    <row r="1125" spans="1:86" x14ac:dyDescent="0.2">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row>
    <row r="1126" spans="1:86" x14ac:dyDescent="0.2">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row>
    <row r="1127" spans="1:86" x14ac:dyDescent="0.2">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row>
    <row r="1128" spans="1:86" x14ac:dyDescent="0.2">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row>
    <row r="1129" spans="1:86" x14ac:dyDescent="0.2">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row>
    <row r="1130" spans="1:86" x14ac:dyDescent="0.2">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row>
    <row r="1131" spans="1:86" x14ac:dyDescent="0.2">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row>
    <row r="1132" spans="1:86" x14ac:dyDescent="0.2">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row>
    <row r="1133" spans="1:86" x14ac:dyDescent="0.2">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row>
    <row r="1134" spans="1:86" x14ac:dyDescent="0.2">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row>
    <row r="1135" spans="1:86" x14ac:dyDescent="0.2">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row>
    <row r="1136" spans="1:86" x14ac:dyDescent="0.2">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row>
    <row r="1137" spans="1:86" x14ac:dyDescent="0.2">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row>
    <row r="1138" spans="1:86" x14ac:dyDescent="0.2">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row>
    <row r="1139" spans="1:86" x14ac:dyDescent="0.2">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row>
    <row r="1140" spans="1:86" x14ac:dyDescent="0.2">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row>
    <row r="1141" spans="1:86" x14ac:dyDescent="0.2">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row>
    <row r="1142" spans="1:86" x14ac:dyDescent="0.2">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row>
    <row r="1143" spans="1:86" x14ac:dyDescent="0.2">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row>
    <row r="1144" spans="1:86" x14ac:dyDescent="0.2">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row>
    <row r="1145" spans="1:86" x14ac:dyDescent="0.2">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row>
    <row r="1146" spans="1:86" x14ac:dyDescent="0.2">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row>
    <row r="1147" spans="1:86" x14ac:dyDescent="0.2">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row>
    <row r="1148" spans="1:86" x14ac:dyDescent="0.2">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row>
    <row r="1149" spans="1:86" x14ac:dyDescent="0.2">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row>
    <row r="1150" spans="1:86" x14ac:dyDescent="0.2">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row>
    <row r="1151" spans="1:86" x14ac:dyDescent="0.2">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row>
    <row r="1152" spans="1:86" x14ac:dyDescent="0.2">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row>
    <row r="1153" spans="1:86" x14ac:dyDescent="0.2">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row>
    <row r="1154" spans="1:86" x14ac:dyDescent="0.2">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row>
    <row r="1155" spans="1:86" x14ac:dyDescent="0.2">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row>
    <row r="1156" spans="1:86" x14ac:dyDescent="0.2">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row>
    <row r="1157" spans="1:86" x14ac:dyDescent="0.2">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row>
    <row r="1158" spans="1:86" x14ac:dyDescent="0.2">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row>
    <row r="1159" spans="1:86" x14ac:dyDescent="0.2">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row>
    <row r="1160" spans="1:86" x14ac:dyDescent="0.2">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row>
    <row r="1161" spans="1:86" x14ac:dyDescent="0.2">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row>
    <row r="1162" spans="1:86" x14ac:dyDescent="0.2">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row>
    <row r="1163" spans="1:86" x14ac:dyDescent="0.2">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row>
    <row r="1164" spans="1:86" x14ac:dyDescent="0.2">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row>
    <row r="1165" spans="1:86" x14ac:dyDescent="0.2">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row>
    <row r="1166" spans="1:86" x14ac:dyDescent="0.2">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row>
    <row r="1167" spans="1:86" x14ac:dyDescent="0.2">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row>
    <row r="1168" spans="1:86" x14ac:dyDescent="0.2">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row>
    <row r="1169" spans="1:86" x14ac:dyDescent="0.2">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row>
    <row r="1170" spans="1:86" x14ac:dyDescent="0.2">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row>
    <row r="1171" spans="1:86" x14ac:dyDescent="0.2">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row>
    <row r="1172" spans="1:86" x14ac:dyDescent="0.2">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row>
    <row r="1173" spans="1:86" x14ac:dyDescent="0.2">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row>
    <row r="1174" spans="1:86" x14ac:dyDescent="0.2">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row>
    <row r="1175" spans="1:86" x14ac:dyDescent="0.2">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row>
    <row r="1176" spans="1:86" x14ac:dyDescent="0.2">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row>
    <row r="1177" spans="1:86" x14ac:dyDescent="0.2">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row>
    <row r="1178" spans="1:86" x14ac:dyDescent="0.2">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row>
    <row r="1179" spans="1:86" x14ac:dyDescent="0.2">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row>
    <row r="1180" spans="1:86" x14ac:dyDescent="0.2">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row>
    <row r="1181" spans="1:86" x14ac:dyDescent="0.2">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row>
    <row r="1182" spans="1:86" x14ac:dyDescent="0.2">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row>
    <row r="1183" spans="1:86" x14ac:dyDescent="0.2">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row>
    <row r="1184" spans="1:86" x14ac:dyDescent="0.2">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row>
    <row r="1185" spans="1:86" x14ac:dyDescent="0.2">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row>
    <row r="1186" spans="1:86" x14ac:dyDescent="0.2">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row>
    <row r="1187" spans="1:86" x14ac:dyDescent="0.2">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row>
    <row r="1188" spans="1:86" x14ac:dyDescent="0.2">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row>
    <row r="1189" spans="1:86" x14ac:dyDescent="0.2">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row>
    <row r="1190" spans="1:86" x14ac:dyDescent="0.2">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row>
    <row r="1191" spans="1:86" x14ac:dyDescent="0.2">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row>
    <row r="1192" spans="1:86" x14ac:dyDescent="0.2">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row>
    <row r="1193" spans="1:86" x14ac:dyDescent="0.2">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row>
    <row r="1194" spans="1:86" x14ac:dyDescent="0.2">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row>
    <row r="1195" spans="1:86" x14ac:dyDescent="0.2">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c r="BL1195"/>
      <c r="BM1195"/>
      <c r="BN1195"/>
      <c r="BO1195"/>
      <c r="BP1195"/>
      <c r="BQ1195"/>
      <c r="BR1195"/>
      <c r="BS1195"/>
      <c r="BT1195"/>
      <c r="BU1195"/>
      <c r="BV1195"/>
      <c r="BW1195"/>
      <c r="BX1195"/>
      <c r="BY1195"/>
      <c r="BZ1195"/>
      <c r="CA1195"/>
      <c r="CB1195"/>
      <c r="CC1195"/>
      <c r="CD1195"/>
      <c r="CE1195"/>
      <c r="CF1195"/>
      <c r="CG1195"/>
      <c r="CH1195"/>
    </row>
    <row r="1196" spans="1:86" x14ac:dyDescent="0.2">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c r="BL1196"/>
      <c r="BM1196"/>
      <c r="BN1196"/>
      <c r="BO1196"/>
      <c r="BP1196"/>
      <c r="BQ1196"/>
      <c r="BR1196"/>
      <c r="BS1196"/>
      <c r="BT1196"/>
      <c r="BU1196"/>
      <c r="BV1196"/>
      <c r="BW1196"/>
      <c r="BX1196"/>
      <c r="BY1196"/>
      <c r="BZ1196"/>
      <c r="CA1196"/>
      <c r="CB1196"/>
      <c r="CC1196"/>
      <c r="CD1196"/>
      <c r="CE1196"/>
      <c r="CF1196"/>
      <c r="CG1196"/>
      <c r="CH1196"/>
    </row>
    <row r="1197" spans="1:86" x14ac:dyDescent="0.2">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c r="BK1197"/>
      <c r="BL1197"/>
      <c r="BM1197"/>
      <c r="BN1197"/>
      <c r="BO1197"/>
      <c r="BP1197"/>
      <c r="BQ1197"/>
      <c r="BR1197"/>
      <c r="BS1197"/>
      <c r="BT1197"/>
      <c r="BU1197"/>
      <c r="BV1197"/>
      <c r="BW1197"/>
      <c r="BX1197"/>
      <c r="BY1197"/>
      <c r="BZ1197"/>
      <c r="CA1197"/>
      <c r="CB1197"/>
      <c r="CC1197"/>
      <c r="CD1197"/>
      <c r="CE1197"/>
      <c r="CF1197"/>
      <c r="CG1197"/>
      <c r="CH1197"/>
    </row>
    <row r="1198" spans="1:86" x14ac:dyDescent="0.2">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c r="BK1198"/>
      <c r="BL1198"/>
      <c r="BM1198"/>
      <c r="BN1198"/>
      <c r="BO1198"/>
      <c r="BP1198"/>
      <c r="BQ1198"/>
      <c r="BR1198"/>
      <c r="BS1198"/>
      <c r="BT1198"/>
      <c r="BU1198"/>
      <c r="BV1198"/>
      <c r="BW1198"/>
      <c r="BX1198"/>
      <c r="BY1198"/>
      <c r="BZ1198"/>
      <c r="CA1198"/>
      <c r="CB1198"/>
      <c r="CC1198"/>
      <c r="CD1198"/>
      <c r="CE1198"/>
      <c r="CF1198"/>
      <c r="CG1198"/>
      <c r="CH1198"/>
    </row>
    <row r="1199" spans="1:86" x14ac:dyDescent="0.2">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c r="BL1199"/>
      <c r="BM1199"/>
      <c r="BN1199"/>
      <c r="BO1199"/>
      <c r="BP1199"/>
      <c r="BQ1199"/>
      <c r="BR1199"/>
      <c r="BS1199"/>
      <c r="BT1199"/>
      <c r="BU1199"/>
      <c r="BV1199"/>
      <c r="BW1199"/>
      <c r="BX1199"/>
      <c r="BY1199"/>
      <c r="BZ1199"/>
      <c r="CA1199"/>
      <c r="CB1199"/>
      <c r="CC1199"/>
      <c r="CD1199"/>
      <c r="CE1199"/>
      <c r="CF1199"/>
      <c r="CG1199"/>
      <c r="CH1199"/>
    </row>
    <row r="1200" spans="1:86" x14ac:dyDescent="0.2">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c r="BK1200"/>
      <c r="BL1200"/>
      <c r="BM1200"/>
      <c r="BN1200"/>
      <c r="BO1200"/>
      <c r="BP1200"/>
      <c r="BQ1200"/>
      <c r="BR1200"/>
      <c r="BS1200"/>
      <c r="BT1200"/>
      <c r="BU1200"/>
      <c r="BV1200"/>
      <c r="BW1200"/>
      <c r="BX1200"/>
      <c r="BY1200"/>
      <c r="BZ1200"/>
      <c r="CA1200"/>
      <c r="CB1200"/>
      <c r="CC1200"/>
      <c r="CD1200"/>
      <c r="CE1200"/>
      <c r="CF1200"/>
      <c r="CG1200"/>
      <c r="CH1200"/>
    </row>
    <row r="1201" spans="1:86" x14ac:dyDescent="0.2">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c r="BK1201"/>
      <c r="BL1201"/>
      <c r="BM1201"/>
      <c r="BN1201"/>
      <c r="BO1201"/>
      <c r="BP1201"/>
      <c r="BQ1201"/>
      <c r="BR1201"/>
      <c r="BS1201"/>
      <c r="BT1201"/>
      <c r="BU1201"/>
      <c r="BV1201"/>
      <c r="BW1201"/>
      <c r="BX1201"/>
      <c r="BY1201"/>
      <c r="BZ1201"/>
      <c r="CA1201"/>
      <c r="CB1201"/>
      <c r="CC1201"/>
      <c r="CD1201"/>
      <c r="CE1201"/>
      <c r="CF1201"/>
      <c r="CG1201"/>
      <c r="CH1201"/>
    </row>
    <row r="1202" spans="1:86" x14ac:dyDescent="0.2">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c r="BK1202"/>
      <c r="BL1202"/>
      <c r="BM1202"/>
      <c r="BN1202"/>
      <c r="BO1202"/>
      <c r="BP1202"/>
      <c r="BQ1202"/>
      <c r="BR1202"/>
      <c r="BS1202"/>
      <c r="BT1202"/>
      <c r="BU1202"/>
      <c r="BV1202"/>
      <c r="BW1202"/>
      <c r="BX1202"/>
      <c r="BY1202"/>
      <c r="BZ1202"/>
      <c r="CA1202"/>
      <c r="CB1202"/>
      <c r="CC1202"/>
      <c r="CD1202"/>
      <c r="CE1202"/>
      <c r="CF1202"/>
      <c r="CG1202"/>
      <c r="CH1202"/>
    </row>
    <row r="1203" spans="1:86" x14ac:dyDescent="0.2">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c r="BV1203"/>
      <c r="BW1203"/>
      <c r="BX1203"/>
      <c r="BY1203"/>
      <c r="BZ1203"/>
      <c r="CA1203"/>
      <c r="CB1203"/>
      <c r="CC1203"/>
      <c r="CD1203"/>
      <c r="CE1203"/>
      <c r="CF1203"/>
      <c r="CG1203"/>
      <c r="CH1203"/>
    </row>
    <row r="1204" spans="1:86" x14ac:dyDescent="0.2">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c r="BL1204"/>
      <c r="BM1204"/>
      <c r="BN1204"/>
      <c r="BO1204"/>
      <c r="BP1204"/>
      <c r="BQ1204"/>
      <c r="BR1204"/>
      <c r="BS1204"/>
      <c r="BT1204"/>
      <c r="BU1204"/>
      <c r="BV1204"/>
      <c r="BW1204"/>
      <c r="BX1204"/>
      <c r="BY1204"/>
      <c r="BZ1204"/>
      <c r="CA1204"/>
      <c r="CB1204"/>
      <c r="CC1204"/>
      <c r="CD1204"/>
      <c r="CE1204"/>
      <c r="CF1204"/>
      <c r="CG1204"/>
      <c r="CH1204"/>
    </row>
    <row r="1205" spans="1:86" x14ac:dyDescent="0.2">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c r="BL1205"/>
      <c r="BM1205"/>
      <c r="BN1205"/>
      <c r="BO1205"/>
      <c r="BP1205"/>
      <c r="BQ1205"/>
      <c r="BR1205"/>
      <c r="BS1205"/>
      <c r="BT1205"/>
      <c r="BU1205"/>
      <c r="BV1205"/>
      <c r="BW1205"/>
      <c r="BX1205"/>
      <c r="BY1205"/>
      <c r="BZ1205"/>
      <c r="CA1205"/>
      <c r="CB1205"/>
      <c r="CC1205"/>
      <c r="CD1205"/>
      <c r="CE1205"/>
      <c r="CF1205"/>
      <c r="CG1205"/>
      <c r="CH1205"/>
    </row>
    <row r="1206" spans="1:86" x14ac:dyDescent="0.2">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c r="BK1206"/>
      <c r="BL1206"/>
      <c r="BM1206"/>
      <c r="BN1206"/>
      <c r="BO1206"/>
      <c r="BP1206"/>
      <c r="BQ1206"/>
      <c r="BR1206"/>
      <c r="BS1206"/>
      <c r="BT1206"/>
      <c r="BU1206"/>
      <c r="BV1206"/>
      <c r="BW1206"/>
      <c r="BX1206"/>
      <c r="BY1206"/>
      <c r="BZ1206"/>
      <c r="CA1206"/>
      <c r="CB1206"/>
      <c r="CC1206"/>
      <c r="CD1206"/>
      <c r="CE1206"/>
      <c r="CF1206"/>
      <c r="CG1206"/>
      <c r="CH1206"/>
    </row>
    <row r="1207" spans="1:86" x14ac:dyDescent="0.2">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c r="BL1207"/>
      <c r="BM1207"/>
      <c r="BN1207"/>
      <c r="BO1207"/>
      <c r="BP1207"/>
      <c r="BQ1207"/>
      <c r="BR1207"/>
      <c r="BS1207"/>
      <c r="BT1207"/>
      <c r="BU1207"/>
      <c r="BV1207"/>
      <c r="BW1207"/>
      <c r="BX1207"/>
      <c r="BY1207"/>
      <c r="BZ1207"/>
      <c r="CA1207"/>
      <c r="CB1207"/>
      <c r="CC1207"/>
      <c r="CD1207"/>
      <c r="CE1207"/>
      <c r="CF1207"/>
      <c r="CG1207"/>
      <c r="CH1207"/>
    </row>
    <row r="1208" spans="1:86" x14ac:dyDescent="0.2">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c r="BL1208"/>
      <c r="BM1208"/>
      <c r="BN1208"/>
      <c r="BO1208"/>
      <c r="BP1208"/>
      <c r="BQ1208"/>
      <c r="BR1208"/>
      <c r="BS1208"/>
      <c r="BT1208"/>
      <c r="BU1208"/>
      <c r="BV1208"/>
      <c r="BW1208"/>
      <c r="BX1208"/>
      <c r="BY1208"/>
      <c r="BZ1208"/>
      <c r="CA1208"/>
      <c r="CB1208"/>
      <c r="CC1208"/>
      <c r="CD1208"/>
      <c r="CE1208"/>
      <c r="CF1208"/>
      <c r="CG1208"/>
      <c r="CH1208"/>
    </row>
    <row r="1209" spans="1:86" x14ac:dyDescent="0.2">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c r="BK1209"/>
      <c r="BL1209"/>
      <c r="BM1209"/>
      <c r="BN1209"/>
      <c r="BO1209"/>
      <c r="BP1209"/>
      <c r="BQ1209"/>
      <c r="BR1209"/>
      <c r="BS1209"/>
      <c r="BT1209"/>
      <c r="BU1209"/>
      <c r="BV1209"/>
      <c r="BW1209"/>
      <c r="BX1209"/>
      <c r="BY1209"/>
      <c r="BZ1209"/>
      <c r="CA1209"/>
      <c r="CB1209"/>
      <c r="CC1209"/>
      <c r="CD1209"/>
      <c r="CE1209"/>
      <c r="CF1209"/>
      <c r="CG1209"/>
      <c r="CH1209"/>
    </row>
    <row r="1210" spans="1:86" x14ac:dyDescent="0.2">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c r="AU1210"/>
      <c r="AV1210"/>
      <c r="AW1210"/>
      <c r="AX1210"/>
      <c r="AY1210"/>
      <c r="AZ1210"/>
      <c r="BA1210"/>
      <c r="BB1210"/>
      <c r="BC1210"/>
      <c r="BD1210"/>
      <c r="BE1210"/>
      <c r="BF1210"/>
      <c r="BG1210"/>
      <c r="BH1210"/>
      <c r="BI1210"/>
      <c r="BJ1210"/>
      <c r="BK1210"/>
      <c r="BL1210"/>
      <c r="BM1210"/>
      <c r="BN1210"/>
      <c r="BO1210"/>
      <c r="BP1210"/>
      <c r="BQ1210"/>
      <c r="BR1210"/>
      <c r="BS1210"/>
      <c r="BT1210"/>
      <c r="BU1210"/>
      <c r="BV1210"/>
      <c r="BW1210"/>
      <c r="BX1210"/>
      <c r="BY1210"/>
      <c r="BZ1210"/>
      <c r="CA1210"/>
      <c r="CB1210"/>
      <c r="CC1210"/>
      <c r="CD1210"/>
      <c r="CE1210"/>
      <c r="CF1210"/>
      <c r="CG1210"/>
      <c r="CH1210"/>
    </row>
    <row r="1211" spans="1:86" x14ac:dyDescent="0.2">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c r="AU1211"/>
      <c r="AV1211"/>
      <c r="AW1211"/>
      <c r="AX1211"/>
      <c r="AY1211"/>
      <c r="AZ1211"/>
      <c r="BA1211"/>
      <c r="BB1211"/>
      <c r="BC1211"/>
      <c r="BD1211"/>
      <c r="BE1211"/>
      <c r="BF1211"/>
      <c r="BG1211"/>
      <c r="BH1211"/>
      <c r="BI1211"/>
      <c r="BJ1211"/>
      <c r="BK1211"/>
      <c r="BL1211"/>
      <c r="BM1211"/>
      <c r="BN1211"/>
      <c r="BO1211"/>
      <c r="BP1211"/>
      <c r="BQ1211"/>
      <c r="BR1211"/>
      <c r="BS1211"/>
      <c r="BT1211"/>
      <c r="BU1211"/>
      <c r="BV1211"/>
      <c r="BW1211"/>
      <c r="BX1211"/>
      <c r="BY1211"/>
      <c r="BZ1211"/>
      <c r="CA1211"/>
      <c r="CB1211"/>
      <c r="CC1211"/>
      <c r="CD1211"/>
      <c r="CE1211"/>
      <c r="CF1211"/>
      <c r="CG1211"/>
      <c r="CH1211"/>
    </row>
    <row r="1212" spans="1:86" x14ac:dyDescent="0.2">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c r="BK1212"/>
      <c r="BL1212"/>
      <c r="BM1212"/>
      <c r="BN1212"/>
      <c r="BO1212"/>
      <c r="BP1212"/>
      <c r="BQ1212"/>
      <c r="BR1212"/>
      <c r="BS1212"/>
      <c r="BT1212"/>
      <c r="BU1212"/>
      <c r="BV1212"/>
      <c r="BW1212"/>
      <c r="BX1212"/>
      <c r="BY1212"/>
      <c r="BZ1212"/>
      <c r="CA1212"/>
      <c r="CB1212"/>
      <c r="CC1212"/>
      <c r="CD1212"/>
      <c r="CE1212"/>
      <c r="CF1212"/>
      <c r="CG1212"/>
      <c r="CH1212"/>
    </row>
    <row r="1213" spans="1:86" x14ac:dyDescent="0.2">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c r="AU1213"/>
      <c r="AV1213"/>
      <c r="AW1213"/>
      <c r="AX1213"/>
      <c r="AY1213"/>
      <c r="AZ1213"/>
      <c r="BA1213"/>
      <c r="BB1213"/>
      <c r="BC1213"/>
      <c r="BD1213"/>
      <c r="BE1213"/>
      <c r="BF1213"/>
      <c r="BG1213"/>
      <c r="BH1213"/>
      <c r="BI1213"/>
      <c r="BJ1213"/>
      <c r="BK1213"/>
      <c r="BL1213"/>
      <c r="BM1213"/>
      <c r="BN1213"/>
      <c r="BO1213"/>
      <c r="BP1213"/>
      <c r="BQ1213"/>
      <c r="BR1213"/>
      <c r="BS1213"/>
      <c r="BT1213"/>
      <c r="BU1213"/>
      <c r="BV1213"/>
      <c r="BW1213"/>
      <c r="BX1213"/>
      <c r="BY1213"/>
      <c r="BZ1213"/>
      <c r="CA1213"/>
      <c r="CB1213"/>
      <c r="CC1213"/>
      <c r="CD1213"/>
      <c r="CE1213"/>
      <c r="CF1213"/>
      <c r="CG1213"/>
      <c r="CH1213"/>
    </row>
    <row r="1214" spans="1:86" x14ac:dyDescent="0.2">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c r="AU1214"/>
      <c r="AV1214"/>
      <c r="AW1214"/>
      <c r="AX1214"/>
      <c r="AY1214"/>
      <c r="AZ1214"/>
      <c r="BA1214"/>
      <c r="BB1214"/>
      <c r="BC1214"/>
      <c r="BD1214"/>
      <c r="BE1214"/>
      <c r="BF1214"/>
      <c r="BG1214"/>
      <c r="BH1214"/>
      <c r="BI1214"/>
      <c r="BJ1214"/>
      <c r="BK1214"/>
      <c r="BL1214"/>
      <c r="BM1214"/>
      <c r="BN1214"/>
      <c r="BO1214"/>
      <c r="BP1214"/>
      <c r="BQ1214"/>
      <c r="BR1214"/>
      <c r="BS1214"/>
      <c r="BT1214"/>
      <c r="BU1214"/>
      <c r="BV1214"/>
      <c r="BW1214"/>
      <c r="BX1214"/>
      <c r="BY1214"/>
      <c r="BZ1214"/>
      <c r="CA1214"/>
      <c r="CB1214"/>
      <c r="CC1214"/>
      <c r="CD1214"/>
      <c r="CE1214"/>
      <c r="CF1214"/>
      <c r="CG1214"/>
      <c r="CH1214"/>
    </row>
    <row r="1215" spans="1:86" x14ac:dyDescent="0.2">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c r="BL1215"/>
      <c r="BM1215"/>
      <c r="BN1215"/>
      <c r="BO1215"/>
      <c r="BP1215"/>
      <c r="BQ1215"/>
      <c r="BR1215"/>
      <c r="BS1215"/>
      <c r="BT1215"/>
      <c r="BU1215"/>
      <c r="BV1215"/>
      <c r="BW1215"/>
      <c r="BX1215"/>
      <c r="BY1215"/>
      <c r="BZ1215"/>
      <c r="CA1215"/>
      <c r="CB1215"/>
      <c r="CC1215"/>
      <c r="CD1215"/>
      <c r="CE1215"/>
      <c r="CF1215"/>
      <c r="CG1215"/>
      <c r="CH1215"/>
    </row>
    <row r="1216" spans="1:86" x14ac:dyDescent="0.2">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c r="BK1216"/>
      <c r="BL1216"/>
      <c r="BM1216"/>
      <c r="BN1216"/>
      <c r="BO1216"/>
      <c r="BP1216"/>
      <c r="BQ1216"/>
      <c r="BR1216"/>
      <c r="BS1216"/>
      <c r="BT1216"/>
      <c r="BU1216"/>
      <c r="BV1216"/>
      <c r="BW1216"/>
      <c r="BX1216"/>
      <c r="BY1216"/>
      <c r="BZ1216"/>
      <c r="CA1216"/>
      <c r="CB1216"/>
      <c r="CC1216"/>
      <c r="CD1216"/>
      <c r="CE1216"/>
      <c r="CF1216"/>
      <c r="CG1216"/>
      <c r="CH1216"/>
    </row>
    <row r="1217" spans="1:86" x14ac:dyDescent="0.2">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c r="AU1217"/>
      <c r="AV1217"/>
      <c r="AW1217"/>
      <c r="AX1217"/>
      <c r="AY1217"/>
      <c r="AZ1217"/>
      <c r="BA1217"/>
      <c r="BB1217"/>
      <c r="BC1217"/>
      <c r="BD1217"/>
      <c r="BE1217"/>
      <c r="BF1217"/>
      <c r="BG1217"/>
      <c r="BH1217"/>
      <c r="BI1217"/>
      <c r="BJ1217"/>
      <c r="BK1217"/>
      <c r="BL1217"/>
      <c r="BM1217"/>
      <c r="BN1217"/>
      <c r="BO1217"/>
      <c r="BP1217"/>
      <c r="BQ1217"/>
      <c r="BR1217"/>
      <c r="BS1217"/>
      <c r="BT1217"/>
      <c r="BU1217"/>
      <c r="BV1217"/>
      <c r="BW1217"/>
      <c r="BX1217"/>
      <c r="BY1217"/>
      <c r="BZ1217"/>
      <c r="CA1217"/>
      <c r="CB1217"/>
      <c r="CC1217"/>
      <c r="CD1217"/>
      <c r="CE1217"/>
      <c r="CF1217"/>
      <c r="CG1217"/>
      <c r="CH1217"/>
    </row>
    <row r="1218" spans="1:86" x14ac:dyDescent="0.2">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c r="AU1218"/>
      <c r="AV1218"/>
      <c r="AW1218"/>
      <c r="AX1218"/>
      <c r="AY1218"/>
      <c r="AZ1218"/>
      <c r="BA1218"/>
      <c r="BB1218"/>
      <c r="BC1218"/>
      <c r="BD1218"/>
      <c r="BE1218"/>
      <c r="BF1218"/>
      <c r="BG1218"/>
      <c r="BH1218"/>
      <c r="BI1218"/>
      <c r="BJ1218"/>
      <c r="BK1218"/>
      <c r="BL1218"/>
      <c r="BM1218"/>
      <c r="BN1218"/>
      <c r="BO1218"/>
      <c r="BP1218"/>
      <c r="BQ1218"/>
      <c r="BR1218"/>
      <c r="BS1218"/>
      <c r="BT1218"/>
      <c r="BU1218"/>
      <c r="BV1218"/>
      <c r="BW1218"/>
      <c r="BX1218"/>
      <c r="BY1218"/>
      <c r="BZ1218"/>
      <c r="CA1218"/>
      <c r="CB1218"/>
      <c r="CC1218"/>
      <c r="CD1218"/>
      <c r="CE1218"/>
      <c r="CF1218"/>
      <c r="CG1218"/>
      <c r="CH1218"/>
    </row>
    <row r="1219" spans="1:86" x14ac:dyDescent="0.2">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c r="AU1219"/>
      <c r="AV1219"/>
      <c r="AW1219"/>
      <c r="AX1219"/>
      <c r="AY1219"/>
      <c r="AZ1219"/>
      <c r="BA1219"/>
      <c r="BB1219"/>
      <c r="BC1219"/>
      <c r="BD1219"/>
      <c r="BE1219"/>
      <c r="BF1219"/>
      <c r="BG1219"/>
      <c r="BH1219"/>
      <c r="BI1219"/>
      <c r="BJ1219"/>
      <c r="BK1219"/>
      <c r="BL1219"/>
      <c r="BM1219"/>
      <c r="BN1219"/>
      <c r="BO1219"/>
      <c r="BP1219"/>
      <c r="BQ1219"/>
      <c r="BR1219"/>
      <c r="BS1219"/>
      <c r="BT1219"/>
      <c r="BU1219"/>
      <c r="BV1219"/>
      <c r="BW1219"/>
      <c r="BX1219"/>
      <c r="BY1219"/>
      <c r="BZ1219"/>
      <c r="CA1219"/>
      <c r="CB1219"/>
      <c r="CC1219"/>
      <c r="CD1219"/>
      <c r="CE1219"/>
      <c r="CF1219"/>
      <c r="CG1219"/>
      <c r="CH1219"/>
    </row>
    <row r="1220" spans="1:86" x14ac:dyDescent="0.2">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c r="AU1220"/>
      <c r="AV1220"/>
      <c r="AW1220"/>
      <c r="AX1220"/>
      <c r="AY1220"/>
      <c r="AZ1220"/>
      <c r="BA1220"/>
      <c r="BB1220"/>
      <c r="BC1220"/>
      <c r="BD1220"/>
      <c r="BE1220"/>
      <c r="BF1220"/>
      <c r="BG1220"/>
      <c r="BH1220"/>
      <c r="BI1220"/>
      <c r="BJ1220"/>
      <c r="BK1220"/>
      <c r="BL1220"/>
      <c r="BM1220"/>
      <c r="BN1220"/>
      <c r="BO1220"/>
      <c r="BP1220"/>
      <c r="BQ1220"/>
      <c r="BR1220"/>
      <c r="BS1220"/>
      <c r="BT1220"/>
      <c r="BU1220"/>
      <c r="BV1220"/>
      <c r="BW1220"/>
      <c r="BX1220"/>
      <c r="BY1220"/>
      <c r="BZ1220"/>
      <c r="CA1220"/>
      <c r="CB1220"/>
      <c r="CC1220"/>
      <c r="CD1220"/>
      <c r="CE1220"/>
      <c r="CF1220"/>
      <c r="CG1220"/>
      <c r="CH1220"/>
    </row>
    <row r="1221" spans="1:86" x14ac:dyDescent="0.2">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c r="AU1221"/>
      <c r="AV1221"/>
      <c r="AW1221"/>
      <c r="AX1221"/>
      <c r="AY1221"/>
      <c r="AZ1221"/>
      <c r="BA1221"/>
      <c r="BB1221"/>
      <c r="BC1221"/>
      <c r="BD1221"/>
      <c r="BE1221"/>
      <c r="BF1221"/>
      <c r="BG1221"/>
      <c r="BH1221"/>
      <c r="BI1221"/>
      <c r="BJ1221"/>
      <c r="BK1221"/>
      <c r="BL1221"/>
      <c r="BM1221"/>
      <c r="BN1221"/>
      <c r="BO1221"/>
      <c r="BP1221"/>
      <c r="BQ1221"/>
      <c r="BR1221"/>
      <c r="BS1221"/>
      <c r="BT1221"/>
      <c r="BU1221"/>
      <c r="BV1221"/>
      <c r="BW1221"/>
      <c r="BX1221"/>
      <c r="BY1221"/>
      <c r="BZ1221"/>
      <c r="CA1221"/>
      <c r="CB1221"/>
      <c r="CC1221"/>
      <c r="CD1221"/>
      <c r="CE1221"/>
      <c r="CF1221"/>
      <c r="CG1221"/>
      <c r="CH1221"/>
    </row>
    <row r="1222" spans="1:86" x14ac:dyDescent="0.2">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c r="AU1222"/>
      <c r="AV1222"/>
      <c r="AW1222"/>
      <c r="AX1222"/>
      <c r="AY1222"/>
      <c r="AZ1222"/>
      <c r="BA1222"/>
      <c r="BB1222"/>
      <c r="BC1222"/>
      <c r="BD1222"/>
      <c r="BE1222"/>
      <c r="BF1222"/>
      <c r="BG1222"/>
      <c r="BH1222"/>
      <c r="BI1222"/>
      <c r="BJ1222"/>
      <c r="BK1222"/>
      <c r="BL1222"/>
      <c r="BM1222"/>
      <c r="BN1222"/>
      <c r="BO1222"/>
      <c r="BP1222"/>
      <c r="BQ1222"/>
      <c r="BR1222"/>
      <c r="BS1222"/>
      <c r="BT1222"/>
      <c r="BU1222"/>
      <c r="BV1222"/>
      <c r="BW1222"/>
      <c r="BX1222"/>
      <c r="BY1222"/>
      <c r="BZ1222"/>
      <c r="CA1222"/>
      <c r="CB1222"/>
      <c r="CC1222"/>
      <c r="CD1222"/>
      <c r="CE1222"/>
      <c r="CF1222"/>
      <c r="CG1222"/>
      <c r="CH1222"/>
    </row>
    <row r="1223" spans="1:86" x14ac:dyDescent="0.2">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c r="AU1223"/>
      <c r="AV1223"/>
      <c r="AW1223"/>
      <c r="AX1223"/>
      <c r="AY1223"/>
      <c r="AZ1223"/>
      <c r="BA1223"/>
      <c r="BB1223"/>
      <c r="BC1223"/>
      <c r="BD1223"/>
      <c r="BE1223"/>
      <c r="BF1223"/>
      <c r="BG1223"/>
      <c r="BH1223"/>
      <c r="BI1223"/>
      <c r="BJ1223"/>
      <c r="BK1223"/>
      <c r="BL1223"/>
      <c r="BM1223"/>
      <c r="BN1223"/>
      <c r="BO1223"/>
      <c r="BP1223"/>
      <c r="BQ1223"/>
      <c r="BR1223"/>
      <c r="BS1223"/>
      <c r="BT1223"/>
      <c r="BU1223"/>
      <c r="BV1223"/>
      <c r="BW1223"/>
      <c r="BX1223"/>
      <c r="BY1223"/>
      <c r="BZ1223"/>
      <c r="CA1223"/>
      <c r="CB1223"/>
      <c r="CC1223"/>
      <c r="CD1223"/>
      <c r="CE1223"/>
      <c r="CF1223"/>
      <c r="CG1223"/>
      <c r="CH1223"/>
    </row>
    <row r="1224" spans="1:86" x14ac:dyDescent="0.2">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c r="AU1224"/>
      <c r="AV1224"/>
      <c r="AW1224"/>
      <c r="AX1224"/>
      <c r="AY1224"/>
      <c r="AZ1224"/>
      <c r="BA1224"/>
      <c r="BB1224"/>
      <c r="BC1224"/>
      <c r="BD1224"/>
      <c r="BE1224"/>
      <c r="BF1224"/>
      <c r="BG1224"/>
      <c r="BH1224"/>
      <c r="BI1224"/>
      <c r="BJ1224"/>
      <c r="BK1224"/>
      <c r="BL1224"/>
      <c r="BM1224"/>
      <c r="BN1224"/>
      <c r="BO1224"/>
      <c r="BP1224"/>
      <c r="BQ1224"/>
      <c r="BR1224"/>
      <c r="BS1224"/>
      <c r="BT1224"/>
      <c r="BU1224"/>
      <c r="BV1224"/>
      <c r="BW1224"/>
      <c r="BX1224"/>
      <c r="BY1224"/>
      <c r="BZ1224"/>
      <c r="CA1224"/>
      <c r="CB1224"/>
      <c r="CC1224"/>
      <c r="CD1224"/>
      <c r="CE1224"/>
      <c r="CF1224"/>
      <c r="CG1224"/>
      <c r="CH1224"/>
    </row>
    <row r="1225" spans="1:86" x14ac:dyDescent="0.2">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c r="AU1225"/>
      <c r="AV1225"/>
      <c r="AW1225"/>
      <c r="AX1225"/>
      <c r="AY1225"/>
      <c r="AZ1225"/>
      <c r="BA1225"/>
      <c r="BB1225"/>
      <c r="BC1225"/>
      <c r="BD1225"/>
      <c r="BE1225"/>
      <c r="BF1225"/>
      <c r="BG1225"/>
      <c r="BH1225"/>
      <c r="BI1225"/>
      <c r="BJ1225"/>
      <c r="BK1225"/>
      <c r="BL1225"/>
      <c r="BM1225"/>
      <c r="BN1225"/>
      <c r="BO1225"/>
      <c r="BP1225"/>
      <c r="BQ1225"/>
      <c r="BR1225"/>
      <c r="BS1225"/>
      <c r="BT1225"/>
      <c r="BU1225"/>
      <c r="BV1225"/>
      <c r="BW1225"/>
      <c r="BX1225"/>
      <c r="BY1225"/>
      <c r="BZ1225"/>
      <c r="CA1225"/>
      <c r="CB1225"/>
      <c r="CC1225"/>
      <c r="CD1225"/>
      <c r="CE1225"/>
      <c r="CF1225"/>
      <c r="CG1225"/>
      <c r="CH1225"/>
    </row>
    <row r="1226" spans="1:86" x14ac:dyDescent="0.2">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c r="AU1226"/>
      <c r="AV1226"/>
      <c r="AW1226"/>
      <c r="AX1226"/>
      <c r="AY1226"/>
      <c r="AZ1226"/>
      <c r="BA1226"/>
      <c r="BB1226"/>
      <c r="BC1226"/>
      <c r="BD1226"/>
      <c r="BE1226"/>
      <c r="BF1226"/>
      <c r="BG1226"/>
      <c r="BH1226"/>
      <c r="BI1226"/>
      <c r="BJ1226"/>
      <c r="BK1226"/>
      <c r="BL1226"/>
      <c r="BM1226"/>
      <c r="BN1226"/>
      <c r="BO1226"/>
      <c r="BP1226"/>
      <c r="BQ1226"/>
      <c r="BR1226"/>
      <c r="BS1226"/>
      <c r="BT1226"/>
      <c r="BU1226"/>
      <c r="BV1226"/>
      <c r="BW1226"/>
      <c r="BX1226"/>
      <c r="BY1226"/>
      <c r="BZ1226"/>
      <c r="CA1226"/>
      <c r="CB1226"/>
      <c r="CC1226"/>
      <c r="CD1226"/>
      <c r="CE1226"/>
      <c r="CF1226"/>
      <c r="CG1226"/>
      <c r="CH1226"/>
    </row>
    <row r="1227" spans="1:86" x14ac:dyDescent="0.2">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c r="AU1227"/>
      <c r="AV1227"/>
      <c r="AW1227"/>
      <c r="AX1227"/>
      <c r="AY1227"/>
      <c r="AZ1227"/>
      <c r="BA1227"/>
      <c r="BB1227"/>
      <c r="BC1227"/>
      <c r="BD1227"/>
      <c r="BE1227"/>
      <c r="BF1227"/>
      <c r="BG1227"/>
      <c r="BH1227"/>
      <c r="BI1227"/>
      <c r="BJ1227"/>
      <c r="BK1227"/>
      <c r="BL1227"/>
      <c r="BM1227"/>
      <c r="BN1227"/>
      <c r="BO1227"/>
      <c r="BP1227"/>
      <c r="BQ1227"/>
      <c r="BR1227"/>
      <c r="BS1227"/>
      <c r="BT1227"/>
      <c r="BU1227"/>
      <c r="BV1227"/>
      <c r="BW1227"/>
      <c r="BX1227"/>
      <c r="BY1227"/>
      <c r="BZ1227"/>
      <c r="CA1227"/>
      <c r="CB1227"/>
      <c r="CC1227"/>
      <c r="CD1227"/>
      <c r="CE1227"/>
      <c r="CF1227"/>
      <c r="CG1227"/>
      <c r="CH1227"/>
    </row>
    <row r="1228" spans="1:86" x14ac:dyDescent="0.2">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c r="AT1228"/>
      <c r="AU1228"/>
      <c r="AV1228"/>
      <c r="AW1228"/>
      <c r="AX1228"/>
      <c r="AY1228"/>
      <c r="AZ1228"/>
      <c r="BA1228"/>
      <c r="BB1228"/>
      <c r="BC1228"/>
      <c r="BD1228"/>
      <c r="BE1228"/>
      <c r="BF1228"/>
      <c r="BG1228"/>
      <c r="BH1228"/>
      <c r="BI1228"/>
      <c r="BJ1228"/>
      <c r="BK1228"/>
      <c r="BL1228"/>
      <c r="BM1228"/>
      <c r="BN1228"/>
      <c r="BO1228"/>
      <c r="BP1228"/>
      <c r="BQ1228"/>
      <c r="BR1228"/>
      <c r="BS1228"/>
      <c r="BT1228"/>
      <c r="BU1228"/>
      <c r="BV1228"/>
      <c r="BW1228"/>
      <c r="BX1228"/>
      <c r="BY1228"/>
      <c r="BZ1228"/>
      <c r="CA1228"/>
      <c r="CB1228"/>
      <c r="CC1228"/>
      <c r="CD1228"/>
      <c r="CE1228"/>
      <c r="CF1228"/>
      <c r="CG1228"/>
      <c r="CH1228"/>
    </row>
    <row r="1229" spans="1:86" x14ac:dyDescent="0.2">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c r="AQ1229"/>
      <c r="AR1229"/>
      <c r="AS1229"/>
      <c r="AT1229"/>
      <c r="AU1229"/>
      <c r="AV1229"/>
      <c r="AW1229"/>
      <c r="AX1229"/>
      <c r="AY1229"/>
      <c r="AZ1229"/>
      <c r="BA1229"/>
      <c r="BB1229"/>
      <c r="BC1229"/>
      <c r="BD1229"/>
      <c r="BE1229"/>
      <c r="BF1229"/>
      <c r="BG1229"/>
      <c r="BH1229"/>
      <c r="BI1229"/>
      <c r="BJ1229"/>
      <c r="BK1229"/>
      <c r="BL1229"/>
      <c r="BM1229"/>
      <c r="BN1229"/>
      <c r="BO1229"/>
      <c r="BP1229"/>
      <c r="BQ1229"/>
      <c r="BR1229"/>
      <c r="BS1229"/>
      <c r="BT1229"/>
      <c r="BU1229"/>
      <c r="BV1229"/>
      <c r="BW1229"/>
      <c r="BX1229"/>
      <c r="BY1229"/>
      <c r="BZ1229"/>
      <c r="CA1229"/>
      <c r="CB1229"/>
      <c r="CC1229"/>
      <c r="CD1229"/>
      <c r="CE1229"/>
      <c r="CF1229"/>
      <c r="CG1229"/>
      <c r="CH1229"/>
    </row>
    <row r="1230" spans="1:86" x14ac:dyDescent="0.2">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c r="AQ1230"/>
      <c r="AR1230"/>
      <c r="AS1230"/>
      <c r="AT1230"/>
      <c r="AU1230"/>
      <c r="AV1230"/>
      <c r="AW1230"/>
      <c r="AX1230"/>
      <c r="AY1230"/>
      <c r="AZ1230"/>
      <c r="BA1230"/>
      <c r="BB1230"/>
      <c r="BC1230"/>
      <c r="BD1230"/>
      <c r="BE1230"/>
      <c r="BF1230"/>
      <c r="BG1230"/>
      <c r="BH1230"/>
      <c r="BI1230"/>
      <c r="BJ1230"/>
      <c r="BK1230"/>
      <c r="BL1230"/>
      <c r="BM1230"/>
      <c r="BN1230"/>
      <c r="BO1230"/>
      <c r="BP1230"/>
      <c r="BQ1230"/>
      <c r="BR1230"/>
      <c r="BS1230"/>
      <c r="BT1230"/>
      <c r="BU1230"/>
      <c r="BV1230"/>
      <c r="BW1230"/>
      <c r="BX1230"/>
      <c r="BY1230"/>
      <c r="BZ1230"/>
      <c r="CA1230"/>
      <c r="CB1230"/>
      <c r="CC1230"/>
      <c r="CD1230"/>
      <c r="CE1230"/>
      <c r="CF1230"/>
      <c r="CG1230"/>
      <c r="CH1230"/>
    </row>
    <row r="1231" spans="1:86" x14ac:dyDescent="0.2">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c r="AT1231"/>
      <c r="AU1231"/>
      <c r="AV1231"/>
      <c r="AW1231"/>
      <c r="AX1231"/>
      <c r="AY1231"/>
      <c r="AZ1231"/>
      <c r="BA1231"/>
      <c r="BB1231"/>
      <c r="BC1231"/>
      <c r="BD1231"/>
      <c r="BE1231"/>
      <c r="BF1231"/>
      <c r="BG1231"/>
      <c r="BH1231"/>
      <c r="BI1231"/>
      <c r="BJ1231"/>
      <c r="BK1231"/>
      <c r="BL1231"/>
      <c r="BM1231"/>
      <c r="BN1231"/>
      <c r="BO1231"/>
      <c r="BP1231"/>
      <c r="BQ1231"/>
      <c r="BR1231"/>
      <c r="BS1231"/>
      <c r="BT1231"/>
      <c r="BU1231"/>
      <c r="BV1231"/>
      <c r="BW1231"/>
      <c r="BX1231"/>
      <c r="BY1231"/>
      <c r="BZ1231"/>
      <c r="CA1231"/>
      <c r="CB1231"/>
      <c r="CC1231"/>
      <c r="CD1231"/>
      <c r="CE1231"/>
      <c r="CF1231"/>
      <c r="CG1231"/>
      <c r="CH1231"/>
    </row>
    <row r="1232" spans="1:86" x14ac:dyDescent="0.2">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c r="AT1232"/>
      <c r="AU1232"/>
      <c r="AV1232"/>
      <c r="AW1232"/>
      <c r="AX1232"/>
      <c r="AY1232"/>
      <c r="AZ1232"/>
      <c r="BA1232"/>
      <c r="BB1232"/>
      <c r="BC1232"/>
      <c r="BD1232"/>
      <c r="BE1232"/>
      <c r="BF1232"/>
      <c r="BG1232"/>
      <c r="BH1232"/>
      <c r="BI1232"/>
      <c r="BJ1232"/>
      <c r="BK1232"/>
      <c r="BL1232"/>
      <c r="BM1232"/>
      <c r="BN1232"/>
      <c r="BO1232"/>
      <c r="BP1232"/>
      <c r="BQ1232"/>
      <c r="BR1232"/>
      <c r="BS1232"/>
      <c r="BT1232"/>
      <c r="BU1232"/>
      <c r="BV1232"/>
      <c r="BW1232"/>
      <c r="BX1232"/>
      <c r="BY1232"/>
      <c r="BZ1232"/>
      <c r="CA1232"/>
      <c r="CB1232"/>
      <c r="CC1232"/>
      <c r="CD1232"/>
      <c r="CE1232"/>
      <c r="CF1232"/>
      <c r="CG1232"/>
      <c r="CH1232"/>
    </row>
    <row r="1233" spans="1:86" x14ac:dyDescent="0.2">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c r="AQ1233"/>
      <c r="AR1233"/>
      <c r="AS1233"/>
      <c r="AT1233"/>
      <c r="AU1233"/>
      <c r="AV1233"/>
      <c r="AW1233"/>
      <c r="AX1233"/>
      <c r="AY1233"/>
      <c r="AZ1233"/>
      <c r="BA1233"/>
      <c r="BB1233"/>
      <c r="BC1233"/>
      <c r="BD1233"/>
      <c r="BE1233"/>
      <c r="BF1233"/>
      <c r="BG1233"/>
      <c r="BH1233"/>
      <c r="BI1233"/>
      <c r="BJ1233"/>
      <c r="BK1233"/>
      <c r="BL1233"/>
      <c r="BM1233"/>
      <c r="BN1233"/>
      <c r="BO1233"/>
      <c r="BP1233"/>
      <c r="BQ1233"/>
      <c r="BR1233"/>
      <c r="BS1233"/>
      <c r="BT1233"/>
      <c r="BU1233"/>
      <c r="BV1233"/>
      <c r="BW1233"/>
      <c r="BX1233"/>
      <c r="BY1233"/>
      <c r="BZ1233"/>
      <c r="CA1233"/>
      <c r="CB1233"/>
      <c r="CC1233"/>
      <c r="CD1233"/>
      <c r="CE1233"/>
      <c r="CF1233"/>
      <c r="CG1233"/>
      <c r="CH1233"/>
    </row>
    <row r="1234" spans="1:86" x14ac:dyDescent="0.2">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c r="AQ1234"/>
      <c r="AR1234"/>
      <c r="AS1234"/>
      <c r="AT1234"/>
      <c r="AU1234"/>
      <c r="AV1234"/>
      <c r="AW1234"/>
      <c r="AX1234"/>
      <c r="AY1234"/>
      <c r="AZ1234"/>
      <c r="BA1234"/>
      <c r="BB1234"/>
      <c r="BC1234"/>
      <c r="BD1234"/>
      <c r="BE1234"/>
      <c r="BF1234"/>
      <c r="BG1234"/>
      <c r="BH1234"/>
      <c r="BI1234"/>
      <c r="BJ1234"/>
      <c r="BK1234"/>
      <c r="BL1234"/>
      <c r="BM1234"/>
      <c r="BN1234"/>
      <c r="BO1234"/>
      <c r="BP1234"/>
      <c r="BQ1234"/>
      <c r="BR1234"/>
      <c r="BS1234"/>
      <c r="BT1234"/>
      <c r="BU1234"/>
      <c r="BV1234"/>
      <c r="BW1234"/>
      <c r="BX1234"/>
      <c r="BY1234"/>
      <c r="BZ1234"/>
      <c r="CA1234"/>
      <c r="CB1234"/>
      <c r="CC1234"/>
      <c r="CD1234"/>
      <c r="CE1234"/>
      <c r="CF1234"/>
      <c r="CG1234"/>
      <c r="CH1234"/>
    </row>
    <row r="1235" spans="1:86" x14ac:dyDescent="0.2">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c r="AQ1235"/>
      <c r="AR1235"/>
      <c r="AS1235"/>
      <c r="AT1235"/>
      <c r="AU1235"/>
      <c r="AV1235"/>
      <c r="AW1235"/>
      <c r="AX1235"/>
      <c r="AY1235"/>
      <c r="AZ1235"/>
      <c r="BA1235"/>
      <c r="BB1235"/>
      <c r="BC1235"/>
      <c r="BD1235"/>
      <c r="BE1235"/>
      <c r="BF1235"/>
      <c r="BG1235"/>
      <c r="BH1235"/>
      <c r="BI1235"/>
      <c r="BJ1235"/>
      <c r="BK1235"/>
      <c r="BL1235"/>
      <c r="BM1235"/>
      <c r="BN1235"/>
      <c r="BO1235"/>
      <c r="BP1235"/>
      <c r="BQ1235"/>
      <c r="BR1235"/>
      <c r="BS1235"/>
      <c r="BT1235"/>
      <c r="BU1235"/>
      <c r="BV1235"/>
      <c r="BW1235"/>
      <c r="BX1235"/>
      <c r="BY1235"/>
      <c r="BZ1235"/>
      <c r="CA1235"/>
      <c r="CB1235"/>
      <c r="CC1235"/>
      <c r="CD1235"/>
      <c r="CE1235"/>
      <c r="CF1235"/>
      <c r="CG1235"/>
      <c r="CH1235"/>
    </row>
    <row r="1236" spans="1:86" x14ac:dyDescent="0.2">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c r="AQ1236"/>
      <c r="AR1236"/>
      <c r="AS1236"/>
      <c r="AT1236"/>
      <c r="AU1236"/>
      <c r="AV1236"/>
      <c r="AW1236"/>
      <c r="AX1236"/>
      <c r="AY1236"/>
      <c r="AZ1236"/>
      <c r="BA1236"/>
      <c r="BB1236"/>
      <c r="BC1236"/>
      <c r="BD1236"/>
      <c r="BE1236"/>
      <c r="BF1236"/>
      <c r="BG1236"/>
      <c r="BH1236"/>
      <c r="BI1236"/>
      <c r="BJ1236"/>
      <c r="BK1236"/>
      <c r="BL1236"/>
      <c r="BM1236"/>
      <c r="BN1236"/>
      <c r="BO1236"/>
      <c r="BP1236"/>
      <c r="BQ1236"/>
      <c r="BR1236"/>
      <c r="BS1236"/>
      <c r="BT1236"/>
      <c r="BU1236"/>
      <c r="BV1236"/>
      <c r="BW1236"/>
      <c r="BX1236"/>
      <c r="BY1236"/>
      <c r="BZ1236"/>
      <c r="CA1236"/>
      <c r="CB1236"/>
      <c r="CC1236"/>
      <c r="CD1236"/>
      <c r="CE1236"/>
      <c r="CF1236"/>
      <c r="CG1236"/>
      <c r="CH1236"/>
    </row>
    <row r="1237" spans="1:86" x14ac:dyDescent="0.2">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c r="AQ1237"/>
      <c r="AR1237"/>
      <c r="AS1237"/>
      <c r="AT1237"/>
      <c r="AU1237"/>
      <c r="AV1237"/>
      <c r="AW1237"/>
      <c r="AX1237"/>
      <c r="AY1237"/>
      <c r="AZ1237"/>
      <c r="BA1237"/>
      <c r="BB1237"/>
      <c r="BC1237"/>
      <c r="BD1237"/>
      <c r="BE1237"/>
      <c r="BF1237"/>
      <c r="BG1237"/>
      <c r="BH1237"/>
      <c r="BI1237"/>
      <c r="BJ1237"/>
      <c r="BK1237"/>
      <c r="BL1237"/>
      <c r="BM1237"/>
      <c r="BN1237"/>
      <c r="BO1237"/>
      <c r="BP1237"/>
      <c r="BQ1237"/>
      <c r="BR1237"/>
      <c r="BS1237"/>
      <c r="BT1237"/>
      <c r="BU1237"/>
      <c r="BV1237"/>
      <c r="BW1237"/>
      <c r="BX1237"/>
      <c r="BY1237"/>
      <c r="BZ1237"/>
      <c r="CA1237"/>
      <c r="CB1237"/>
      <c r="CC1237"/>
      <c r="CD1237"/>
      <c r="CE1237"/>
      <c r="CF1237"/>
      <c r="CG1237"/>
      <c r="CH1237"/>
    </row>
    <row r="1238" spans="1:86" x14ac:dyDescent="0.2">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c r="AQ1238"/>
      <c r="AR1238"/>
      <c r="AS1238"/>
      <c r="AT1238"/>
      <c r="AU1238"/>
      <c r="AV1238"/>
      <c r="AW1238"/>
      <c r="AX1238"/>
      <c r="AY1238"/>
      <c r="AZ1238"/>
      <c r="BA1238"/>
      <c r="BB1238"/>
      <c r="BC1238"/>
      <c r="BD1238"/>
      <c r="BE1238"/>
      <c r="BF1238"/>
      <c r="BG1238"/>
      <c r="BH1238"/>
      <c r="BI1238"/>
      <c r="BJ1238"/>
      <c r="BK1238"/>
      <c r="BL1238"/>
      <c r="BM1238"/>
      <c r="BN1238"/>
      <c r="BO1238"/>
      <c r="BP1238"/>
      <c r="BQ1238"/>
      <c r="BR1238"/>
      <c r="BS1238"/>
      <c r="BT1238"/>
      <c r="BU1238"/>
      <c r="BV1238"/>
      <c r="BW1238"/>
      <c r="BX1238"/>
      <c r="BY1238"/>
      <c r="BZ1238"/>
      <c r="CA1238"/>
      <c r="CB1238"/>
      <c r="CC1238"/>
      <c r="CD1238"/>
      <c r="CE1238"/>
      <c r="CF1238"/>
      <c r="CG1238"/>
      <c r="CH1238"/>
    </row>
    <row r="1239" spans="1:86" x14ac:dyDescent="0.2">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c r="AQ1239"/>
      <c r="AR1239"/>
      <c r="AS1239"/>
      <c r="AT1239"/>
      <c r="AU1239"/>
      <c r="AV1239"/>
      <c r="AW1239"/>
      <c r="AX1239"/>
      <c r="AY1239"/>
      <c r="AZ1239"/>
      <c r="BA1239"/>
      <c r="BB1239"/>
      <c r="BC1239"/>
      <c r="BD1239"/>
      <c r="BE1239"/>
      <c r="BF1239"/>
      <c r="BG1239"/>
      <c r="BH1239"/>
      <c r="BI1239"/>
      <c r="BJ1239"/>
      <c r="BK1239"/>
      <c r="BL1239"/>
      <c r="BM1239"/>
      <c r="BN1239"/>
      <c r="BO1239"/>
      <c r="BP1239"/>
      <c r="BQ1239"/>
      <c r="BR1239"/>
      <c r="BS1239"/>
      <c r="BT1239"/>
      <c r="BU1239"/>
      <c r="BV1239"/>
      <c r="BW1239"/>
      <c r="BX1239"/>
      <c r="BY1239"/>
      <c r="BZ1239"/>
      <c r="CA1239"/>
      <c r="CB1239"/>
      <c r="CC1239"/>
      <c r="CD1239"/>
      <c r="CE1239"/>
      <c r="CF1239"/>
      <c r="CG1239"/>
      <c r="CH1239"/>
    </row>
    <row r="1240" spans="1:86" x14ac:dyDescent="0.2">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c r="AQ1240"/>
      <c r="AR1240"/>
      <c r="AS1240"/>
      <c r="AT1240"/>
      <c r="AU1240"/>
      <c r="AV1240"/>
      <c r="AW1240"/>
      <c r="AX1240"/>
      <c r="AY1240"/>
      <c r="AZ1240"/>
      <c r="BA1240"/>
      <c r="BB1240"/>
      <c r="BC1240"/>
      <c r="BD1240"/>
      <c r="BE1240"/>
      <c r="BF1240"/>
      <c r="BG1240"/>
      <c r="BH1240"/>
      <c r="BI1240"/>
      <c r="BJ1240"/>
      <c r="BK1240"/>
      <c r="BL1240"/>
      <c r="BM1240"/>
      <c r="BN1240"/>
      <c r="BO1240"/>
      <c r="BP1240"/>
      <c r="BQ1240"/>
      <c r="BR1240"/>
      <c r="BS1240"/>
      <c r="BT1240"/>
      <c r="BU1240"/>
      <c r="BV1240"/>
      <c r="BW1240"/>
      <c r="BX1240"/>
      <c r="BY1240"/>
      <c r="BZ1240"/>
      <c r="CA1240"/>
      <c r="CB1240"/>
      <c r="CC1240"/>
      <c r="CD1240"/>
      <c r="CE1240"/>
      <c r="CF1240"/>
      <c r="CG1240"/>
      <c r="CH1240"/>
    </row>
    <row r="1241" spans="1:86" x14ac:dyDescent="0.2">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c r="AQ1241"/>
      <c r="AR1241"/>
      <c r="AS1241"/>
      <c r="AT1241"/>
      <c r="AU1241"/>
      <c r="AV1241"/>
      <c r="AW1241"/>
      <c r="AX1241"/>
      <c r="AY1241"/>
      <c r="AZ1241"/>
      <c r="BA1241"/>
      <c r="BB1241"/>
      <c r="BC1241"/>
      <c r="BD1241"/>
      <c r="BE1241"/>
      <c r="BF1241"/>
      <c r="BG1241"/>
      <c r="BH1241"/>
      <c r="BI1241"/>
      <c r="BJ1241"/>
      <c r="BK1241"/>
      <c r="BL1241"/>
      <c r="BM1241"/>
      <c r="BN1241"/>
      <c r="BO1241"/>
      <c r="BP1241"/>
      <c r="BQ1241"/>
      <c r="BR1241"/>
      <c r="BS1241"/>
      <c r="BT1241"/>
      <c r="BU1241"/>
      <c r="BV1241"/>
      <c r="BW1241"/>
      <c r="BX1241"/>
      <c r="BY1241"/>
      <c r="BZ1241"/>
      <c r="CA1241"/>
      <c r="CB1241"/>
      <c r="CC1241"/>
      <c r="CD1241"/>
      <c r="CE1241"/>
      <c r="CF1241"/>
      <c r="CG1241"/>
      <c r="CH1241"/>
    </row>
    <row r="1242" spans="1:86" x14ac:dyDescent="0.2">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c r="AQ1242"/>
      <c r="AR1242"/>
      <c r="AS1242"/>
      <c r="AT1242"/>
      <c r="AU1242"/>
      <c r="AV1242"/>
      <c r="AW1242"/>
      <c r="AX1242"/>
      <c r="AY1242"/>
      <c r="AZ1242"/>
      <c r="BA1242"/>
      <c r="BB1242"/>
      <c r="BC1242"/>
      <c r="BD1242"/>
      <c r="BE1242"/>
      <c r="BF1242"/>
      <c r="BG1242"/>
      <c r="BH1242"/>
      <c r="BI1242"/>
      <c r="BJ1242"/>
      <c r="BK1242"/>
      <c r="BL1242"/>
      <c r="BM1242"/>
      <c r="BN1242"/>
      <c r="BO1242"/>
      <c r="BP1242"/>
      <c r="BQ1242"/>
      <c r="BR1242"/>
      <c r="BS1242"/>
      <c r="BT1242"/>
      <c r="BU1242"/>
      <c r="BV1242"/>
      <c r="BW1242"/>
      <c r="BX1242"/>
      <c r="BY1242"/>
      <c r="BZ1242"/>
      <c r="CA1242"/>
      <c r="CB1242"/>
      <c r="CC1242"/>
      <c r="CD1242"/>
      <c r="CE1242"/>
      <c r="CF1242"/>
      <c r="CG1242"/>
      <c r="CH1242"/>
    </row>
    <row r="1243" spans="1:86" x14ac:dyDescent="0.2">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c r="AQ1243"/>
      <c r="AR1243"/>
      <c r="AS1243"/>
      <c r="AT1243"/>
      <c r="AU1243"/>
      <c r="AV1243"/>
      <c r="AW1243"/>
      <c r="AX1243"/>
      <c r="AY1243"/>
      <c r="AZ1243"/>
      <c r="BA1243"/>
      <c r="BB1243"/>
      <c r="BC1243"/>
      <c r="BD1243"/>
      <c r="BE1243"/>
      <c r="BF1243"/>
      <c r="BG1243"/>
      <c r="BH1243"/>
      <c r="BI1243"/>
      <c r="BJ1243"/>
      <c r="BK1243"/>
      <c r="BL1243"/>
      <c r="BM1243"/>
      <c r="BN1243"/>
      <c r="BO1243"/>
      <c r="BP1243"/>
      <c r="BQ1243"/>
      <c r="BR1243"/>
      <c r="BS1243"/>
      <c r="BT1243"/>
      <c r="BU1243"/>
      <c r="BV1243"/>
      <c r="BW1243"/>
      <c r="BX1243"/>
      <c r="BY1243"/>
      <c r="BZ1243"/>
      <c r="CA1243"/>
      <c r="CB1243"/>
      <c r="CC1243"/>
      <c r="CD1243"/>
      <c r="CE1243"/>
      <c r="CF1243"/>
      <c r="CG1243"/>
      <c r="CH1243"/>
    </row>
    <row r="1244" spans="1:86" x14ac:dyDescent="0.2">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c r="AQ1244"/>
      <c r="AR1244"/>
      <c r="AS1244"/>
      <c r="AT1244"/>
      <c r="AU1244"/>
      <c r="AV1244"/>
      <c r="AW1244"/>
      <c r="AX1244"/>
      <c r="AY1244"/>
      <c r="AZ1244"/>
      <c r="BA1244"/>
      <c r="BB1244"/>
      <c r="BC1244"/>
      <c r="BD1244"/>
      <c r="BE1244"/>
      <c r="BF1244"/>
      <c r="BG1244"/>
      <c r="BH1244"/>
      <c r="BI1244"/>
      <c r="BJ1244"/>
      <c r="BK1244"/>
      <c r="BL1244"/>
      <c r="BM1244"/>
      <c r="BN1244"/>
      <c r="BO1244"/>
      <c r="BP1244"/>
      <c r="BQ1244"/>
      <c r="BR1244"/>
      <c r="BS1244"/>
      <c r="BT1244"/>
      <c r="BU1244"/>
      <c r="BV1244"/>
      <c r="BW1244"/>
      <c r="BX1244"/>
      <c r="BY1244"/>
      <c r="BZ1244"/>
      <c r="CA1244"/>
      <c r="CB1244"/>
      <c r="CC1244"/>
      <c r="CD1244"/>
      <c r="CE1244"/>
      <c r="CF1244"/>
      <c r="CG1244"/>
      <c r="CH1244"/>
    </row>
    <row r="1245" spans="1:86" x14ac:dyDescent="0.2">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c r="AQ1245"/>
      <c r="AR1245"/>
      <c r="AS1245"/>
      <c r="AT1245"/>
      <c r="AU1245"/>
      <c r="AV1245"/>
      <c r="AW1245"/>
      <c r="AX1245"/>
      <c r="AY1245"/>
      <c r="AZ1245"/>
      <c r="BA1245"/>
      <c r="BB1245"/>
      <c r="BC1245"/>
      <c r="BD1245"/>
      <c r="BE1245"/>
      <c r="BF1245"/>
      <c r="BG1245"/>
      <c r="BH1245"/>
      <c r="BI1245"/>
      <c r="BJ1245"/>
      <c r="BK1245"/>
      <c r="BL1245"/>
      <c r="BM1245"/>
      <c r="BN1245"/>
      <c r="BO1245"/>
      <c r="BP1245"/>
      <c r="BQ1245"/>
      <c r="BR1245"/>
      <c r="BS1245"/>
      <c r="BT1245"/>
      <c r="BU1245"/>
      <c r="BV1245"/>
      <c r="BW1245"/>
      <c r="BX1245"/>
      <c r="BY1245"/>
      <c r="BZ1245"/>
      <c r="CA1245"/>
      <c r="CB1245"/>
      <c r="CC1245"/>
      <c r="CD1245"/>
      <c r="CE1245"/>
      <c r="CF1245"/>
      <c r="CG1245"/>
      <c r="CH1245"/>
    </row>
    <row r="1246" spans="1:86" x14ac:dyDescent="0.2">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c r="AQ1246"/>
      <c r="AR1246"/>
      <c r="AS1246"/>
      <c r="AT1246"/>
      <c r="AU1246"/>
      <c r="AV1246"/>
      <c r="AW1246"/>
      <c r="AX1246"/>
      <c r="AY1246"/>
      <c r="AZ1246"/>
      <c r="BA1246"/>
      <c r="BB1246"/>
      <c r="BC1246"/>
      <c r="BD1246"/>
      <c r="BE1246"/>
      <c r="BF1246"/>
      <c r="BG1246"/>
      <c r="BH1246"/>
      <c r="BI1246"/>
      <c r="BJ1246"/>
      <c r="BK1246"/>
      <c r="BL1246"/>
      <c r="BM1246"/>
      <c r="BN1246"/>
      <c r="BO1246"/>
      <c r="BP1246"/>
      <c r="BQ1246"/>
      <c r="BR1246"/>
      <c r="BS1246"/>
      <c r="BT1246"/>
      <c r="BU1246"/>
      <c r="BV1246"/>
      <c r="BW1246"/>
      <c r="BX1246"/>
      <c r="BY1246"/>
      <c r="BZ1246"/>
      <c r="CA1246"/>
      <c r="CB1246"/>
      <c r="CC1246"/>
      <c r="CD1246"/>
      <c r="CE1246"/>
      <c r="CF1246"/>
      <c r="CG1246"/>
      <c r="CH1246"/>
    </row>
    <row r="1247" spans="1:86" x14ac:dyDescent="0.2">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c r="BK1247"/>
      <c r="BL1247"/>
      <c r="BM1247"/>
      <c r="BN1247"/>
      <c r="BO1247"/>
      <c r="BP1247"/>
      <c r="BQ1247"/>
      <c r="BR1247"/>
      <c r="BS1247"/>
      <c r="BT1247"/>
      <c r="BU1247"/>
      <c r="BV1247"/>
      <c r="BW1247"/>
      <c r="BX1247"/>
      <c r="BY1247"/>
      <c r="BZ1247"/>
      <c r="CA1247"/>
      <c r="CB1247"/>
      <c r="CC1247"/>
      <c r="CD1247"/>
      <c r="CE1247"/>
      <c r="CF1247"/>
      <c r="CG1247"/>
      <c r="CH1247"/>
    </row>
    <row r="1248" spans="1:86" x14ac:dyDescent="0.2">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c r="AQ1248"/>
      <c r="AR1248"/>
      <c r="AS1248"/>
      <c r="AT1248"/>
      <c r="AU1248"/>
      <c r="AV1248"/>
      <c r="AW1248"/>
      <c r="AX1248"/>
      <c r="AY1248"/>
      <c r="AZ1248"/>
      <c r="BA1248"/>
      <c r="BB1248"/>
      <c r="BC1248"/>
      <c r="BD1248"/>
      <c r="BE1248"/>
      <c r="BF1248"/>
      <c r="BG1248"/>
      <c r="BH1248"/>
      <c r="BI1248"/>
      <c r="BJ1248"/>
      <c r="BK1248"/>
      <c r="BL1248"/>
      <c r="BM1248"/>
      <c r="BN1248"/>
      <c r="BO1248"/>
      <c r="BP1248"/>
      <c r="BQ1248"/>
      <c r="BR1248"/>
      <c r="BS1248"/>
      <c r="BT1248"/>
      <c r="BU1248"/>
      <c r="BV1248"/>
      <c r="BW1248"/>
      <c r="BX1248"/>
      <c r="BY1248"/>
      <c r="BZ1248"/>
      <c r="CA1248"/>
      <c r="CB1248"/>
      <c r="CC1248"/>
      <c r="CD1248"/>
      <c r="CE1248"/>
      <c r="CF1248"/>
      <c r="CG1248"/>
      <c r="CH1248"/>
    </row>
    <row r="1249" spans="1:86" x14ac:dyDescent="0.2">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c r="AQ1249"/>
      <c r="AR1249"/>
      <c r="AS1249"/>
      <c r="AT1249"/>
      <c r="AU1249"/>
      <c r="AV1249"/>
      <c r="AW1249"/>
      <c r="AX1249"/>
      <c r="AY1249"/>
      <c r="AZ1249"/>
      <c r="BA1249"/>
      <c r="BB1249"/>
      <c r="BC1249"/>
      <c r="BD1249"/>
      <c r="BE1249"/>
      <c r="BF1249"/>
      <c r="BG1249"/>
      <c r="BH1249"/>
      <c r="BI1249"/>
      <c r="BJ1249"/>
      <c r="BK1249"/>
      <c r="BL1249"/>
      <c r="BM1249"/>
      <c r="BN1249"/>
      <c r="BO1249"/>
      <c r="BP1249"/>
      <c r="BQ1249"/>
      <c r="BR1249"/>
      <c r="BS1249"/>
      <c r="BT1249"/>
      <c r="BU1249"/>
      <c r="BV1249"/>
      <c r="BW1249"/>
      <c r="BX1249"/>
      <c r="BY1249"/>
      <c r="BZ1249"/>
      <c r="CA1249"/>
      <c r="CB1249"/>
      <c r="CC1249"/>
      <c r="CD1249"/>
      <c r="CE1249"/>
      <c r="CF1249"/>
      <c r="CG1249"/>
      <c r="CH1249"/>
    </row>
    <row r="1250" spans="1:86" x14ac:dyDescent="0.2">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c r="AQ1250"/>
      <c r="AR1250"/>
      <c r="AS1250"/>
      <c r="AT1250"/>
      <c r="AU1250"/>
      <c r="AV1250"/>
      <c r="AW1250"/>
      <c r="AX1250"/>
      <c r="AY1250"/>
      <c r="AZ1250"/>
      <c r="BA1250"/>
      <c r="BB1250"/>
      <c r="BC1250"/>
      <c r="BD1250"/>
      <c r="BE1250"/>
      <c r="BF1250"/>
      <c r="BG1250"/>
      <c r="BH1250"/>
      <c r="BI1250"/>
      <c r="BJ1250"/>
      <c r="BK1250"/>
      <c r="BL1250"/>
      <c r="BM1250"/>
      <c r="BN1250"/>
      <c r="BO1250"/>
      <c r="BP1250"/>
      <c r="BQ1250"/>
      <c r="BR1250"/>
      <c r="BS1250"/>
      <c r="BT1250"/>
      <c r="BU1250"/>
      <c r="BV1250"/>
      <c r="BW1250"/>
      <c r="BX1250"/>
      <c r="BY1250"/>
      <c r="BZ1250"/>
      <c r="CA1250"/>
      <c r="CB1250"/>
      <c r="CC1250"/>
      <c r="CD1250"/>
      <c r="CE1250"/>
      <c r="CF1250"/>
      <c r="CG1250"/>
      <c r="CH1250"/>
    </row>
    <row r="1251" spans="1:86" x14ac:dyDescent="0.2">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c r="AQ1251"/>
      <c r="AR1251"/>
      <c r="AS1251"/>
      <c r="AT1251"/>
      <c r="AU1251"/>
      <c r="AV1251"/>
      <c r="AW1251"/>
      <c r="AX1251"/>
      <c r="AY1251"/>
      <c r="AZ1251"/>
      <c r="BA1251"/>
      <c r="BB1251"/>
      <c r="BC1251"/>
      <c r="BD1251"/>
      <c r="BE1251"/>
      <c r="BF1251"/>
      <c r="BG1251"/>
      <c r="BH1251"/>
      <c r="BI1251"/>
      <c r="BJ1251"/>
      <c r="BK1251"/>
      <c r="BL1251"/>
      <c r="BM1251"/>
      <c r="BN1251"/>
      <c r="BO1251"/>
      <c r="BP1251"/>
      <c r="BQ1251"/>
      <c r="BR1251"/>
      <c r="BS1251"/>
      <c r="BT1251"/>
      <c r="BU1251"/>
      <c r="BV1251"/>
      <c r="BW1251"/>
      <c r="BX1251"/>
      <c r="BY1251"/>
      <c r="BZ1251"/>
      <c r="CA1251"/>
      <c r="CB1251"/>
      <c r="CC1251"/>
      <c r="CD1251"/>
      <c r="CE1251"/>
      <c r="CF1251"/>
      <c r="CG1251"/>
      <c r="CH1251"/>
    </row>
    <row r="1252" spans="1:86" x14ac:dyDescent="0.2">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c r="AQ1252"/>
      <c r="AR1252"/>
      <c r="AS1252"/>
      <c r="AT1252"/>
      <c r="AU1252"/>
      <c r="AV1252"/>
      <c r="AW1252"/>
      <c r="AX1252"/>
      <c r="AY1252"/>
      <c r="AZ1252"/>
      <c r="BA1252"/>
      <c r="BB1252"/>
      <c r="BC1252"/>
      <c r="BD1252"/>
      <c r="BE1252"/>
      <c r="BF1252"/>
      <c r="BG1252"/>
      <c r="BH1252"/>
      <c r="BI1252"/>
      <c r="BJ1252"/>
      <c r="BK1252"/>
      <c r="BL1252"/>
      <c r="BM1252"/>
      <c r="BN1252"/>
      <c r="BO1252"/>
      <c r="BP1252"/>
      <c r="BQ1252"/>
      <c r="BR1252"/>
      <c r="BS1252"/>
      <c r="BT1252"/>
      <c r="BU1252"/>
      <c r="BV1252"/>
      <c r="BW1252"/>
      <c r="BX1252"/>
      <c r="BY1252"/>
      <c r="BZ1252"/>
      <c r="CA1252"/>
      <c r="CB1252"/>
      <c r="CC1252"/>
      <c r="CD1252"/>
      <c r="CE1252"/>
      <c r="CF1252"/>
      <c r="CG1252"/>
      <c r="CH1252"/>
    </row>
    <row r="1253" spans="1:86" x14ac:dyDescent="0.2">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c r="AQ1253"/>
      <c r="AR1253"/>
      <c r="AS1253"/>
      <c r="AT1253"/>
      <c r="AU1253"/>
      <c r="AV1253"/>
      <c r="AW1253"/>
      <c r="AX1253"/>
      <c r="AY1253"/>
      <c r="AZ1253"/>
      <c r="BA1253"/>
      <c r="BB1253"/>
      <c r="BC1253"/>
      <c r="BD1253"/>
      <c r="BE1253"/>
      <c r="BF1253"/>
      <c r="BG1253"/>
      <c r="BH1253"/>
      <c r="BI1253"/>
      <c r="BJ1253"/>
      <c r="BK1253"/>
      <c r="BL1253"/>
      <c r="BM1253"/>
      <c r="BN1253"/>
      <c r="BO1253"/>
      <c r="BP1253"/>
      <c r="BQ1253"/>
      <c r="BR1253"/>
      <c r="BS1253"/>
      <c r="BT1253"/>
      <c r="BU1253"/>
      <c r="BV1253"/>
      <c r="BW1253"/>
      <c r="BX1253"/>
      <c r="BY1253"/>
      <c r="BZ1253"/>
      <c r="CA1253"/>
      <c r="CB1253"/>
      <c r="CC1253"/>
      <c r="CD1253"/>
      <c r="CE1253"/>
      <c r="CF1253"/>
      <c r="CG1253"/>
      <c r="CH1253"/>
    </row>
    <row r="1254" spans="1:86" x14ac:dyDescent="0.2">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c r="AQ1254"/>
      <c r="AR1254"/>
      <c r="AS1254"/>
      <c r="AT1254"/>
      <c r="AU1254"/>
      <c r="AV1254"/>
      <c r="AW1254"/>
      <c r="AX1254"/>
      <c r="AY1254"/>
      <c r="AZ1254"/>
      <c r="BA1254"/>
      <c r="BB1254"/>
      <c r="BC1254"/>
      <c r="BD1254"/>
      <c r="BE1254"/>
      <c r="BF1254"/>
      <c r="BG1254"/>
      <c r="BH1254"/>
      <c r="BI1254"/>
      <c r="BJ1254"/>
      <c r="BK1254"/>
      <c r="BL1254"/>
      <c r="BM1254"/>
      <c r="BN1254"/>
      <c r="BO1254"/>
      <c r="BP1254"/>
      <c r="BQ1254"/>
      <c r="BR1254"/>
      <c r="BS1254"/>
      <c r="BT1254"/>
      <c r="BU1254"/>
      <c r="BV1254"/>
      <c r="BW1254"/>
      <c r="BX1254"/>
      <c r="BY1254"/>
      <c r="BZ1254"/>
      <c r="CA1254"/>
      <c r="CB1254"/>
      <c r="CC1254"/>
      <c r="CD1254"/>
      <c r="CE1254"/>
      <c r="CF1254"/>
      <c r="CG1254"/>
      <c r="CH1254"/>
    </row>
    <row r="1255" spans="1:86" x14ac:dyDescent="0.2">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c r="AQ1255"/>
      <c r="AR1255"/>
      <c r="AS1255"/>
      <c r="AT1255"/>
      <c r="AU1255"/>
      <c r="AV1255"/>
      <c r="AW1255"/>
      <c r="AX1255"/>
      <c r="AY1255"/>
      <c r="AZ1255"/>
      <c r="BA1255"/>
      <c r="BB1255"/>
      <c r="BC1255"/>
      <c r="BD1255"/>
      <c r="BE1255"/>
      <c r="BF1255"/>
      <c r="BG1255"/>
      <c r="BH1255"/>
      <c r="BI1255"/>
      <c r="BJ1255"/>
      <c r="BK1255"/>
      <c r="BL1255"/>
      <c r="BM1255"/>
      <c r="BN1255"/>
      <c r="BO1255"/>
      <c r="BP1255"/>
      <c r="BQ1255"/>
      <c r="BR1255"/>
      <c r="BS1255"/>
      <c r="BT1255"/>
      <c r="BU1255"/>
      <c r="BV1255"/>
      <c r="BW1255"/>
      <c r="BX1255"/>
      <c r="BY1255"/>
      <c r="BZ1255"/>
      <c r="CA1255"/>
      <c r="CB1255"/>
      <c r="CC1255"/>
      <c r="CD1255"/>
      <c r="CE1255"/>
      <c r="CF1255"/>
      <c r="CG1255"/>
      <c r="CH1255"/>
    </row>
    <row r="1256" spans="1:86" x14ac:dyDescent="0.2">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c r="AQ1256"/>
      <c r="AR1256"/>
      <c r="AS1256"/>
      <c r="AT1256"/>
      <c r="AU1256"/>
      <c r="AV1256"/>
      <c r="AW1256"/>
      <c r="AX1256"/>
      <c r="AY1256"/>
      <c r="AZ1256"/>
      <c r="BA1256"/>
      <c r="BB1256"/>
      <c r="BC1256"/>
      <c r="BD1256"/>
      <c r="BE1256"/>
      <c r="BF1256"/>
      <c r="BG1256"/>
      <c r="BH1256"/>
      <c r="BI1256"/>
      <c r="BJ1256"/>
      <c r="BK1256"/>
      <c r="BL1256"/>
      <c r="BM1256"/>
      <c r="BN1256"/>
      <c r="BO1256"/>
      <c r="BP1256"/>
      <c r="BQ1256"/>
      <c r="BR1256"/>
      <c r="BS1256"/>
      <c r="BT1256"/>
      <c r="BU1256"/>
      <c r="BV1256"/>
      <c r="BW1256"/>
      <c r="BX1256"/>
      <c r="BY1256"/>
      <c r="BZ1256"/>
      <c r="CA1256"/>
      <c r="CB1256"/>
      <c r="CC1256"/>
      <c r="CD1256"/>
      <c r="CE1256"/>
      <c r="CF1256"/>
      <c r="CG1256"/>
      <c r="CH1256"/>
    </row>
    <row r="1257" spans="1:86" x14ac:dyDescent="0.2">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c r="AQ1257"/>
      <c r="AR1257"/>
      <c r="AS1257"/>
      <c r="AT1257"/>
      <c r="AU1257"/>
      <c r="AV1257"/>
      <c r="AW1257"/>
      <c r="AX1257"/>
      <c r="AY1257"/>
      <c r="AZ1257"/>
      <c r="BA1257"/>
      <c r="BB1257"/>
      <c r="BC1257"/>
      <c r="BD1257"/>
      <c r="BE1257"/>
      <c r="BF1257"/>
      <c r="BG1257"/>
      <c r="BH1257"/>
      <c r="BI1257"/>
      <c r="BJ1257"/>
      <c r="BK1257"/>
      <c r="BL1257"/>
      <c r="BM1257"/>
      <c r="BN1257"/>
      <c r="BO1257"/>
      <c r="BP1257"/>
      <c r="BQ1257"/>
      <c r="BR1257"/>
      <c r="BS1257"/>
      <c r="BT1257"/>
      <c r="BU1257"/>
      <c r="BV1257"/>
      <c r="BW1257"/>
      <c r="BX1257"/>
      <c r="BY1257"/>
      <c r="BZ1257"/>
      <c r="CA1257"/>
      <c r="CB1257"/>
      <c r="CC1257"/>
      <c r="CD1257"/>
      <c r="CE1257"/>
      <c r="CF1257"/>
      <c r="CG1257"/>
      <c r="CH1257"/>
    </row>
    <row r="1258" spans="1:86" x14ac:dyDescent="0.2">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c r="AQ1258"/>
      <c r="AR1258"/>
      <c r="AS1258"/>
      <c r="AT1258"/>
      <c r="AU1258"/>
      <c r="AV1258"/>
      <c r="AW1258"/>
      <c r="AX1258"/>
      <c r="AY1258"/>
      <c r="AZ1258"/>
      <c r="BA1258"/>
      <c r="BB1258"/>
      <c r="BC1258"/>
      <c r="BD1258"/>
      <c r="BE1258"/>
      <c r="BF1258"/>
      <c r="BG1258"/>
      <c r="BH1258"/>
      <c r="BI1258"/>
      <c r="BJ1258"/>
      <c r="BK1258"/>
      <c r="BL1258"/>
      <c r="BM1258"/>
      <c r="BN1258"/>
      <c r="BO1258"/>
      <c r="BP1258"/>
      <c r="BQ1258"/>
      <c r="BR1258"/>
      <c r="BS1258"/>
      <c r="BT1258"/>
      <c r="BU1258"/>
      <c r="BV1258"/>
      <c r="BW1258"/>
      <c r="BX1258"/>
      <c r="BY1258"/>
      <c r="BZ1258"/>
      <c r="CA1258"/>
      <c r="CB1258"/>
      <c r="CC1258"/>
      <c r="CD1258"/>
      <c r="CE1258"/>
      <c r="CF1258"/>
      <c r="CG1258"/>
      <c r="CH1258"/>
    </row>
    <row r="1259" spans="1:86" x14ac:dyDescent="0.2">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c r="AQ1259"/>
      <c r="AR1259"/>
      <c r="AS1259"/>
      <c r="AT1259"/>
      <c r="AU1259"/>
      <c r="AV1259"/>
      <c r="AW1259"/>
      <c r="AX1259"/>
      <c r="AY1259"/>
      <c r="AZ1259"/>
      <c r="BA1259"/>
      <c r="BB1259"/>
      <c r="BC1259"/>
      <c r="BD1259"/>
      <c r="BE1259"/>
      <c r="BF1259"/>
      <c r="BG1259"/>
      <c r="BH1259"/>
      <c r="BI1259"/>
      <c r="BJ1259"/>
      <c r="BK1259"/>
      <c r="BL1259"/>
      <c r="BM1259"/>
      <c r="BN1259"/>
      <c r="BO1259"/>
      <c r="BP1259"/>
      <c r="BQ1259"/>
      <c r="BR1259"/>
      <c r="BS1259"/>
      <c r="BT1259"/>
      <c r="BU1259"/>
      <c r="BV1259"/>
      <c r="BW1259"/>
      <c r="BX1259"/>
      <c r="BY1259"/>
      <c r="BZ1259"/>
      <c r="CA1259"/>
      <c r="CB1259"/>
      <c r="CC1259"/>
      <c r="CD1259"/>
      <c r="CE1259"/>
      <c r="CF1259"/>
      <c r="CG1259"/>
      <c r="CH1259"/>
    </row>
    <row r="1260" spans="1:86" x14ac:dyDescent="0.2">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c r="AQ1260"/>
      <c r="AR1260"/>
      <c r="AS1260"/>
      <c r="AT1260"/>
      <c r="AU1260"/>
      <c r="AV1260"/>
      <c r="AW1260"/>
      <c r="AX1260"/>
      <c r="AY1260"/>
      <c r="AZ1260"/>
      <c r="BA1260"/>
      <c r="BB1260"/>
      <c r="BC1260"/>
      <c r="BD1260"/>
      <c r="BE1260"/>
      <c r="BF1260"/>
      <c r="BG1260"/>
      <c r="BH1260"/>
      <c r="BI1260"/>
      <c r="BJ1260"/>
      <c r="BK1260"/>
      <c r="BL1260"/>
      <c r="BM1260"/>
      <c r="BN1260"/>
      <c r="BO1260"/>
      <c r="BP1260"/>
      <c r="BQ1260"/>
      <c r="BR1260"/>
      <c r="BS1260"/>
      <c r="BT1260"/>
      <c r="BU1260"/>
      <c r="BV1260"/>
      <c r="BW1260"/>
      <c r="BX1260"/>
      <c r="BY1260"/>
      <c r="BZ1260"/>
      <c r="CA1260"/>
      <c r="CB1260"/>
      <c r="CC1260"/>
      <c r="CD1260"/>
      <c r="CE1260"/>
      <c r="CF1260"/>
      <c r="CG1260"/>
      <c r="CH1260"/>
    </row>
    <row r="1261" spans="1:86" x14ac:dyDescent="0.2">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c r="AQ1261"/>
      <c r="AR1261"/>
      <c r="AS1261"/>
      <c r="AT1261"/>
      <c r="AU1261"/>
      <c r="AV1261"/>
      <c r="AW1261"/>
      <c r="AX1261"/>
      <c r="AY1261"/>
      <c r="AZ1261"/>
      <c r="BA1261"/>
      <c r="BB1261"/>
      <c r="BC1261"/>
      <c r="BD1261"/>
      <c r="BE1261"/>
      <c r="BF1261"/>
      <c r="BG1261"/>
      <c r="BH1261"/>
      <c r="BI1261"/>
      <c r="BJ1261"/>
      <c r="BK1261"/>
      <c r="BL1261"/>
      <c r="BM1261"/>
      <c r="BN1261"/>
      <c r="BO1261"/>
      <c r="BP1261"/>
      <c r="BQ1261"/>
      <c r="BR1261"/>
      <c r="BS1261"/>
      <c r="BT1261"/>
      <c r="BU1261"/>
      <c r="BV1261"/>
      <c r="BW1261"/>
      <c r="BX1261"/>
      <c r="BY1261"/>
      <c r="BZ1261"/>
      <c r="CA1261"/>
      <c r="CB1261"/>
      <c r="CC1261"/>
      <c r="CD1261"/>
      <c r="CE1261"/>
      <c r="CF1261"/>
      <c r="CG1261"/>
      <c r="CH1261"/>
    </row>
    <row r="1262" spans="1:86" x14ac:dyDescent="0.2">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c r="AQ1262"/>
      <c r="AR1262"/>
      <c r="AS1262"/>
      <c r="AT1262"/>
      <c r="AU1262"/>
      <c r="AV1262"/>
      <c r="AW1262"/>
      <c r="AX1262"/>
      <c r="AY1262"/>
      <c r="AZ1262"/>
      <c r="BA1262"/>
      <c r="BB1262"/>
      <c r="BC1262"/>
      <c r="BD1262"/>
      <c r="BE1262"/>
      <c r="BF1262"/>
      <c r="BG1262"/>
      <c r="BH1262"/>
      <c r="BI1262"/>
      <c r="BJ1262"/>
      <c r="BK1262"/>
      <c r="BL1262"/>
      <c r="BM1262"/>
      <c r="BN1262"/>
      <c r="BO1262"/>
      <c r="BP1262"/>
      <c r="BQ1262"/>
      <c r="BR1262"/>
      <c r="BS1262"/>
      <c r="BT1262"/>
      <c r="BU1262"/>
      <c r="BV1262"/>
      <c r="BW1262"/>
      <c r="BX1262"/>
      <c r="BY1262"/>
      <c r="BZ1262"/>
      <c r="CA1262"/>
      <c r="CB1262"/>
      <c r="CC1262"/>
      <c r="CD1262"/>
      <c r="CE1262"/>
      <c r="CF1262"/>
      <c r="CG1262"/>
      <c r="CH1262"/>
    </row>
    <row r="1263" spans="1:86" x14ac:dyDescent="0.2">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c r="AQ1263"/>
      <c r="AR1263"/>
      <c r="AS1263"/>
      <c r="AT1263"/>
      <c r="AU1263"/>
      <c r="AV1263"/>
      <c r="AW1263"/>
      <c r="AX1263"/>
      <c r="AY1263"/>
      <c r="AZ1263"/>
      <c r="BA1263"/>
      <c r="BB1263"/>
      <c r="BC1263"/>
      <c r="BD1263"/>
      <c r="BE1263"/>
      <c r="BF1263"/>
      <c r="BG1263"/>
      <c r="BH1263"/>
      <c r="BI1263"/>
      <c r="BJ1263"/>
      <c r="BK1263"/>
      <c r="BL1263"/>
      <c r="BM1263"/>
      <c r="BN1263"/>
      <c r="BO1263"/>
      <c r="BP1263"/>
      <c r="BQ1263"/>
      <c r="BR1263"/>
      <c r="BS1263"/>
      <c r="BT1263"/>
      <c r="BU1263"/>
      <c r="BV1263"/>
      <c r="BW1263"/>
      <c r="BX1263"/>
      <c r="BY1263"/>
      <c r="BZ1263"/>
      <c r="CA1263"/>
      <c r="CB1263"/>
      <c r="CC1263"/>
      <c r="CD1263"/>
      <c r="CE1263"/>
      <c r="CF1263"/>
      <c r="CG1263"/>
      <c r="CH1263"/>
    </row>
    <row r="1264" spans="1:86" x14ac:dyDescent="0.2">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c r="AQ1264"/>
      <c r="AR1264"/>
      <c r="AS1264"/>
      <c r="AT1264"/>
      <c r="AU1264"/>
      <c r="AV1264"/>
      <c r="AW1264"/>
      <c r="AX1264"/>
      <c r="AY1264"/>
      <c r="AZ1264"/>
      <c r="BA1264"/>
      <c r="BB1264"/>
      <c r="BC1264"/>
      <c r="BD1264"/>
      <c r="BE1264"/>
      <c r="BF1264"/>
      <c r="BG1264"/>
      <c r="BH1264"/>
      <c r="BI1264"/>
      <c r="BJ1264"/>
      <c r="BK1264"/>
      <c r="BL1264"/>
      <c r="BM1264"/>
      <c r="BN1264"/>
      <c r="BO1264"/>
      <c r="BP1264"/>
      <c r="BQ1264"/>
      <c r="BR1264"/>
      <c r="BS1264"/>
      <c r="BT1264"/>
      <c r="BU1264"/>
      <c r="BV1264"/>
      <c r="BW1264"/>
      <c r="BX1264"/>
      <c r="BY1264"/>
      <c r="BZ1264"/>
      <c r="CA1264"/>
      <c r="CB1264"/>
      <c r="CC1264"/>
      <c r="CD1264"/>
      <c r="CE1264"/>
      <c r="CF1264"/>
      <c r="CG1264"/>
      <c r="CH1264"/>
    </row>
    <row r="1265" spans="1:86" x14ac:dyDescent="0.2">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c r="AQ1265"/>
      <c r="AR1265"/>
      <c r="AS1265"/>
      <c r="AT1265"/>
      <c r="AU1265"/>
      <c r="AV1265"/>
      <c r="AW1265"/>
      <c r="AX1265"/>
      <c r="AY1265"/>
      <c r="AZ1265"/>
      <c r="BA1265"/>
      <c r="BB1265"/>
      <c r="BC1265"/>
      <c r="BD1265"/>
      <c r="BE1265"/>
      <c r="BF1265"/>
      <c r="BG1265"/>
      <c r="BH1265"/>
      <c r="BI1265"/>
      <c r="BJ1265"/>
      <c r="BK1265"/>
      <c r="BL1265"/>
      <c r="BM1265"/>
      <c r="BN1265"/>
      <c r="BO1265"/>
      <c r="BP1265"/>
      <c r="BQ1265"/>
      <c r="BR1265"/>
      <c r="BS1265"/>
      <c r="BT1265"/>
      <c r="BU1265"/>
      <c r="BV1265"/>
      <c r="BW1265"/>
      <c r="BX1265"/>
      <c r="BY1265"/>
      <c r="BZ1265"/>
      <c r="CA1265"/>
      <c r="CB1265"/>
      <c r="CC1265"/>
      <c r="CD1265"/>
      <c r="CE1265"/>
      <c r="CF1265"/>
      <c r="CG1265"/>
      <c r="CH1265"/>
    </row>
    <row r="1266" spans="1:86" x14ac:dyDescent="0.2">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c r="AQ1266"/>
      <c r="AR1266"/>
      <c r="AS1266"/>
      <c r="AT1266"/>
      <c r="AU1266"/>
      <c r="AV1266"/>
      <c r="AW1266"/>
      <c r="AX1266"/>
      <c r="AY1266"/>
      <c r="AZ1266"/>
      <c r="BA1266"/>
      <c r="BB1266"/>
      <c r="BC1266"/>
      <c r="BD1266"/>
      <c r="BE1266"/>
      <c r="BF1266"/>
      <c r="BG1266"/>
      <c r="BH1266"/>
      <c r="BI1266"/>
      <c r="BJ1266"/>
      <c r="BK1266"/>
      <c r="BL1266"/>
      <c r="BM1266"/>
      <c r="BN1266"/>
      <c r="BO1266"/>
      <c r="BP1266"/>
      <c r="BQ1266"/>
      <c r="BR1266"/>
      <c r="BS1266"/>
      <c r="BT1266"/>
      <c r="BU1266"/>
      <c r="BV1266"/>
      <c r="BW1266"/>
      <c r="BX1266"/>
      <c r="BY1266"/>
      <c r="BZ1266"/>
      <c r="CA1266"/>
      <c r="CB1266"/>
      <c r="CC1266"/>
      <c r="CD1266"/>
      <c r="CE1266"/>
      <c r="CF1266"/>
      <c r="CG1266"/>
      <c r="CH1266"/>
    </row>
    <row r="1267" spans="1:86" x14ac:dyDescent="0.2">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c r="AQ1267"/>
      <c r="AR1267"/>
      <c r="AS1267"/>
      <c r="AT1267"/>
      <c r="AU1267"/>
      <c r="AV1267"/>
      <c r="AW1267"/>
      <c r="AX1267"/>
      <c r="AY1267"/>
      <c r="AZ1267"/>
      <c r="BA1267"/>
      <c r="BB1267"/>
      <c r="BC1267"/>
      <c r="BD1267"/>
      <c r="BE1267"/>
      <c r="BF1267"/>
      <c r="BG1267"/>
      <c r="BH1267"/>
      <c r="BI1267"/>
      <c r="BJ1267"/>
      <c r="BK1267"/>
      <c r="BL1267"/>
      <c r="BM1267"/>
      <c r="BN1267"/>
      <c r="BO1267"/>
      <c r="BP1267"/>
      <c r="BQ1267"/>
      <c r="BR1267"/>
      <c r="BS1267"/>
      <c r="BT1267"/>
      <c r="BU1267"/>
      <c r="BV1267"/>
      <c r="BW1267"/>
      <c r="BX1267"/>
      <c r="BY1267"/>
      <c r="BZ1267"/>
      <c r="CA1267"/>
      <c r="CB1267"/>
      <c r="CC1267"/>
      <c r="CD1267"/>
      <c r="CE1267"/>
      <c r="CF1267"/>
      <c r="CG1267"/>
      <c r="CH1267"/>
    </row>
    <row r="1268" spans="1:86" x14ac:dyDescent="0.2">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c r="BK1268"/>
      <c r="BL1268"/>
      <c r="BM1268"/>
      <c r="BN1268"/>
      <c r="BO1268"/>
      <c r="BP1268"/>
      <c r="BQ1268"/>
      <c r="BR1268"/>
      <c r="BS1268"/>
      <c r="BT1268"/>
      <c r="BU1268"/>
      <c r="BV1268"/>
      <c r="BW1268"/>
      <c r="BX1268"/>
      <c r="BY1268"/>
      <c r="BZ1268"/>
      <c r="CA1268"/>
      <c r="CB1268"/>
      <c r="CC1268"/>
      <c r="CD1268"/>
      <c r="CE1268"/>
      <c r="CF1268"/>
      <c r="CG1268"/>
      <c r="CH1268"/>
    </row>
    <row r="1269" spans="1:86" x14ac:dyDescent="0.2">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c r="AQ1269"/>
      <c r="AR1269"/>
      <c r="AS1269"/>
      <c r="AT1269"/>
      <c r="AU1269"/>
      <c r="AV1269"/>
      <c r="AW1269"/>
      <c r="AX1269"/>
      <c r="AY1269"/>
      <c r="AZ1269"/>
      <c r="BA1269"/>
      <c r="BB1269"/>
      <c r="BC1269"/>
      <c r="BD1269"/>
      <c r="BE1269"/>
      <c r="BF1269"/>
      <c r="BG1269"/>
      <c r="BH1269"/>
      <c r="BI1269"/>
      <c r="BJ1269"/>
      <c r="BK1269"/>
      <c r="BL1269"/>
      <c r="BM1269"/>
      <c r="BN1269"/>
      <c r="BO1269"/>
      <c r="BP1269"/>
      <c r="BQ1269"/>
      <c r="BR1269"/>
      <c r="BS1269"/>
      <c r="BT1269"/>
      <c r="BU1269"/>
      <c r="BV1269"/>
      <c r="BW1269"/>
      <c r="BX1269"/>
      <c r="BY1269"/>
      <c r="BZ1269"/>
      <c r="CA1269"/>
      <c r="CB1269"/>
      <c r="CC1269"/>
      <c r="CD1269"/>
      <c r="CE1269"/>
      <c r="CF1269"/>
      <c r="CG1269"/>
      <c r="CH1269"/>
    </row>
    <row r="1270" spans="1:86" x14ac:dyDescent="0.2">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c r="AQ1270"/>
      <c r="AR1270"/>
      <c r="AS1270"/>
      <c r="AT1270"/>
      <c r="AU1270"/>
      <c r="AV1270"/>
      <c r="AW1270"/>
      <c r="AX1270"/>
      <c r="AY1270"/>
      <c r="AZ1270"/>
      <c r="BA1270"/>
      <c r="BB1270"/>
      <c r="BC1270"/>
      <c r="BD1270"/>
      <c r="BE1270"/>
      <c r="BF1270"/>
      <c r="BG1270"/>
      <c r="BH1270"/>
      <c r="BI1270"/>
      <c r="BJ1270"/>
      <c r="BK1270"/>
      <c r="BL1270"/>
      <c r="BM1270"/>
      <c r="BN1270"/>
      <c r="BO1270"/>
      <c r="BP1270"/>
      <c r="BQ1270"/>
      <c r="BR1270"/>
      <c r="BS1270"/>
      <c r="BT1270"/>
      <c r="BU1270"/>
      <c r="BV1270"/>
      <c r="BW1270"/>
      <c r="BX1270"/>
      <c r="BY1270"/>
      <c r="BZ1270"/>
      <c r="CA1270"/>
      <c r="CB1270"/>
      <c r="CC1270"/>
      <c r="CD1270"/>
      <c r="CE1270"/>
      <c r="CF1270"/>
      <c r="CG1270"/>
      <c r="CH1270"/>
    </row>
    <row r="1271" spans="1:86" x14ac:dyDescent="0.2">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c r="AQ1271"/>
      <c r="AR1271"/>
      <c r="AS1271"/>
      <c r="AT1271"/>
      <c r="AU1271"/>
      <c r="AV1271"/>
      <c r="AW1271"/>
      <c r="AX1271"/>
      <c r="AY1271"/>
      <c r="AZ1271"/>
      <c r="BA1271"/>
      <c r="BB1271"/>
      <c r="BC1271"/>
      <c r="BD1271"/>
      <c r="BE1271"/>
      <c r="BF1271"/>
      <c r="BG1271"/>
      <c r="BH1271"/>
      <c r="BI1271"/>
      <c r="BJ1271"/>
      <c r="BK1271"/>
      <c r="BL1271"/>
      <c r="BM1271"/>
      <c r="BN1271"/>
      <c r="BO1271"/>
      <c r="BP1271"/>
      <c r="BQ1271"/>
      <c r="BR1271"/>
      <c r="BS1271"/>
      <c r="BT1271"/>
      <c r="BU1271"/>
      <c r="BV1271"/>
      <c r="BW1271"/>
      <c r="BX1271"/>
      <c r="BY1271"/>
      <c r="BZ1271"/>
      <c r="CA1271"/>
      <c r="CB1271"/>
      <c r="CC1271"/>
      <c r="CD1271"/>
      <c r="CE1271"/>
      <c r="CF1271"/>
      <c r="CG1271"/>
      <c r="CH1271"/>
    </row>
    <row r="1272" spans="1:86" x14ac:dyDescent="0.2">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c r="AQ1272"/>
      <c r="AR1272"/>
      <c r="AS1272"/>
      <c r="AT1272"/>
      <c r="AU1272"/>
      <c r="AV1272"/>
      <c r="AW1272"/>
      <c r="AX1272"/>
      <c r="AY1272"/>
      <c r="AZ1272"/>
      <c r="BA1272"/>
      <c r="BB1272"/>
      <c r="BC1272"/>
      <c r="BD1272"/>
      <c r="BE1272"/>
      <c r="BF1272"/>
      <c r="BG1272"/>
      <c r="BH1272"/>
      <c r="BI1272"/>
      <c r="BJ1272"/>
      <c r="BK1272"/>
      <c r="BL1272"/>
      <c r="BM1272"/>
      <c r="BN1272"/>
      <c r="BO1272"/>
      <c r="BP1272"/>
      <c r="BQ1272"/>
      <c r="BR1272"/>
      <c r="BS1272"/>
      <c r="BT1272"/>
      <c r="BU1272"/>
      <c r="BV1272"/>
      <c r="BW1272"/>
      <c r="BX1272"/>
      <c r="BY1272"/>
      <c r="BZ1272"/>
      <c r="CA1272"/>
      <c r="CB1272"/>
      <c r="CC1272"/>
      <c r="CD1272"/>
      <c r="CE1272"/>
      <c r="CF1272"/>
      <c r="CG1272"/>
      <c r="CH1272"/>
    </row>
    <row r="1273" spans="1:86" x14ac:dyDescent="0.2">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c r="BK1273"/>
      <c r="BL1273"/>
      <c r="BM1273"/>
      <c r="BN1273"/>
      <c r="BO1273"/>
      <c r="BP1273"/>
      <c r="BQ1273"/>
      <c r="BR1273"/>
      <c r="BS1273"/>
      <c r="BT1273"/>
      <c r="BU1273"/>
      <c r="BV1273"/>
      <c r="BW1273"/>
      <c r="BX1273"/>
      <c r="BY1273"/>
      <c r="BZ1273"/>
      <c r="CA1273"/>
      <c r="CB1273"/>
      <c r="CC1273"/>
      <c r="CD1273"/>
      <c r="CE1273"/>
      <c r="CF1273"/>
      <c r="CG1273"/>
      <c r="CH1273"/>
    </row>
    <row r="1274" spans="1:86" x14ac:dyDescent="0.2">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c r="BK1274"/>
      <c r="BL1274"/>
      <c r="BM1274"/>
      <c r="BN1274"/>
      <c r="BO1274"/>
      <c r="BP1274"/>
      <c r="BQ1274"/>
      <c r="BR1274"/>
      <c r="BS1274"/>
      <c r="BT1274"/>
      <c r="BU1274"/>
      <c r="BV1274"/>
      <c r="BW1274"/>
      <c r="BX1274"/>
      <c r="BY1274"/>
      <c r="BZ1274"/>
      <c r="CA1274"/>
      <c r="CB1274"/>
      <c r="CC1274"/>
      <c r="CD1274"/>
      <c r="CE1274"/>
      <c r="CF1274"/>
      <c r="CG1274"/>
      <c r="CH1274"/>
    </row>
    <row r="1275" spans="1:86" x14ac:dyDescent="0.2">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c r="AQ1275"/>
      <c r="AR1275"/>
      <c r="AS1275"/>
      <c r="AT1275"/>
      <c r="AU1275"/>
      <c r="AV1275"/>
      <c r="AW1275"/>
      <c r="AX1275"/>
      <c r="AY1275"/>
      <c r="AZ1275"/>
      <c r="BA1275"/>
      <c r="BB1275"/>
      <c r="BC1275"/>
      <c r="BD1275"/>
      <c r="BE1275"/>
      <c r="BF1275"/>
      <c r="BG1275"/>
      <c r="BH1275"/>
      <c r="BI1275"/>
      <c r="BJ1275"/>
      <c r="BK1275"/>
      <c r="BL1275"/>
      <c r="BM1275"/>
      <c r="BN1275"/>
      <c r="BO1275"/>
      <c r="BP1275"/>
      <c r="BQ1275"/>
      <c r="BR1275"/>
      <c r="BS1275"/>
      <c r="BT1275"/>
      <c r="BU1275"/>
      <c r="BV1275"/>
      <c r="BW1275"/>
      <c r="BX1275"/>
      <c r="BY1275"/>
      <c r="BZ1275"/>
      <c r="CA1275"/>
      <c r="CB1275"/>
      <c r="CC1275"/>
      <c r="CD1275"/>
      <c r="CE1275"/>
      <c r="CF1275"/>
      <c r="CG1275"/>
      <c r="CH1275"/>
    </row>
    <row r="1276" spans="1:86" x14ac:dyDescent="0.2">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c r="AQ1276"/>
      <c r="AR1276"/>
      <c r="AS1276"/>
      <c r="AT1276"/>
      <c r="AU1276"/>
      <c r="AV1276"/>
      <c r="AW1276"/>
      <c r="AX1276"/>
      <c r="AY1276"/>
      <c r="AZ1276"/>
      <c r="BA1276"/>
      <c r="BB1276"/>
      <c r="BC1276"/>
      <c r="BD1276"/>
      <c r="BE1276"/>
      <c r="BF1276"/>
      <c r="BG1276"/>
      <c r="BH1276"/>
      <c r="BI1276"/>
      <c r="BJ1276"/>
      <c r="BK1276"/>
      <c r="BL1276"/>
      <c r="BM1276"/>
      <c r="BN1276"/>
      <c r="BO1276"/>
      <c r="BP1276"/>
      <c r="BQ1276"/>
      <c r="BR1276"/>
      <c r="BS1276"/>
      <c r="BT1276"/>
      <c r="BU1276"/>
      <c r="BV1276"/>
      <c r="BW1276"/>
      <c r="BX1276"/>
      <c r="BY1276"/>
      <c r="BZ1276"/>
      <c r="CA1276"/>
      <c r="CB1276"/>
      <c r="CC1276"/>
      <c r="CD1276"/>
      <c r="CE1276"/>
      <c r="CF1276"/>
      <c r="CG1276"/>
      <c r="CH1276"/>
    </row>
    <row r="1277" spans="1:86" x14ac:dyDescent="0.2">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c r="AQ1277"/>
      <c r="AR1277"/>
      <c r="AS1277"/>
      <c r="AT1277"/>
      <c r="AU1277"/>
      <c r="AV1277"/>
      <c r="AW1277"/>
      <c r="AX1277"/>
      <c r="AY1277"/>
      <c r="AZ1277"/>
      <c r="BA1277"/>
      <c r="BB1277"/>
      <c r="BC1277"/>
      <c r="BD1277"/>
      <c r="BE1277"/>
      <c r="BF1277"/>
      <c r="BG1277"/>
      <c r="BH1277"/>
      <c r="BI1277"/>
      <c r="BJ1277"/>
      <c r="BK1277"/>
      <c r="BL1277"/>
      <c r="BM1277"/>
      <c r="BN1277"/>
      <c r="BO1277"/>
      <c r="BP1277"/>
      <c r="BQ1277"/>
      <c r="BR1277"/>
      <c r="BS1277"/>
      <c r="BT1277"/>
      <c r="BU1277"/>
      <c r="BV1277"/>
      <c r="BW1277"/>
      <c r="BX1277"/>
      <c r="BY1277"/>
      <c r="BZ1277"/>
      <c r="CA1277"/>
      <c r="CB1277"/>
      <c r="CC1277"/>
      <c r="CD1277"/>
      <c r="CE1277"/>
      <c r="CF1277"/>
      <c r="CG1277"/>
      <c r="CH1277"/>
    </row>
    <row r="1278" spans="1:86" x14ac:dyDescent="0.2">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c r="AQ1278"/>
      <c r="AR1278"/>
      <c r="AS1278"/>
      <c r="AT1278"/>
      <c r="AU1278"/>
      <c r="AV1278"/>
      <c r="AW1278"/>
      <c r="AX1278"/>
      <c r="AY1278"/>
      <c r="AZ1278"/>
      <c r="BA1278"/>
      <c r="BB1278"/>
      <c r="BC1278"/>
      <c r="BD1278"/>
      <c r="BE1278"/>
      <c r="BF1278"/>
      <c r="BG1278"/>
      <c r="BH1278"/>
      <c r="BI1278"/>
      <c r="BJ1278"/>
      <c r="BK1278"/>
      <c r="BL1278"/>
      <c r="BM1278"/>
      <c r="BN1278"/>
      <c r="BO1278"/>
      <c r="BP1278"/>
      <c r="BQ1278"/>
      <c r="BR1278"/>
      <c r="BS1278"/>
      <c r="BT1278"/>
      <c r="BU1278"/>
      <c r="BV1278"/>
      <c r="BW1278"/>
      <c r="BX1278"/>
      <c r="BY1278"/>
      <c r="BZ1278"/>
      <c r="CA1278"/>
      <c r="CB1278"/>
      <c r="CC1278"/>
      <c r="CD1278"/>
      <c r="CE1278"/>
      <c r="CF1278"/>
      <c r="CG1278"/>
      <c r="CH1278"/>
    </row>
    <row r="1279" spans="1:86" x14ac:dyDescent="0.2">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c r="BK1279"/>
      <c r="BL1279"/>
      <c r="BM1279"/>
      <c r="BN1279"/>
      <c r="BO1279"/>
      <c r="BP1279"/>
      <c r="BQ1279"/>
      <c r="BR1279"/>
      <c r="BS1279"/>
      <c r="BT1279"/>
      <c r="BU1279"/>
      <c r="BV1279"/>
      <c r="BW1279"/>
      <c r="BX1279"/>
      <c r="BY1279"/>
      <c r="BZ1279"/>
      <c r="CA1279"/>
      <c r="CB1279"/>
      <c r="CC1279"/>
      <c r="CD1279"/>
      <c r="CE1279"/>
      <c r="CF1279"/>
      <c r="CG1279"/>
      <c r="CH1279"/>
    </row>
    <row r="1280" spans="1:86" x14ac:dyDescent="0.2">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c r="BK1280"/>
      <c r="BL1280"/>
      <c r="BM1280"/>
      <c r="BN1280"/>
      <c r="BO1280"/>
      <c r="BP1280"/>
      <c r="BQ1280"/>
      <c r="BR1280"/>
      <c r="BS1280"/>
      <c r="BT1280"/>
      <c r="BU1280"/>
      <c r="BV1280"/>
      <c r="BW1280"/>
      <c r="BX1280"/>
      <c r="BY1280"/>
      <c r="BZ1280"/>
      <c r="CA1280"/>
      <c r="CB1280"/>
      <c r="CC1280"/>
      <c r="CD1280"/>
      <c r="CE1280"/>
      <c r="CF1280"/>
      <c r="CG1280"/>
      <c r="CH1280"/>
    </row>
    <row r="1281" spans="1:86" x14ac:dyDescent="0.2">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c r="AQ1281"/>
      <c r="AR1281"/>
      <c r="AS1281"/>
      <c r="AT1281"/>
      <c r="AU1281"/>
      <c r="AV1281"/>
      <c r="AW1281"/>
      <c r="AX1281"/>
      <c r="AY1281"/>
      <c r="AZ1281"/>
      <c r="BA1281"/>
      <c r="BB1281"/>
      <c r="BC1281"/>
      <c r="BD1281"/>
      <c r="BE1281"/>
      <c r="BF1281"/>
      <c r="BG1281"/>
      <c r="BH1281"/>
      <c r="BI1281"/>
      <c r="BJ1281"/>
      <c r="BK1281"/>
      <c r="BL1281"/>
      <c r="BM1281"/>
      <c r="BN1281"/>
      <c r="BO1281"/>
      <c r="BP1281"/>
      <c r="BQ1281"/>
      <c r="BR1281"/>
      <c r="BS1281"/>
      <c r="BT1281"/>
      <c r="BU1281"/>
      <c r="BV1281"/>
      <c r="BW1281"/>
      <c r="BX1281"/>
      <c r="BY1281"/>
      <c r="BZ1281"/>
      <c r="CA1281"/>
      <c r="CB1281"/>
      <c r="CC1281"/>
      <c r="CD1281"/>
      <c r="CE1281"/>
      <c r="CF1281"/>
      <c r="CG1281"/>
      <c r="CH1281"/>
    </row>
    <row r="1282" spans="1:86" x14ac:dyDescent="0.2">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c r="AQ1282"/>
      <c r="AR1282"/>
      <c r="AS1282"/>
      <c r="AT1282"/>
      <c r="AU1282"/>
      <c r="AV1282"/>
      <c r="AW1282"/>
      <c r="AX1282"/>
      <c r="AY1282"/>
      <c r="AZ1282"/>
      <c r="BA1282"/>
      <c r="BB1282"/>
      <c r="BC1282"/>
      <c r="BD1282"/>
      <c r="BE1282"/>
      <c r="BF1282"/>
      <c r="BG1282"/>
      <c r="BH1282"/>
      <c r="BI1282"/>
      <c r="BJ1282"/>
      <c r="BK1282"/>
      <c r="BL1282"/>
      <c r="BM1282"/>
      <c r="BN1282"/>
      <c r="BO1282"/>
      <c r="BP1282"/>
      <c r="BQ1282"/>
      <c r="BR1282"/>
      <c r="BS1282"/>
      <c r="BT1282"/>
      <c r="BU1282"/>
      <c r="BV1282"/>
      <c r="BW1282"/>
      <c r="BX1282"/>
      <c r="BY1282"/>
      <c r="BZ1282"/>
      <c r="CA1282"/>
      <c r="CB1282"/>
      <c r="CC1282"/>
      <c r="CD1282"/>
      <c r="CE1282"/>
      <c r="CF1282"/>
      <c r="CG1282"/>
      <c r="CH1282"/>
    </row>
    <row r="1283" spans="1:86" x14ac:dyDescent="0.2">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c r="AQ1283"/>
      <c r="AR1283"/>
      <c r="AS1283"/>
      <c r="AT1283"/>
      <c r="AU1283"/>
      <c r="AV1283"/>
      <c r="AW1283"/>
      <c r="AX1283"/>
      <c r="AY1283"/>
      <c r="AZ1283"/>
      <c r="BA1283"/>
      <c r="BB1283"/>
      <c r="BC1283"/>
      <c r="BD1283"/>
      <c r="BE1283"/>
      <c r="BF1283"/>
      <c r="BG1283"/>
      <c r="BH1283"/>
      <c r="BI1283"/>
      <c r="BJ1283"/>
      <c r="BK1283"/>
      <c r="BL1283"/>
      <c r="BM1283"/>
      <c r="BN1283"/>
      <c r="BO1283"/>
      <c r="BP1283"/>
      <c r="BQ1283"/>
      <c r="BR1283"/>
      <c r="BS1283"/>
      <c r="BT1283"/>
      <c r="BU1283"/>
      <c r="BV1283"/>
      <c r="BW1283"/>
      <c r="BX1283"/>
      <c r="BY1283"/>
      <c r="BZ1283"/>
      <c r="CA1283"/>
      <c r="CB1283"/>
      <c r="CC1283"/>
      <c r="CD1283"/>
      <c r="CE1283"/>
      <c r="CF1283"/>
      <c r="CG1283"/>
      <c r="CH1283"/>
    </row>
    <row r="1284" spans="1:86" x14ac:dyDescent="0.2">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c r="BL1284"/>
      <c r="BM1284"/>
      <c r="BN1284"/>
      <c r="BO1284"/>
      <c r="BP1284"/>
      <c r="BQ1284"/>
      <c r="BR1284"/>
      <c r="BS1284"/>
      <c r="BT1284"/>
      <c r="BU1284"/>
      <c r="BV1284"/>
      <c r="BW1284"/>
      <c r="BX1284"/>
      <c r="BY1284"/>
      <c r="BZ1284"/>
      <c r="CA1284"/>
      <c r="CB1284"/>
      <c r="CC1284"/>
      <c r="CD1284"/>
      <c r="CE1284"/>
      <c r="CF1284"/>
      <c r="CG1284"/>
      <c r="CH1284"/>
    </row>
    <row r="1285" spans="1:86" x14ac:dyDescent="0.2">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c r="BL1285"/>
      <c r="BM1285"/>
      <c r="BN1285"/>
      <c r="BO1285"/>
      <c r="BP1285"/>
      <c r="BQ1285"/>
      <c r="BR1285"/>
      <c r="BS1285"/>
      <c r="BT1285"/>
      <c r="BU1285"/>
      <c r="BV1285"/>
      <c r="BW1285"/>
      <c r="BX1285"/>
      <c r="BY1285"/>
      <c r="BZ1285"/>
      <c r="CA1285"/>
      <c r="CB1285"/>
      <c r="CC1285"/>
      <c r="CD1285"/>
      <c r="CE1285"/>
      <c r="CF1285"/>
      <c r="CG1285"/>
      <c r="CH1285"/>
    </row>
    <row r="1286" spans="1:86" x14ac:dyDescent="0.2">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c r="BL1286"/>
      <c r="BM1286"/>
      <c r="BN1286"/>
      <c r="BO1286"/>
      <c r="BP1286"/>
      <c r="BQ1286"/>
      <c r="BR1286"/>
      <c r="BS1286"/>
      <c r="BT1286"/>
      <c r="BU1286"/>
      <c r="BV1286"/>
      <c r="BW1286"/>
      <c r="BX1286"/>
      <c r="BY1286"/>
      <c r="BZ1286"/>
      <c r="CA1286"/>
      <c r="CB1286"/>
      <c r="CC1286"/>
      <c r="CD1286"/>
      <c r="CE1286"/>
      <c r="CF1286"/>
      <c r="CG1286"/>
      <c r="CH1286"/>
    </row>
    <row r="1287" spans="1:86" x14ac:dyDescent="0.2">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c r="BK1287"/>
      <c r="BL1287"/>
      <c r="BM1287"/>
      <c r="BN1287"/>
      <c r="BO1287"/>
      <c r="BP1287"/>
      <c r="BQ1287"/>
      <c r="BR1287"/>
      <c r="BS1287"/>
      <c r="BT1287"/>
      <c r="BU1287"/>
      <c r="BV1287"/>
      <c r="BW1287"/>
      <c r="BX1287"/>
      <c r="BY1287"/>
      <c r="BZ1287"/>
      <c r="CA1287"/>
      <c r="CB1287"/>
      <c r="CC1287"/>
      <c r="CD1287"/>
      <c r="CE1287"/>
      <c r="CF1287"/>
      <c r="CG1287"/>
      <c r="CH1287"/>
    </row>
    <row r="1288" spans="1:86" x14ac:dyDescent="0.2">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c r="AQ1288"/>
      <c r="AR1288"/>
      <c r="AS1288"/>
      <c r="AT1288"/>
      <c r="AU1288"/>
      <c r="AV1288"/>
      <c r="AW1288"/>
      <c r="AX1288"/>
      <c r="AY1288"/>
      <c r="AZ1288"/>
      <c r="BA1288"/>
      <c r="BB1288"/>
      <c r="BC1288"/>
      <c r="BD1288"/>
      <c r="BE1288"/>
      <c r="BF1288"/>
      <c r="BG1288"/>
      <c r="BH1288"/>
      <c r="BI1288"/>
      <c r="BJ1288"/>
      <c r="BK1288"/>
      <c r="BL1288"/>
      <c r="BM1288"/>
      <c r="BN1288"/>
      <c r="BO1288"/>
      <c r="BP1288"/>
      <c r="BQ1288"/>
      <c r="BR1288"/>
      <c r="BS1288"/>
      <c r="BT1288"/>
      <c r="BU1288"/>
      <c r="BV1288"/>
      <c r="BW1288"/>
      <c r="BX1288"/>
      <c r="BY1288"/>
      <c r="BZ1288"/>
      <c r="CA1288"/>
      <c r="CB1288"/>
      <c r="CC1288"/>
      <c r="CD1288"/>
      <c r="CE1288"/>
      <c r="CF1288"/>
      <c r="CG1288"/>
      <c r="CH1288"/>
    </row>
    <row r="1289" spans="1:86" x14ac:dyDescent="0.2">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c r="AQ1289"/>
      <c r="AR1289"/>
      <c r="AS1289"/>
      <c r="AT1289"/>
      <c r="AU1289"/>
      <c r="AV1289"/>
      <c r="AW1289"/>
      <c r="AX1289"/>
      <c r="AY1289"/>
      <c r="AZ1289"/>
      <c r="BA1289"/>
      <c r="BB1289"/>
      <c r="BC1289"/>
      <c r="BD1289"/>
      <c r="BE1289"/>
      <c r="BF1289"/>
      <c r="BG1289"/>
      <c r="BH1289"/>
      <c r="BI1289"/>
      <c r="BJ1289"/>
      <c r="BK1289"/>
      <c r="BL1289"/>
      <c r="BM1289"/>
      <c r="BN1289"/>
      <c r="BO1289"/>
      <c r="BP1289"/>
      <c r="BQ1289"/>
      <c r="BR1289"/>
      <c r="BS1289"/>
      <c r="BT1289"/>
      <c r="BU1289"/>
      <c r="BV1289"/>
      <c r="BW1289"/>
      <c r="BX1289"/>
      <c r="BY1289"/>
      <c r="BZ1289"/>
      <c r="CA1289"/>
      <c r="CB1289"/>
      <c r="CC1289"/>
      <c r="CD1289"/>
      <c r="CE1289"/>
      <c r="CF1289"/>
      <c r="CG1289"/>
      <c r="CH1289"/>
    </row>
    <row r="1290" spans="1:86" x14ac:dyDescent="0.2">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c r="AQ1290"/>
      <c r="AR1290"/>
      <c r="AS1290"/>
      <c r="AT1290"/>
      <c r="AU1290"/>
      <c r="AV1290"/>
      <c r="AW1290"/>
      <c r="AX1290"/>
      <c r="AY1290"/>
      <c r="AZ1290"/>
      <c r="BA1290"/>
      <c r="BB1290"/>
      <c r="BC1290"/>
      <c r="BD1290"/>
      <c r="BE1290"/>
      <c r="BF1290"/>
      <c r="BG1290"/>
      <c r="BH1290"/>
      <c r="BI1290"/>
      <c r="BJ1290"/>
      <c r="BK1290"/>
      <c r="BL1290"/>
      <c r="BM1290"/>
      <c r="BN1290"/>
      <c r="BO1290"/>
      <c r="BP1290"/>
      <c r="BQ1290"/>
      <c r="BR1290"/>
      <c r="BS1290"/>
      <c r="BT1290"/>
      <c r="BU1290"/>
      <c r="BV1290"/>
      <c r="BW1290"/>
      <c r="BX1290"/>
      <c r="BY1290"/>
      <c r="BZ1290"/>
      <c r="CA1290"/>
      <c r="CB1290"/>
      <c r="CC1290"/>
      <c r="CD1290"/>
      <c r="CE1290"/>
      <c r="CF1290"/>
      <c r="CG1290"/>
      <c r="CH1290"/>
    </row>
    <row r="1291" spans="1:86" x14ac:dyDescent="0.2">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c r="AQ1291"/>
      <c r="AR1291"/>
      <c r="AS1291"/>
      <c r="AT1291"/>
      <c r="AU1291"/>
      <c r="AV1291"/>
      <c r="AW1291"/>
      <c r="AX1291"/>
      <c r="AY1291"/>
      <c r="AZ1291"/>
      <c r="BA1291"/>
      <c r="BB1291"/>
      <c r="BC1291"/>
      <c r="BD1291"/>
      <c r="BE1291"/>
      <c r="BF1291"/>
      <c r="BG1291"/>
      <c r="BH1291"/>
      <c r="BI1291"/>
      <c r="BJ1291"/>
      <c r="BK1291"/>
      <c r="BL1291"/>
      <c r="BM1291"/>
      <c r="BN1291"/>
      <c r="BO1291"/>
      <c r="BP1291"/>
      <c r="BQ1291"/>
      <c r="BR1291"/>
      <c r="BS1291"/>
      <c r="BT1291"/>
      <c r="BU1291"/>
      <c r="BV1291"/>
      <c r="BW1291"/>
      <c r="BX1291"/>
      <c r="BY1291"/>
      <c r="BZ1291"/>
      <c r="CA1291"/>
      <c r="CB1291"/>
      <c r="CC1291"/>
      <c r="CD1291"/>
      <c r="CE1291"/>
      <c r="CF1291"/>
      <c r="CG1291"/>
      <c r="CH1291"/>
    </row>
    <row r="1292" spans="1:86" x14ac:dyDescent="0.2">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c r="AQ1292"/>
      <c r="AR1292"/>
      <c r="AS1292"/>
      <c r="AT1292"/>
      <c r="AU1292"/>
      <c r="AV1292"/>
      <c r="AW1292"/>
      <c r="AX1292"/>
      <c r="AY1292"/>
      <c r="AZ1292"/>
      <c r="BA1292"/>
      <c r="BB1292"/>
      <c r="BC1292"/>
      <c r="BD1292"/>
      <c r="BE1292"/>
      <c r="BF1292"/>
      <c r="BG1292"/>
      <c r="BH1292"/>
      <c r="BI1292"/>
      <c r="BJ1292"/>
      <c r="BK1292"/>
      <c r="BL1292"/>
      <c r="BM1292"/>
      <c r="BN1292"/>
      <c r="BO1292"/>
      <c r="BP1292"/>
      <c r="BQ1292"/>
      <c r="BR1292"/>
      <c r="BS1292"/>
      <c r="BT1292"/>
      <c r="BU1292"/>
      <c r="BV1292"/>
      <c r="BW1292"/>
      <c r="BX1292"/>
      <c r="BY1292"/>
      <c r="BZ1292"/>
      <c r="CA1292"/>
      <c r="CB1292"/>
      <c r="CC1292"/>
      <c r="CD1292"/>
      <c r="CE1292"/>
      <c r="CF1292"/>
      <c r="CG1292"/>
      <c r="CH1292"/>
    </row>
    <row r="1293" spans="1:86" x14ac:dyDescent="0.2">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c r="AQ1293"/>
      <c r="AR1293"/>
      <c r="AS1293"/>
      <c r="AT1293"/>
      <c r="AU1293"/>
      <c r="AV1293"/>
      <c r="AW1293"/>
      <c r="AX1293"/>
      <c r="AY1293"/>
      <c r="AZ1293"/>
      <c r="BA1293"/>
      <c r="BB1293"/>
      <c r="BC1293"/>
      <c r="BD1293"/>
      <c r="BE1293"/>
      <c r="BF1293"/>
      <c r="BG1293"/>
      <c r="BH1293"/>
      <c r="BI1293"/>
      <c r="BJ1293"/>
      <c r="BK1293"/>
      <c r="BL1293"/>
      <c r="BM1293"/>
      <c r="BN1293"/>
      <c r="BO1293"/>
      <c r="BP1293"/>
      <c r="BQ1293"/>
      <c r="BR1293"/>
      <c r="BS1293"/>
      <c r="BT1293"/>
      <c r="BU1293"/>
      <c r="BV1293"/>
      <c r="BW1293"/>
      <c r="BX1293"/>
      <c r="BY1293"/>
      <c r="BZ1293"/>
      <c r="CA1293"/>
      <c r="CB1293"/>
      <c r="CC1293"/>
      <c r="CD1293"/>
      <c r="CE1293"/>
      <c r="CF1293"/>
      <c r="CG1293"/>
      <c r="CH1293"/>
    </row>
    <row r="1294" spans="1:86" x14ac:dyDescent="0.2">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c r="AU1294"/>
      <c r="AV1294"/>
      <c r="AW1294"/>
      <c r="AX1294"/>
      <c r="AY1294"/>
      <c r="AZ1294"/>
      <c r="BA1294"/>
      <c r="BB1294"/>
      <c r="BC1294"/>
      <c r="BD1294"/>
      <c r="BE1294"/>
      <c r="BF1294"/>
      <c r="BG1294"/>
      <c r="BH1294"/>
      <c r="BI1294"/>
      <c r="BJ1294"/>
      <c r="BK1294"/>
      <c r="BL1294"/>
      <c r="BM1294"/>
      <c r="BN1294"/>
      <c r="BO1294"/>
      <c r="BP1294"/>
      <c r="BQ1294"/>
      <c r="BR1294"/>
      <c r="BS1294"/>
      <c r="BT1294"/>
      <c r="BU1294"/>
      <c r="BV1294"/>
      <c r="BW1294"/>
      <c r="BX1294"/>
      <c r="BY1294"/>
      <c r="BZ1294"/>
      <c r="CA1294"/>
      <c r="CB1294"/>
      <c r="CC1294"/>
      <c r="CD1294"/>
      <c r="CE1294"/>
      <c r="CF1294"/>
      <c r="CG1294"/>
      <c r="CH1294"/>
    </row>
    <row r="1295" spans="1:86" x14ac:dyDescent="0.2">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c r="AU1295"/>
      <c r="AV1295"/>
      <c r="AW1295"/>
      <c r="AX1295"/>
      <c r="AY1295"/>
      <c r="AZ1295"/>
      <c r="BA1295"/>
      <c r="BB1295"/>
      <c r="BC1295"/>
      <c r="BD1295"/>
      <c r="BE1295"/>
      <c r="BF1295"/>
      <c r="BG1295"/>
      <c r="BH1295"/>
      <c r="BI1295"/>
      <c r="BJ1295"/>
      <c r="BK1295"/>
      <c r="BL1295"/>
      <c r="BM1295"/>
      <c r="BN1295"/>
      <c r="BO1295"/>
      <c r="BP1295"/>
      <c r="BQ1295"/>
      <c r="BR1295"/>
      <c r="BS1295"/>
      <c r="BT1295"/>
      <c r="BU1295"/>
      <c r="BV1295"/>
      <c r="BW1295"/>
      <c r="BX1295"/>
      <c r="BY1295"/>
      <c r="BZ1295"/>
      <c r="CA1295"/>
      <c r="CB1295"/>
      <c r="CC1295"/>
      <c r="CD1295"/>
      <c r="CE1295"/>
      <c r="CF1295"/>
      <c r="CG1295"/>
      <c r="CH1295"/>
    </row>
    <row r="1296" spans="1:86" x14ac:dyDescent="0.2">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c r="AU1296"/>
      <c r="AV1296"/>
      <c r="AW1296"/>
      <c r="AX1296"/>
      <c r="AY1296"/>
      <c r="AZ1296"/>
      <c r="BA1296"/>
      <c r="BB1296"/>
      <c r="BC1296"/>
      <c r="BD1296"/>
      <c r="BE1296"/>
      <c r="BF1296"/>
      <c r="BG1296"/>
      <c r="BH1296"/>
      <c r="BI1296"/>
      <c r="BJ1296"/>
      <c r="BK1296"/>
      <c r="BL1296"/>
      <c r="BM1296"/>
      <c r="BN1296"/>
      <c r="BO1296"/>
      <c r="BP1296"/>
      <c r="BQ1296"/>
      <c r="BR1296"/>
      <c r="BS1296"/>
      <c r="BT1296"/>
      <c r="BU1296"/>
      <c r="BV1296"/>
      <c r="BW1296"/>
      <c r="BX1296"/>
      <c r="BY1296"/>
      <c r="BZ1296"/>
      <c r="CA1296"/>
      <c r="CB1296"/>
      <c r="CC1296"/>
      <c r="CD1296"/>
      <c r="CE1296"/>
      <c r="CF1296"/>
      <c r="CG1296"/>
      <c r="CH1296"/>
    </row>
    <row r="1297" spans="1:86" x14ac:dyDescent="0.2">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c r="AU1297"/>
      <c r="AV1297"/>
      <c r="AW1297"/>
      <c r="AX1297"/>
      <c r="AY1297"/>
      <c r="AZ1297"/>
      <c r="BA1297"/>
      <c r="BB1297"/>
      <c r="BC1297"/>
      <c r="BD1297"/>
      <c r="BE1297"/>
      <c r="BF1297"/>
      <c r="BG1297"/>
      <c r="BH1297"/>
      <c r="BI1297"/>
      <c r="BJ1297"/>
      <c r="BK1297"/>
      <c r="BL1297"/>
      <c r="BM1297"/>
      <c r="BN1297"/>
      <c r="BO1297"/>
      <c r="BP1297"/>
      <c r="BQ1297"/>
      <c r="BR1297"/>
      <c r="BS1297"/>
      <c r="BT1297"/>
      <c r="BU1297"/>
      <c r="BV1297"/>
      <c r="BW1297"/>
      <c r="BX1297"/>
      <c r="BY1297"/>
      <c r="BZ1297"/>
      <c r="CA1297"/>
      <c r="CB1297"/>
      <c r="CC1297"/>
      <c r="CD1297"/>
      <c r="CE1297"/>
      <c r="CF1297"/>
      <c r="CG1297"/>
      <c r="CH1297"/>
    </row>
    <row r="1298" spans="1:86" x14ac:dyDescent="0.2">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c r="AU1298"/>
      <c r="AV1298"/>
      <c r="AW1298"/>
      <c r="AX1298"/>
      <c r="AY1298"/>
      <c r="AZ1298"/>
      <c r="BA1298"/>
      <c r="BB1298"/>
      <c r="BC1298"/>
      <c r="BD1298"/>
      <c r="BE1298"/>
      <c r="BF1298"/>
      <c r="BG1298"/>
      <c r="BH1298"/>
      <c r="BI1298"/>
      <c r="BJ1298"/>
      <c r="BK1298"/>
      <c r="BL1298"/>
      <c r="BM1298"/>
      <c r="BN1298"/>
      <c r="BO1298"/>
      <c r="BP1298"/>
      <c r="BQ1298"/>
      <c r="BR1298"/>
      <c r="BS1298"/>
      <c r="BT1298"/>
      <c r="BU1298"/>
      <c r="BV1298"/>
      <c r="BW1298"/>
      <c r="BX1298"/>
      <c r="BY1298"/>
      <c r="BZ1298"/>
      <c r="CA1298"/>
      <c r="CB1298"/>
      <c r="CC1298"/>
      <c r="CD1298"/>
      <c r="CE1298"/>
      <c r="CF1298"/>
      <c r="CG1298"/>
      <c r="CH1298"/>
    </row>
    <row r="1299" spans="1:86" x14ac:dyDescent="0.2">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c r="AU1299"/>
      <c r="AV1299"/>
      <c r="AW1299"/>
      <c r="AX1299"/>
      <c r="AY1299"/>
      <c r="AZ1299"/>
      <c r="BA1299"/>
      <c r="BB1299"/>
      <c r="BC1299"/>
      <c r="BD1299"/>
      <c r="BE1299"/>
      <c r="BF1299"/>
      <c r="BG1299"/>
      <c r="BH1299"/>
      <c r="BI1299"/>
      <c r="BJ1299"/>
      <c r="BK1299"/>
      <c r="BL1299"/>
      <c r="BM1299"/>
      <c r="BN1299"/>
      <c r="BO1299"/>
      <c r="BP1299"/>
      <c r="BQ1299"/>
      <c r="BR1299"/>
      <c r="BS1299"/>
      <c r="BT1299"/>
      <c r="BU1299"/>
      <c r="BV1299"/>
      <c r="BW1299"/>
      <c r="BX1299"/>
      <c r="BY1299"/>
      <c r="BZ1299"/>
      <c r="CA1299"/>
      <c r="CB1299"/>
      <c r="CC1299"/>
      <c r="CD1299"/>
      <c r="CE1299"/>
      <c r="CF1299"/>
      <c r="CG1299"/>
      <c r="CH1299"/>
    </row>
    <row r="1300" spans="1:86" x14ac:dyDescent="0.2">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c r="AU1300"/>
      <c r="AV1300"/>
      <c r="AW1300"/>
      <c r="AX1300"/>
      <c r="AY1300"/>
      <c r="AZ1300"/>
      <c r="BA1300"/>
      <c r="BB1300"/>
      <c r="BC1300"/>
      <c r="BD1300"/>
      <c r="BE1300"/>
      <c r="BF1300"/>
      <c r="BG1300"/>
      <c r="BH1300"/>
      <c r="BI1300"/>
      <c r="BJ1300"/>
      <c r="BK1300"/>
      <c r="BL1300"/>
      <c r="BM1300"/>
      <c r="BN1300"/>
      <c r="BO1300"/>
      <c r="BP1300"/>
      <c r="BQ1300"/>
      <c r="BR1300"/>
      <c r="BS1300"/>
      <c r="BT1300"/>
      <c r="BU1300"/>
      <c r="BV1300"/>
      <c r="BW1300"/>
      <c r="BX1300"/>
      <c r="BY1300"/>
      <c r="BZ1300"/>
      <c r="CA1300"/>
      <c r="CB1300"/>
      <c r="CC1300"/>
      <c r="CD1300"/>
      <c r="CE1300"/>
      <c r="CF1300"/>
      <c r="CG1300"/>
      <c r="CH1300"/>
    </row>
    <row r="1301" spans="1:86" x14ac:dyDescent="0.2">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c r="AU1301"/>
      <c r="AV1301"/>
      <c r="AW1301"/>
      <c r="AX1301"/>
      <c r="AY1301"/>
      <c r="AZ1301"/>
      <c r="BA1301"/>
      <c r="BB1301"/>
      <c r="BC1301"/>
      <c r="BD1301"/>
      <c r="BE1301"/>
      <c r="BF1301"/>
      <c r="BG1301"/>
      <c r="BH1301"/>
      <c r="BI1301"/>
      <c r="BJ1301"/>
      <c r="BK1301"/>
      <c r="BL1301"/>
      <c r="BM1301"/>
      <c r="BN1301"/>
      <c r="BO1301"/>
      <c r="BP1301"/>
      <c r="BQ1301"/>
      <c r="BR1301"/>
      <c r="BS1301"/>
      <c r="BT1301"/>
      <c r="BU1301"/>
      <c r="BV1301"/>
      <c r="BW1301"/>
      <c r="BX1301"/>
      <c r="BY1301"/>
      <c r="BZ1301"/>
      <c r="CA1301"/>
      <c r="CB1301"/>
      <c r="CC1301"/>
      <c r="CD1301"/>
      <c r="CE1301"/>
      <c r="CF1301"/>
      <c r="CG1301"/>
      <c r="CH1301"/>
    </row>
    <row r="1302" spans="1:86" x14ac:dyDescent="0.2">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row>
    <row r="1303" spans="1:86" x14ac:dyDescent="0.2">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row>
    <row r="1304" spans="1:86" x14ac:dyDescent="0.2">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c r="BL1304"/>
      <c r="BM1304"/>
      <c r="BN1304"/>
      <c r="BO1304"/>
      <c r="BP1304"/>
      <c r="BQ1304"/>
      <c r="BR1304"/>
      <c r="BS1304"/>
      <c r="BT1304"/>
      <c r="BU1304"/>
      <c r="BV1304"/>
      <c r="BW1304"/>
      <c r="BX1304"/>
      <c r="BY1304"/>
      <c r="BZ1304"/>
      <c r="CA1304"/>
      <c r="CB1304"/>
      <c r="CC1304"/>
      <c r="CD1304"/>
      <c r="CE1304"/>
      <c r="CF1304"/>
      <c r="CG1304"/>
      <c r="CH1304"/>
    </row>
    <row r="1305" spans="1:86" x14ac:dyDescent="0.2">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c r="AU1305"/>
      <c r="AV1305"/>
      <c r="AW1305"/>
      <c r="AX1305"/>
      <c r="AY1305"/>
      <c r="AZ1305"/>
      <c r="BA1305"/>
      <c r="BB1305"/>
      <c r="BC1305"/>
      <c r="BD1305"/>
      <c r="BE1305"/>
      <c r="BF1305"/>
      <c r="BG1305"/>
      <c r="BH1305"/>
      <c r="BI1305"/>
      <c r="BJ1305"/>
      <c r="BK1305"/>
      <c r="BL1305"/>
      <c r="BM1305"/>
      <c r="BN1305"/>
      <c r="BO1305"/>
      <c r="BP1305"/>
      <c r="BQ1305"/>
      <c r="BR1305"/>
      <c r="BS1305"/>
      <c r="BT1305"/>
      <c r="BU1305"/>
      <c r="BV1305"/>
      <c r="BW1305"/>
      <c r="BX1305"/>
      <c r="BY1305"/>
      <c r="BZ1305"/>
      <c r="CA1305"/>
      <c r="CB1305"/>
      <c r="CC1305"/>
      <c r="CD1305"/>
      <c r="CE1305"/>
      <c r="CF1305"/>
      <c r="CG1305"/>
      <c r="CH1305"/>
    </row>
    <row r="1306" spans="1:86" x14ac:dyDescent="0.2">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c r="AU1306"/>
      <c r="AV1306"/>
      <c r="AW1306"/>
      <c r="AX1306"/>
      <c r="AY1306"/>
      <c r="AZ1306"/>
      <c r="BA1306"/>
      <c r="BB1306"/>
      <c r="BC1306"/>
      <c r="BD1306"/>
      <c r="BE1306"/>
      <c r="BF1306"/>
      <c r="BG1306"/>
      <c r="BH1306"/>
      <c r="BI1306"/>
      <c r="BJ1306"/>
      <c r="BK1306"/>
      <c r="BL1306"/>
      <c r="BM1306"/>
      <c r="BN1306"/>
      <c r="BO1306"/>
      <c r="BP1306"/>
      <c r="BQ1306"/>
      <c r="BR1306"/>
      <c r="BS1306"/>
      <c r="BT1306"/>
      <c r="BU1306"/>
      <c r="BV1306"/>
      <c r="BW1306"/>
      <c r="BX1306"/>
      <c r="BY1306"/>
      <c r="BZ1306"/>
      <c r="CA1306"/>
      <c r="CB1306"/>
      <c r="CC1306"/>
      <c r="CD1306"/>
      <c r="CE1306"/>
      <c r="CF1306"/>
      <c r="CG1306"/>
      <c r="CH1306"/>
    </row>
    <row r="1307" spans="1:86" x14ac:dyDescent="0.2">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c r="AU1307"/>
      <c r="AV1307"/>
      <c r="AW1307"/>
      <c r="AX1307"/>
      <c r="AY1307"/>
      <c r="AZ1307"/>
      <c r="BA1307"/>
      <c r="BB1307"/>
      <c r="BC1307"/>
      <c r="BD1307"/>
      <c r="BE1307"/>
      <c r="BF1307"/>
      <c r="BG1307"/>
      <c r="BH1307"/>
      <c r="BI1307"/>
      <c r="BJ1307"/>
      <c r="BK1307"/>
      <c r="BL1307"/>
      <c r="BM1307"/>
      <c r="BN1307"/>
      <c r="BO1307"/>
      <c r="BP1307"/>
      <c r="BQ1307"/>
      <c r="BR1307"/>
      <c r="BS1307"/>
      <c r="BT1307"/>
      <c r="BU1307"/>
      <c r="BV1307"/>
      <c r="BW1307"/>
      <c r="BX1307"/>
      <c r="BY1307"/>
      <c r="BZ1307"/>
      <c r="CA1307"/>
      <c r="CB1307"/>
      <c r="CC1307"/>
      <c r="CD1307"/>
      <c r="CE1307"/>
      <c r="CF1307"/>
      <c r="CG1307"/>
      <c r="CH1307"/>
    </row>
    <row r="1308" spans="1:86" x14ac:dyDescent="0.2">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c r="AU1308"/>
      <c r="AV1308"/>
      <c r="AW1308"/>
      <c r="AX1308"/>
      <c r="AY1308"/>
      <c r="AZ1308"/>
      <c r="BA1308"/>
      <c r="BB1308"/>
      <c r="BC1308"/>
      <c r="BD1308"/>
      <c r="BE1308"/>
      <c r="BF1308"/>
      <c r="BG1308"/>
      <c r="BH1308"/>
      <c r="BI1308"/>
      <c r="BJ1308"/>
      <c r="BK1308"/>
      <c r="BL1308"/>
      <c r="BM1308"/>
      <c r="BN1308"/>
      <c r="BO1308"/>
      <c r="BP1308"/>
      <c r="BQ1308"/>
      <c r="BR1308"/>
      <c r="BS1308"/>
      <c r="BT1308"/>
      <c r="BU1308"/>
      <c r="BV1308"/>
      <c r="BW1308"/>
      <c r="BX1308"/>
      <c r="BY1308"/>
      <c r="BZ1308"/>
      <c r="CA1308"/>
      <c r="CB1308"/>
      <c r="CC1308"/>
      <c r="CD1308"/>
      <c r="CE1308"/>
      <c r="CF1308"/>
      <c r="CG1308"/>
      <c r="CH1308"/>
    </row>
    <row r="1309" spans="1:86" x14ac:dyDescent="0.2">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c r="AU1309"/>
      <c r="AV1309"/>
      <c r="AW1309"/>
      <c r="AX1309"/>
      <c r="AY1309"/>
      <c r="AZ1309"/>
      <c r="BA1309"/>
      <c r="BB1309"/>
      <c r="BC1309"/>
      <c r="BD1309"/>
      <c r="BE1309"/>
      <c r="BF1309"/>
      <c r="BG1309"/>
      <c r="BH1309"/>
      <c r="BI1309"/>
      <c r="BJ1309"/>
      <c r="BK1309"/>
      <c r="BL1309"/>
      <c r="BM1309"/>
      <c r="BN1309"/>
      <c r="BO1309"/>
      <c r="BP1309"/>
      <c r="BQ1309"/>
      <c r="BR1309"/>
      <c r="BS1309"/>
      <c r="BT1309"/>
      <c r="BU1309"/>
      <c r="BV1309"/>
      <c r="BW1309"/>
      <c r="BX1309"/>
      <c r="BY1309"/>
      <c r="BZ1309"/>
      <c r="CA1309"/>
      <c r="CB1309"/>
      <c r="CC1309"/>
      <c r="CD1309"/>
      <c r="CE1309"/>
      <c r="CF1309"/>
      <c r="CG1309"/>
      <c r="CH1309"/>
    </row>
    <row r="1310" spans="1:86" x14ac:dyDescent="0.2">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c r="AU1310"/>
      <c r="AV1310"/>
      <c r="AW1310"/>
      <c r="AX1310"/>
      <c r="AY1310"/>
      <c r="AZ1310"/>
      <c r="BA1310"/>
      <c r="BB1310"/>
      <c r="BC1310"/>
      <c r="BD1310"/>
      <c r="BE1310"/>
      <c r="BF1310"/>
      <c r="BG1310"/>
      <c r="BH1310"/>
      <c r="BI1310"/>
      <c r="BJ1310"/>
      <c r="BK1310"/>
      <c r="BL1310"/>
      <c r="BM1310"/>
      <c r="BN1310"/>
      <c r="BO1310"/>
      <c r="BP1310"/>
      <c r="BQ1310"/>
      <c r="BR1310"/>
      <c r="BS1310"/>
      <c r="BT1310"/>
      <c r="BU1310"/>
      <c r="BV1310"/>
      <c r="BW1310"/>
      <c r="BX1310"/>
      <c r="BY1310"/>
      <c r="BZ1310"/>
      <c r="CA1310"/>
      <c r="CB1310"/>
      <c r="CC1310"/>
      <c r="CD1310"/>
      <c r="CE1310"/>
      <c r="CF1310"/>
      <c r="CG1310"/>
      <c r="CH1310"/>
    </row>
    <row r="1311" spans="1:86" x14ac:dyDescent="0.2">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c r="AU1311"/>
      <c r="AV1311"/>
      <c r="AW1311"/>
      <c r="AX1311"/>
      <c r="AY1311"/>
      <c r="AZ1311"/>
      <c r="BA1311"/>
      <c r="BB1311"/>
      <c r="BC1311"/>
      <c r="BD1311"/>
      <c r="BE1311"/>
      <c r="BF1311"/>
      <c r="BG1311"/>
      <c r="BH1311"/>
      <c r="BI1311"/>
      <c r="BJ1311"/>
      <c r="BK1311"/>
      <c r="BL1311"/>
      <c r="BM1311"/>
      <c r="BN1311"/>
      <c r="BO1311"/>
      <c r="BP1311"/>
      <c r="BQ1311"/>
      <c r="BR1311"/>
      <c r="BS1311"/>
      <c r="BT1311"/>
      <c r="BU1311"/>
      <c r="BV1311"/>
      <c r="BW1311"/>
      <c r="BX1311"/>
      <c r="BY1311"/>
      <c r="BZ1311"/>
      <c r="CA1311"/>
      <c r="CB1311"/>
      <c r="CC1311"/>
      <c r="CD1311"/>
      <c r="CE1311"/>
      <c r="CF1311"/>
      <c r="CG1311"/>
      <c r="CH1311"/>
    </row>
    <row r="1312" spans="1:86" x14ac:dyDescent="0.2">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c r="AU1312"/>
      <c r="AV1312"/>
      <c r="AW1312"/>
      <c r="AX1312"/>
      <c r="AY1312"/>
      <c r="AZ1312"/>
      <c r="BA1312"/>
      <c r="BB1312"/>
      <c r="BC1312"/>
      <c r="BD1312"/>
      <c r="BE1312"/>
      <c r="BF1312"/>
      <c r="BG1312"/>
      <c r="BH1312"/>
      <c r="BI1312"/>
      <c r="BJ1312"/>
      <c r="BK1312"/>
      <c r="BL1312"/>
      <c r="BM1312"/>
      <c r="BN1312"/>
      <c r="BO1312"/>
      <c r="BP1312"/>
      <c r="BQ1312"/>
      <c r="BR1312"/>
      <c r="BS1312"/>
      <c r="BT1312"/>
      <c r="BU1312"/>
      <c r="BV1312"/>
      <c r="BW1312"/>
      <c r="BX1312"/>
      <c r="BY1312"/>
      <c r="BZ1312"/>
      <c r="CA1312"/>
      <c r="CB1312"/>
      <c r="CC1312"/>
      <c r="CD1312"/>
      <c r="CE1312"/>
      <c r="CF1312"/>
      <c r="CG1312"/>
      <c r="CH1312"/>
    </row>
    <row r="1313" spans="1:86" x14ac:dyDescent="0.2">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c r="AU1313"/>
      <c r="AV1313"/>
      <c r="AW1313"/>
      <c r="AX1313"/>
      <c r="AY1313"/>
      <c r="AZ1313"/>
      <c r="BA1313"/>
      <c r="BB1313"/>
      <c r="BC1313"/>
      <c r="BD1313"/>
      <c r="BE1313"/>
      <c r="BF1313"/>
      <c r="BG1313"/>
      <c r="BH1313"/>
      <c r="BI1313"/>
      <c r="BJ1313"/>
      <c r="BK1313"/>
      <c r="BL1313"/>
      <c r="BM1313"/>
      <c r="BN1313"/>
      <c r="BO1313"/>
      <c r="BP1313"/>
      <c r="BQ1313"/>
      <c r="BR1313"/>
      <c r="BS1313"/>
      <c r="BT1313"/>
      <c r="BU1313"/>
      <c r="BV1313"/>
      <c r="BW1313"/>
      <c r="BX1313"/>
      <c r="BY1313"/>
      <c r="BZ1313"/>
      <c r="CA1313"/>
      <c r="CB1313"/>
      <c r="CC1313"/>
      <c r="CD1313"/>
      <c r="CE1313"/>
      <c r="CF1313"/>
      <c r="CG1313"/>
      <c r="CH1313"/>
    </row>
    <row r="1314" spans="1:86" x14ac:dyDescent="0.2">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c r="AU1314"/>
      <c r="AV1314"/>
      <c r="AW1314"/>
      <c r="AX1314"/>
      <c r="AY1314"/>
      <c r="AZ1314"/>
      <c r="BA1314"/>
      <c r="BB1314"/>
      <c r="BC1314"/>
      <c r="BD1314"/>
      <c r="BE1314"/>
      <c r="BF1314"/>
      <c r="BG1314"/>
      <c r="BH1314"/>
      <c r="BI1314"/>
      <c r="BJ1314"/>
      <c r="BK1314"/>
      <c r="BL1314"/>
      <c r="BM1314"/>
      <c r="BN1314"/>
      <c r="BO1314"/>
      <c r="BP1314"/>
      <c r="BQ1314"/>
      <c r="BR1314"/>
      <c r="BS1314"/>
      <c r="BT1314"/>
      <c r="BU1314"/>
      <c r="BV1314"/>
      <c r="BW1314"/>
      <c r="BX1314"/>
      <c r="BY1314"/>
      <c r="BZ1314"/>
      <c r="CA1314"/>
      <c r="CB1314"/>
      <c r="CC1314"/>
      <c r="CD1314"/>
      <c r="CE1314"/>
      <c r="CF1314"/>
      <c r="CG1314"/>
      <c r="CH1314"/>
    </row>
    <row r="1315" spans="1:86" x14ac:dyDescent="0.2">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c r="AU1315"/>
      <c r="AV1315"/>
      <c r="AW1315"/>
      <c r="AX1315"/>
      <c r="AY1315"/>
      <c r="AZ1315"/>
      <c r="BA1315"/>
      <c r="BB1315"/>
      <c r="BC1315"/>
      <c r="BD1315"/>
      <c r="BE1315"/>
      <c r="BF1315"/>
      <c r="BG1315"/>
      <c r="BH1315"/>
      <c r="BI1315"/>
      <c r="BJ1315"/>
      <c r="BK1315"/>
      <c r="BL1315"/>
      <c r="BM1315"/>
      <c r="BN1315"/>
      <c r="BO1315"/>
      <c r="BP1315"/>
      <c r="BQ1315"/>
      <c r="BR1315"/>
      <c r="BS1315"/>
      <c r="BT1315"/>
      <c r="BU1315"/>
      <c r="BV1315"/>
      <c r="BW1315"/>
      <c r="BX1315"/>
      <c r="BY1315"/>
      <c r="BZ1315"/>
      <c r="CA1315"/>
      <c r="CB1315"/>
      <c r="CC1315"/>
      <c r="CD1315"/>
      <c r="CE1315"/>
      <c r="CF1315"/>
      <c r="CG1315"/>
      <c r="CH1315"/>
    </row>
    <row r="1316" spans="1:86" x14ac:dyDescent="0.2">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c r="AU1316"/>
      <c r="AV1316"/>
      <c r="AW1316"/>
      <c r="AX1316"/>
      <c r="AY1316"/>
      <c r="AZ1316"/>
      <c r="BA1316"/>
      <c r="BB1316"/>
      <c r="BC1316"/>
      <c r="BD1316"/>
      <c r="BE1316"/>
      <c r="BF1316"/>
      <c r="BG1316"/>
      <c r="BH1316"/>
      <c r="BI1316"/>
      <c r="BJ1316"/>
      <c r="BK1316"/>
      <c r="BL1316"/>
      <c r="BM1316"/>
      <c r="BN1316"/>
      <c r="BO1316"/>
      <c r="BP1316"/>
      <c r="BQ1316"/>
      <c r="BR1316"/>
      <c r="BS1316"/>
      <c r="BT1316"/>
      <c r="BU1316"/>
      <c r="BV1316"/>
      <c r="BW1316"/>
      <c r="BX1316"/>
      <c r="BY1316"/>
      <c r="BZ1316"/>
      <c r="CA1316"/>
      <c r="CB1316"/>
      <c r="CC1316"/>
      <c r="CD1316"/>
      <c r="CE1316"/>
      <c r="CF1316"/>
      <c r="CG1316"/>
      <c r="CH1316"/>
    </row>
    <row r="1317" spans="1:86" x14ac:dyDescent="0.2">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c r="AU1317"/>
      <c r="AV1317"/>
      <c r="AW1317"/>
      <c r="AX1317"/>
      <c r="AY1317"/>
      <c r="AZ1317"/>
      <c r="BA1317"/>
      <c r="BB1317"/>
      <c r="BC1317"/>
      <c r="BD1317"/>
      <c r="BE1317"/>
      <c r="BF1317"/>
      <c r="BG1317"/>
      <c r="BH1317"/>
      <c r="BI1317"/>
      <c r="BJ1317"/>
      <c r="BK1317"/>
      <c r="BL1317"/>
      <c r="BM1317"/>
      <c r="BN1317"/>
      <c r="BO1317"/>
      <c r="BP1317"/>
      <c r="BQ1317"/>
      <c r="BR1317"/>
      <c r="BS1317"/>
      <c r="BT1317"/>
      <c r="BU1317"/>
      <c r="BV1317"/>
      <c r="BW1317"/>
      <c r="BX1317"/>
      <c r="BY1317"/>
      <c r="BZ1317"/>
      <c r="CA1317"/>
      <c r="CB1317"/>
      <c r="CC1317"/>
      <c r="CD1317"/>
      <c r="CE1317"/>
      <c r="CF1317"/>
      <c r="CG1317"/>
      <c r="CH1317"/>
    </row>
    <row r="1318" spans="1:86" x14ac:dyDescent="0.2">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c r="AU1318"/>
      <c r="AV1318"/>
      <c r="AW1318"/>
      <c r="AX1318"/>
      <c r="AY1318"/>
      <c r="AZ1318"/>
      <c r="BA1318"/>
      <c r="BB1318"/>
      <c r="BC1318"/>
      <c r="BD1318"/>
      <c r="BE1318"/>
      <c r="BF1318"/>
      <c r="BG1318"/>
      <c r="BH1318"/>
      <c r="BI1318"/>
      <c r="BJ1318"/>
      <c r="BK1318"/>
      <c r="BL1318"/>
      <c r="BM1318"/>
      <c r="BN1318"/>
      <c r="BO1318"/>
      <c r="BP1318"/>
      <c r="BQ1318"/>
      <c r="BR1318"/>
      <c r="BS1318"/>
      <c r="BT1318"/>
      <c r="BU1318"/>
      <c r="BV1318"/>
      <c r="BW1318"/>
      <c r="BX1318"/>
      <c r="BY1318"/>
      <c r="BZ1318"/>
      <c r="CA1318"/>
      <c r="CB1318"/>
      <c r="CC1318"/>
      <c r="CD1318"/>
      <c r="CE1318"/>
      <c r="CF1318"/>
      <c r="CG1318"/>
      <c r="CH1318"/>
    </row>
    <row r="1319" spans="1:86" x14ac:dyDescent="0.2">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c r="AU1319"/>
      <c r="AV1319"/>
      <c r="AW1319"/>
      <c r="AX1319"/>
      <c r="AY1319"/>
      <c r="AZ1319"/>
      <c r="BA1319"/>
      <c r="BB1319"/>
      <c r="BC1319"/>
      <c r="BD1319"/>
      <c r="BE1319"/>
      <c r="BF1319"/>
      <c r="BG1319"/>
      <c r="BH1319"/>
      <c r="BI1319"/>
      <c r="BJ1319"/>
      <c r="BK1319"/>
      <c r="BL1319"/>
      <c r="BM1319"/>
      <c r="BN1319"/>
      <c r="BO1319"/>
      <c r="BP1319"/>
      <c r="BQ1319"/>
      <c r="BR1319"/>
      <c r="BS1319"/>
      <c r="BT1319"/>
      <c r="BU1319"/>
      <c r="BV1319"/>
      <c r="BW1319"/>
      <c r="BX1319"/>
      <c r="BY1319"/>
      <c r="BZ1319"/>
      <c r="CA1319"/>
      <c r="CB1319"/>
      <c r="CC1319"/>
      <c r="CD1319"/>
      <c r="CE1319"/>
      <c r="CF1319"/>
      <c r="CG1319"/>
      <c r="CH1319"/>
    </row>
    <row r="1320" spans="1:86" x14ac:dyDescent="0.2">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c r="AU1320"/>
      <c r="AV1320"/>
      <c r="AW1320"/>
      <c r="AX1320"/>
      <c r="AY1320"/>
      <c r="AZ1320"/>
      <c r="BA1320"/>
      <c r="BB1320"/>
      <c r="BC1320"/>
      <c r="BD1320"/>
      <c r="BE1320"/>
      <c r="BF1320"/>
      <c r="BG1320"/>
      <c r="BH1320"/>
      <c r="BI1320"/>
      <c r="BJ1320"/>
      <c r="BK1320"/>
      <c r="BL1320"/>
      <c r="BM1320"/>
      <c r="BN1320"/>
      <c r="BO1320"/>
      <c r="BP1320"/>
      <c r="BQ1320"/>
      <c r="BR1320"/>
      <c r="BS1320"/>
      <c r="BT1320"/>
      <c r="BU1320"/>
      <c r="BV1320"/>
      <c r="BW1320"/>
      <c r="BX1320"/>
      <c r="BY1320"/>
      <c r="BZ1320"/>
      <c r="CA1320"/>
      <c r="CB1320"/>
      <c r="CC1320"/>
      <c r="CD1320"/>
      <c r="CE1320"/>
      <c r="CF1320"/>
      <c r="CG1320"/>
      <c r="CH1320"/>
    </row>
    <row r="1321" spans="1:86" x14ac:dyDescent="0.2">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c r="AU1321"/>
      <c r="AV1321"/>
      <c r="AW1321"/>
      <c r="AX1321"/>
      <c r="AY1321"/>
      <c r="AZ1321"/>
      <c r="BA1321"/>
      <c r="BB1321"/>
      <c r="BC1321"/>
      <c r="BD1321"/>
      <c r="BE1321"/>
      <c r="BF1321"/>
      <c r="BG1321"/>
      <c r="BH1321"/>
      <c r="BI1321"/>
      <c r="BJ1321"/>
      <c r="BK1321"/>
      <c r="BL1321"/>
      <c r="BM1321"/>
      <c r="BN1321"/>
      <c r="BO1321"/>
      <c r="BP1321"/>
      <c r="BQ1321"/>
      <c r="BR1321"/>
      <c r="BS1321"/>
      <c r="BT1321"/>
      <c r="BU1321"/>
      <c r="BV1321"/>
      <c r="BW1321"/>
      <c r="BX1321"/>
      <c r="BY1321"/>
      <c r="BZ1321"/>
      <c r="CA1321"/>
      <c r="CB1321"/>
      <c r="CC1321"/>
      <c r="CD1321"/>
      <c r="CE1321"/>
      <c r="CF1321"/>
      <c r="CG1321"/>
      <c r="CH1321"/>
    </row>
    <row r="1322" spans="1:86" x14ac:dyDescent="0.2">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c r="AU1322"/>
      <c r="AV1322"/>
      <c r="AW1322"/>
      <c r="AX1322"/>
      <c r="AY1322"/>
      <c r="AZ1322"/>
      <c r="BA1322"/>
      <c r="BB1322"/>
      <c r="BC1322"/>
      <c r="BD1322"/>
      <c r="BE1322"/>
      <c r="BF1322"/>
      <c r="BG1322"/>
      <c r="BH1322"/>
      <c r="BI1322"/>
      <c r="BJ1322"/>
      <c r="BK1322"/>
      <c r="BL1322"/>
      <c r="BM1322"/>
      <c r="BN1322"/>
      <c r="BO1322"/>
      <c r="BP1322"/>
      <c r="BQ1322"/>
      <c r="BR1322"/>
      <c r="BS1322"/>
      <c r="BT1322"/>
      <c r="BU1322"/>
      <c r="BV1322"/>
      <c r="BW1322"/>
      <c r="BX1322"/>
      <c r="BY1322"/>
      <c r="BZ1322"/>
      <c r="CA1322"/>
      <c r="CB1322"/>
      <c r="CC1322"/>
      <c r="CD1322"/>
      <c r="CE1322"/>
      <c r="CF1322"/>
      <c r="CG1322"/>
      <c r="CH1322"/>
    </row>
    <row r="1323" spans="1:86" x14ac:dyDescent="0.2">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c r="AU1323"/>
      <c r="AV1323"/>
      <c r="AW1323"/>
      <c r="AX1323"/>
      <c r="AY1323"/>
      <c r="AZ1323"/>
      <c r="BA1323"/>
      <c r="BB1323"/>
      <c r="BC1323"/>
      <c r="BD1323"/>
      <c r="BE1323"/>
      <c r="BF1323"/>
      <c r="BG1323"/>
      <c r="BH1323"/>
      <c r="BI1323"/>
      <c r="BJ1323"/>
      <c r="BK1323"/>
      <c r="BL1323"/>
      <c r="BM1323"/>
      <c r="BN1323"/>
      <c r="BO1323"/>
      <c r="BP1323"/>
      <c r="BQ1323"/>
      <c r="BR1323"/>
      <c r="BS1323"/>
      <c r="BT1323"/>
      <c r="BU1323"/>
      <c r="BV1323"/>
      <c r="BW1323"/>
      <c r="BX1323"/>
      <c r="BY1323"/>
      <c r="BZ1323"/>
      <c r="CA1323"/>
      <c r="CB1323"/>
      <c r="CC1323"/>
      <c r="CD1323"/>
      <c r="CE1323"/>
      <c r="CF1323"/>
      <c r="CG1323"/>
      <c r="CH1323"/>
    </row>
    <row r="1324" spans="1:86" x14ac:dyDescent="0.2">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c r="AU1324"/>
      <c r="AV1324"/>
      <c r="AW1324"/>
      <c r="AX1324"/>
      <c r="AY1324"/>
      <c r="AZ1324"/>
      <c r="BA1324"/>
      <c r="BB1324"/>
      <c r="BC1324"/>
      <c r="BD1324"/>
      <c r="BE1324"/>
      <c r="BF1324"/>
      <c r="BG1324"/>
      <c r="BH1324"/>
      <c r="BI1324"/>
      <c r="BJ1324"/>
      <c r="BK1324"/>
      <c r="BL1324"/>
      <c r="BM1324"/>
      <c r="BN1324"/>
      <c r="BO1324"/>
      <c r="BP1324"/>
      <c r="BQ1324"/>
      <c r="BR1324"/>
      <c r="BS1324"/>
      <c r="BT1324"/>
      <c r="BU1324"/>
      <c r="BV1324"/>
      <c r="BW1324"/>
      <c r="BX1324"/>
      <c r="BY1324"/>
      <c r="BZ1324"/>
      <c r="CA1324"/>
      <c r="CB1324"/>
      <c r="CC1324"/>
      <c r="CD1324"/>
      <c r="CE1324"/>
      <c r="CF1324"/>
      <c r="CG1324"/>
      <c r="CH1324"/>
    </row>
    <row r="1325" spans="1:86" x14ac:dyDescent="0.2">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c r="AU1325"/>
      <c r="AV1325"/>
      <c r="AW1325"/>
      <c r="AX1325"/>
      <c r="AY1325"/>
      <c r="AZ1325"/>
      <c r="BA1325"/>
      <c r="BB1325"/>
      <c r="BC1325"/>
      <c r="BD1325"/>
      <c r="BE1325"/>
      <c r="BF1325"/>
      <c r="BG1325"/>
      <c r="BH1325"/>
      <c r="BI1325"/>
      <c r="BJ1325"/>
      <c r="BK1325"/>
      <c r="BL1325"/>
      <c r="BM1325"/>
      <c r="BN1325"/>
      <c r="BO1325"/>
      <c r="BP1325"/>
      <c r="BQ1325"/>
      <c r="BR1325"/>
      <c r="BS1325"/>
      <c r="BT1325"/>
      <c r="BU1325"/>
      <c r="BV1325"/>
      <c r="BW1325"/>
      <c r="BX1325"/>
      <c r="BY1325"/>
      <c r="BZ1325"/>
      <c r="CA1325"/>
      <c r="CB1325"/>
      <c r="CC1325"/>
      <c r="CD1325"/>
      <c r="CE1325"/>
      <c r="CF1325"/>
      <c r="CG1325"/>
      <c r="CH1325"/>
    </row>
    <row r="1326" spans="1:86" x14ac:dyDescent="0.2">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c r="AU1326"/>
      <c r="AV1326"/>
      <c r="AW1326"/>
      <c r="AX1326"/>
      <c r="AY1326"/>
      <c r="AZ1326"/>
      <c r="BA1326"/>
      <c r="BB1326"/>
      <c r="BC1326"/>
      <c r="BD1326"/>
      <c r="BE1326"/>
      <c r="BF1326"/>
      <c r="BG1326"/>
      <c r="BH1326"/>
      <c r="BI1326"/>
      <c r="BJ1326"/>
      <c r="BK1326"/>
      <c r="BL1326"/>
      <c r="BM1326"/>
      <c r="BN1326"/>
      <c r="BO1326"/>
      <c r="BP1326"/>
      <c r="BQ1326"/>
      <c r="BR1326"/>
      <c r="BS1326"/>
      <c r="BT1326"/>
      <c r="BU1326"/>
      <c r="BV1326"/>
      <c r="BW1326"/>
      <c r="BX1326"/>
      <c r="BY1326"/>
      <c r="BZ1326"/>
      <c r="CA1326"/>
      <c r="CB1326"/>
      <c r="CC1326"/>
      <c r="CD1326"/>
      <c r="CE1326"/>
      <c r="CF1326"/>
      <c r="CG1326"/>
      <c r="CH1326"/>
    </row>
    <row r="1327" spans="1:86" x14ac:dyDescent="0.2">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c r="AU1327"/>
      <c r="AV1327"/>
      <c r="AW1327"/>
      <c r="AX1327"/>
      <c r="AY1327"/>
      <c r="AZ1327"/>
      <c r="BA1327"/>
      <c r="BB1327"/>
      <c r="BC1327"/>
      <c r="BD1327"/>
      <c r="BE1327"/>
      <c r="BF1327"/>
      <c r="BG1327"/>
      <c r="BH1327"/>
      <c r="BI1327"/>
      <c r="BJ1327"/>
      <c r="BK1327"/>
      <c r="BL1327"/>
      <c r="BM1327"/>
      <c r="BN1327"/>
      <c r="BO1327"/>
      <c r="BP1327"/>
      <c r="BQ1327"/>
      <c r="BR1327"/>
      <c r="BS1327"/>
      <c r="BT1327"/>
      <c r="BU1327"/>
      <c r="BV1327"/>
      <c r="BW1327"/>
      <c r="BX1327"/>
      <c r="BY1327"/>
      <c r="BZ1327"/>
      <c r="CA1327"/>
      <c r="CB1327"/>
      <c r="CC1327"/>
      <c r="CD1327"/>
      <c r="CE1327"/>
      <c r="CF1327"/>
      <c r="CG1327"/>
      <c r="CH1327"/>
    </row>
    <row r="1328" spans="1:86" x14ac:dyDescent="0.2">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c r="BL1328"/>
      <c r="BM1328"/>
      <c r="BN1328"/>
      <c r="BO1328"/>
      <c r="BP1328"/>
      <c r="BQ1328"/>
      <c r="BR1328"/>
      <c r="BS1328"/>
      <c r="BT1328"/>
      <c r="BU1328"/>
      <c r="BV1328"/>
      <c r="BW1328"/>
      <c r="BX1328"/>
      <c r="BY1328"/>
      <c r="BZ1328"/>
      <c r="CA1328"/>
      <c r="CB1328"/>
      <c r="CC1328"/>
      <c r="CD1328"/>
      <c r="CE1328"/>
      <c r="CF1328"/>
      <c r="CG1328"/>
      <c r="CH1328"/>
    </row>
    <row r="1329" spans="1:86" x14ac:dyDescent="0.2">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c r="BK1329"/>
      <c r="BL1329"/>
      <c r="BM1329"/>
      <c r="BN1329"/>
      <c r="BO1329"/>
      <c r="BP1329"/>
      <c r="BQ1329"/>
      <c r="BR1329"/>
      <c r="BS1329"/>
      <c r="BT1329"/>
      <c r="BU1329"/>
      <c r="BV1329"/>
      <c r="BW1329"/>
      <c r="BX1329"/>
      <c r="BY1329"/>
      <c r="BZ1329"/>
      <c r="CA1329"/>
      <c r="CB1329"/>
      <c r="CC1329"/>
      <c r="CD1329"/>
      <c r="CE1329"/>
      <c r="CF1329"/>
      <c r="CG1329"/>
      <c r="CH1329"/>
    </row>
    <row r="1330" spans="1:86" x14ac:dyDescent="0.2">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c r="BL1330"/>
      <c r="BM1330"/>
      <c r="BN1330"/>
      <c r="BO1330"/>
      <c r="BP1330"/>
      <c r="BQ1330"/>
      <c r="BR1330"/>
      <c r="BS1330"/>
      <c r="BT1330"/>
      <c r="BU1330"/>
      <c r="BV1330"/>
      <c r="BW1330"/>
      <c r="BX1330"/>
      <c r="BY1330"/>
      <c r="BZ1330"/>
      <c r="CA1330"/>
      <c r="CB1330"/>
      <c r="CC1330"/>
      <c r="CD1330"/>
      <c r="CE1330"/>
      <c r="CF1330"/>
      <c r="CG1330"/>
      <c r="CH1330"/>
    </row>
    <row r="1331" spans="1:86" x14ac:dyDescent="0.2">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c r="BL1331"/>
      <c r="BM1331"/>
      <c r="BN1331"/>
      <c r="BO1331"/>
      <c r="BP1331"/>
      <c r="BQ1331"/>
      <c r="BR1331"/>
      <c r="BS1331"/>
      <c r="BT1331"/>
      <c r="BU1331"/>
      <c r="BV1331"/>
      <c r="BW1331"/>
      <c r="BX1331"/>
      <c r="BY1331"/>
      <c r="BZ1331"/>
      <c r="CA1331"/>
      <c r="CB1331"/>
      <c r="CC1331"/>
      <c r="CD1331"/>
      <c r="CE1331"/>
      <c r="CF1331"/>
      <c r="CG1331"/>
      <c r="CH1331"/>
    </row>
    <row r="1332" spans="1:86" x14ac:dyDescent="0.2">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c r="BK1332"/>
      <c r="BL1332"/>
      <c r="BM1332"/>
      <c r="BN1332"/>
      <c r="BO1332"/>
      <c r="BP1332"/>
      <c r="BQ1332"/>
      <c r="BR1332"/>
      <c r="BS1332"/>
      <c r="BT1332"/>
      <c r="BU1332"/>
      <c r="BV1332"/>
      <c r="BW1332"/>
      <c r="BX1332"/>
      <c r="BY1332"/>
      <c r="BZ1332"/>
      <c r="CA1332"/>
      <c r="CB1332"/>
      <c r="CC1332"/>
      <c r="CD1332"/>
      <c r="CE1332"/>
      <c r="CF1332"/>
      <c r="CG1332"/>
      <c r="CH1332"/>
    </row>
    <row r="1333" spans="1:86" x14ac:dyDescent="0.2">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row>
    <row r="1334" spans="1:86" x14ac:dyDescent="0.2">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row>
    <row r="1335" spans="1:86" x14ac:dyDescent="0.2">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c r="AU1335"/>
      <c r="AV1335"/>
      <c r="AW1335"/>
      <c r="AX1335"/>
      <c r="AY1335"/>
      <c r="AZ1335"/>
      <c r="BA1335"/>
      <c r="BB1335"/>
      <c r="BC1335"/>
      <c r="BD1335"/>
      <c r="BE1335"/>
      <c r="BF1335"/>
      <c r="BG1335"/>
      <c r="BH1335"/>
      <c r="BI1335"/>
      <c r="BJ1335"/>
      <c r="BK1335"/>
      <c r="BL1335"/>
      <c r="BM1335"/>
      <c r="BN1335"/>
      <c r="BO1335"/>
      <c r="BP1335"/>
      <c r="BQ1335"/>
      <c r="BR1335"/>
      <c r="BS1335"/>
      <c r="BT1335"/>
      <c r="BU1335"/>
      <c r="BV1335"/>
      <c r="BW1335"/>
      <c r="BX1335"/>
      <c r="BY1335"/>
      <c r="BZ1335"/>
      <c r="CA1335"/>
      <c r="CB1335"/>
      <c r="CC1335"/>
      <c r="CD1335"/>
      <c r="CE1335"/>
      <c r="CF1335"/>
      <c r="CG1335"/>
      <c r="CH1335"/>
    </row>
    <row r="1336" spans="1:86" x14ac:dyDescent="0.2">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c r="AU1336"/>
      <c r="AV1336"/>
      <c r="AW1336"/>
      <c r="AX1336"/>
      <c r="AY1336"/>
      <c r="AZ1336"/>
      <c r="BA1336"/>
      <c r="BB1336"/>
      <c r="BC1336"/>
      <c r="BD1336"/>
      <c r="BE1336"/>
      <c r="BF1336"/>
      <c r="BG1336"/>
      <c r="BH1336"/>
      <c r="BI1336"/>
      <c r="BJ1336"/>
      <c r="BK1336"/>
      <c r="BL1336"/>
      <c r="BM1336"/>
      <c r="BN1336"/>
      <c r="BO1336"/>
      <c r="BP1336"/>
      <c r="BQ1336"/>
      <c r="BR1336"/>
      <c r="BS1336"/>
      <c r="BT1336"/>
      <c r="BU1336"/>
      <c r="BV1336"/>
      <c r="BW1336"/>
      <c r="BX1336"/>
      <c r="BY1336"/>
      <c r="BZ1336"/>
      <c r="CA1336"/>
      <c r="CB1336"/>
      <c r="CC1336"/>
      <c r="CD1336"/>
      <c r="CE1336"/>
      <c r="CF1336"/>
      <c r="CG1336"/>
      <c r="CH1336"/>
    </row>
    <row r="1337" spans="1:86" x14ac:dyDescent="0.2">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c r="AU1337"/>
      <c r="AV1337"/>
      <c r="AW1337"/>
      <c r="AX1337"/>
      <c r="AY1337"/>
      <c r="AZ1337"/>
      <c r="BA1337"/>
      <c r="BB1337"/>
      <c r="BC1337"/>
      <c r="BD1337"/>
      <c r="BE1337"/>
      <c r="BF1337"/>
      <c r="BG1337"/>
      <c r="BH1337"/>
      <c r="BI1337"/>
      <c r="BJ1337"/>
      <c r="BK1337"/>
      <c r="BL1337"/>
      <c r="BM1337"/>
      <c r="BN1337"/>
      <c r="BO1337"/>
      <c r="BP1337"/>
      <c r="BQ1337"/>
      <c r="BR1337"/>
      <c r="BS1337"/>
      <c r="BT1337"/>
      <c r="BU1337"/>
      <c r="BV1337"/>
      <c r="BW1337"/>
      <c r="BX1337"/>
      <c r="BY1337"/>
      <c r="BZ1337"/>
      <c r="CA1337"/>
      <c r="CB1337"/>
      <c r="CC1337"/>
      <c r="CD1337"/>
      <c r="CE1337"/>
      <c r="CF1337"/>
      <c r="CG1337"/>
      <c r="CH1337"/>
    </row>
    <row r="1338" spans="1:86" x14ac:dyDescent="0.2">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c r="AU1338"/>
      <c r="AV1338"/>
      <c r="AW1338"/>
      <c r="AX1338"/>
      <c r="AY1338"/>
      <c r="AZ1338"/>
      <c r="BA1338"/>
      <c r="BB1338"/>
      <c r="BC1338"/>
      <c r="BD1338"/>
      <c r="BE1338"/>
      <c r="BF1338"/>
      <c r="BG1338"/>
      <c r="BH1338"/>
      <c r="BI1338"/>
      <c r="BJ1338"/>
      <c r="BK1338"/>
      <c r="BL1338"/>
      <c r="BM1338"/>
      <c r="BN1338"/>
      <c r="BO1338"/>
      <c r="BP1338"/>
      <c r="BQ1338"/>
      <c r="BR1338"/>
      <c r="BS1338"/>
      <c r="BT1338"/>
      <c r="BU1338"/>
      <c r="BV1338"/>
      <c r="BW1338"/>
      <c r="BX1338"/>
      <c r="BY1338"/>
      <c r="BZ1338"/>
      <c r="CA1338"/>
      <c r="CB1338"/>
      <c r="CC1338"/>
      <c r="CD1338"/>
      <c r="CE1338"/>
      <c r="CF1338"/>
      <c r="CG1338"/>
      <c r="CH1338"/>
    </row>
    <row r="1339" spans="1:86" x14ac:dyDescent="0.2">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c r="AU1339"/>
      <c r="AV1339"/>
      <c r="AW1339"/>
      <c r="AX1339"/>
      <c r="AY1339"/>
      <c r="AZ1339"/>
      <c r="BA1339"/>
      <c r="BB1339"/>
      <c r="BC1339"/>
      <c r="BD1339"/>
      <c r="BE1339"/>
      <c r="BF1339"/>
      <c r="BG1339"/>
      <c r="BH1339"/>
      <c r="BI1339"/>
      <c r="BJ1339"/>
      <c r="BK1339"/>
      <c r="BL1339"/>
      <c r="BM1339"/>
      <c r="BN1339"/>
      <c r="BO1339"/>
      <c r="BP1339"/>
      <c r="BQ1339"/>
      <c r="BR1339"/>
      <c r="BS1339"/>
      <c r="BT1339"/>
      <c r="BU1339"/>
      <c r="BV1339"/>
      <c r="BW1339"/>
      <c r="BX1339"/>
      <c r="BY1339"/>
      <c r="BZ1339"/>
      <c r="CA1339"/>
      <c r="CB1339"/>
      <c r="CC1339"/>
      <c r="CD1339"/>
      <c r="CE1339"/>
      <c r="CF1339"/>
      <c r="CG1339"/>
      <c r="CH1339"/>
    </row>
    <row r="1340" spans="1:86" x14ac:dyDescent="0.2">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c r="BL1340"/>
      <c r="BM1340"/>
      <c r="BN1340"/>
      <c r="BO1340"/>
      <c r="BP1340"/>
      <c r="BQ1340"/>
      <c r="BR1340"/>
      <c r="BS1340"/>
      <c r="BT1340"/>
      <c r="BU1340"/>
      <c r="BV1340"/>
      <c r="BW1340"/>
      <c r="BX1340"/>
      <c r="BY1340"/>
      <c r="BZ1340"/>
      <c r="CA1340"/>
      <c r="CB1340"/>
      <c r="CC1340"/>
      <c r="CD1340"/>
      <c r="CE1340"/>
      <c r="CF1340"/>
      <c r="CG1340"/>
      <c r="CH1340"/>
    </row>
    <row r="1341" spans="1:86" x14ac:dyDescent="0.2">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c r="AU1341"/>
      <c r="AV1341"/>
      <c r="AW1341"/>
      <c r="AX1341"/>
      <c r="AY1341"/>
      <c r="AZ1341"/>
      <c r="BA1341"/>
      <c r="BB1341"/>
      <c r="BC1341"/>
      <c r="BD1341"/>
      <c r="BE1341"/>
      <c r="BF1341"/>
      <c r="BG1341"/>
      <c r="BH1341"/>
      <c r="BI1341"/>
      <c r="BJ1341"/>
      <c r="BK1341"/>
      <c r="BL1341"/>
      <c r="BM1341"/>
      <c r="BN1341"/>
      <c r="BO1341"/>
      <c r="BP1341"/>
      <c r="BQ1341"/>
      <c r="BR1341"/>
      <c r="BS1341"/>
      <c r="BT1341"/>
      <c r="BU1341"/>
      <c r="BV1341"/>
      <c r="BW1341"/>
      <c r="BX1341"/>
      <c r="BY1341"/>
      <c r="BZ1341"/>
      <c r="CA1341"/>
      <c r="CB1341"/>
      <c r="CC1341"/>
      <c r="CD1341"/>
      <c r="CE1341"/>
      <c r="CF1341"/>
      <c r="CG1341"/>
      <c r="CH1341"/>
    </row>
    <row r="1342" spans="1:86" x14ac:dyDescent="0.2">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c r="AU1342"/>
      <c r="AV1342"/>
      <c r="AW1342"/>
      <c r="AX1342"/>
      <c r="AY1342"/>
      <c r="AZ1342"/>
      <c r="BA1342"/>
      <c r="BB1342"/>
      <c r="BC1342"/>
      <c r="BD1342"/>
      <c r="BE1342"/>
      <c r="BF1342"/>
      <c r="BG1342"/>
      <c r="BH1342"/>
      <c r="BI1342"/>
      <c r="BJ1342"/>
      <c r="BK1342"/>
      <c r="BL1342"/>
      <c r="BM1342"/>
      <c r="BN1342"/>
      <c r="BO1342"/>
      <c r="BP1342"/>
      <c r="BQ1342"/>
      <c r="BR1342"/>
      <c r="BS1342"/>
      <c r="BT1342"/>
      <c r="BU1342"/>
      <c r="BV1342"/>
      <c r="BW1342"/>
      <c r="BX1342"/>
      <c r="BY1342"/>
      <c r="BZ1342"/>
      <c r="CA1342"/>
      <c r="CB1342"/>
      <c r="CC1342"/>
      <c r="CD1342"/>
      <c r="CE1342"/>
      <c r="CF1342"/>
      <c r="CG1342"/>
      <c r="CH1342"/>
    </row>
    <row r="1343" spans="1:86" x14ac:dyDescent="0.2">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c r="AU1343"/>
      <c r="AV1343"/>
      <c r="AW1343"/>
      <c r="AX1343"/>
      <c r="AY1343"/>
      <c r="AZ1343"/>
      <c r="BA1343"/>
      <c r="BB1343"/>
      <c r="BC1343"/>
      <c r="BD1343"/>
      <c r="BE1343"/>
      <c r="BF1343"/>
      <c r="BG1343"/>
      <c r="BH1343"/>
      <c r="BI1343"/>
      <c r="BJ1343"/>
      <c r="BK1343"/>
      <c r="BL1343"/>
      <c r="BM1343"/>
      <c r="BN1343"/>
      <c r="BO1343"/>
      <c r="BP1343"/>
      <c r="BQ1343"/>
      <c r="BR1343"/>
      <c r="BS1343"/>
      <c r="BT1343"/>
      <c r="BU1343"/>
      <c r="BV1343"/>
      <c r="BW1343"/>
      <c r="BX1343"/>
      <c r="BY1343"/>
      <c r="BZ1343"/>
      <c r="CA1343"/>
      <c r="CB1343"/>
      <c r="CC1343"/>
      <c r="CD1343"/>
      <c r="CE1343"/>
      <c r="CF1343"/>
      <c r="CG1343"/>
      <c r="CH1343"/>
    </row>
    <row r="1344" spans="1:86" x14ac:dyDescent="0.2">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c r="AU1344"/>
      <c r="AV1344"/>
      <c r="AW1344"/>
      <c r="AX1344"/>
      <c r="AY1344"/>
      <c r="AZ1344"/>
      <c r="BA1344"/>
      <c r="BB1344"/>
      <c r="BC1344"/>
      <c r="BD1344"/>
      <c r="BE1344"/>
      <c r="BF1344"/>
      <c r="BG1344"/>
      <c r="BH1344"/>
      <c r="BI1344"/>
      <c r="BJ1344"/>
      <c r="BK1344"/>
      <c r="BL1344"/>
      <c r="BM1344"/>
      <c r="BN1344"/>
      <c r="BO1344"/>
      <c r="BP1344"/>
      <c r="BQ1344"/>
      <c r="BR1344"/>
      <c r="BS1344"/>
      <c r="BT1344"/>
      <c r="BU1344"/>
      <c r="BV1344"/>
      <c r="BW1344"/>
      <c r="BX1344"/>
      <c r="BY1344"/>
      <c r="BZ1344"/>
      <c r="CA1344"/>
      <c r="CB1344"/>
      <c r="CC1344"/>
      <c r="CD1344"/>
      <c r="CE1344"/>
      <c r="CF1344"/>
      <c r="CG1344"/>
      <c r="CH1344"/>
    </row>
    <row r="1345" spans="1:86" x14ac:dyDescent="0.2">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c r="AU1345"/>
      <c r="AV1345"/>
      <c r="AW1345"/>
      <c r="AX1345"/>
      <c r="AY1345"/>
      <c r="AZ1345"/>
      <c r="BA1345"/>
      <c r="BB1345"/>
      <c r="BC1345"/>
      <c r="BD1345"/>
      <c r="BE1345"/>
      <c r="BF1345"/>
      <c r="BG1345"/>
      <c r="BH1345"/>
      <c r="BI1345"/>
      <c r="BJ1345"/>
      <c r="BK1345"/>
      <c r="BL1345"/>
      <c r="BM1345"/>
      <c r="BN1345"/>
      <c r="BO1345"/>
      <c r="BP1345"/>
      <c r="BQ1345"/>
      <c r="BR1345"/>
      <c r="BS1345"/>
      <c r="BT1345"/>
      <c r="BU1345"/>
      <c r="BV1345"/>
      <c r="BW1345"/>
      <c r="BX1345"/>
      <c r="BY1345"/>
      <c r="BZ1345"/>
      <c r="CA1345"/>
      <c r="CB1345"/>
      <c r="CC1345"/>
      <c r="CD1345"/>
      <c r="CE1345"/>
      <c r="CF1345"/>
      <c r="CG1345"/>
      <c r="CH1345"/>
    </row>
    <row r="1346" spans="1:86" x14ac:dyDescent="0.2">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c r="AU1346"/>
      <c r="AV1346"/>
      <c r="AW1346"/>
      <c r="AX1346"/>
      <c r="AY1346"/>
      <c r="AZ1346"/>
      <c r="BA1346"/>
      <c r="BB1346"/>
      <c r="BC1346"/>
      <c r="BD1346"/>
      <c r="BE1346"/>
      <c r="BF1346"/>
      <c r="BG1346"/>
      <c r="BH1346"/>
      <c r="BI1346"/>
      <c r="BJ1346"/>
      <c r="BK1346"/>
      <c r="BL1346"/>
      <c r="BM1346"/>
      <c r="BN1346"/>
      <c r="BO1346"/>
      <c r="BP1346"/>
      <c r="BQ1346"/>
      <c r="BR1346"/>
      <c r="BS1346"/>
      <c r="BT1346"/>
      <c r="BU1346"/>
      <c r="BV1346"/>
      <c r="BW1346"/>
      <c r="BX1346"/>
      <c r="BY1346"/>
      <c r="BZ1346"/>
      <c r="CA1346"/>
      <c r="CB1346"/>
      <c r="CC1346"/>
      <c r="CD1346"/>
      <c r="CE1346"/>
      <c r="CF1346"/>
      <c r="CG1346"/>
      <c r="CH1346"/>
    </row>
    <row r="1347" spans="1:86" x14ac:dyDescent="0.2">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c r="AU1347"/>
      <c r="AV1347"/>
      <c r="AW1347"/>
      <c r="AX1347"/>
      <c r="AY1347"/>
      <c r="AZ1347"/>
      <c r="BA1347"/>
      <c r="BB1347"/>
      <c r="BC1347"/>
      <c r="BD1347"/>
      <c r="BE1347"/>
      <c r="BF1347"/>
      <c r="BG1347"/>
      <c r="BH1347"/>
      <c r="BI1347"/>
      <c r="BJ1347"/>
      <c r="BK1347"/>
      <c r="BL1347"/>
      <c r="BM1347"/>
      <c r="BN1347"/>
      <c r="BO1347"/>
      <c r="BP1347"/>
      <c r="BQ1347"/>
      <c r="BR1347"/>
      <c r="BS1347"/>
      <c r="BT1347"/>
      <c r="BU1347"/>
      <c r="BV1347"/>
      <c r="BW1347"/>
      <c r="BX1347"/>
      <c r="BY1347"/>
      <c r="BZ1347"/>
      <c r="CA1347"/>
      <c r="CB1347"/>
      <c r="CC1347"/>
      <c r="CD1347"/>
      <c r="CE1347"/>
      <c r="CF1347"/>
      <c r="CG1347"/>
      <c r="CH1347"/>
    </row>
    <row r="1348" spans="1:86" x14ac:dyDescent="0.2">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c r="AU1348"/>
      <c r="AV1348"/>
      <c r="AW1348"/>
      <c r="AX1348"/>
      <c r="AY1348"/>
      <c r="AZ1348"/>
      <c r="BA1348"/>
      <c r="BB1348"/>
      <c r="BC1348"/>
      <c r="BD1348"/>
      <c r="BE1348"/>
      <c r="BF1348"/>
      <c r="BG1348"/>
      <c r="BH1348"/>
      <c r="BI1348"/>
      <c r="BJ1348"/>
      <c r="BK1348"/>
      <c r="BL1348"/>
      <c r="BM1348"/>
      <c r="BN1348"/>
      <c r="BO1348"/>
      <c r="BP1348"/>
      <c r="BQ1348"/>
      <c r="BR1348"/>
      <c r="BS1348"/>
      <c r="BT1348"/>
      <c r="BU1348"/>
      <c r="BV1348"/>
      <c r="BW1348"/>
      <c r="BX1348"/>
      <c r="BY1348"/>
      <c r="BZ1348"/>
      <c r="CA1348"/>
      <c r="CB1348"/>
      <c r="CC1348"/>
      <c r="CD1348"/>
      <c r="CE1348"/>
      <c r="CF1348"/>
      <c r="CG1348"/>
      <c r="CH1348"/>
    </row>
    <row r="1349" spans="1:86" x14ac:dyDescent="0.2">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c r="AU1349"/>
      <c r="AV1349"/>
      <c r="AW1349"/>
      <c r="AX1349"/>
      <c r="AY1349"/>
      <c r="AZ1349"/>
      <c r="BA1349"/>
      <c r="BB1349"/>
      <c r="BC1349"/>
      <c r="BD1349"/>
      <c r="BE1349"/>
      <c r="BF1349"/>
      <c r="BG1349"/>
      <c r="BH1349"/>
      <c r="BI1349"/>
      <c r="BJ1349"/>
      <c r="BK1349"/>
      <c r="BL1349"/>
      <c r="BM1349"/>
      <c r="BN1349"/>
      <c r="BO1349"/>
      <c r="BP1349"/>
      <c r="BQ1349"/>
      <c r="BR1349"/>
      <c r="BS1349"/>
      <c r="BT1349"/>
      <c r="BU1349"/>
      <c r="BV1349"/>
      <c r="BW1349"/>
      <c r="BX1349"/>
      <c r="BY1349"/>
      <c r="BZ1349"/>
      <c r="CA1349"/>
      <c r="CB1349"/>
      <c r="CC1349"/>
      <c r="CD1349"/>
      <c r="CE1349"/>
      <c r="CF1349"/>
      <c r="CG1349"/>
      <c r="CH1349"/>
    </row>
    <row r="1350" spans="1:86" x14ac:dyDescent="0.2">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c r="AU1350"/>
      <c r="AV1350"/>
      <c r="AW1350"/>
      <c r="AX1350"/>
      <c r="AY1350"/>
      <c r="AZ1350"/>
      <c r="BA1350"/>
      <c r="BB1350"/>
      <c r="BC1350"/>
      <c r="BD1350"/>
      <c r="BE1350"/>
      <c r="BF1350"/>
      <c r="BG1350"/>
      <c r="BH1350"/>
      <c r="BI1350"/>
      <c r="BJ1350"/>
      <c r="BK1350"/>
      <c r="BL1350"/>
      <c r="BM1350"/>
      <c r="BN1350"/>
      <c r="BO1350"/>
      <c r="BP1350"/>
      <c r="BQ1350"/>
      <c r="BR1350"/>
      <c r="BS1350"/>
      <c r="BT1350"/>
      <c r="BU1350"/>
      <c r="BV1350"/>
      <c r="BW1350"/>
      <c r="BX1350"/>
      <c r="BY1350"/>
      <c r="BZ1350"/>
      <c r="CA1350"/>
      <c r="CB1350"/>
      <c r="CC1350"/>
      <c r="CD1350"/>
      <c r="CE1350"/>
      <c r="CF1350"/>
      <c r="CG1350"/>
      <c r="CH1350"/>
    </row>
    <row r="1351" spans="1:86" x14ac:dyDescent="0.2">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c r="AU1351"/>
      <c r="AV1351"/>
      <c r="AW1351"/>
      <c r="AX1351"/>
      <c r="AY1351"/>
      <c r="AZ1351"/>
      <c r="BA1351"/>
      <c r="BB1351"/>
      <c r="BC1351"/>
      <c r="BD1351"/>
      <c r="BE1351"/>
      <c r="BF1351"/>
      <c r="BG1351"/>
      <c r="BH1351"/>
      <c r="BI1351"/>
      <c r="BJ1351"/>
      <c r="BK1351"/>
      <c r="BL1351"/>
      <c r="BM1351"/>
      <c r="BN1351"/>
      <c r="BO1351"/>
      <c r="BP1351"/>
      <c r="BQ1351"/>
      <c r="BR1351"/>
      <c r="BS1351"/>
      <c r="BT1351"/>
      <c r="BU1351"/>
      <c r="BV1351"/>
      <c r="BW1351"/>
      <c r="BX1351"/>
      <c r="BY1351"/>
      <c r="BZ1351"/>
      <c r="CA1351"/>
      <c r="CB1351"/>
      <c r="CC1351"/>
      <c r="CD1351"/>
      <c r="CE1351"/>
      <c r="CF1351"/>
      <c r="CG1351"/>
      <c r="CH1351"/>
    </row>
    <row r="1352" spans="1:86" x14ac:dyDescent="0.2">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c r="AU1352"/>
      <c r="AV1352"/>
      <c r="AW1352"/>
      <c r="AX1352"/>
      <c r="AY1352"/>
      <c r="AZ1352"/>
      <c r="BA1352"/>
      <c r="BB1352"/>
      <c r="BC1352"/>
      <c r="BD1352"/>
      <c r="BE1352"/>
      <c r="BF1352"/>
      <c r="BG1352"/>
      <c r="BH1352"/>
      <c r="BI1352"/>
      <c r="BJ1352"/>
      <c r="BK1352"/>
      <c r="BL1352"/>
      <c r="BM1352"/>
      <c r="BN1352"/>
      <c r="BO1352"/>
      <c r="BP1352"/>
      <c r="BQ1352"/>
      <c r="BR1352"/>
      <c r="BS1352"/>
      <c r="BT1352"/>
      <c r="BU1352"/>
      <c r="BV1352"/>
      <c r="BW1352"/>
      <c r="BX1352"/>
      <c r="BY1352"/>
      <c r="BZ1352"/>
      <c r="CA1352"/>
      <c r="CB1352"/>
      <c r="CC1352"/>
      <c r="CD1352"/>
      <c r="CE1352"/>
      <c r="CF1352"/>
      <c r="CG1352"/>
      <c r="CH1352"/>
    </row>
    <row r="1353" spans="1:86" x14ac:dyDescent="0.2">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c r="AU1353"/>
      <c r="AV1353"/>
      <c r="AW1353"/>
      <c r="AX1353"/>
      <c r="AY1353"/>
      <c r="AZ1353"/>
      <c r="BA1353"/>
      <c r="BB1353"/>
      <c r="BC1353"/>
      <c r="BD1353"/>
      <c r="BE1353"/>
      <c r="BF1353"/>
      <c r="BG1353"/>
      <c r="BH1353"/>
      <c r="BI1353"/>
      <c r="BJ1353"/>
      <c r="BK1353"/>
      <c r="BL1353"/>
      <c r="BM1353"/>
      <c r="BN1353"/>
      <c r="BO1353"/>
      <c r="BP1353"/>
      <c r="BQ1353"/>
      <c r="BR1353"/>
      <c r="BS1353"/>
      <c r="BT1353"/>
      <c r="BU1353"/>
      <c r="BV1353"/>
      <c r="BW1353"/>
      <c r="BX1353"/>
      <c r="BY1353"/>
      <c r="BZ1353"/>
      <c r="CA1353"/>
      <c r="CB1353"/>
      <c r="CC1353"/>
      <c r="CD1353"/>
      <c r="CE1353"/>
      <c r="CF1353"/>
      <c r="CG1353"/>
      <c r="CH1353"/>
    </row>
    <row r="1354" spans="1:86" x14ac:dyDescent="0.2">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c r="AU1354"/>
      <c r="AV1354"/>
      <c r="AW1354"/>
      <c r="AX1354"/>
      <c r="AY1354"/>
      <c r="AZ1354"/>
      <c r="BA1354"/>
      <c r="BB1354"/>
      <c r="BC1354"/>
      <c r="BD1354"/>
      <c r="BE1354"/>
      <c r="BF1354"/>
      <c r="BG1354"/>
      <c r="BH1354"/>
      <c r="BI1354"/>
      <c r="BJ1354"/>
      <c r="BK1354"/>
      <c r="BL1354"/>
      <c r="BM1354"/>
      <c r="BN1354"/>
      <c r="BO1354"/>
      <c r="BP1354"/>
      <c r="BQ1354"/>
      <c r="BR1354"/>
      <c r="BS1354"/>
      <c r="BT1354"/>
      <c r="BU1354"/>
      <c r="BV1354"/>
      <c r="BW1354"/>
      <c r="BX1354"/>
      <c r="BY1354"/>
      <c r="BZ1354"/>
      <c r="CA1354"/>
      <c r="CB1354"/>
      <c r="CC1354"/>
      <c r="CD1354"/>
      <c r="CE1354"/>
      <c r="CF1354"/>
      <c r="CG1354"/>
      <c r="CH1354"/>
    </row>
    <row r="1355" spans="1:86" x14ac:dyDescent="0.2">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c r="AU1355"/>
      <c r="AV1355"/>
      <c r="AW1355"/>
      <c r="AX1355"/>
      <c r="AY1355"/>
      <c r="AZ1355"/>
      <c r="BA1355"/>
      <c r="BB1355"/>
      <c r="BC1355"/>
      <c r="BD1355"/>
      <c r="BE1355"/>
      <c r="BF1355"/>
      <c r="BG1355"/>
      <c r="BH1355"/>
      <c r="BI1355"/>
      <c r="BJ1355"/>
      <c r="BK1355"/>
      <c r="BL1355"/>
      <c r="BM1355"/>
      <c r="BN1355"/>
      <c r="BO1355"/>
      <c r="BP1355"/>
      <c r="BQ1355"/>
      <c r="BR1355"/>
      <c r="BS1355"/>
      <c r="BT1355"/>
      <c r="BU1355"/>
      <c r="BV1355"/>
      <c r="BW1355"/>
      <c r="BX1355"/>
      <c r="BY1355"/>
      <c r="BZ1355"/>
      <c r="CA1355"/>
      <c r="CB1355"/>
      <c r="CC1355"/>
      <c r="CD1355"/>
      <c r="CE1355"/>
      <c r="CF1355"/>
      <c r="CG1355"/>
      <c r="CH1355"/>
    </row>
    <row r="1356" spans="1:86" x14ac:dyDescent="0.2">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c r="AV1356"/>
      <c r="AW1356"/>
      <c r="AX1356"/>
      <c r="AY1356"/>
      <c r="AZ1356"/>
      <c r="BA1356"/>
      <c r="BB1356"/>
      <c r="BC1356"/>
      <c r="BD1356"/>
      <c r="BE1356"/>
      <c r="BF1356"/>
      <c r="BG1356"/>
      <c r="BH1356"/>
      <c r="BI1356"/>
      <c r="BJ1356"/>
      <c r="BK1356"/>
      <c r="BL1356"/>
      <c r="BM1356"/>
      <c r="BN1356"/>
      <c r="BO1356"/>
      <c r="BP1356"/>
      <c r="BQ1356"/>
      <c r="BR1356"/>
      <c r="BS1356"/>
      <c r="BT1356"/>
      <c r="BU1356"/>
      <c r="BV1356"/>
      <c r="BW1356"/>
      <c r="BX1356"/>
      <c r="BY1356"/>
      <c r="BZ1356"/>
      <c r="CA1356"/>
      <c r="CB1356"/>
      <c r="CC1356"/>
      <c r="CD1356"/>
      <c r="CE1356"/>
      <c r="CF1356"/>
      <c r="CG1356"/>
      <c r="CH1356"/>
    </row>
    <row r="1357" spans="1:86" x14ac:dyDescent="0.2">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c r="AU1357"/>
      <c r="AV1357"/>
      <c r="AW1357"/>
      <c r="AX1357"/>
      <c r="AY1357"/>
      <c r="AZ1357"/>
      <c r="BA1357"/>
      <c r="BB1357"/>
      <c r="BC1357"/>
      <c r="BD1357"/>
      <c r="BE1357"/>
      <c r="BF1357"/>
      <c r="BG1357"/>
      <c r="BH1357"/>
      <c r="BI1357"/>
      <c r="BJ1357"/>
      <c r="BK1357"/>
      <c r="BL1357"/>
      <c r="BM1357"/>
      <c r="BN1357"/>
      <c r="BO1357"/>
      <c r="BP1357"/>
      <c r="BQ1357"/>
      <c r="BR1357"/>
      <c r="BS1357"/>
      <c r="BT1357"/>
      <c r="BU1357"/>
      <c r="BV1357"/>
      <c r="BW1357"/>
      <c r="BX1357"/>
      <c r="BY1357"/>
      <c r="BZ1357"/>
      <c r="CA1357"/>
      <c r="CB1357"/>
      <c r="CC1357"/>
      <c r="CD1357"/>
      <c r="CE1357"/>
      <c r="CF1357"/>
      <c r="CG1357"/>
      <c r="CH1357"/>
    </row>
    <row r="1358" spans="1:86" x14ac:dyDescent="0.2">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c r="AU1358"/>
      <c r="AV1358"/>
      <c r="AW1358"/>
      <c r="AX1358"/>
      <c r="AY1358"/>
      <c r="AZ1358"/>
      <c r="BA1358"/>
      <c r="BB1358"/>
      <c r="BC1358"/>
      <c r="BD1358"/>
      <c r="BE1358"/>
      <c r="BF1358"/>
      <c r="BG1358"/>
      <c r="BH1358"/>
      <c r="BI1358"/>
      <c r="BJ1358"/>
      <c r="BK1358"/>
      <c r="BL1358"/>
      <c r="BM1358"/>
      <c r="BN1358"/>
      <c r="BO1358"/>
      <c r="BP1358"/>
      <c r="BQ1358"/>
      <c r="BR1358"/>
      <c r="BS1358"/>
      <c r="BT1358"/>
      <c r="BU1358"/>
      <c r="BV1358"/>
      <c r="BW1358"/>
      <c r="BX1358"/>
      <c r="BY1358"/>
      <c r="BZ1358"/>
      <c r="CA1358"/>
      <c r="CB1358"/>
      <c r="CC1358"/>
      <c r="CD1358"/>
      <c r="CE1358"/>
      <c r="CF1358"/>
      <c r="CG1358"/>
      <c r="CH1358"/>
    </row>
    <row r="1359" spans="1:86" x14ac:dyDescent="0.2">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c r="AU1359"/>
      <c r="AV1359"/>
      <c r="AW1359"/>
      <c r="AX1359"/>
      <c r="AY1359"/>
      <c r="AZ1359"/>
      <c r="BA1359"/>
      <c r="BB1359"/>
      <c r="BC1359"/>
      <c r="BD1359"/>
      <c r="BE1359"/>
      <c r="BF1359"/>
      <c r="BG1359"/>
      <c r="BH1359"/>
      <c r="BI1359"/>
      <c r="BJ1359"/>
      <c r="BK1359"/>
      <c r="BL1359"/>
      <c r="BM1359"/>
      <c r="BN1359"/>
      <c r="BO1359"/>
      <c r="BP1359"/>
      <c r="BQ1359"/>
      <c r="BR1359"/>
      <c r="BS1359"/>
      <c r="BT1359"/>
      <c r="BU1359"/>
      <c r="BV1359"/>
      <c r="BW1359"/>
      <c r="BX1359"/>
      <c r="BY1359"/>
      <c r="BZ1359"/>
      <c r="CA1359"/>
      <c r="CB1359"/>
      <c r="CC1359"/>
      <c r="CD1359"/>
      <c r="CE1359"/>
      <c r="CF1359"/>
      <c r="CG1359"/>
      <c r="CH1359"/>
    </row>
    <row r="1360" spans="1:86" x14ac:dyDescent="0.2">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c r="AU1360"/>
      <c r="AV1360"/>
      <c r="AW1360"/>
      <c r="AX1360"/>
      <c r="AY1360"/>
      <c r="AZ1360"/>
      <c r="BA1360"/>
      <c r="BB1360"/>
      <c r="BC1360"/>
      <c r="BD1360"/>
      <c r="BE1360"/>
      <c r="BF1360"/>
      <c r="BG1360"/>
      <c r="BH1360"/>
      <c r="BI1360"/>
      <c r="BJ1360"/>
      <c r="BK1360"/>
      <c r="BL1360"/>
      <c r="BM1360"/>
      <c r="BN1360"/>
      <c r="BO1360"/>
      <c r="BP1360"/>
      <c r="BQ1360"/>
      <c r="BR1360"/>
      <c r="BS1360"/>
      <c r="BT1360"/>
      <c r="BU1360"/>
      <c r="BV1360"/>
      <c r="BW1360"/>
      <c r="BX1360"/>
      <c r="BY1360"/>
      <c r="BZ1360"/>
      <c r="CA1360"/>
      <c r="CB1360"/>
      <c r="CC1360"/>
      <c r="CD1360"/>
      <c r="CE1360"/>
      <c r="CF1360"/>
      <c r="CG1360"/>
      <c r="CH1360"/>
    </row>
    <row r="1361" spans="1:86" x14ac:dyDescent="0.2">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c r="AU1361"/>
      <c r="AV1361"/>
      <c r="AW1361"/>
      <c r="AX1361"/>
      <c r="AY1361"/>
      <c r="AZ1361"/>
      <c r="BA1361"/>
      <c r="BB1361"/>
      <c r="BC1361"/>
      <c r="BD1361"/>
      <c r="BE1361"/>
      <c r="BF1361"/>
      <c r="BG1361"/>
      <c r="BH1361"/>
      <c r="BI1361"/>
      <c r="BJ1361"/>
      <c r="BK1361"/>
      <c r="BL1361"/>
      <c r="BM1361"/>
      <c r="BN1361"/>
      <c r="BO1361"/>
      <c r="BP1361"/>
      <c r="BQ1361"/>
      <c r="BR1361"/>
      <c r="BS1361"/>
      <c r="BT1361"/>
      <c r="BU1361"/>
      <c r="BV1361"/>
      <c r="BW1361"/>
      <c r="BX1361"/>
      <c r="BY1361"/>
      <c r="BZ1361"/>
      <c r="CA1361"/>
      <c r="CB1361"/>
      <c r="CC1361"/>
      <c r="CD1361"/>
      <c r="CE1361"/>
      <c r="CF1361"/>
      <c r="CG1361"/>
      <c r="CH1361"/>
    </row>
    <row r="1362" spans="1:86" x14ac:dyDescent="0.2">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c r="AU1362"/>
      <c r="AV1362"/>
      <c r="AW1362"/>
      <c r="AX1362"/>
      <c r="AY1362"/>
      <c r="AZ1362"/>
      <c r="BA1362"/>
      <c r="BB1362"/>
      <c r="BC1362"/>
      <c r="BD1362"/>
      <c r="BE1362"/>
      <c r="BF1362"/>
      <c r="BG1362"/>
      <c r="BH1362"/>
      <c r="BI1362"/>
      <c r="BJ1362"/>
      <c r="BK1362"/>
      <c r="BL1362"/>
      <c r="BM1362"/>
      <c r="BN1362"/>
      <c r="BO1362"/>
      <c r="BP1362"/>
      <c r="BQ1362"/>
      <c r="BR1362"/>
      <c r="BS1362"/>
      <c r="BT1362"/>
      <c r="BU1362"/>
      <c r="BV1362"/>
      <c r="BW1362"/>
      <c r="BX1362"/>
      <c r="BY1362"/>
      <c r="BZ1362"/>
      <c r="CA1362"/>
      <c r="CB1362"/>
      <c r="CC1362"/>
      <c r="CD1362"/>
      <c r="CE1362"/>
      <c r="CF1362"/>
      <c r="CG1362"/>
      <c r="CH1362"/>
    </row>
    <row r="1363" spans="1:86" x14ac:dyDescent="0.2">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c r="AU1363"/>
      <c r="AV1363"/>
      <c r="AW1363"/>
      <c r="AX1363"/>
      <c r="AY1363"/>
      <c r="AZ1363"/>
      <c r="BA1363"/>
      <c r="BB1363"/>
      <c r="BC1363"/>
      <c r="BD1363"/>
      <c r="BE1363"/>
      <c r="BF1363"/>
      <c r="BG1363"/>
      <c r="BH1363"/>
      <c r="BI1363"/>
      <c r="BJ1363"/>
      <c r="BK1363"/>
      <c r="BL1363"/>
      <c r="BM1363"/>
      <c r="BN1363"/>
      <c r="BO1363"/>
      <c r="BP1363"/>
      <c r="BQ1363"/>
      <c r="BR1363"/>
      <c r="BS1363"/>
      <c r="BT1363"/>
      <c r="BU1363"/>
      <c r="BV1363"/>
      <c r="BW1363"/>
      <c r="BX1363"/>
      <c r="BY1363"/>
      <c r="BZ1363"/>
      <c r="CA1363"/>
      <c r="CB1363"/>
      <c r="CC1363"/>
      <c r="CD1363"/>
      <c r="CE1363"/>
      <c r="CF1363"/>
      <c r="CG1363"/>
      <c r="CH1363"/>
    </row>
    <row r="1364" spans="1:86" x14ac:dyDescent="0.2">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c r="AU1364"/>
      <c r="AV1364"/>
      <c r="AW1364"/>
      <c r="AX1364"/>
      <c r="AY1364"/>
      <c r="AZ1364"/>
      <c r="BA1364"/>
      <c r="BB1364"/>
      <c r="BC1364"/>
      <c r="BD1364"/>
      <c r="BE1364"/>
      <c r="BF1364"/>
      <c r="BG1364"/>
      <c r="BH1364"/>
      <c r="BI1364"/>
      <c r="BJ1364"/>
      <c r="BK1364"/>
      <c r="BL1364"/>
      <c r="BM1364"/>
      <c r="BN1364"/>
      <c r="BO1364"/>
      <c r="BP1364"/>
      <c r="BQ1364"/>
      <c r="BR1364"/>
      <c r="BS1364"/>
      <c r="BT1364"/>
      <c r="BU1364"/>
      <c r="BV1364"/>
      <c r="BW1364"/>
      <c r="BX1364"/>
      <c r="BY1364"/>
      <c r="BZ1364"/>
      <c r="CA1364"/>
      <c r="CB1364"/>
      <c r="CC1364"/>
      <c r="CD1364"/>
      <c r="CE1364"/>
      <c r="CF1364"/>
      <c r="CG1364"/>
      <c r="CH1364"/>
    </row>
    <row r="1365" spans="1:86" x14ac:dyDescent="0.2">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c r="AU1365"/>
      <c r="AV1365"/>
      <c r="AW1365"/>
      <c r="AX1365"/>
      <c r="AY1365"/>
      <c r="AZ1365"/>
      <c r="BA1365"/>
      <c r="BB1365"/>
      <c r="BC1365"/>
      <c r="BD1365"/>
      <c r="BE1365"/>
      <c r="BF1365"/>
      <c r="BG1365"/>
      <c r="BH1365"/>
      <c r="BI1365"/>
      <c r="BJ1365"/>
      <c r="BK1365"/>
      <c r="BL1365"/>
      <c r="BM1365"/>
      <c r="BN1365"/>
      <c r="BO1365"/>
      <c r="BP1365"/>
      <c r="BQ1365"/>
      <c r="BR1365"/>
      <c r="BS1365"/>
      <c r="BT1365"/>
      <c r="BU1365"/>
      <c r="BV1365"/>
      <c r="BW1365"/>
      <c r="BX1365"/>
      <c r="BY1365"/>
      <c r="BZ1365"/>
      <c r="CA1365"/>
      <c r="CB1365"/>
      <c r="CC1365"/>
      <c r="CD1365"/>
      <c r="CE1365"/>
      <c r="CF1365"/>
      <c r="CG1365"/>
      <c r="CH1365"/>
    </row>
    <row r="1366" spans="1:86" x14ac:dyDescent="0.2">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c r="AU1366"/>
      <c r="AV1366"/>
      <c r="AW1366"/>
      <c r="AX1366"/>
      <c r="AY1366"/>
      <c r="AZ1366"/>
      <c r="BA1366"/>
      <c r="BB1366"/>
      <c r="BC1366"/>
      <c r="BD1366"/>
      <c r="BE1366"/>
      <c r="BF1366"/>
      <c r="BG1366"/>
      <c r="BH1366"/>
      <c r="BI1366"/>
      <c r="BJ1366"/>
      <c r="BK1366"/>
      <c r="BL1366"/>
      <c r="BM1366"/>
      <c r="BN1366"/>
      <c r="BO1366"/>
      <c r="BP1366"/>
      <c r="BQ1366"/>
      <c r="BR1366"/>
      <c r="BS1366"/>
      <c r="BT1366"/>
      <c r="BU1366"/>
      <c r="BV1366"/>
      <c r="BW1366"/>
      <c r="BX1366"/>
      <c r="BY1366"/>
      <c r="BZ1366"/>
      <c r="CA1366"/>
      <c r="CB1366"/>
      <c r="CC1366"/>
      <c r="CD1366"/>
      <c r="CE1366"/>
      <c r="CF1366"/>
      <c r="CG1366"/>
      <c r="CH1366"/>
    </row>
    <row r="1367" spans="1:86" x14ac:dyDescent="0.2">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c r="AU1367"/>
      <c r="AV1367"/>
      <c r="AW1367"/>
      <c r="AX1367"/>
      <c r="AY1367"/>
      <c r="AZ1367"/>
      <c r="BA1367"/>
      <c r="BB1367"/>
      <c r="BC1367"/>
      <c r="BD1367"/>
      <c r="BE1367"/>
      <c r="BF1367"/>
      <c r="BG1367"/>
      <c r="BH1367"/>
      <c r="BI1367"/>
      <c r="BJ1367"/>
      <c r="BK1367"/>
      <c r="BL1367"/>
      <c r="BM1367"/>
      <c r="BN1367"/>
      <c r="BO1367"/>
      <c r="BP1367"/>
      <c r="BQ1367"/>
      <c r="BR1367"/>
      <c r="BS1367"/>
      <c r="BT1367"/>
      <c r="BU1367"/>
      <c r="BV1367"/>
      <c r="BW1367"/>
      <c r="BX1367"/>
      <c r="BY1367"/>
      <c r="BZ1367"/>
      <c r="CA1367"/>
      <c r="CB1367"/>
      <c r="CC1367"/>
      <c r="CD1367"/>
      <c r="CE1367"/>
      <c r="CF1367"/>
      <c r="CG1367"/>
      <c r="CH1367"/>
    </row>
    <row r="1368" spans="1:86" x14ac:dyDescent="0.2">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c r="AU1368"/>
      <c r="AV1368"/>
      <c r="AW1368"/>
      <c r="AX1368"/>
      <c r="AY1368"/>
      <c r="AZ1368"/>
      <c r="BA1368"/>
      <c r="BB1368"/>
      <c r="BC1368"/>
      <c r="BD1368"/>
      <c r="BE1368"/>
      <c r="BF1368"/>
      <c r="BG1368"/>
      <c r="BH1368"/>
      <c r="BI1368"/>
      <c r="BJ1368"/>
      <c r="BK1368"/>
      <c r="BL1368"/>
      <c r="BM1368"/>
      <c r="BN1368"/>
      <c r="BO1368"/>
      <c r="BP1368"/>
      <c r="BQ1368"/>
      <c r="BR1368"/>
      <c r="BS1368"/>
      <c r="BT1368"/>
      <c r="BU1368"/>
      <c r="BV1368"/>
      <c r="BW1368"/>
      <c r="BX1368"/>
      <c r="BY1368"/>
      <c r="BZ1368"/>
      <c r="CA1368"/>
      <c r="CB1368"/>
      <c r="CC1368"/>
      <c r="CD1368"/>
      <c r="CE1368"/>
      <c r="CF1368"/>
      <c r="CG1368"/>
      <c r="CH1368"/>
    </row>
    <row r="1369" spans="1:86" x14ac:dyDescent="0.2">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c r="AU1369"/>
      <c r="AV1369"/>
      <c r="AW1369"/>
      <c r="AX1369"/>
      <c r="AY1369"/>
      <c r="AZ1369"/>
      <c r="BA1369"/>
      <c r="BB1369"/>
      <c r="BC1369"/>
      <c r="BD1369"/>
      <c r="BE1369"/>
      <c r="BF1369"/>
      <c r="BG1369"/>
      <c r="BH1369"/>
      <c r="BI1369"/>
      <c r="BJ1369"/>
      <c r="BK1369"/>
      <c r="BL1369"/>
      <c r="BM1369"/>
      <c r="BN1369"/>
      <c r="BO1369"/>
      <c r="BP1369"/>
      <c r="BQ1369"/>
      <c r="BR1369"/>
      <c r="BS1369"/>
      <c r="BT1369"/>
      <c r="BU1369"/>
      <c r="BV1369"/>
      <c r="BW1369"/>
      <c r="BX1369"/>
      <c r="BY1369"/>
      <c r="BZ1369"/>
      <c r="CA1369"/>
      <c r="CB1369"/>
      <c r="CC1369"/>
      <c r="CD1369"/>
      <c r="CE1369"/>
      <c r="CF1369"/>
      <c r="CG1369"/>
      <c r="CH1369"/>
    </row>
    <row r="1370" spans="1:86" x14ac:dyDescent="0.2">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c r="AU1370"/>
      <c r="AV1370"/>
      <c r="AW1370"/>
      <c r="AX1370"/>
      <c r="AY1370"/>
      <c r="AZ1370"/>
      <c r="BA1370"/>
      <c r="BB1370"/>
      <c r="BC1370"/>
      <c r="BD1370"/>
      <c r="BE1370"/>
      <c r="BF1370"/>
      <c r="BG1370"/>
      <c r="BH1370"/>
      <c r="BI1370"/>
      <c r="BJ1370"/>
      <c r="BK1370"/>
      <c r="BL1370"/>
      <c r="BM1370"/>
      <c r="BN1370"/>
      <c r="BO1370"/>
      <c r="BP1370"/>
      <c r="BQ1370"/>
      <c r="BR1370"/>
      <c r="BS1370"/>
      <c r="BT1370"/>
      <c r="BU1370"/>
      <c r="BV1370"/>
      <c r="BW1370"/>
      <c r="BX1370"/>
      <c r="BY1370"/>
      <c r="BZ1370"/>
      <c r="CA1370"/>
      <c r="CB1370"/>
      <c r="CC1370"/>
      <c r="CD1370"/>
      <c r="CE1370"/>
      <c r="CF1370"/>
      <c r="CG1370"/>
      <c r="CH1370"/>
    </row>
    <row r="1371" spans="1:86" x14ac:dyDescent="0.2">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c r="AU1371"/>
      <c r="AV1371"/>
      <c r="AW1371"/>
      <c r="AX1371"/>
      <c r="AY1371"/>
      <c r="AZ1371"/>
      <c r="BA1371"/>
      <c r="BB1371"/>
      <c r="BC1371"/>
      <c r="BD1371"/>
      <c r="BE1371"/>
      <c r="BF1371"/>
      <c r="BG1371"/>
      <c r="BH1371"/>
      <c r="BI1371"/>
      <c r="BJ1371"/>
      <c r="BK1371"/>
      <c r="BL1371"/>
      <c r="BM1371"/>
      <c r="BN1371"/>
      <c r="BO1371"/>
      <c r="BP1371"/>
      <c r="BQ1371"/>
      <c r="BR1371"/>
      <c r="BS1371"/>
      <c r="BT1371"/>
      <c r="BU1371"/>
      <c r="BV1371"/>
      <c r="BW1371"/>
      <c r="BX1371"/>
      <c r="BY1371"/>
      <c r="BZ1371"/>
      <c r="CA1371"/>
      <c r="CB1371"/>
      <c r="CC1371"/>
      <c r="CD1371"/>
      <c r="CE1371"/>
      <c r="CF1371"/>
      <c r="CG1371"/>
      <c r="CH1371"/>
    </row>
    <row r="1372" spans="1:86" x14ac:dyDescent="0.2">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c r="AU1372"/>
      <c r="AV1372"/>
      <c r="AW1372"/>
      <c r="AX1372"/>
      <c r="AY1372"/>
      <c r="AZ1372"/>
      <c r="BA1372"/>
      <c r="BB1372"/>
      <c r="BC1372"/>
      <c r="BD1372"/>
      <c r="BE1372"/>
      <c r="BF1372"/>
      <c r="BG1372"/>
      <c r="BH1372"/>
      <c r="BI1372"/>
      <c r="BJ1372"/>
      <c r="BK1372"/>
      <c r="BL1372"/>
      <c r="BM1372"/>
      <c r="BN1372"/>
      <c r="BO1372"/>
      <c r="BP1372"/>
      <c r="BQ1372"/>
      <c r="BR1372"/>
      <c r="BS1372"/>
      <c r="BT1372"/>
      <c r="BU1372"/>
      <c r="BV1372"/>
      <c r="BW1372"/>
      <c r="BX1372"/>
      <c r="BY1372"/>
      <c r="BZ1372"/>
      <c r="CA1372"/>
      <c r="CB1372"/>
      <c r="CC1372"/>
      <c r="CD1372"/>
      <c r="CE1372"/>
      <c r="CF1372"/>
      <c r="CG1372"/>
      <c r="CH1372"/>
    </row>
    <row r="1373" spans="1:86" x14ac:dyDescent="0.2">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c r="AU1373"/>
      <c r="AV1373"/>
      <c r="AW1373"/>
      <c r="AX1373"/>
      <c r="AY1373"/>
      <c r="AZ1373"/>
      <c r="BA1373"/>
      <c r="BB1373"/>
      <c r="BC1373"/>
      <c r="BD1373"/>
      <c r="BE1373"/>
      <c r="BF1373"/>
      <c r="BG1373"/>
      <c r="BH1373"/>
      <c r="BI1373"/>
      <c r="BJ1373"/>
      <c r="BK1373"/>
      <c r="BL1373"/>
      <c r="BM1373"/>
      <c r="BN1373"/>
      <c r="BO1373"/>
      <c r="BP1373"/>
      <c r="BQ1373"/>
      <c r="BR1373"/>
      <c r="BS1373"/>
      <c r="BT1373"/>
      <c r="BU1373"/>
      <c r="BV1373"/>
      <c r="BW1373"/>
      <c r="BX1373"/>
      <c r="BY1373"/>
      <c r="BZ1373"/>
      <c r="CA1373"/>
      <c r="CB1373"/>
      <c r="CC1373"/>
      <c r="CD1373"/>
      <c r="CE1373"/>
      <c r="CF1373"/>
      <c r="CG1373"/>
      <c r="CH1373"/>
    </row>
    <row r="1374" spans="1:86" x14ac:dyDescent="0.2">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c r="AU1374"/>
      <c r="AV1374"/>
      <c r="AW1374"/>
      <c r="AX1374"/>
      <c r="AY1374"/>
      <c r="AZ1374"/>
      <c r="BA1374"/>
      <c r="BB1374"/>
      <c r="BC1374"/>
      <c r="BD1374"/>
      <c r="BE1374"/>
      <c r="BF1374"/>
      <c r="BG1374"/>
      <c r="BH1374"/>
      <c r="BI1374"/>
      <c r="BJ1374"/>
      <c r="BK1374"/>
      <c r="BL1374"/>
      <c r="BM1374"/>
      <c r="BN1374"/>
      <c r="BO1374"/>
      <c r="BP1374"/>
      <c r="BQ1374"/>
      <c r="BR1374"/>
      <c r="BS1374"/>
      <c r="BT1374"/>
      <c r="BU1374"/>
      <c r="BV1374"/>
      <c r="BW1374"/>
      <c r="BX1374"/>
      <c r="BY1374"/>
      <c r="BZ1374"/>
      <c r="CA1374"/>
      <c r="CB1374"/>
      <c r="CC1374"/>
      <c r="CD1374"/>
      <c r="CE1374"/>
      <c r="CF1374"/>
      <c r="CG1374"/>
      <c r="CH1374"/>
    </row>
    <row r="1375" spans="1:86" x14ac:dyDescent="0.2">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c r="AU1375"/>
      <c r="AV1375"/>
      <c r="AW1375"/>
      <c r="AX1375"/>
      <c r="AY1375"/>
      <c r="AZ1375"/>
      <c r="BA1375"/>
      <c r="BB1375"/>
      <c r="BC1375"/>
      <c r="BD1375"/>
      <c r="BE1375"/>
      <c r="BF1375"/>
      <c r="BG1375"/>
      <c r="BH1375"/>
      <c r="BI1375"/>
      <c r="BJ1375"/>
      <c r="BK1375"/>
      <c r="BL1375"/>
      <c r="BM1375"/>
      <c r="BN1375"/>
      <c r="BO1375"/>
      <c r="BP1375"/>
      <c r="BQ1375"/>
      <c r="BR1375"/>
      <c r="BS1375"/>
      <c r="BT1375"/>
      <c r="BU1375"/>
      <c r="BV1375"/>
      <c r="BW1375"/>
      <c r="BX1375"/>
      <c r="BY1375"/>
      <c r="BZ1375"/>
      <c r="CA1375"/>
      <c r="CB1375"/>
      <c r="CC1375"/>
      <c r="CD1375"/>
      <c r="CE1375"/>
      <c r="CF1375"/>
      <c r="CG1375"/>
      <c r="CH1375"/>
    </row>
    <row r="1376" spans="1:86" x14ac:dyDescent="0.2">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c r="AU1376"/>
      <c r="AV1376"/>
      <c r="AW1376"/>
      <c r="AX1376"/>
      <c r="AY1376"/>
      <c r="AZ1376"/>
      <c r="BA1376"/>
      <c r="BB1376"/>
      <c r="BC1376"/>
      <c r="BD1376"/>
      <c r="BE1376"/>
      <c r="BF1376"/>
      <c r="BG1376"/>
      <c r="BH1376"/>
      <c r="BI1376"/>
      <c r="BJ1376"/>
      <c r="BK1376"/>
      <c r="BL1376"/>
      <c r="BM1376"/>
      <c r="BN1376"/>
      <c r="BO1376"/>
      <c r="BP1376"/>
      <c r="BQ1376"/>
      <c r="BR1376"/>
      <c r="BS1376"/>
      <c r="BT1376"/>
      <c r="BU1376"/>
      <c r="BV1376"/>
      <c r="BW1376"/>
      <c r="BX1376"/>
      <c r="BY1376"/>
      <c r="BZ1376"/>
      <c r="CA1376"/>
      <c r="CB1376"/>
      <c r="CC1376"/>
      <c r="CD1376"/>
      <c r="CE1376"/>
      <c r="CF1376"/>
      <c r="CG1376"/>
      <c r="CH1376"/>
    </row>
    <row r="1377" spans="1:86" x14ac:dyDescent="0.2">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c r="AU1377"/>
      <c r="AV1377"/>
      <c r="AW1377"/>
      <c r="AX1377"/>
      <c r="AY1377"/>
      <c r="AZ1377"/>
      <c r="BA1377"/>
      <c r="BB1377"/>
      <c r="BC1377"/>
      <c r="BD1377"/>
      <c r="BE1377"/>
      <c r="BF1377"/>
      <c r="BG1377"/>
      <c r="BH1377"/>
      <c r="BI1377"/>
      <c r="BJ1377"/>
      <c r="BK1377"/>
      <c r="BL1377"/>
      <c r="BM1377"/>
      <c r="BN1377"/>
      <c r="BO1377"/>
      <c r="BP1377"/>
      <c r="BQ1377"/>
      <c r="BR1377"/>
      <c r="BS1377"/>
      <c r="BT1377"/>
      <c r="BU1377"/>
      <c r="BV1377"/>
      <c r="BW1377"/>
      <c r="BX1377"/>
      <c r="BY1377"/>
      <c r="BZ1377"/>
      <c r="CA1377"/>
      <c r="CB1377"/>
      <c r="CC1377"/>
      <c r="CD1377"/>
      <c r="CE1377"/>
      <c r="CF1377"/>
      <c r="CG1377"/>
      <c r="CH1377"/>
    </row>
    <row r="1378" spans="1:86" x14ac:dyDescent="0.2">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c r="AU1378"/>
      <c r="AV1378"/>
      <c r="AW1378"/>
      <c r="AX1378"/>
      <c r="AY1378"/>
      <c r="AZ1378"/>
      <c r="BA1378"/>
      <c r="BB1378"/>
      <c r="BC1378"/>
      <c r="BD1378"/>
      <c r="BE1378"/>
      <c r="BF1378"/>
      <c r="BG1378"/>
      <c r="BH1378"/>
      <c r="BI1378"/>
      <c r="BJ1378"/>
      <c r="BK1378"/>
      <c r="BL1378"/>
      <c r="BM1378"/>
      <c r="BN1378"/>
      <c r="BO1378"/>
      <c r="BP1378"/>
      <c r="BQ1378"/>
      <c r="BR1378"/>
      <c r="BS1378"/>
      <c r="BT1378"/>
      <c r="BU1378"/>
      <c r="BV1378"/>
      <c r="BW1378"/>
      <c r="BX1378"/>
      <c r="BY1378"/>
      <c r="BZ1378"/>
      <c r="CA1378"/>
      <c r="CB1378"/>
      <c r="CC1378"/>
      <c r="CD1378"/>
      <c r="CE1378"/>
      <c r="CF1378"/>
      <c r="CG1378"/>
      <c r="CH1378"/>
    </row>
    <row r="1379" spans="1:86" x14ac:dyDescent="0.2">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c r="AU1379"/>
      <c r="AV1379"/>
      <c r="AW1379"/>
      <c r="AX1379"/>
      <c r="AY1379"/>
      <c r="AZ1379"/>
      <c r="BA1379"/>
      <c r="BB1379"/>
      <c r="BC1379"/>
      <c r="BD1379"/>
      <c r="BE1379"/>
      <c r="BF1379"/>
      <c r="BG1379"/>
      <c r="BH1379"/>
      <c r="BI1379"/>
      <c r="BJ1379"/>
      <c r="BK1379"/>
      <c r="BL1379"/>
      <c r="BM1379"/>
      <c r="BN1379"/>
      <c r="BO1379"/>
      <c r="BP1379"/>
      <c r="BQ1379"/>
      <c r="BR1379"/>
      <c r="BS1379"/>
      <c r="BT1379"/>
      <c r="BU1379"/>
      <c r="BV1379"/>
      <c r="BW1379"/>
      <c r="BX1379"/>
      <c r="BY1379"/>
      <c r="BZ1379"/>
      <c r="CA1379"/>
      <c r="CB1379"/>
      <c r="CC1379"/>
      <c r="CD1379"/>
      <c r="CE1379"/>
      <c r="CF1379"/>
      <c r="CG1379"/>
      <c r="CH1379"/>
    </row>
    <row r="1380" spans="1:86" x14ac:dyDescent="0.2">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c r="AU1380"/>
      <c r="AV1380"/>
      <c r="AW1380"/>
      <c r="AX1380"/>
      <c r="AY1380"/>
      <c r="AZ1380"/>
      <c r="BA1380"/>
      <c r="BB1380"/>
      <c r="BC1380"/>
      <c r="BD1380"/>
      <c r="BE1380"/>
      <c r="BF1380"/>
      <c r="BG1380"/>
      <c r="BH1380"/>
      <c r="BI1380"/>
      <c r="BJ1380"/>
      <c r="BK1380"/>
      <c r="BL1380"/>
      <c r="BM1380"/>
      <c r="BN1380"/>
      <c r="BO1380"/>
      <c r="BP1380"/>
      <c r="BQ1380"/>
      <c r="BR1380"/>
      <c r="BS1380"/>
      <c r="BT1380"/>
      <c r="BU1380"/>
      <c r="BV1380"/>
      <c r="BW1380"/>
      <c r="BX1380"/>
      <c r="BY1380"/>
      <c r="BZ1380"/>
      <c r="CA1380"/>
      <c r="CB1380"/>
      <c r="CC1380"/>
      <c r="CD1380"/>
      <c r="CE1380"/>
      <c r="CF1380"/>
      <c r="CG1380"/>
      <c r="CH1380"/>
    </row>
    <row r="1381" spans="1:86" x14ac:dyDescent="0.2">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c r="AU1381"/>
      <c r="AV1381"/>
      <c r="AW1381"/>
      <c r="AX1381"/>
      <c r="AY1381"/>
      <c r="AZ1381"/>
      <c r="BA1381"/>
      <c r="BB1381"/>
      <c r="BC1381"/>
      <c r="BD1381"/>
      <c r="BE1381"/>
      <c r="BF1381"/>
      <c r="BG1381"/>
      <c r="BH1381"/>
      <c r="BI1381"/>
      <c r="BJ1381"/>
      <c r="BK1381"/>
      <c r="BL1381"/>
      <c r="BM1381"/>
      <c r="BN1381"/>
      <c r="BO1381"/>
      <c r="BP1381"/>
      <c r="BQ1381"/>
      <c r="BR1381"/>
      <c r="BS1381"/>
      <c r="BT1381"/>
      <c r="BU1381"/>
      <c r="BV1381"/>
      <c r="BW1381"/>
      <c r="BX1381"/>
      <c r="BY1381"/>
      <c r="BZ1381"/>
      <c r="CA1381"/>
      <c r="CB1381"/>
      <c r="CC1381"/>
      <c r="CD1381"/>
      <c r="CE1381"/>
      <c r="CF1381"/>
      <c r="CG1381"/>
      <c r="CH1381"/>
    </row>
    <row r="1382" spans="1:86" x14ac:dyDescent="0.2">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c r="AU1382"/>
      <c r="AV1382"/>
      <c r="AW1382"/>
      <c r="AX1382"/>
      <c r="AY1382"/>
      <c r="AZ1382"/>
      <c r="BA1382"/>
      <c r="BB1382"/>
      <c r="BC1382"/>
      <c r="BD1382"/>
      <c r="BE1382"/>
      <c r="BF1382"/>
      <c r="BG1382"/>
      <c r="BH1382"/>
      <c r="BI1382"/>
      <c r="BJ1382"/>
      <c r="BK1382"/>
      <c r="BL1382"/>
      <c r="BM1382"/>
      <c r="BN1382"/>
      <c r="BO1382"/>
      <c r="BP1382"/>
      <c r="BQ1382"/>
      <c r="BR1382"/>
      <c r="BS1382"/>
      <c r="BT1382"/>
      <c r="BU1382"/>
      <c r="BV1382"/>
      <c r="BW1382"/>
      <c r="BX1382"/>
      <c r="BY1382"/>
      <c r="BZ1382"/>
      <c r="CA1382"/>
      <c r="CB1382"/>
      <c r="CC1382"/>
      <c r="CD1382"/>
      <c r="CE1382"/>
      <c r="CF1382"/>
      <c r="CG1382"/>
      <c r="CH1382"/>
    </row>
    <row r="1383" spans="1:86" x14ac:dyDescent="0.2">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c r="AW1383"/>
      <c r="AX1383"/>
      <c r="AY1383"/>
      <c r="AZ1383"/>
      <c r="BA1383"/>
      <c r="BB1383"/>
      <c r="BC1383"/>
      <c r="BD1383"/>
      <c r="BE1383"/>
      <c r="BF1383"/>
      <c r="BG1383"/>
      <c r="BH1383"/>
      <c r="BI1383"/>
      <c r="BJ1383"/>
      <c r="BK1383"/>
      <c r="BL1383"/>
      <c r="BM1383"/>
      <c r="BN1383"/>
      <c r="BO1383"/>
      <c r="BP1383"/>
      <c r="BQ1383"/>
      <c r="BR1383"/>
      <c r="BS1383"/>
      <c r="BT1383"/>
      <c r="BU1383"/>
      <c r="BV1383"/>
      <c r="BW1383"/>
      <c r="BX1383"/>
      <c r="BY1383"/>
      <c r="BZ1383"/>
      <c r="CA1383"/>
      <c r="CB1383"/>
      <c r="CC1383"/>
      <c r="CD1383"/>
      <c r="CE1383"/>
      <c r="CF1383"/>
      <c r="CG1383"/>
      <c r="CH1383"/>
    </row>
    <row r="1384" spans="1:86" x14ac:dyDescent="0.2">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row>
    <row r="1385" spans="1:86" x14ac:dyDescent="0.2">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row>
    <row r="1386" spans="1:86" x14ac:dyDescent="0.2">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c r="AW1386"/>
      <c r="AX1386"/>
      <c r="AY1386"/>
      <c r="AZ1386"/>
      <c r="BA1386"/>
      <c r="BB1386"/>
      <c r="BC1386"/>
      <c r="BD1386"/>
      <c r="BE1386"/>
      <c r="BF1386"/>
      <c r="BG1386"/>
      <c r="BH1386"/>
      <c r="BI1386"/>
      <c r="BJ1386"/>
      <c r="BK1386"/>
      <c r="BL1386"/>
      <c r="BM1386"/>
      <c r="BN1386"/>
      <c r="BO1386"/>
      <c r="BP1386"/>
      <c r="BQ1386"/>
      <c r="BR1386"/>
      <c r="BS1386"/>
      <c r="BT1386"/>
      <c r="BU1386"/>
      <c r="BV1386"/>
      <c r="BW1386"/>
      <c r="BX1386"/>
      <c r="BY1386"/>
      <c r="BZ1386"/>
      <c r="CA1386"/>
      <c r="CB1386"/>
      <c r="CC1386"/>
      <c r="CD1386"/>
      <c r="CE1386"/>
      <c r="CF1386"/>
      <c r="CG1386"/>
      <c r="CH1386"/>
    </row>
    <row r="1387" spans="1:86" x14ac:dyDescent="0.2">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c r="AV1387"/>
      <c r="AW1387"/>
      <c r="AX1387"/>
      <c r="AY1387"/>
      <c r="AZ1387"/>
      <c r="BA1387"/>
      <c r="BB1387"/>
      <c r="BC1387"/>
      <c r="BD1387"/>
      <c r="BE1387"/>
      <c r="BF1387"/>
      <c r="BG1387"/>
      <c r="BH1387"/>
      <c r="BI1387"/>
      <c r="BJ1387"/>
      <c r="BK1387"/>
      <c r="BL1387"/>
      <c r="BM1387"/>
      <c r="BN1387"/>
      <c r="BO1387"/>
      <c r="BP1387"/>
      <c r="BQ1387"/>
      <c r="BR1387"/>
      <c r="BS1387"/>
      <c r="BT1387"/>
      <c r="BU1387"/>
      <c r="BV1387"/>
      <c r="BW1387"/>
      <c r="BX1387"/>
      <c r="BY1387"/>
      <c r="BZ1387"/>
      <c r="CA1387"/>
      <c r="CB1387"/>
      <c r="CC1387"/>
      <c r="CD1387"/>
      <c r="CE1387"/>
      <c r="CF1387"/>
      <c r="CG1387"/>
      <c r="CH1387"/>
    </row>
    <row r="1388" spans="1:86" x14ac:dyDescent="0.2">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c r="AU1388"/>
      <c r="AV1388"/>
      <c r="AW1388"/>
      <c r="AX1388"/>
      <c r="AY1388"/>
      <c r="AZ1388"/>
      <c r="BA1388"/>
      <c r="BB1388"/>
      <c r="BC1388"/>
      <c r="BD1388"/>
      <c r="BE1388"/>
      <c r="BF1388"/>
      <c r="BG1388"/>
      <c r="BH1388"/>
      <c r="BI1388"/>
      <c r="BJ1388"/>
      <c r="BK1388"/>
      <c r="BL1388"/>
      <c r="BM1388"/>
      <c r="BN1388"/>
      <c r="BO1388"/>
      <c r="BP1388"/>
      <c r="BQ1388"/>
      <c r="BR1388"/>
      <c r="BS1388"/>
      <c r="BT1388"/>
      <c r="BU1388"/>
      <c r="BV1388"/>
      <c r="BW1388"/>
      <c r="BX1388"/>
      <c r="BY1388"/>
      <c r="BZ1388"/>
      <c r="CA1388"/>
      <c r="CB1388"/>
      <c r="CC1388"/>
      <c r="CD1388"/>
      <c r="CE1388"/>
      <c r="CF1388"/>
      <c r="CG1388"/>
      <c r="CH1388"/>
    </row>
    <row r="1389" spans="1:86" x14ac:dyDescent="0.2">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c r="AU1389"/>
      <c r="AV1389"/>
      <c r="AW1389"/>
      <c r="AX1389"/>
      <c r="AY1389"/>
      <c r="AZ1389"/>
      <c r="BA1389"/>
      <c r="BB1389"/>
      <c r="BC1389"/>
      <c r="BD1389"/>
      <c r="BE1389"/>
      <c r="BF1389"/>
      <c r="BG1389"/>
      <c r="BH1389"/>
      <c r="BI1389"/>
      <c r="BJ1389"/>
      <c r="BK1389"/>
      <c r="BL1389"/>
      <c r="BM1389"/>
      <c r="BN1389"/>
      <c r="BO1389"/>
      <c r="BP1389"/>
      <c r="BQ1389"/>
      <c r="BR1389"/>
      <c r="BS1389"/>
      <c r="BT1389"/>
      <c r="BU1389"/>
      <c r="BV1389"/>
      <c r="BW1389"/>
      <c r="BX1389"/>
      <c r="BY1389"/>
      <c r="BZ1389"/>
      <c r="CA1389"/>
      <c r="CB1389"/>
      <c r="CC1389"/>
      <c r="CD1389"/>
      <c r="CE1389"/>
      <c r="CF1389"/>
      <c r="CG1389"/>
      <c r="CH1389"/>
    </row>
    <row r="1390" spans="1:86" x14ac:dyDescent="0.2">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c r="AU1390"/>
      <c r="AV1390"/>
      <c r="AW1390"/>
      <c r="AX1390"/>
      <c r="AY1390"/>
      <c r="AZ1390"/>
      <c r="BA1390"/>
      <c r="BB1390"/>
      <c r="BC1390"/>
      <c r="BD1390"/>
      <c r="BE1390"/>
      <c r="BF1390"/>
      <c r="BG1390"/>
      <c r="BH1390"/>
      <c r="BI1390"/>
      <c r="BJ1390"/>
      <c r="BK1390"/>
      <c r="BL1390"/>
      <c r="BM1390"/>
      <c r="BN1390"/>
      <c r="BO1390"/>
      <c r="BP1390"/>
      <c r="BQ1390"/>
      <c r="BR1390"/>
      <c r="BS1390"/>
      <c r="BT1390"/>
      <c r="BU1390"/>
      <c r="BV1390"/>
      <c r="BW1390"/>
      <c r="BX1390"/>
      <c r="BY1390"/>
      <c r="BZ1390"/>
      <c r="CA1390"/>
      <c r="CB1390"/>
      <c r="CC1390"/>
      <c r="CD1390"/>
      <c r="CE1390"/>
      <c r="CF1390"/>
      <c r="CG1390"/>
      <c r="CH1390"/>
    </row>
    <row r="1391" spans="1:86" x14ac:dyDescent="0.2">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c r="AU1391"/>
      <c r="AV1391"/>
      <c r="AW1391"/>
      <c r="AX1391"/>
      <c r="AY1391"/>
      <c r="AZ1391"/>
      <c r="BA1391"/>
      <c r="BB1391"/>
      <c r="BC1391"/>
      <c r="BD1391"/>
      <c r="BE1391"/>
      <c r="BF1391"/>
      <c r="BG1391"/>
      <c r="BH1391"/>
      <c r="BI1391"/>
      <c r="BJ1391"/>
      <c r="BK1391"/>
      <c r="BL1391"/>
      <c r="BM1391"/>
      <c r="BN1391"/>
      <c r="BO1391"/>
      <c r="BP1391"/>
      <c r="BQ1391"/>
      <c r="BR1391"/>
      <c r="BS1391"/>
      <c r="BT1391"/>
      <c r="BU1391"/>
      <c r="BV1391"/>
      <c r="BW1391"/>
      <c r="BX1391"/>
      <c r="BY1391"/>
      <c r="BZ1391"/>
      <c r="CA1391"/>
      <c r="CB1391"/>
      <c r="CC1391"/>
      <c r="CD1391"/>
      <c r="CE1391"/>
      <c r="CF1391"/>
      <c r="CG1391"/>
      <c r="CH1391"/>
    </row>
    <row r="1392" spans="1:86" x14ac:dyDescent="0.2">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c r="AU1392"/>
      <c r="AV1392"/>
      <c r="AW1392"/>
      <c r="AX1392"/>
      <c r="AY1392"/>
      <c r="AZ1392"/>
      <c r="BA1392"/>
      <c r="BB1392"/>
      <c r="BC1392"/>
      <c r="BD1392"/>
      <c r="BE1392"/>
      <c r="BF1392"/>
      <c r="BG1392"/>
      <c r="BH1392"/>
      <c r="BI1392"/>
      <c r="BJ1392"/>
      <c r="BK1392"/>
      <c r="BL1392"/>
      <c r="BM1392"/>
      <c r="BN1392"/>
      <c r="BO1392"/>
      <c r="BP1392"/>
      <c r="BQ1392"/>
      <c r="BR1392"/>
      <c r="BS1392"/>
      <c r="BT1392"/>
      <c r="BU1392"/>
      <c r="BV1392"/>
      <c r="BW1392"/>
      <c r="BX1392"/>
      <c r="BY1392"/>
      <c r="BZ1392"/>
      <c r="CA1392"/>
      <c r="CB1392"/>
      <c r="CC1392"/>
      <c r="CD1392"/>
      <c r="CE1392"/>
      <c r="CF1392"/>
      <c r="CG1392"/>
      <c r="CH1392"/>
    </row>
    <row r="1393" spans="1:86" x14ac:dyDescent="0.2">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c r="AU1393"/>
      <c r="AV1393"/>
      <c r="AW1393"/>
      <c r="AX1393"/>
      <c r="AY1393"/>
      <c r="AZ1393"/>
      <c r="BA1393"/>
      <c r="BB1393"/>
      <c r="BC1393"/>
      <c r="BD1393"/>
      <c r="BE1393"/>
      <c r="BF1393"/>
      <c r="BG1393"/>
      <c r="BH1393"/>
      <c r="BI1393"/>
      <c r="BJ1393"/>
      <c r="BK1393"/>
      <c r="BL1393"/>
      <c r="BM1393"/>
      <c r="BN1393"/>
      <c r="BO1393"/>
      <c r="BP1393"/>
      <c r="BQ1393"/>
      <c r="BR1393"/>
      <c r="BS1393"/>
      <c r="BT1393"/>
      <c r="BU1393"/>
      <c r="BV1393"/>
      <c r="BW1393"/>
      <c r="BX1393"/>
      <c r="BY1393"/>
      <c r="BZ1393"/>
      <c r="CA1393"/>
      <c r="CB1393"/>
      <c r="CC1393"/>
      <c r="CD1393"/>
      <c r="CE1393"/>
      <c r="CF1393"/>
      <c r="CG1393"/>
      <c r="CH1393"/>
    </row>
    <row r="1394" spans="1:86" x14ac:dyDescent="0.2">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c r="AU1394"/>
      <c r="AV1394"/>
      <c r="AW1394"/>
      <c r="AX1394"/>
      <c r="AY1394"/>
      <c r="AZ1394"/>
      <c r="BA1394"/>
      <c r="BB1394"/>
      <c r="BC1394"/>
      <c r="BD1394"/>
      <c r="BE1394"/>
      <c r="BF1394"/>
      <c r="BG1394"/>
      <c r="BH1394"/>
      <c r="BI1394"/>
      <c r="BJ1394"/>
      <c r="BK1394"/>
      <c r="BL1394"/>
      <c r="BM1394"/>
      <c r="BN1394"/>
      <c r="BO1394"/>
      <c r="BP1394"/>
      <c r="BQ1394"/>
      <c r="BR1394"/>
      <c r="BS1394"/>
      <c r="BT1394"/>
      <c r="BU1394"/>
      <c r="BV1394"/>
      <c r="BW1394"/>
      <c r="BX1394"/>
      <c r="BY1394"/>
      <c r="BZ1394"/>
      <c r="CA1394"/>
      <c r="CB1394"/>
      <c r="CC1394"/>
      <c r="CD1394"/>
      <c r="CE1394"/>
      <c r="CF1394"/>
      <c r="CG1394"/>
      <c r="CH1394"/>
    </row>
    <row r="1395" spans="1:86" x14ac:dyDescent="0.2">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c r="AU1395"/>
      <c r="AV1395"/>
      <c r="AW1395"/>
      <c r="AX1395"/>
      <c r="AY1395"/>
      <c r="AZ1395"/>
      <c r="BA1395"/>
      <c r="BB1395"/>
      <c r="BC1395"/>
      <c r="BD1395"/>
      <c r="BE1395"/>
      <c r="BF1395"/>
      <c r="BG1395"/>
      <c r="BH1395"/>
      <c r="BI1395"/>
      <c r="BJ1395"/>
      <c r="BK1395"/>
      <c r="BL1395"/>
      <c r="BM1395"/>
      <c r="BN1395"/>
      <c r="BO1395"/>
      <c r="BP1395"/>
      <c r="BQ1395"/>
      <c r="BR1395"/>
      <c r="BS1395"/>
      <c r="BT1395"/>
      <c r="BU1395"/>
      <c r="BV1395"/>
      <c r="BW1395"/>
      <c r="BX1395"/>
      <c r="BY1395"/>
      <c r="BZ1395"/>
      <c r="CA1395"/>
      <c r="CB1395"/>
      <c r="CC1395"/>
      <c r="CD1395"/>
      <c r="CE1395"/>
      <c r="CF1395"/>
      <c r="CG1395"/>
      <c r="CH1395"/>
    </row>
    <row r="1396" spans="1:86" x14ac:dyDescent="0.2">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c r="AU1396"/>
      <c r="AV1396"/>
      <c r="AW1396"/>
      <c r="AX1396"/>
      <c r="AY1396"/>
      <c r="AZ1396"/>
      <c r="BA1396"/>
      <c r="BB1396"/>
      <c r="BC1396"/>
      <c r="BD1396"/>
      <c r="BE1396"/>
      <c r="BF1396"/>
      <c r="BG1396"/>
      <c r="BH1396"/>
      <c r="BI1396"/>
      <c r="BJ1396"/>
      <c r="BK1396"/>
      <c r="BL1396"/>
      <c r="BM1396"/>
      <c r="BN1396"/>
      <c r="BO1396"/>
      <c r="BP1396"/>
      <c r="BQ1396"/>
      <c r="BR1396"/>
      <c r="BS1396"/>
      <c r="BT1396"/>
      <c r="BU1396"/>
      <c r="BV1396"/>
      <c r="BW1396"/>
      <c r="BX1396"/>
      <c r="BY1396"/>
      <c r="BZ1396"/>
      <c r="CA1396"/>
      <c r="CB1396"/>
      <c r="CC1396"/>
      <c r="CD1396"/>
      <c r="CE1396"/>
      <c r="CF1396"/>
      <c r="CG1396"/>
      <c r="CH1396"/>
    </row>
    <row r="1397" spans="1:86" x14ac:dyDescent="0.2">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c r="AU1397"/>
      <c r="AV1397"/>
      <c r="AW1397"/>
      <c r="AX1397"/>
      <c r="AY1397"/>
      <c r="AZ1397"/>
      <c r="BA1397"/>
      <c r="BB1397"/>
      <c r="BC1397"/>
      <c r="BD1397"/>
      <c r="BE1397"/>
      <c r="BF1397"/>
      <c r="BG1397"/>
      <c r="BH1397"/>
      <c r="BI1397"/>
      <c r="BJ1397"/>
      <c r="BK1397"/>
      <c r="BL1397"/>
      <c r="BM1397"/>
      <c r="BN1397"/>
      <c r="BO1397"/>
      <c r="BP1397"/>
      <c r="BQ1397"/>
      <c r="BR1397"/>
      <c r="BS1397"/>
      <c r="BT1397"/>
      <c r="BU1397"/>
      <c r="BV1397"/>
      <c r="BW1397"/>
      <c r="BX1397"/>
      <c r="BY1397"/>
      <c r="BZ1397"/>
      <c r="CA1397"/>
      <c r="CB1397"/>
      <c r="CC1397"/>
      <c r="CD1397"/>
      <c r="CE1397"/>
      <c r="CF1397"/>
      <c r="CG1397"/>
      <c r="CH1397"/>
    </row>
    <row r="1398" spans="1:86" x14ac:dyDescent="0.2">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c r="AU1398"/>
      <c r="AV1398"/>
      <c r="AW1398"/>
      <c r="AX1398"/>
      <c r="AY1398"/>
      <c r="AZ1398"/>
      <c r="BA1398"/>
      <c r="BB1398"/>
      <c r="BC1398"/>
      <c r="BD1398"/>
      <c r="BE1398"/>
      <c r="BF1398"/>
      <c r="BG1398"/>
      <c r="BH1398"/>
      <c r="BI1398"/>
      <c r="BJ1398"/>
      <c r="BK1398"/>
      <c r="BL1398"/>
      <c r="BM1398"/>
      <c r="BN1398"/>
      <c r="BO1398"/>
      <c r="BP1398"/>
      <c r="BQ1398"/>
      <c r="BR1398"/>
      <c r="BS1398"/>
      <c r="BT1398"/>
      <c r="BU1398"/>
      <c r="BV1398"/>
      <c r="BW1398"/>
      <c r="BX1398"/>
      <c r="BY1398"/>
      <c r="BZ1398"/>
      <c r="CA1398"/>
      <c r="CB1398"/>
      <c r="CC1398"/>
      <c r="CD1398"/>
      <c r="CE1398"/>
      <c r="CF1398"/>
      <c r="CG1398"/>
      <c r="CH1398"/>
    </row>
    <row r="1399" spans="1:86" x14ac:dyDescent="0.2">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c r="AU1399"/>
      <c r="AV1399"/>
      <c r="AW1399"/>
      <c r="AX1399"/>
      <c r="AY1399"/>
      <c r="AZ1399"/>
      <c r="BA1399"/>
      <c r="BB1399"/>
      <c r="BC1399"/>
      <c r="BD1399"/>
      <c r="BE1399"/>
      <c r="BF1399"/>
      <c r="BG1399"/>
      <c r="BH1399"/>
      <c r="BI1399"/>
      <c r="BJ1399"/>
      <c r="BK1399"/>
      <c r="BL1399"/>
      <c r="BM1399"/>
      <c r="BN1399"/>
      <c r="BO1399"/>
      <c r="BP1399"/>
      <c r="BQ1399"/>
      <c r="BR1399"/>
      <c r="BS1399"/>
      <c r="BT1399"/>
      <c r="BU1399"/>
      <c r="BV1399"/>
      <c r="BW1399"/>
      <c r="BX1399"/>
      <c r="BY1399"/>
      <c r="BZ1399"/>
      <c r="CA1399"/>
      <c r="CB1399"/>
      <c r="CC1399"/>
      <c r="CD1399"/>
      <c r="CE1399"/>
      <c r="CF1399"/>
      <c r="CG1399"/>
      <c r="CH1399"/>
    </row>
    <row r="1400" spans="1:86" x14ac:dyDescent="0.2">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c r="AU1400"/>
      <c r="AV1400"/>
      <c r="AW1400"/>
      <c r="AX1400"/>
      <c r="AY1400"/>
      <c r="AZ1400"/>
      <c r="BA1400"/>
      <c r="BB1400"/>
      <c r="BC1400"/>
      <c r="BD1400"/>
      <c r="BE1400"/>
      <c r="BF1400"/>
      <c r="BG1400"/>
      <c r="BH1400"/>
      <c r="BI1400"/>
      <c r="BJ1400"/>
      <c r="BK1400"/>
      <c r="BL1400"/>
      <c r="BM1400"/>
      <c r="BN1400"/>
      <c r="BO1400"/>
      <c r="BP1400"/>
      <c r="BQ1400"/>
      <c r="BR1400"/>
      <c r="BS1400"/>
      <c r="BT1400"/>
      <c r="BU1400"/>
      <c r="BV1400"/>
      <c r="BW1400"/>
      <c r="BX1400"/>
      <c r="BY1400"/>
      <c r="BZ1400"/>
      <c r="CA1400"/>
      <c r="CB1400"/>
      <c r="CC1400"/>
      <c r="CD1400"/>
      <c r="CE1400"/>
      <c r="CF1400"/>
      <c r="CG1400"/>
      <c r="CH1400"/>
    </row>
    <row r="1401" spans="1:86" x14ac:dyDescent="0.2">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c r="AU1401"/>
      <c r="AV1401"/>
      <c r="AW1401"/>
      <c r="AX1401"/>
      <c r="AY1401"/>
      <c r="AZ1401"/>
      <c r="BA1401"/>
      <c r="BB1401"/>
      <c r="BC1401"/>
      <c r="BD1401"/>
      <c r="BE1401"/>
      <c r="BF1401"/>
      <c r="BG1401"/>
      <c r="BH1401"/>
      <c r="BI1401"/>
      <c r="BJ1401"/>
      <c r="BK1401"/>
      <c r="BL1401"/>
      <c r="BM1401"/>
      <c r="BN1401"/>
      <c r="BO1401"/>
      <c r="BP1401"/>
      <c r="BQ1401"/>
      <c r="BR1401"/>
      <c r="BS1401"/>
      <c r="BT1401"/>
      <c r="BU1401"/>
      <c r="BV1401"/>
      <c r="BW1401"/>
      <c r="BX1401"/>
      <c r="BY1401"/>
      <c r="BZ1401"/>
      <c r="CA1401"/>
      <c r="CB1401"/>
      <c r="CC1401"/>
      <c r="CD1401"/>
      <c r="CE1401"/>
      <c r="CF1401"/>
      <c r="CG1401"/>
      <c r="CH1401"/>
    </row>
    <row r="1402" spans="1:86" x14ac:dyDescent="0.2">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c r="AU1402"/>
      <c r="AV1402"/>
      <c r="AW1402"/>
      <c r="AX1402"/>
      <c r="AY1402"/>
      <c r="AZ1402"/>
      <c r="BA1402"/>
      <c r="BB1402"/>
      <c r="BC1402"/>
      <c r="BD1402"/>
      <c r="BE1402"/>
      <c r="BF1402"/>
      <c r="BG1402"/>
      <c r="BH1402"/>
      <c r="BI1402"/>
      <c r="BJ1402"/>
      <c r="BK1402"/>
      <c r="BL1402"/>
      <c r="BM1402"/>
      <c r="BN1402"/>
      <c r="BO1402"/>
      <c r="BP1402"/>
      <c r="BQ1402"/>
      <c r="BR1402"/>
      <c r="BS1402"/>
      <c r="BT1402"/>
      <c r="BU1402"/>
      <c r="BV1402"/>
      <c r="BW1402"/>
      <c r="BX1402"/>
      <c r="BY1402"/>
      <c r="BZ1402"/>
      <c r="CA1402"/>
      <c r="CB1402"/>
      <c r="CC1402"/>
      <c r="CD1402"/>
      <c r="CE1402"/>
      <c r="CF1402"/>
      <c r="CG1402"/>
      <c r="CH1402"/>
    </row>
    <row r="1403" spans="1:86" x14ac:dyDescent="0.2">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c r="AU1403"/>
      <c r="AV1403"/>
      <c r="AW1403"/>
      <c r="AX1403"/>
      <c r="AY1403"/>
      <c r="AZ1403"/>
      <c r="BA1403"/>
      <c r="BB1403"/>
      <c r="BC1403"/>
      <c r="BD1403"/>
      <c r="BE1403"/>
      <c r="BF1403"/>
      <c r="BG1403"/>
      <c r="BH1403"/>
      <c r="BI1403"/>
      <c r="BJ1403"/>
      <c r="BK1403"/>
      <c r="BL1403"/>
      <c r="BM1403"/>
      <c r="BN1403"/>
      <c r="BO1403"/>
      <c r="BP1403"/>
      <c r="BQ1403"/>
      <c r="BR1403"/>
      <c r="BS1403"/>
      <c r="BT1403"/>
      <c r="BU1403"/>
      <c r="BV1403"/>
      <c r="BW1403"/>
      <c r="BX1403"/>
      <c r="BY1403"/>
      <c r="BZ1403"/>
      <c r="CA1403"/>
      <c r="CB1403"/>
      <c r="CC1403"/>
      <c r="CD1403"/>
      <c r="CE1403"/>
      <c r="CF1403"/>
      <c r="CG1403"/>
      <c r="CH1403"/>
    </row>
    <row r="1404" spans="1:86" x14ac:dyDescent="0.2">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c r="AU1404"/>
      <c r="AV1404"/>
      <c r="AW1404"/>
      <c r="AX1404"/>
      <c r="AY1404"/>
      <c r="AZ1404"/>
      <c r="BA1404"/>
      <c r="BB1404"/>
      <c r="BC1404"/>
      <c r="BD1404"/>
      <c r="BE1404"/>
      <c r="BF1404"/>
      <c r="BG1404"/>
      <c r="BH1404"/>
      <c r="BI1404"/>
      <c r="BJ1404"/>
      <c r="BK1404"/>
      <c r="BL1404"/>
      <c r="BM1404"/>
      <c r="BN1404"/>
      <c r="BO1404"/>
      <c r="BP1404"/>
      <c r="BQ1404"/>
      <c r="BR1404"/>
      <c r="BS1404"/>
      <c r="BT1404"/>
      <c r="BU1404"/>
      <c r="BV1404"/>
      <c r="BW1404"/>
      <c r="BX1404"/>
      <c r="BY1404"/>
      <c r="BZ1404"/>
      <c r="CA1404"/>
      <c r="CB1404"/>
      <c r="CC1404"/>
      <c r="CD1404"/>
      <c r="CE1404"/>
      <c r="CF1404"/>
      <c r="CG1404"/>
      <c r="CH1404"/>
    </row>
    <row r="1405" spans="1:86" x14ac:dyDescent="0.2">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c r="AU1405"/>
      <c r="AV1405"/>
      <c r="AW1405"/>
      <c r="AX1405"/>
      <c r="AY1405"/>
      <c r="AZ1405"/>
      <c r="BA1405"/>
      <c r="BB1405"/>
      <c r="BC1405"/>
      <c r="BD1405"/>
      <c r="BE1405"/>
      <c r="BF1405"/>
      <c r="BG1405"/>
      <c r="BH1405"/>
      <c r="BI1405"/>
      <c r="BJ1405"/>
      <c r="BK1405"/>
      <c r="BL1405"/>
      <c r="BM1405"/>
      <c r="BN1405"/>
      <c r="BO1405"/>
      <c r="BP1405"/>
      <c r="BQ1405"/>
      <c r="BR1405"/>
      <c r="BS1405"/>
      <c r="BT1405"/>
      <c r="BU1405"/>
      <c r="BV1405"/>
      <c r="BW1405"/>
      <c r="BX1405"/>
      <c r="BY1405"/>
      <c r="BZ1405"/>
      <c r="CA1405"/>
      <c r="CB1405"/>
      <c r="CC1405"/>
      <c r="CD1405"/>
      <c r="CE1405"/>
      <c r="CF1405"/>
      <c r="CG1405"/>
      <c r="CH1405"/>
    </row>
    <row r="1406" spans="1:86" x14ac:dyDescent="0.2">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c r="AU1406"/>
      <c r="AV1406"/>
      <c r="AW1406"/>
      <c r="AX1406"/>
      <c r="AY1406"/>
      <c r="AZ1406"/>
      <c r="BA1406"/>
      <c r="BB1406"/>
      <c r="BC1406"/>
      <c r="BD1406"/>
      <c r="BE1406"/>
      <c r="BF1406"/>
      <c r="BG1406"/>
      <c r="BH1406"/>
      <c r="BI1406"/>
      <c r="BJ1406"/>
      <c r="BK1406"/>
      <c r="BL1406"/>
      <c r="BM1406"/>
      <c r="BN1406"/>
      <c r="BO1406"/>
      <c r="BP1406"/>
      <c r="BQ1406"/>
      <c r="BR1406"/>
      <c r="BS1406"/>
      <c r="BT1406"/>
      <c r="BU1406"/>
      <c r="BV1406"/>
      <c r="BW1406"/>
      <c r="BX1406"/>
      <c r="BY1406"/>
      <c r="BZ1406"/>
      <c r="CA1406"/>
      <c r="CB1406"/>
      <c r="CC1406"/>
      <c r="CD1406"/>
      <c r="CE1406"/>
      <c r="CF1406"/>
      <c r="CG1406"/>
      <c r="CH1406"/>
    </row>
    <row r="1407" spans="1:86" x14ac:dyDescent="0.2">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c r="AU1407"/>
      <c r="AV1407"/>
      <c r="AW1407"/>
      <c r="AX1407"/>
      <c r="AY1407"/>
      <c r="AZ1407"/>
      <c r="BA1407"/>
      <c r="BB1407"/>
      <c r="BC1407"/>
      <c r="BD1407"/>
      <c r="BE1407"/>
      <c r="BF1407"/>
      <c r="BG1407"/>
      <c r="BH1407"/>
      <c r="BI1407"/>
      <c r="BJ1407"/>
      <c r="BK1407"/>
      <c r="BL1407"/>
      <c r="BM1407"/>
      <c r="BN1407"/>
      <c r="BO1407"/>
      <c r="BP1407"/>
      <c r="BQ1407"/>
      <c r="BR1407"/>
      <c r="BS1407"/>
      <c r="BT1407"/>
      <c r="BU1407"/>
      <c r="BV1407"/>
      <c r="BW1407"/>
      <c r="BX1407"/>
      <c r="BY1407"/>
      <c r="BZ1407"/>
      <c r="CA1407"/>
      <c r="CB1407"/>
      <c r="CC1407"/>
      <c r="CD1407"/>
      <c r="CE1407"/>
      <c r="CF1407"/>
      <c r="CG1407"/>
      <c r="CH1407"/>
    </row>
    <row r="1408" spans="1:86" x14ac:dyDescent="0.2">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c r="AU1408"/>
      <c r="AV1408"/>
      <c r="AW1408"/>
      <c r="AX1408"/>
      <c r="AY1408"/>
      <c r="AZ1408"/>
      <c r="BA1408"/>
      <c r="BB1408"/>
      <c r="BC1408"/>
      <c r="BD1408"/>
      <c r="BE1408"/>
      <c r="BF1408"/>
      <c r="BG1408"/>
      <c r="BH1408"/>
      <c r="BI1408"/>
      <c r="BJ1408"/>
      <c r="BK1408"/>
      <c r="BL1408"/>
      <c r="BM1408"/>
      <c r="BN1408"/>
      <c r="BO1408"/>
      <c r="BP1408"/>
      <c r="BQ1408"/>
      <c r="BR1408"/>
      <c r="BS1408"/>
      <c r="BT1408"/>
      <c r="BU1408"/>
      <c r="BV1408"/>
      <c r="BW1408"/>
      <c r="BX1408"/>
      <c r="BY1408"/>
      <c r="BZ1408"/>
      <c r="CA1408"/>
      <c r="CB1408"/>
      <c r="CC1408"/>
      <c r="CD1408"/>
      <c r="CE1408"/>
      <c r="CF1408"/>
      <c r="CG1408"/>
      <c r="CH1408"/>
    </row>
    <row r="1409" spans="1:86" x14ac:dyDescent="0.2">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c r="AU1409"/>
      <c r="AV1409"/>
      <c r="AW1409"/>
      <c r="AX1409"/>
      <c r="AY1409"/>
      <c r="AZ1409"/>
      <c r="BA1409"/>
      <c r="BB1409"/>
      <c r="BC1409"/>
      <c r="BD1409"/>
      <c r="BE1409"/>
      <c r="BF1409"/>
      <c r="BG1409"/>
      <c r="BH1409"/>
      <c r="BI1409"/>
      <c r="BJ1409"/>
      <c r="BK1409"/>
      <c r="BL1409"/>
      <c r="BM1409"/>
      <c r="BN1409"/>
      <c r="BO1409"/>
      <c r="BP1409"/>
      <c r="BQ1409"/>
      <c r="BR1409"/>
      <c r="BS1409"/>
      <c r="BT1409"/>
      <c r="BU1409"/>
      <c r="BV1409"/>
      <c r="BW1409"/>
      <c r="BX1409"/>
      <c r="BY1409"/>
      <c r="BZ1409"/>
      <c r="CA1409"/>
      <c r="CB1409"/>
      <c r="CC1409"/>
      <c r="CD1409"/>
      <c r="CE1409"/>
      <c r="CF1409"/>
      <c r="CG1409"/>
      <c r="CH1409"/>
    </row>
    <row r="1410" spans="1:86" x14ac:dyDescent="0.2">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c r="AU1410"/>
      <c r="AV1410"/>
      <c r="AW1410"/>
      <c r="AX1410"/>
      <c r="AY1410"/>
      <c r="AZ1410"/>
      <c r="BA1410"/>
      <c r="BB1410"/>
      <c r="BC1410"/>
      <c r="BD1410"/>
      <c r="BE1410"/>
      <c r="BF1410"/>
      <c r="BG1410"/>
      <c r="BH1410"/>
      <c r="BI1410"/>
      <c r="BJ1410"/>
      <c r="BK1410"/>
      <c r="BL1410"/>
      <c r="BM1410"/>
      <c r="BN1410"/>
      <c r="BO1410"/>
      <c r="BP1410"/>
      <c r="BQ1410"/>
      <c r="BR1410"/>
      <c r="BS1410"/>
      <c r="BT1410"/>
      <c r="BU1410"/>
      <c r="BV1410"/>
      <c r="BW1410"/>
      <c r="BX1410"/>
      <c r="BY1410"/>
      <c r="BZ1410"/>
      <c r="CA1410"/>
      <c r="CB1410"/>
      <c r="CC1410"/>
      <c r="CD1410"/>
      <c r="CE1410"/>
      <c r="CF1410"/>
      <c r="CG1410"/>
      <c r="CH1410"/>
    </row>
    <row r="1411" spans="1:86" x14ac:dyDescent="0.2">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c r="AU1411"/>
      <c r="AV1411"/>
      <c r="AW1411"/>
      <c r="AX1411"/>
      <c r="AY1411"/>
      <c r="AZ1411"/>
      <c r="BA1411"/>
      <c r="BB1411"/>
      <c r="BC1411"/>
      <c r="BD1411"/>
      <c r="BE1411"/>
      <c r="BF1411"/>
      <c r="BG1411"/>
      <c r="BH1411"/>
      <c r="BI1411"/>
      <c r="BJ1411"/>
      <c r="BK1411"/>
      <c r="BL1411"/>
      <c r="BM1411"/>
      <c r="BN1411"/>
      <c r="BO1411"/>
      <c r="BP1411"/>
      <c r="BQ1411"/>
      <c r="BR1411"/>
      <c r="BS1411"/>
      <c r="BT1411"/>
      <c r="BU1411"/>
      <c r="BV1411"/>
      <c r="BW1411"/>
      <c r="BX1411"/>
      <c r="BY1411"/>
      <c r="BZ1411"/>
      <c r="CA1411"/>
      <c r="CB1411"/>
      <c r="CC1411"/>
      <c r="CD1411"/>
      <c r="CE1411"/>
      <c r="CF1411"/>
      <c r="CG1411"/>
      <c r="CH1411"/>
    </row>
    <row r="1412" spans="1:86" x14ac:dyDescent="0.2">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c r="AU1412"/>
      <c r="AV1412"/>
      <c r="AW1412"/>
      <c r="AX1412"/>
      <c r="AY1412"/>
      <c r="AZ1412"/>
      <c r="BA1412"/>
      <c r="BB1412"/>
      <c r="BC1412"/>
      <c r="BD1412"/>
      <c r="BE1412"/>
      <c r="BF1412"/>
      <c r="BG1412"/>
      <c r="BH1412"/>
      <c r="BI1412"/>
      <c r="BJ1412"/>
      <c r="BK1412"/>
      <c r="BL1412"/>
      <c r="BM1412"/>
      <c r="BN1412"/>
      <c r="BO1412"/>
      <c r="BP1412"/>
      <c r="BQ1412"/>
      <c r="BR1412"/>
      <c r="BS1412"/>
      <c r="BT1412"/>
      <c r="BU1412"/>
      <c r="BV1412"/>
      <c r="BW1412"/>
      <c r="BX1412"/>
      <c r="BY1412"/>
      <c r="BZ1412"/>
      <c r="CA1412"/>
      <c r="CB1412"/>
      <c r="CC1412"/>
      <c r="CD1412"/>
      <c r="CE1412"/>
      <c r="CF1412"/>
      <c r="CG1412"/>
      <c r="CH1412"/>
    </row>
    <row r="1413" spans="1:86" x14ac:dyDescent="0.2">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c r="AU1413"/>
      <c r="AV1413"/>
      <c r="AW1413"/>
      <c r="AX1413"/>
      <c r="AY1413"/>
      <c r="AZ1413"/>
      <c r="BA1413"/>
      <c r="BB1413"/>
      <c r="BC1413"/>
      <c r="BD1413"/>
      <c r="BE1413"/>
      <c r="BF1413"/>
      <c r="BG1413"/>
      <c r="BH1413"/>
      <c r="BI1413"/>
      <c r="BJ1413"/>
      <c r="BK1413"/>
      <c r="BL1413"/>
      <c r="BM1413"/>
      <c r="BN1413"/>
      <c r="BO1413"/>
      <c r="BP1413"/>
      <c r="BQ1413"/>
      <c r="BR1413"/>
      <c r="BS1413"/>
      <c r="BT1413"/>
      <c r="BU1413"/>
      <c r="BV1413"/>
      <c r="BW1413"/>
      <c r="BX1413"/>
      <c r="BY1413"/>
      <c r="BZ1413"/>
      <c r="CA1413"/>
      <c r="CB1413"/>
      <c r="CC1413"/>
      <c r="CD1413"/>
      <c r="CE1413"/>
      <c r="CF1413"/>
      <c r="CG1413"/>
      <c r="CH1413"/>
    </row>
    <row r="1414" spans="1:86" x14ac:dyDescent="0.2">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c r="AU1414"/>
      <c r="AV1414"/>
      <c r="AW1414"/>
      <c r="AX1414"/>
      <c r="AY1414"/>
      <c r="AZ1414"/>
      <c r="BA1414"/>
      <c r="BB1414"/>
      <c r="BC1414"/>
      <c r="BD1414"/>
      <c r="BE1414"/>
      <c r="BF1414"/>
      <c r="BG1414"/>
      <c r="BH1414"/>
      <c r="BI1414"/>
      <c r="BJ1414"/>
      <c r="BK1414"/>
      <c r="BL1414"/>
      <c r="BM1414"/>
      <c r="BN1414"/>
      <c r="BO1414"/>
      <c r="BP1414"/>
      <c r="BQ1414"/>
      <c r="BR1414"/>
      <c r="BS1414"/>
      <c r="BT1414"/>
      <c r="BU1414"/>
      <c r="BV1414"/>
      <c r="BW1414"/>
      <c r="BX1414"/>
      <c r="BY1414"/>
      <c r="BZ1414"/>
      <c r="CA1414"/>
      <c r="CB1414"/>
      <c r="CC1414"/>
      <c r="CD1414"/>
      <c r="CE1414"/>
      <c r="CF1414"/>
      <c r="CG1414"/>
      <c r="CH1414"/>
    </row>
    <row r="1415" spans="1:86" x14ac:dyDescent="0.2">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c r="AU1415"/>
      <c r="AV1415"/>
      <c r="AW1415"/>
      <c r="AX1415"/>
      <c r="AY1415"/>
      <c r="AZ1415"/>
      <c r="BA1415"/>
      <c r="BB1415"/>
      <c r="BC1415"/>
      <c r="BD1415"/>
      <c r="BE1415"/>
      <c r="BF1415"/>
      <c r="BG1415"/>
      <c r="BH1415"/>
      <c r="BI1415"/>
      <c r="BJ1415"/>
      <c r="BK1415"/>
      <c r="BL1415"/>
      <c r="BM1415"/>
      <c r="BN1415"/>
      <c r="BO1415"/>
      <c r="BP1415"/>
      <c r="BQ1415"/>
      <c r="BR1415"/>
      <c r="BS1415"/>
      <c r="BT1415"/>
      <c r="BU1415"/>
      <c r="BV1415"/>
      <c r="BW1415"/>
      <c r="BX1415"/>
      <c r="BY1415"/>
      <c r="BZ1415"/>
      <c r="CA1415"/>
      <c r="CB1415"/>
      <c r="CC1415"/>
      <c r="CD1415"/>
      <c r="CE1415"/>
      <c r="CF1415"/>
      <c r="CG1415"/>
      <c r="CH1415"/>
    </row>
    <row r="1416" spans="1:86" x14ac:dyDescent="0.2">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c r="AU1416"/>
      <c r="AV1416"/>
      <c r="AW1416"/>
      <c r="AX1416"/>
      <c r="AY1416"/>
      <c r="AZ1416"/>
      <c r="BA1416"/>
      <c r="BB1416"/>
      <c r="BC1416"/>
      <c r="BD1416"/>
      <c r="BE1416"/>
      <c r="BF1416"/>
      <c r="BG1416"/>
      <c r="BH1416"/>
      <c r="BI1416"/>
      <c r="BJ1416"/>
      <c r="BK1416"/>
      <c r="BL1416"/>
      <c r="BM1416"/>
      <c r="BN1416"/>
      <c r="BO1416"/>
      <c r="BP1416"/>
      <c r="BQ1416"/>
      <c r="BR1416"/>
      <c r="BS1416"/>
      <c r="BT1416"/>
      <c r="BU1416"/>
      <c r="BV1416"/>
      <c r="BW1416"/>
      <c r="BX1416"/>
      <c r="BY1416"/>
      <c r="BZ1416"/>
      <c r="CA1416"/>
      <c r="CB1416"/>
      <c r="CC1416"/>
      <c r="CD1416"/>
      <c r="CE1416"/>
      <c r="CF1416"/>
      <c r="CG1416"/>
      <c r="CH1416"/>
    </row>
    <row r="1417" spans="1:86" x14ac:dyDescent="0.2">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c r="AU1417"/>
      <c r="AV1417"/>
      <c r="AW1417"/>
      <c r="AX1417"/>
      <c r="AY1417"/>
      <c r="AZ1417"/>
      <c r="BA1417"/>
      <c r="BB1417"/>
      <c r="BC1417"/>
      <c r="BD1417"/>
      <c r="BE1417"/>
      <c r="BF1417"/>
      <c r="BG1417"/>
      <c r="BH1417"/>
      <c r="BI1417"/>
      <c r="BJ1417"/>
      <c r="BK1417"/>
      <c r="BL1417"/>
      <c r="BM1417"/>
      <c r="BN1417"/>
      <c r="BO1417"/>
      <c r="BP1417"/>
      <c r="BQ1417"/>
      <c r="BR1417"/>
      <c r="BS1417"/>
      <c r="BT1417"/>
      <c r="BU1417"/>
      <c r="BV1417"/>
      <c r="BW1417"/>
      <c r="BX1417"/>
      <c r="BY1417"/>
      <c r="BZ1417"/>
      <c r="CA1417"/>
      <c r="CB1417"/>
      <c r="CC1417"/>
      <c r="CD1417"/>
      <c r="CE1417"/>
      <c r="CF1417"/>
      <c r="CG1417"/>
      <c r="CH1417"/>
    </row>
    <row r="1418" spans="1:86" x14ac:dyDescent="0.2">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c r="AU1418"/>
      <c r="AV1418"/>
      <c r="AW1418"/>
      <c r="AX1418"/>
      <c r="AY1418"/>
      <c r="AZ1418"/>
      <c r="BA1418"/>
      <c r="BB1418"/>
      <c r="BC1418"/>
      <c r="BD1418"/>
      <c r="BE1418"/>
      <c r="BF1418"/>
      <c r="BG1418"/>
      <c r="BH1418"/>
      <c r="BI1418"/>
      <c r="BJ1418"/>
      <c r="BK1418"/>
      <c r="BL1418"/>
      <c r="BM1418"/>
      <c r="BN1418"/>
      <c r="BO1418"/>
      <c r="BP1418"/>
      <c r="BQ1418"/>
      <c r="BR1418"/>
      <c r="BS1418"/>
      <c r="BT1418"/>
      <c r="BU1418"/>
      <c r="BV1418"/>
      <c r="BW1418"/>
      <c r="BX1418"/>
      <c r="BY1418"/>
      <c r="BZ1418"/>
      <c r="CA1418"/>
      <c r="CB1418"/>
      <c r="CC1418"/>
      <c r="CD1418"/>
      <c r="CE1418"/>
      <c r="CF1418"/>
      <c r="CG1418"/>
      <c r="CH1418"/>
    </row>
    <row r="1419" spans="1:86" x14ac:dyDescent="0.2">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c r="AU1419"/>
      <c r="AV1419"/>
      <c r="AW1419"/>
      <c r="AX1419"/>
      <c r="AY1419"/>
      <c r="AZ1419"/>
      <c r="BA1419"/>
      <c r="BB1419"/>
      <c r="BC1419"/>
      <c r="BD1419"/>
      <c r="BE1419"/>
      <c r="BF1419"/>
      <c r="BG1419"/>
      <c r="BH1419"/>
      <c r="BI1419"/>
      <c r="BJ1419"/>
      <c r="BK1419"/>
      <c r="BL1419"/>
      <c r="BM1419"/>
      <c r="BN1419"/>
      <c r="BO1419"/>
      <c r="BP1419"/>
      <c r="BQ1419"/>
      <c r="BR1419"/>
      <c r="BS1419"/>
      <c r="BT1419"/>
      <c r="BU1419"/>
      <c r="BV1419"/>
      <c r="BW1419"/>
      <c r="BX1419"/>
      <c r="BY1419"/>
      <c r="BZ1419"/>
      <c r="CA1419"/>
      <c r="CB1419"/>
      <c r="CC1419"/>
      <c r="CD1419"/>
      <c r="CE1419"/>
      <c r="CF1419"/>
      <c r="CG1419"/>
      <c r="CH1419"/>
    </row>
    <row r="1420" spans="1:86" x14ac:dyDescent="0.2">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c r="AV1420"/>
      <c r="AW1420"/>
      <c r="AX1420"/>
      <c r="AY1420"/>
      <c r="AZ1420"/>
      <c r="BA1420"/>
      <c r="BB1420"/>
      <c r="BC1420"/>
      <c r="BD1420"/>
      <c r="BE1420"/>
      <c r="BF1420"/>
      <c r="BG1420"/>
      <c r="BH1420"/>
      <c r="BI1420"/>
      <c r="BJ1420"/>
      <c r="BK1420"/>
      <c r="BL1420"/>
      <c r="BM1420"/>
      <c r="BN1420"/>
      <c r="BO1420"/>
      <c r="BP1420"/>
      <c r="BQ1420"/>
      <c r="BR1420"/>
      <c r="BS1420"/>
      <c r="BT1420"/>
      <c r="BU1420"/>
      <c r="BV1420"/>
      <c r="BW1420"/>
      <c r="BX1420"/>
      <c r="BY1420"/>
      <c r="BZ1420"/>
      <c r="CA1420"/>
      <c r="CB1420"/>
      <c r="CC1420"/>
      <c r="CD1420"/>
      <c r="CE1420"/>
      <c r="CF1420"/>
      <c r="CG1420"/>
      <c r="CH1420"/>
    </row>
    <row r="1421" spans="1:86" x14ac:dyDescent="0.2">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AV1421"/>
      <c r="AW1421"/>
      <c r="AX1421"/>
      <c r="AY1421"/>
      <c r="AZ1421"/>
      <c r="BA1421"/>
      <c r="BB1421"/>
      <c r="BC1421"/>
      <c r="BD1421"/>
      <c r="BE1421"/>
      <c r="BF1421"/>
      <c r="BG1421"/>
      <c r="BH1421"/>
      <c r="BI1421"/>
      <c r="BJ1421"/>
      <c r="BK1421"/>
      <c r="BL1421"/>
      <c r="BM1421"/>
      <c r="BN1421"/>
      <c r="BO1421"/>
      <c r="BP1421"/>
      <c r="BQ1421"/>
      <c r="BR1421"/>
      <c r="BS1421"/>
      <c r="BT1421"/>
      <c r="BU1421"/>
      <c r="BV1421"/>
      <c r="BW1421"/>
      <c r="BX1421"/>
      <c r="BY1421"/>
      <c r="BZ1421"/>
      <c r="CA1421"/>
      <c r="CB1421"/>
      <c r="CC1421"/>
      <c r="CD1421"/>
      <c r="CE1421"/>
      <c r="CF1421"/>
      <c r="CG1421"/>
      <c r="CH1421"/>
    </row>
    <row r="1422" spans="1:86" x14ac:dyDescent="0.2">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AV1422"/>
      <c r="AW1422"/>
      <c r="AX1422"/>
      <c r="AY1422"/>
      <c r="AZ1422"/>
      <c r="BA1422"/>
      <c r="BB1422"/>
      <c r="BC1422"/>
      <c r="BD1422"/>
      <c r="BE1422"/>
      <c r="BF1422"/>
      <c r="BG1422"/>
      <c r="BH1422"/>
      <c r="BI1422"/>
      <c r="BJ1422"/>
      <c r="BK1422"/>
      <c r="BL1422"/>
      <c r="BM1422"/>
      <c r="BN1422"/>
      <c r="BO1422"/>
      <c r="BP1422"/>
      <c r="BQ1422"/>
      <c r="BR1422"/>
      <c r="BS1422"/>
      <c r="BT1422"/>
      <c r="BU1422"/>
      <c r="BV1422"/>
      <c r="BW1422"/>
      <c r="BX1422"/>
      <c r="BY1422"/>
      <c r="BZ1422"/>
      <c r="CA1422"/>
      <c r="CB1422"/>
      <c r="CC1422"/>
      <c r="CD1422"/>
      <c r="CE1422"/>
      <c r="CF1422"/>
      <c r="CG1422"/>
      <c r="CH1422"/>
    </row>
    <row r="1423" spans="1:86" x14ac:dyDescent="0.2">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AV1423"/>
      <c r="AW1423"/>
      <c r="AX1423"/>
      <c r="AY1423"/>
      <c r="AZ1423"/>
      <c r="BA1423"/>
      <c r="BB1423"/>
      <c r="BC1423"/>
      <c r="BD1423"/>
      <c r="BE1423"/>
      <c r="BF1423"/>
      <c r="BG1423"/>
      <c r="BH1423"/>
      <c r="BI1423"/>
      <c r="BJ1423"/>
      <c r="BK1423"/>
      <c r="BL1423"/>
      <c r="BM1423"/>
      <c r="BN1423"/>
      <c r="BO1423"/>
      <c r="BP1423"/>
      <c r="BQ1423"/>
      <c r="BR1423"/>
      <c r="BS1423"/>
      <c r="BT1423"/>
      <c r="BU1423"/>
      <c r="BV1423"/>
      <c r="BW1423"/>
      <c r="BX1423"/>
      <c r="BY1423"/>
      <c r="BZ1423"/>
      <c r="CA1423"/>
      <c r="CB1423"/>
      <c r="CC1423"/>
      <c r="CD1423"/>
      <c r="CE1423"/>
      <c r="CF1423"/>
      <c r="CG1423"/>
      <c r="CH1423"/>
    </row>
    <row r="1424" spans="1:86" x14ac:dyDescent="0.2">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AV1424"/>
      <c r="AW1424"/>
      <c r="AX1424"/>
      <c r="AY1424"/>
      <c r="AZ1424"/>
      <c r="BA1424"/>
      <c r="BB1424"/>
      <c r="BC1424"/>
      <c r="BD1424"/>
      <c r="BE1424"/>
      <c r="BF1424"/>
      <c r="BG1424"/>
      <c r="BH1424"/>
      <c r="BI1424"/>
      <c r="BJ1424"/>
      <c r="BK1424"/>
      <c r="BL1424"/>
      <c r="BM1424"/>
      <c r="BN1424"/>
      <c r="BO1424"/>
      <c r="BP1424"/>
      <c r="BQ1424"/>
      <c r="BR1424"/>
      <c r="BS1424"/>
      <c r="BT1424"/>
      <c r="BU1424"/>
      <c r="BV1424"/>
      <c r="BW1424"/>
      <c r="BX1424"/>
      <c r="BY1424"/>
      <c r="BZ1424"/>
      <c r="CA1424"/>
      <c r="CB1424"/>
      <c r="CC1424"/>
      <c r="CD1424"/>
      <c r="CE1424"/>
      <c r="CF1424"/>
      <c r="CG1424"/>
      <c r="CH1424"/>
    </row>
    <row r="1425" spans="1:86" x14ac:dyDescent="0.2">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AV1425"/>
      <c r="AW1425"/>
      <c r="AX1425"/>
      <c r="AY1425"/>
      <c r="AZ1425"/>
      <c r="BA1425"/>
      <c r="BB1425"/>
      <c r="BC1425"/>
      <c r="BD1425"/>
      <c r="BE1425"/>
      <c r="BF1425"/>
      <c r="BG1425"/>
      <c r="BH1425"/>
      <c r="BI1425"/>
      <c r="BJ1425"/>
      <c r="BK1425"/>
      <c r="BL1425"/>
      <c r="BM1425"/>
      <c r="BN1425"/>
      <c r="BO1425"/>
      <c r="BP1425"/>
      <c r="BQ1425"/>
      <c r="BR1425"/>
      <c r="BS1425"/>
      <c r="BT1425"/>
      <c r="BU1425"/>
      <c r="BV1425"/>
      <c r="BW1425"/>
      <c r="BX1425"/>
      <c r="BY1425"/>
      <c r="BZ1425"/>
      <c r="CA1425"/>
      <c r="CB1425"/>
      <c r="CC1425"/>
      <c r="CD1425"/>
      <c r="CE1425"/>
      <c r="CF1425"/>
      <c r="CG1425"/>
      <c r="CH1425"/>
    </row>
    <row r="1426" spans="1:86" x14ac:dyDescent="0.2">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AV1426"/>
      <c r="AW1426"/>
      <c r="AX1426"/>
      <c r="AY1426"/>
      <c r="AZ1426"/>
      <c r="BA1426"/>
      <c r="BB1426"/>
      <c r="BC1426"/>
      <c r="BD1426"/>
      <c r="BE1426"/>
      <c r="BF1426"/>
      <c r="BG1426"/>
      <c r="BH1426"/>
      <c r="BI1426"/>
      <c r="BJ1426"/>
      <c r="BK1426"/>
      <c r="BL1426"/>
      <c r="BM1426"/>
      <c r="BN1426"/>
      <c r="BO1426"/>
      <c r="BP1426"/>
      <c r="BQ1426"/>
      <c r="BR1426"/>
      <c r="BS1426"/>
      <c r="BT1426"/>
      <c r="BU1426"/>
      <c r="BV1426"/>
      <c r="BW1426"/>
      <c r="BX1426"/>
      <c r="BY1426"/>
      <c r="BZ1426"/>
      <c r="CA1426"/>
      <c r="CB1426"/>
      <c r="CC1426"/>
      <c r="CD1426"/>
      <c r="CE1426"/>
      <c r="CF1426"/>
      <c r="CG1426"/>
      <c r="CH1426"/>
    </row>
    <row r="1427" spans="1:86" x14ac:dyDescent="0.2">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AV1427"/>
      <c r="AW1427"/>
      <c r="AX1427"/>
      <c r="AY1427"/>
      <c r="AZ1427"/>
      <c r="BA1427"/>
      <c r="BB1427"/>
      <c r="BC1427"/>
      <c r="BD1427"/>
      <c r="BE1427"/>
      <c r="BF1427"/>
      <c r="BG1427"/>
      <c r="BH1427"/>
      <c r="BI1427"/>
      <c r="BJ1427"/>
      <c r="BK1427"/>
      <c r="BL1427"/>
      <c r="BM1427"/>
      <c r="BN1427"/>
      <c r="BO1427"/>
      <c r="BP1427"/>
      <c r="BQ1427"/>
      <c r="BR1427"/>
      <c r="BS1427"/>
      <c r="BT1427"/>
      <c r="BU1427"/>
      <c r="BV1427"/>
      <c r="BW1427"/>
      <c r="BX1427"/>
      <c r="BY1427"/>
      <c r="BZ1427"/>
      <c r="CA1427"/>
      <c r="CB1427"/>
      <c r="CC1427"/>
      <c r="CD1427"/>
      <c r="CE1427"/>
      <c r="CF1427"/>
      <c r="CG1427"/>
      <c r="CH1427"/>
    </row>
    <row r="1428" spans="1:86" x14ac:dyDescent="0.2">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AV1428"/>
      <c r="AW1428"/>
      <c r="AX1428"/>
      <c r="AY1428"/>
      <c r="AZ1428"/>
      <c r="BA1428"/>
      <c r="BB1428"/>
      <c r="BC1428"/>
      <c r="BD1428"/>
      <c r="BE1428"/>
      <c r="BF1428"/>
      <c r="BG1428"/>
      <c r="BH1428"/>
      <c r="BI1428"/>
      <c r="BJ1428"/>
      <c r="BK1428"/>
      <c r="BL1428"/>
      <c r="BM1428"/>
      <c r="BN1428"/>
      <c r="BO1428"/>
      <c r="BP1428"/>
      <c r="BQ1428"/>
      <c r="BR1428"/>
      <c r="BS1428"/>
      <c r="BT1428"/>
      <c r="BU1428"/>
      <c r="BV1428"/>
      <c r="BW1428"/>
      <c r="BX1428"/>
      <c r="BY1428"/>
      <c r="BZ1428"/>
      <c r="CA1428"/>
      <c r="CB1428"/>
      <c r="CC1428"/>
      <c r="CD1428"/>
      <c r="CE1428"/>
      <c r="CF1428"/>
      <c r="CG1428"/>
      <c r="CH1428"/>
    </row>
    <row r="1429" spans="1:86" x14ac:dyDescent="0.2">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AV1429"/>
      <c r="AW1429"/>
      <c r="AX1429"/>
      <c r="AY1429"/>
      <c r="AZ1429"/>
      <c r="BA1429"/>
      <c r="BB1429"/>
      <c r="BC1429"/>
      <c r="BD1429"/>
      <c r="BE1429"/>
      <c r="BF1429"/>
      <c r="BG1429"/>
      <c r="BH1429"/>
      <c r="BI1429"/>
      <c r="BJ1429"/>
      <c r="BK1429"/>
      <c r="BL1429"/>
      <c r="BM1429"/>
      <c r="BN1429"/>
      <c r="BO1429"/>
      <c r="BP1429"/>
      <c r="BQ1429"/>
      <c r="BR1429"/>
      <c r="BS1429"/>
      <c r="BT1429"/>
      <c r="BU1429"/>
      <c r="BV1429"/>
      <c r="BW1429"/>
      <c r="BX1429"/>
      <c r="BY1429"/>
      <c r="BZ1429"/>
      <c r="CA1429"/>
      <c r="CB1429"/>
      <c r="CC1429"/>
      <c r="CD1429"/>
      <c r="CE1429"/>
      <c r="CF1429"/>
      <c r="CG1429"/>
      <c r="CH1429"/>
    </row>
    <row r="1430" spans="1:86" x14ac:dyDescent="0.2">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c r="AV1430"/>
      <c r="AW1430"/>
      <c r="AX1430"/>
      <c r="AY1430"/>
      <c r="AZ1430"/>
      <c r="BA1430"/>
      <c r="BB1430"/>
      <c r="BC1430"/>
      <c r="BD1430"/>
      <c r="BE1430"/>
      <c r="BF1430"/>
      <c r="BG1430"/>
      <c r="BH1430"/>
      <c r="BI1430"/>
      <c r="BJ1430"/>
      <c r="BK1430"/>
      <c r="BL1430"/>
      <c r="BM1430"/>
      <c r="BN1430"/>
      <c r="BO1430"/>
      <c r="BP1430"/>
      <c r="BQ1430"/>
      <c r="BR1430"/>
      <c r="BS1430"/>
      <c r="BT1430"/>
      <c r="BU1430"/>
      <c r="BV1430"/>
      <c r="BW1430"/>
      <c r="BX1430"/>
      <c r="BY1430"/>
      <c r="BZ1430"/>
      <c r="CA1430"/>
      <c r="CB1430"/>
      <c r="CC1430"/>
      <c r="CD1430"/>
      <c r="CE1430"/>
      <c r="CF1430"/>
      <c r="CG1430"/>
      <c r="CH1430"/>
    </row>
    <row r="1431" spans="1:86" x14ac:dyDescent="0.2">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c r="AW1431"/>
      <c r="AX1431"/>
      <c r="AY1431"/>
      <c r="AZ1431"/>
      <c r="BA1431"/>
      <c r="BB1431"/>
      <c r="BC1431"/>
      <c r="BD1431"/>
      <c r="BE1431"/>
      <c r="BF1431"/>
      <c r="BG1431"/>
      <c r="BH1431"/>
      <c r="BI1431"/>
      <c r="BJ1431"/>
      <c r="BK1431"/>
      <c r="BL1431"/>
      <c r="BM1431"/>
      <c r="BN1431"/>
      <c r="BO1431"/>
      <c r="BP1431"/>
      <c r="BQ1431"/>
      <c r="BR1431"/>
      <c r="BS1431"/>
      <c r="BT1431"/>
      <c r="BU1431"/>
      <c r="BV1431"/>
      <c r="BW1431"/>
      <c r="BX1431"/>
      <c r="BY1431"/>
      <c r="BZ1431"/>
      <c r="CA1431"/>
      <c r="CB1431"/>
      <c r="CC1431"/>
      <c r="CD1431"/>
      <c r="CE1431"/>
      <c r="CF1431"/>
      <c r="CG1431"/>
      <c r="CH1431"/>
    </row>
    <row r="1432" spans="1:86" x14ac:dyDescent="0.2">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c r="AU1432"/>
      <c r="AV1432"/>
      <c r="AW1432"/>
      <c r="AX1432"/>
      <c r="AY1432"/>
      <c r="AZ1432"/>
      <c r="BA1432"/>
      <c r="BB1432"/>
      <c r="BC1432"/>
      <c r="BD1432"/>
      <c r="BE1432"/>
      <c r="BF1432"/>
      <c r="BG1432"/>
      <c r="BH1432"/>
      <c r="BI1432"/>
      <c r="BJ1432"/>
      <c r="BK1432"/>
      <c r="BL1432"/>
      <c r="BM1432"/>
      <c r="BN1432"/>
      <c r="BO1432"/>
      <c r="BP1432"/>
      <c r="BQ1432"/>
      <c r="BR1432"/>
      <c r="BS1432"/>
      <c r="BT1432"/>
      <c r="BU1432"/>
      <c r="BV1432"/>
      <c r="BW1432"/>
      <c r="BX1432"/>
      <c r="BY1432"/>
      <c r="BZ1432"/>
      <c r="CA1432"/>
      <c r="CB1432"/>
      <c r="CC1432"/>
      <c r="CD1432"/>
      <c r="CE1432"/>
      <c r="CF1432"/>
      <c r="CG1432"/>
      <c r="CH1432"/>
    </row>
    <row r="1433" spans="1:86" x14ac:dyDescent="0.2">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c r="AV1433"/>
      <c r="AW1433"/>
      <c r="AX1433"/>
      <c r="AY1433"/>
      <c r="AZ1433"/>
      <c r="BA1433"/>
      <c r="BB1433"/>
      <c r="BC1433"/>
      <c r="BD1433"/>
      <c r="BE1433"/>
      <c r="BF1433"/>
      <c r="BG1433"/>
      <c r="BH1433"/>
      <c r="BI1433"/>
      <c r="BJ1433"/>
      <c r="BK1433"/>
      <c r="BL1433"/>
      <c r="BM1433"/>
      <c r="BN1433"/>
      <c r="BO1433"/>
      <c r="BP1433"/>
      <c r="BQ1433"/>
      <c r="BR1433"/>
      <c r="BS1433"/>
      <c r="BT1433"/>
      <c r="BU1433"/>
      <c r="BV1433"/>
      <c r="BW1433"/>
      <c r="BX1433"/>
      <c r="BY1433"/>
      <c r="BZ1433"/>
      <c r="CA1433"/>
      <c r="CB1433"/>
      <c r="CC1433"/>
      <c r="CD1433"/>
      <c r="CE1433"/>
      <c r="CF1433"/>
      <c r="CG1433"/>
      <c r="CH1433"/>
    </row>
    <row r="1434" spans="1:86" x14ac:dyDescent="0.2">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c r="AV1434"/>
      <c r="AW1434"/>
      <c r="AX1434"/>
      <c r="AY1434"/>
      <c r="AZ1434"/>
      <c r="BA1434"/>
      <c r="BB1434"/>
      <c r="BC1434"/>
      <c r="BD1434"/>
      <c r="BE1434"/>
      <c r="BF1434"/>
      <c r="BG1434"/>
      <c r="BH1434"/>
      <c r="BI1434"/>
      <c r="BJ1434"/>
      <c r="BK1434"/>
      <c r="BL1434"/>
      <c r="BM1434"/>
      <c r="BN1434"/>
      <c r="BO1434"/>
      <c r="BP1434"/>
      <c r="BQ1434"/>
      <c r="BR1434"/>
      <c r="BS1434"/>
      <c r="BT1434"/>
      <c r="BU1434"/>
      <c r="BV1434"/>
      <c r="BW1434"/>
      <c r="BX1434"/>
      <c r="BY1434"/>
      <c r="BZ1434"/>
      <c r="CA1434"/>
      <c r="CB1434"/>
      <c r="CC1434"/>
      <c r="CD1434"/>
      <c r="CE1434"/>
      <c r="CF1434"/>
      <c r="CG1434"/>
      <c r="CH1434"/>
    </row>
    <row r="1435" spans="1:86" x14ac:dyDescent="0.2">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c r="AV1435"/>
      <c r="AW1435"/>
      <c r="AX1435"/>
      <c r="AY1435"/>
      <c r="AZ1435"/>
      <c r="BA1435"/>
      <c r="BB1435"/>
      <c r="BC1435"/>
      <c r="BD1435"/>
      <c r="BE1435"/>
      <c r="BF1435"/>
      <c r="BG1435"/>
      <c r="BH1435"/>
      <c r="BI1435"/>
      <c r="BJ1435"/>
      <c r="BK1435"/>
      <c r="BL1435"/>
      <c r="BM1435"/>
      <c r="BN1435"/>
      <c r="BO1435"/>
      <c r="BP1435"/>
      <c r="BQ1435"/>
      <c r="BR1435"/>
      <c r="BS1435"/>
      <c r="BT1435"/>
      <c r="BU1435"/>
      <c r="BV1435"/>
      <c r="BW1435"/>
      <c r="BX1435"/>
      <c r="BY1435"/>
      <c r="BZ1435"/>
      <c r="CA1435"/>
      <c r="CB1435"/>
      <c r="CC1435"/>
      <c r="CD1435"/>
      <c r="CE1435"/>
      <c r="CF1435"/>
      <c r="CG1435"/>
      <c r="CH1435"/>
    </row>
    <row r="1436" spans="1:86" x14ac:dyDescent="0.2">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c r="AW1436"/>
      <c r="AX1436"/>
      <c r="AY1436"/>
      <c r="AZ1436"/>
      <c r="BA1436"/>
      <c r="BB1436"/>
      <c r="BC1436"/>
      <c r="BD1436"/>
      <c r="BE1436"/>
      <c r="BF1436"/>
      <c r="BG1436"/>
      <c r="BH1436"/>
      <c r="BI1436"/>
      <c r="BJ1436"/>
      <c r="BK1436"/>
      <c r="BL1436"/>
      <c r="BM1436"/>
      <c r="BN1436"/>
      <c r="BO1436"/>
      <c r="BP1436"/>
      <c r="BQ1436"/>
      <c r="BR1436"/>
      <c r="BS1436"/>
      <c r="BT1436"/>
      <c r="BU1436"/>
      <c r="BV1436"/>
      <c r="BW1436"/>
      <c r="BX1436"/>
      <c r="BY1436"/>
      <c r="BZ1436"/>
      <c r="CA1436"/>
      <c r="CB1436"/>
      <c r="CC1436"/>
      <c r="CD1436"/>
      <c r="CE1436"/>
      <c r="CF1436"/>
      <c r="CG1436"/>
      <c r="CH1436"/>
    </row>
    <row r="1437" spans="1:86" x14ac:dyDescent="0.2">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c r="BB1437"/>
      <c r="BC1437"/>
      <c r="BD1437"/>
      <c r="BE1437"/>
      <c r="BF1437"/>
      <c r="BG1437"/>
      <c r="BH1437"/>
      <c r="BI1437"/>
      <c r="BJ1437"/>
      <c r="BK1437"/>
      <c r="BL1437"/>
      <c r="BM1437"/>
      <c r="BN1437"/>
      <c r="BO1437"/>
      <c r="BP1437"/>
      <c r="BQ1437"/>
      <c r="BR1437"/>
      <c r="BS1437"/>
      <c r="BT1437"/>
      <c r="BU1437"/>
      <c r="BV1437"/>
      <c r="BW1437"/>
      <c r="BX1437"/>
      <c r="BY1437"/>
      <c r="BZ1437"/>
      <c r="CA1437"/>
      <c r="CB1437"/>
      <c r="CC1437"/>
      <c r="CD1437"/>
      <c r="CE1437"/>
      <c r="CF1437"/>
      <c r="CG1437"/>
      <c r="CH1437"/>
    </row>
    <row r="1438" spans="1:86" x14ac:dyDescent="0.2">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c r="BL1438"/>
      <c r="BM1438"/>
      <c r="BN1438"/>
      <c r="BO1438"/>
      <c r="BP1438"/>
      <c r="BQ1438"/>
      <c r="BR1438"/>
      <c r="BS1438"/>
      <c r="BT1438"/>
      <c r="BU1438"/>
      <c r="BV1438"/>
      <c r="BW1438"/>
      <c r="BX1438"/>
      <c r="BY1438"/>
      <c r="BZ1438"/>
      <c r="CA1438"/>
      <c r="CB1438"/>
      <c r="CC1438"/>
      <c r="CD1438"/>
      <c r="CE1438"/>
      <c r="CF1438"/>
      <c r="CG1438"/>
      <c r="CH1438"/>
    </row>
    <row r="1439" spans="1:86" x14ac:dyDescent="0.2">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c r="AW1439"/>
      <c r="AX1439"/>
      <c r="AY1439"/>
      <c r="AZ1439"/>
      <c r="BA1439"/>
      <c r="BB1439"/>
      <c r="BC1439"/>
      <c r="BD1439"/>
      <c r="BE1439"/>
      <c r="BF1439"/>
      <c r="BG1439"/>
      <c r="BH1439"/>
      <c r="BI1439"/>
      <c r="BJ1439"/>
      <c r="BK1439"/>
      <c r="BL1439"/>
      <c r="BM1439"/>
      <c r="BN1439"/>
      <c r="BO1439"/>
      <c r="BP1439"/>
      <c r="BQ1439"/>
      <c r="BR1439"/>
      <c r="BS1439"/>
      <c r="BT1439"/>
      <c r="BU1439"/>
      <c r="BV1439"/>
      <c r="BW1439"/>
      <c r="BX1439"/>
      <c r="BY1439"/>
      <c r="BZ1439"/>
      <c r="CA1439"/>
      <c r="CB1439"/>
      <c r="CC1439"/>
      <c r="CD1439"/>
      <c r="CE1439"/>
      <c r="CF1439"/>
      <c r="CG1439"/>
      <c r="CH1439"/>
    </row>
    <row r="1440" spans="1:86" x14ac:dyDescent="0.2">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c r="AV1440"/>
      <c r="AW1440"/>
      <c r="AX1440"/>
      <c r="AY1440"/>
      <c r="AZ1440"/>
      <c r="BA1440"/>
      <c r="BB1440"/>
      <c r="BC1440"/>
      <c r="BD1440"/>
      <c r="BE1440"/>
      <c r="BF1440"/>
      <c r="BG1440"/>
      <c r="BH1440"/>
      <c r="BI1440"/>
      <c r="BJ1440"/>
      <c r="BK1440"/>
      <c r="BL1440"/>
      <c r="BM1440"/>
      <c r="BN1440"/>
      <c r="BO1440"/>
      <c r="BP1440"/>
      <c r="BQ1440"/>
      <c r="BR1440"/>
      <c r="BS1440"/>
      <c r="BT1440"/>
      <c r="BU1440"/>
      <c r="BV1440"/>
      <c r="BW1440"/>
      <c r="BX1440"/>
      <c r="BY1440"/>
      <c r="BZ1440"/>
      <c r="CA1440"/>
      <c r="CB1440"/>
      <c r="CC1440"/>
      <c r="CD1440"/>
      <c r="CE1440"/>
      <c r="CF1440"/>
      <c r="CG1440"/>
      <c r="CH1440"/>
    </row>
    <row r="1441" spans="1:86" x14ac:dyDescent="0.2">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c r="AW1441"/>
      <c r="AX1441"/>
      <c r="AY1441"/>
      <c r="AZ1441"/>
      <c r="BA1441"/>
      <c r="BB1441"/>
      <c r="BC1441"/>
      <c r="BD1441"/>
      <c r="BE1441"/>
      <c r="BF1441"/>
      <c r="BG1441"/>
      <c r="BH1441"/>
      <c r="BI1441"/>
      <c r="BJ1441"/>
      <c r="BK1441"/>
      <c r="BL1441"/>
      <c r="BM1441"/>
      <c r="BN1441"/>
      <c r="BO1441"/>
      <c r="BP1441"/>
      <c r="BQ1441"/>
      <c r="BR1441"/>
      <c r="BS1441"/>
      <c r="BT1441"/>
      <c r="BU1441"/>
      <c r="BV1441"/>
      <c r="BW1441"/>
      <c r="BX1441"/>
      <c r="BY1441"/>
      <c r="BZ1441"/>
      <c r="CA1441"/>
      <c r="CB1441"/>
      <c r="CC1441"/>
      <c r="CD1441"/>
      <c r="CE1441"/>
      <c r="CF1441"/>
      <c r="CG1441"/>
      <c r="CH1441"/>
    </row>
    <row r="1442" spans="1:86" x14ac:dyDescent="0.2">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c r="AV1442"/>
      <c r="AW1442"/>
      <c r="AX1442"/>
      <c r="AY1442"/>
      <c r="AZ1442"/>
      <c r="BA1442"/>
      <c r="BB1442"/>
      <c r="BC1442"/>
      <c r="BD1442"/>
      <c r="BE1442"/>
      <c r="BF1442"/>
      <c r="BG1442"/>
      <c r="BH1442"/>
      <c r="BI1442"/>
      <c r="BJ1442"/>
      <c r="BK1442"/>
      <c r="BL1442"/>
      <c r="BM1442"/>
      <c r="BN1442"/>
      <c r="BO1442"/>
      <c r="BP1442"/>
      <c r="BQ1442"/>
      <c r="BR1442"/>
      <c r="BS1442"/>
      <c r="BT1442"/>
      <c r="BU1442"/>
      <c r="BV1442"/>
      <c r="BW1442"/>
      <c r="BX1442"/>
      <c r="BY1442"/>
      <c r="BZ1442"/>
      <c r="CA1442"/>
      <c r="CB1442"/>
      <c r="CC1442"/>
      <c r="CD1442"/>
      <c r="CE1442"/>
      <c r="CF1442"/>
      <c r="CG1442"/>
      <c r="CH1442"/>
    </row>
    <row r="1443" spans="1:86" x14ac:dyDescent="0.2">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c r="AV1443"/>
      <c r="AW1443"/>
      <c r="AX1443"/>
      <c r="AY1443"/>
      <c r="AZ1443"/>
      <c r="BA1443"/>
      <c r="BB1443"/>
      <c r="BC1443"/>
      <c r="BD1443"/>
      <c r="BE1443"/>
      <c r="BF1443"/>
      <c r="BG1443"/>
      <c r="BH1443"/>
      <c r="BI1443"/>
      <c r="BJ1443"/>
      <c r="BK1443"/>
      <c r="BL1443"/>
      <c r="BM1443"/>
      <c r="BN1443"/>
      <c r="BO1443"/>
      <c r="BP1443"/>
      <c r="BQ1443"/>
      <c r="BR1443"/>
      <c r="BS1443"/>
      <c r="BT1443"/>
      <c r="BU1443"/>
      <c r="BV1443"/>
      <c r="BW1443"/>
      <c r="BX1443"/>
      <c r="BY1443"/>
      <c r="BZ1443"/>
      <c r="CA1443"/>
      <c r="CB1443"/>
      <c r="CC1443"/>
      <c r="CD1443"/>
      <c r="CE1443"/>
      <c r="CF1443"/>
      <c r="CG1443"/>
      <c r="CH1443"/>
    </row>
    <row r="1444" spans="1:86" x14ac:dyDescent="0.2">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c r="AV1444"/>
      <c r="AW1444"/>
      <c r="AX1444"/>
      <c r="AY1444"/>
      <c r="AZ1444"/>
      <c r="BA1444"/>
      <c r="BB1444"/>
      <c r="BC1444"/>
      <c r="BD1444"/>
      <c r="BE1444"/>
      <c r="BF1444"/>
      <c r="BG1444"/>
      <c r="BH1444"/>
      <c r="BI1444"/>
      <c r="BJ1444"/>
      <c r="BK1444"/>
      <c r="BL1444"/>
      <c r="BM1444"/>
      <c r="BN1444"/>
      <c r="BO1444"/>
      <c r="BP1444"/>
      <c r="BQ1444"/>
      <c r="BR1444"/>
      <c r="BS1444"/>
      <c r="BT1444"/>
      <c r="BU1444"/>
      <c r="BV1444"/>
      <c r="BW1444"/>
      <c r="BX1444"/>
      <c r="BY1444"/>
      <c r="BZ1444"/>
      <c r="CA1444"/>
      <c r="CB1444"/>
      <c r="CC1444"/>
      <c r="CD1444"/>
      <c r="CE1444"/>
      <c r="CF1444"/>
      <c r="CG1444"/>
      <c r="CH1444"/>
    </row>
    <row r="1445" spans="1:86" x14ac:dyDescent="0.2">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c r="AW1445"/>
      <c r="AX1445"/>
      <c r="AY1445"/>
      <c r="AZ1445"/>
      <c r="BA1445"/>
      <c r="BB1445"/>
      <c r="BC1445"/>
      <c r="BD1445"/>
      <c r="BE1445"/>
      <c r="BF1445"/>
      <c r="BG1445"/>
      <c r="BH1445"/>
      <c r="BI1445"/>
      <c r="BJ1445"/>
      <c r="BK1445"/>
      <c r="BL1445"/>
      <c r="BM1445"/>
      <c r="BN1445"/>
      <c r="BO1445"/>
      <c r="BP1445"/>
      <c r="BQ1445"/>
      <c r="BR1445"/>
      <c r="BS1445"/>
      <c r="BT1445"/>
      <c r="BU1445"/>
      <c r="BV1445"/>
      <c r="BW1445"/>
      <c r="BX1445"/>
      <c r="BY1445"/>
      <c r="BZ1445"/>
      <c r="CA1445"/>
      <c r="CB1445"/>
      <c r="CC1445"/>
      <c r="CD1445"/>
      <c r="CE1445"/>
      <c r="CF1445"/>
      <c r="CG1445"/>
      <c r="CH1445"/>
    </row>
    <row r="1446" spans="1:86" x14ac:dyDescent="0.2">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c r="AV1446"/>
      <c r="AW1446"/>
      <c r="AX1446"/>
      <c r="AY1446"/>
      <c r="AZ1446"/>
      <c r="BA1446"/>
      <c r="BB1446"/>
      <c r="BC1446"/>
      <c r="BD1446"/>
      <c r="BE1446"/>
      <c r="BF1446"/>
      <c r="BG1446"/>
      <c r="BH1446"/>
      <c r="BI1446"/>
      <c r="BJ1446"/>
      <c r="BK1446"/>
      <c r="BL1446"/>
      <c r="BM1446"/>
      <c r="BN1446"/>
      <c r="BO1446"/>
      <c r="BP1446"/>
      <c r="BQ1446"/>
      <c r="BR1446"/>
      <c r="BS1446"/>
      <c r="BT1446"/>
      <c r="BU1446"/>
      <c r="BV1446"/>
      <c r="BW1446"/>
      <c r="BX1446"/>
      <c r="BY1446"/>
      <c r="BZ1446"/>
      <c r="CA1446"/>
      <c r="CB1446"/>
      <c r="CC1446"/>
      <c r="CD1446"/>
      <c r="CE1446"/>
      <c r="CF1446"/>
      <c r="CG1446"/>
      <c r="CH1446"/>
    </row>
    <row r="1447" spans="1:86" x14ac:dyDescent="0.2">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c r="AU1447"/>
      <c r="AV1447"/>
      <c r="AW1447"/>
      <c r="AX1447"/>
      <c r="AY1447"/>
      <c r="AZ1447"/>
      <c r="BA1447"/>
      <c r="BB1447"/>
      <c r="BC1447"/>
      <c r="BD1447"/>
      <c r="BE1447"/>
      <c r="BF1447"/>
      <c r="BG1447"/>
      <c r="BH1447"/>
      <c r="BI1447"/>
      <c r="BJ1447"/>
      <c r="BK1447"/>
      <c r="BL1447"/>
      <c r="BM1447"/>
      <c r="BN1447"/>
      <c r="BO1447"/>
      <c r="BP1447"/>
      <c r="BQ1447"/>
      <c r="BR1447"/>
      <c r="BS1447"/>
      <c r="BT1447"/>
      <c r="BU1447"/>
      <c r="BV1447"/>
      <c r="BW1447"/>
      <c r="BX1447"/>
      <c r="BY1447"/>
      <c r="BZ1447"/>
      <c r="CA1447"/>
      <c r="CB1447"/>
      <c r="CC1447"/>
      <c r="CD1447"/>
      <c r="CE1447"/>
      <c r="CF1447"/>
      <c r="CG1447"/>
      <c r="CH1447"/>
    </row>
    <row r="1448" spans="1:86" x14ac:dyDescent="0.2">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c r="AU1448"/>
      <c r="AV1448"/>
      <c r="AW1448"/>
      <c r="AX1448"/>
      <c r="AY1448"/>
      <c r="AZ1448"/>
      <c r="BA1448"/>
      <c r="BB1448"/>
      <c r="BC1448"/>
      <c r="BD1448"/>
      <c r="BE1448"/>
      <c r="BF1448"/>
      <c r="BG1448"/>
      <c r="BH1448"/>
      <c r="BI1448"/>
      <c r="BJ1448"/>
      <c r="BK1448"/>
      <c r="BL1448"/>
      <c r="BM1448"/>
      <c r="BN1448"/>
      <c r="BO1448"/>
      <c r="BP1448"/>
      <c r="BQ1448"/>
      <c r="BR1448"/>
      <c r="BS1448"/>
      <c r="BT1448"/>
      <c r="BU1448"/>
      <c r="BV1448"/>
      <c r="BW1448"/>
      <c r="BX1448"/>
      <c r="BY1448"/>
      <c r="BZ1448"/>
      <c r="CA1448"/>
      <c r="CB1448"/>
      <c r="CC1448"/>
      <c r="CD1448"/>
      <c r="CE1448"/>
      <c r="CF1448"/>
      <c r="CG1448"/>
      <c r="CH1448"/>
    </row>
    <row r="1449" spans="1:86" x14ac:dyDescent="0.2">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c r="AU1449"/>
      <c r="AV1449"/>
      <c r="AW1449"/>
      <c r="AX1449"/>
      <c r="AY1449"/>
      <c r="AZ1449"/>
      <c r="BA1449"/>
      <c r="BB1449"/>
      <c r="BC1449"/>
      <c r="BD1449"/>
      <c r="BE1449"/>
      <c r="BF1449"/>
      <c r="BG1449"/>
      <c r="BH1449"/>
      <c r="BI1449"/>
      <c r="BJ1449"/>
      <c r="BK1449"/>
      <c r="BL1449"/>
      <c r="BM1449"/>
      <c r="BN1449"/>
      <c r="BO1449"/>
      <c r="BP1449"/>
      <c r="BQ1449"/>
      <c r="BR1449"/>
      <c r="BS1449"/>
      <c r="BT1449"/>
      <c r="BU1449"/>
      <c r="BV1449"/>
      <c r="BW1449"/>
      <c r="BX1449"/>
      <c r="BY1449"/>
      <c r="BZ1449"/>
      <c r="CA1449"/>
      <c r="CB1449"/>
      <c r="CC1449"/>
      <c r="CD1449"/>
      <c r="CE1449"/>
      <c r="CF1449"/>
      <c r="CG1449"/>
      <c r="CH1449"/>
    </row>
    <row r="1450" spans="1:86" x14ac:dyDescent="0.2">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c r="AU1450"/>
      <c r="AV1450"/>
      <c r="AW1450"/>
      <c r="AX1450"/>
      <c r="AY1450"/>
      <c r="AZ1450"/>
      <c r="BA1450"/>
      <c r="BB1450"/>
      <c r="BC1450"/>
      <c r="BD1450"/>
      <c r="BE1450"/>
      <c r="BF1450"/>
      <c r="BG1450"/>
      <c r="BH1450"/>
      <c r="BI1450"/>
      <c r="BJ1450"/>
      <c r="BK1450"/>
      <c r="BL1450"/>
      <c r="BM1450"/>
      <c r="BN1450"/>
      <c r="BO1450"/>
      <c r="BP1450"/>
      <c r="BQ1450"/>
      <c r="BR1450"/>
      <c r="BS1450"/>
      <c r="BT1450"/>
      <c r="BU1450"/>
      <c r="BV1450"/>
      <c r="BW1450"/>
      <c r="BX1450"/>
      <c r="BY1450"/>
      <c r="BZ1450"/>
      <c r="CA1450"/>
      <c r="CB1450"/>
      <c r="CC1450"/>
      <c r="CD1450"/>
      <c r="CE1450"/>
      <c r="CF1450"/>
      <c r="CG1450"/>
      <c r="CH1450"/>
    </row>
    <row r="1451" spans="1:86" x14ac:dyDescent="0.2">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c r="AU1451"/>
      <c r="AV1451"/>
      <c r="AW1451"/>
      <c r="AX1451"/>
      <c r="AY1451"/>
      <c r="AZ1451"/>
      <c r="BA1451"/>
      <c r="BB1451"/>
      <c r="BC1451"/>
      <c r="BD1451"/>
      <c r="BE1451"/>
      <c r="BF1451"/>
      <c r="BG1451"/>
      <c r="BH1451"/>
      <c r="BI1451"/>
      <c r="BJ1451"/>
      <c r="BK1451"/>
      <c r="BL1451"/>
      <c r="BM1451"/>
      <c r="BN1451"/>
      <c r="BO1451"/>
      <c r="BP1451"/>
      <c r="BQ1451"/>
      <c r="BR1451"/>
      <c r="BS1451"/>
      <c r="BT1451"/>
      <c r="BU1451"/>
      <c r="BV1451"/>
      <c r="BW1451"/>
      <c r="BX1451"/>
      <c r="BY1451"/>
      <c r="BZ1451"/>
      <c r="CA1451"/>
      <c r="CB1451"/>
      <c r="CC1451"/>
      <c r="CD1451"/>
      <c r="CE1451"/>
      <c r="CF1451"/>
      <c r="CG1451"/>
      <c r="CH1451"/>
    </row>
    <row r="1452" spans="1:86" x14ac:dyDescent="0.2">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c r="AU1452"/>
      <c r="AV1452"/>
      <c r="AW1452"/>
      <c r="AX1452"/>
      <c r="AY1452"/>
      <c r="AZ1452"/>
      <c r="BA1452"/>
      <c r="BB1452"/>
      <c r="BC1452"/>
      <c r="BD1452"/>
      <c r="BE1452"/>
      <c r="BF1452"/>
      <c r="BG1452"/>
      <c r="BH1452"/>
      <c r="BI1452"/>
      <c r="BJ1452"/>
      <c r="BK1452"/>
      <c r="BL1452"/>
      <c r="BM1452"/>
      <c r="BN1452"/>
      <c r="BO1452"/>
      <c r="BP1452"/>
      <c r="BQ1452"/>
      <c r="BR1452"/>
      <c r="BS1452"/>
      <c r="BT1452"/>
      <c r="BU1452"/>
      <c r="BV1452"/>
      <c r="BW1452"/>
      <c r="BX1452"/>
      <c r="BY1452"/>
      <c r="BZ1452"/>
      <c r="CA1452"/>
      <c r="CB1452"/>
      <c r="CC1452"/>
      <c r="CD1452"/>
      <c r="CE1452"/>
      <c r="CF1452"/>
      <c r="CG1452"/>
      <c r="CH1452"/>
    </row>
    <row r="1453" spans="1:86" x14ac:dyDescent="0.2">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c r="AU1453"/>
      <c r="AV1453"/>
      <c r="AW1453"/>
      <c r="AX1453"/>
      <c r="AY1453"/>
      <c r="AZ1453"/>
      <c r="BA1453"/>
      <c r="BB1453"/>
      <c r="BC1453"/>
      <c r="BD1453"/>
      <c r="BE1453"/>
      <c r="BF1453"/>
      <c r="BG1453"/>
      <c r="BH1453"/>
      <c r="BI1453"/>
      <c r="BJ1453"/>
      <c r="BK1453"/>
      <c r="BL1453"/>
      <c r="BM1453"/>
      <c r="BN1453"/>
      <c r="BO1453"/>
      <c r="BP1453"/>
      <c r="BQ1453"/>
      <c r="BR1453"/>
      <c r="BS1453"/>
      <c r="BT1453"/>
      <c r="BU1453"/>
      <c r="BV1453"/>
      <c r="BW1453"/>
      <c r="BX1453"/>
      <c r="BY1453"/>
      <c r="BZ1453"/>
      <c r="CA1453"/>
      <c r="CB1453"/>
      <c r="CC1453"/>
      <c r="CD1453"/>
      <c r="CE1453"/>
      <c r="CF1453"/>
      <c r="CG1453"/>
      <c r="CH1453"/>
    </row>
    <row r="1454" spans="1:86" x14ac:dyDescent="0.2">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c r="AU1454"/>
      <c r="AV1454"/>
      <c r="AW1454"/>
      <c r="AX1454"/>
      <c r="AY1454"/>
      <c r="AZ1454"/>
      <c r="BA1454"/>
      <c r="BB1454"/>
      <c r="BC1454"/>
      <c r="BD1454"/>
      <c r="BE1454"/>
      <c r="BF1454"/>
      <c r="BG1454"/>
      <c r="BH1454"/>
      <c r="BI1454"/>
      <c r="BJ1454"/>
      <c r="BK1454"/>
      <c r="BL1454"/>
      <c r="BM1454"/>
      <c r="BN1454"/>
      <c r="BO1454"/>
      <c r="BP1454"/>
      <c r="BQ1454"/>
      <c r="BR1454"/>
      <c r="BS1454"/>
      <c r="BT1454"/>
      <c r="BU1454"/>
      <c r="BV1454"/>
      <c r="BW1454"/>
      <c r="BX1454"/>
      <c r="BY1454"/>
      <c r="BZ1454"/>
      <c r="CA1454"/>
      <c r="CB1454"/>
      <c r="CC1454"/>
      <c r="CD1454"/>
      <c r="CE1454"/>
      <c r="CF1454"/>
      <c r="CG1454"/>
      <c r="CH1454"/>
    </row>
    <row r="1455" spans="1:86" x14ac:dyDescent="0.2">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c r="AU1455"/>
      <c r="AV1455"/>
      <c r="AW1455"/>
      <c r="AX1455"/>
      <c r="AY1455"/>
      <c r="AZ1455"/>
      <c r="BA1455"/>
      <c r="BB1455"/>
      <c r="BC1455"/>
      <c r="BD1455"/>
      <c r="BE1455"/>
      <c r="BF1455"/>
      <c r="BG1455"/>
      <c r="BH1455"/>
      <c r="BI1455"/>
      <c r="BJ1455"/>
      <c r="BK1455"/>
      <c r="BL1455"/>
      <c r="BM1455"/>
      <c r="BN1455"/>
      <c r="BO1455"/>
      <c r="BP1455"/>
      <c r="BQ1455"/>
      <c r="BR1455"/>
      <c r="BS1455"/>
      <c r="BT1455"/>
      <c r="BU1455"/>
      <c r="BV1455"/>
      <c r="BW1455"/>
      <c r="BX1455"/>
      <c r="BY1455"/>
      <c r="BZ1455"/>
      <c r="CA1455"/>
      <c r="CB1455"/>
      <c r="CC1455"/>
      <c r="CD1455"/>
      <c r="CE1455"/>
      <c r="CF1455"/>
      <c r="CG1455"/>
      <c r="CH1455"/>
    </row>
    <row r="1456" spans="1:86" x14ac:dyDescent="0.2">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c r="AU1456"/>
      <c r="AV1456"/>
      <c r="AW1456"/>
      <c r="AX1456"/>
      <c r="AY1456"/>
      <c r="AZ1456"/>
      <c r="BA1456"/>
      <c r="BB1456"/>
      <c r="BC1456"/>
      <c r="BD1456"/>
      <c r="BE1456"/>
      <c r="BF1456"/>
      <c r="BG1456"/>
      <c r="BH1456"/>
      <c r="BI1456"/>
      <c r="BJ1456"/>
      <c r="BK1456"/>
      <c r="BL1456"/>
      <c r="BM1456"/>
      <c r="BN1456"/>
      <c r="BO1456"/>
      <c r="BP1456"/>
      <c r="BQ1456"/>
      <c r="BR1456"/>
      <c r="BS1456"/>
      <c r="BT1456"/>
      <c r="BU1456"/>
      <c r="BV1456"/>
      <c r="BW1456"/>
      <c r="BX1456"/>
      <c r="BY1456"/>
      <c r="BZ1456"/>
      <c r="CA1456"/>
      <c r="CB1456"/>
      <c r="CC1456"/>
      <c r="CD1456"/>
      <c r="CE1456"/>
      <c r="CF1456"/>
      <c r="CG1456"/>
      <c r="CH1456"/>
    </row>
    <row r="1457" spans="1:86" x14ac:dyDescent="0.2">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c r="AU1457"/>
      <c r="AV1457"/>
      <c r="AW1457"/>
      <c r="AX1457"/>
      <c r="AY1457"/>
      <c r="AZ1457"/>
      <c r="BA1457"/>
      <c r="BB1457"/>
      <c r="BC1457"/>
      <c r="BD1457"/>
      <c r="BE1457"/>
      <c r="BF1457"/>
      <c r="BG1457"/>
      <c r="BH1457"/>
      <c r="BI1457"/>
      <c r="BJ1457"/>
      <c r="BK1457"/>
      <c r="BL1457"/>
      <c r="BM1457"/>
      <c r="BN1457"/>
      <c r="BO1457"/>
      <c r="BP1457"/>
      <c r="BQ1457"/>
      <c r="BR1457"/>
      <c r="BS1457"/>
      <c r="BT1457"/>
      <c r="BU1457"/>
      <c r="BV1457"/>
      <c r="BW1457"/>
      <c r="BX1457"/>
      <c r="BY1457"/>
      <c r="BZ1457"/>
      <c r="CA1457"/>
      <c r="CB1457"/>
      <c r="CC1457"/>
      <c r="CD1457"/>
      <c r="CE1457"/>
      <c r="CF1457"/>
      <c r="CG1457"/>
      <c r="CH1457"/>
    </row>
    <row r="1458" spans="1:86" x14ac:dyDescent="0.2">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c r="AU1458"/>
      <c r="AV1458"/>
      <c r="AW1458"/>
      <c r="AX1458"/>
      <c r="AY1458"/>
      <c r="AZ1458"/>
      <c r="BA1458"/>
      <c r="BB1458"/>
      <c r="BC1458"/>
      <c r="BD1458"/>
      <c r="BE1458"/>
      <c r="BF1458"/>
      <c r="BG1458"/>
      <c r="BH1458"/>
      <c r="BI1458"/>
      <c r="BJ1458"/>
      <c r="BK1458"/>
      <c r="BL1458"/>
      <c r="BM1458"/>
      <c r="BN1458"/>
      <c r="BO1458"/>
      <c r="BP1458"/>
      <c r="BQ1458"/>
      <c r="BR1458"/>
      <c r="BS1458"/>
      <c r="BT1458"/>
      <c r="BU1458"/>
      <c r="BV1458"/>
      <c r="BW1458"/>
      <c r="BX1458"/>
      <c r="BY1458"/>
      <c r="BZ1458"/>
      <c r="CA1458"/>
      <c r="CB1458"/>
      <c r="CC1458"/>
      <c r="CD1458"/>
      <c r="CE1458"/>
      <c r="CF1458"/>
      <c r="CG1458"/>
      <c r="CH1458"/>
    </row>
    <row r="1459" spans="1:86" x14ac:dyDescent="0.2">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c r="AU1459"/>
      <c r="AV1459"/>
      <c r="AW1459"/>
      <c r="AX1459"/>
      <c r="AY1459"/>
      <c r="AZ1459"/>
      <c r="BA1459"/>
      <c r="BB1459"/>
      <c r="BC1459"/>
      <c r="BD1459"/>
      <c r="BE1459"/>
      <c r="BF1459"/>
      <c r="BG1459"/>
      <c r="BH1459"/>
      <c r="BI1459"/>
      <c r="BJ1459"/>
      <c r="BK1459"/>
      <c r="BL1459"/>
      <c r="BM1459"/>
      <c r="BN1459"/>
      <c r="BO1459"/>
      <c r="BP1459"/>
      <c r="BQ1459"/>
      <c r="BR1459"/>
      <c r="BS1459"/>
      <c r="BT1459"/>
      <c r="BU1459"/>
      <c r="BV1459"/>
      <c r="BW1459"/>
      <c r="BX1459"/>
      <c r="BY1459"/>
      <c r="BZ1459"/>
      <c r="CA1459"/>
      <c r="CB1459"/>
      <c r="CC1459"/>
      <c r="CD1459"/>
      <c r="CE1459"/>
      <c r="CF1459"/>
      <c r="CG1459"/>
      <c r="CH1459"/>
    </row>
    <row r="1460" spans="1:86" x14ac:dyDescent="0.2">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c r="AU1460"/>
      <c r="AV1460"/>
      <c r="AW1460"/>
      <c r="AX1460"/>
      <c r="AY1460"/>
      <c r="AZ1460"/>
      <c r="BA1460"/>
      <c r="BB1460"/>
      <c r="BC1460"/>
      <c r="BD1460"/>
      <c r="BE1460"/>
      <c r="BF1460"/>
      <c r="BG1460"/>
      <c r="BH1460"/>
      <c r="BI1460"/>
      <c r="BJ1460"/>
      <c r="BK1460"/>
      <c r="BL1460"/>
      <c r="BM1460"/>
      <c r="BN1460"/>
      <c r="BO1460"/>
      <c r="BP1460"/>
      <c r="BQ1460"/>
      <c r="BR1460"/>
      <c r="BS1460"/>
      <c r="BT1460"/>
      <c r="BU1460"/>
      <c r="BV1460"/>
      <c r="BW1460"/>
      <c r="BX1460"/>
      <c r="BY1460"/>
      <c r="BZ1460"/>
      <c r="CA1460"/>
      <c r="CB1460"/>
      <c r="CC1460"/>
      <c r="CD1460"/>
      <c r="CE1460"/>
      <c r="CF1460"/>
      <c r="CG1460"/>
      <c r="CH1460"/>
    </row>
    <row r="1461" spans="1:86" x14ac:dyDescent="0.2">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c r="AU1461"/>
      <c r="AV1461"/>
      <c r="AW1461"/>
      <c r="AX1461"/>
      <c r="AY1461"/>
      <c r="AZ1461"/>
      <c r="BA1461"/>
      <c r="BB1461"/>
      <c r="BC1461"/>
      <c r="BD1461"/>
      <c r="BE1461"/>
      <c r="BF1461"/>
      <c r="BG1461"/>
      <c r="BH1461"/>
      <c r="BI1461"/>
      <c r="BJ1461"/>
      <c r="BK1461"/>
      <c r="BL1461"/>
      <c r="BM1461"/>
      <c r="BN1461"/>
      <c r="BO1461"/>
      <c r="BP1461"/>
      <c r="BQ1461"/>
      <c r="BR1461"/>
      <c r="BS1461"/>
      <c r="BT1461"/>
      <c r="BU1461"/>
      <c r="BV1461"/>
      <c r="BW1461"/>
      <c r="BX1461"/>
      <c r="BY1461"/>
      <c r="BZ1461"/>
      <c r="CA1461"/>
      <c r="CB1461"/>
      <c r="CC1461"/>
      <c r="CD1461"/>
      <c r="CE1461"/>
      <c r="CF1461"/>
      <c r="CG1461"/>
      <c r="CH1461"/>
    </row>
    <row r="1462" spans="1:86" x14ac:dyDescent="0.2">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c r="AU1462"/>
      <c r="AV1462"/>
      <c r="AW1462"/>
      <c r="AX1462"/>
      <c r="AY1462"/>
      <c r="AZ1462"/>
      <c r="BA1462"/>
      <c r="BB1462"/>
      <c r="BC1462"/>
      <c r="BD1462"/>
      <c r="BE1462"/>
      <c r="BF1462"/>
      <c r="BG1462"/>
      <c r="BH1462"/>
      <c r="BI1462"/>
      <c r="BJ1462"/>
      <c r="BK1462"/>
      <c r="BL1462"/>
      <c r="BM1462"/>
      <c r="BN1462"/>
      <c r="BO1462"/>
      <c r="BP1462"/>
      <c r="BQ1462"/>
      <c r="BR1462"/>
      <c r="BS1462"/>
      <c r="BT1462"/>
      <c r="BU1462"/>
      <c r="BV1462"/>
      <c r="BW1462"/>
      <c r="BX1462"/>
      <c r="BY1462"/>
      <c r="BZ1462"/>
      <c r="CA1462"/>
      <c r="CB1462"/>
      <c r="CC1462"/>
      <c r="CD1462"/>
      <c r="CE1462"/>
      <c r="CF1462"/>
      <c r="CG1462"/>
      <c r="CH1462"/>
    </row>
    <row r="1463" spans="1:86" x14ac:dyDescent="0.2">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c r="AU1463"/>
      <c r="AV1463"/>
      <c r="AW1463"/>
      <c r="AX1463"/>
      <c r="AY1463"/>
      <c r="AZ1463"/>
      <c r="BA1463"/>
      <c r="BB1463"/>
      <c r="BC1463"/>
      <c r="BD1463"/>
      <c r="BE1463"/>
      <c r="BF1463"/>
      <c r="BG1463"/>
      <c r="BH1463"/>
      <c r="BI1463"/>
      <c r="BJ1463"/>
      <c r="BK1463"/>
      <c r="BL1463"/>
      <c r="BM1463"/>
      <c r="BN1463"/>
      <c r="BO1463"/>
      <c r="BP1463"/>
      <c r="BQ1463"/>
      <c r="BR1463"/>
      <c r="BS1463"/>
      <c r="BT1463"/>
      <c r="BU1463"/>
      <c r="BV1463"/>
      <c r="BW1463"/>
      <c r="BX1463"/>
      <c r="BY1463"/>
      <c r="BZ1463"/>
      <c r="CA1463"/>
      <c r="CB1463"/>
      <c r="CC1463"/>
      <c r="CD1463"/>
      <c r="CE1463"/>
      <c r="CF1463"/>
      <c r="CG1463"/>
      <c r="CH1463"/>
    </row>
    <row r="1464" spans="1:86" x14ac:dyDescent="0.2">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c r="AU1464"/>
      <c r="AV1464"/>
      <c r="AW1464"/>
      <c r="AX1464"/>
      <c r="AY1464"/>
      <c r="AZ1464"/>
      <c r="BA1464"/>
      <c r="BB1464"/>
      <c r="BC1464"/>
      <c r="BD1464"/>
      <c r="BE1464"/>
      <c r="BF1464"/>
      <c r="BG1464"/>
      <c r="BH1464"/>
      <c r="BI1464"/>
      <c r="BJ1464"/>
      <c r="BK1464"/>
      <c r="BL1464"/>
      <c r="BM1464"/>
      <c r="BN1464"/>
      <c r="BO1464"/>
      <c r="BP1464"/>
      <c r="BQ1464"/>
      <c r="BR1464"/>
      <c r="BS1464"/>
      <c r="BT1464"/>
      <c r="BU1464"/>
      <c r="BV1464"/>
      <c r="BW1464"/>
      <c r="BX1464"/>
      <c r="BY1464"/>
      <c r="BZ1464"/>
      <c r="CA1464"/>
      <c r="CB1464"/>
      <c r="CC1464"/>
      <c r="CD1464"/>
      <c r="CE1464"/>
      <c r="CF1464"/>
      <c r="CG1464"/>
      <c r="CH1464"/>
    </row>
    <row r="1465" spans="1:86" x14ac:dyDescent="0.2">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c r="AU1465"/>
      <c r="AV1465"/>
      <c r="AW1465"/>
      <c r="AX1465"/>
      <c r="AY1465"/>
      <c r="AZ1465"/>
      <c r="BA1465"/>
      <c r="BB1465"/>
      <c r="BC1465"/>
      <c r="BD1465"/>
      <c r="BE1465"/>
      <c r="BF1465"/>
      <c r="BG1465"/>
      <c r="BH1465"/>
      <c r="BI1465"/>
      <c r="BJ1465"/>
      <c r="BK1465"/>
      <c r="BL1465"/>
      <c r="BM1465"/>
      <c r="BN1465"/>
      <c r="BO1465"/>
      <c r="BP1465"/>
      <c r="BQ1465"/>
      <c r="BR1465"/>
      <c r="BS1465"/>
      <c r="BT1465"/>
      <c r="BU1465"/>
      <c r="BV1465"/>
      <c r="BW1465"/>
      <c r="BX1465"/>
      <c r="BY1465"/>
      <c r="BZ1465"/>
      <c r="CA1465"/>
      <c r="CB1465"/>
      <c r="CC1465"/>
      <c r="CD1465"/>
      <c r="CE1465"/>
      <c r="CF1465"/>
      <c r="CG1465"/>
      <c r="CH1465"/>
    </row>
    <row r="1466" spans="1:86" x14ac:dyDescent="0.2">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c r="AU1466"/>
      <c r="AV1466"/>
      <c r="AW1466"/>
      <c r="AX1466"/>
      <c r="AY1466"/>
      <c r="AZ1466"/>
      <c r="BA1466"/>
      <c r="BB1466"/>
      <c r="BC1466"/>
      <c r="BD1466"/>
      <c r="BE1466"/>
      <c r="BF1466"/>
      <c r="BG1466"/>
      <c r="BH1466"/>
      <c r="BI1466"/>
      <c r="BJ1466"/>
      <c r="BK1466"/>
      <c r="BL1466"/>
      <c r="BM1466"/>
      <c r="BN1466"/>
      <c r="BO1466"/>
      <c r="BP1466"/>
      <c r="BQ1466"/>
      <c r="BR1466"/>
      <c r="BS1466"/>
      <c r="BT1466"/>
      <c r="BU1466"/>
      <c r="BV1466"/>
      <c r="BW1466"/>
      <c r="BX1466"/>
      <c r="BY1466"/>
      <c r="BZ1466"/>
      <c r="CA1466"/>
      <c r="CB1466"/>
      <c r="CC1466"/>
      <c r="CD1466"/>
      <c r="CE1466"/>
      <c r="CF1466"/>
      <c r="CG1466"/>
      <c r="CH1466"/>
    </row>
    <row r="1467" spans="1:86" x14ac:dyDescent="0.2">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c r="AU1467"/>
      <c r="AV1467"/>
      <c r="AW1467"/>
      <c r="AX1467"/>
      <c r="AY1467"/>
      <c r="AZ1467"/>
      <c r="BA1467"/>
      <c r="BB1467"/>
      <c r="BC1467"/>
      <c r="BD1467"/>
      <c r="BE1467"/>
      <c r="BF1467"/>
      <c r="BG1467"/>
      <c r="BH1467"/>
      <c r="BI1467"/>
      <c r="BJ1467"/>
      <c r="BK1467"/>
      <c r="BL1467"/>
      <c r="BM1467"/>
      <c r="BN1467"/>
      <c r="BO1467"/>
      <c r="BP1467"/>
      <c r="BQ1467"/>
      <c r="BR1467"/>
      <c r="BS1467"/>
      <c r="BT1467"/>
      <c r="BU1467"/>
      <c r="BV1467"/>
      <c r="BW1467"/>
      <c r="BX1467"/>
      <c r="BY1467"/>
      <c r="BZ1467"/>
      <c r="CA1467"/>
      <c r="CB1467"/>
      <c r="CC1467"/>
      <c r="CD1467"/>
      <c r="CE1467"/>
      <c r="CF1467"/>
      <c r="CG1467"/>
      <c r="CH1467"/>
    </row>
    <row r="1468" spans="1:86" x14ac:dyDescent="0.2">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c r="AU1468"/>
      <c r="AV1468"/>
      <c r="AW1468"/>
      <c r="AX1468"/>
      <c r="AY1468"/>
      <c r="AZ1468"/>
      <c r="BA1468"/>
      <c r="BB1468"/>
      <c r="BC1468"/>
      <c r="BD1468"/>
      <c r="BE1468"/>
      <c r="BF1468"/>
      <c r="BG1468"/>
      <c r="BH1468"/>
      <c r="BI1468"/>
      <c r="BJ1468"/>
      <c r="BK1468"/>
      <c r="BL1468"/>
      <c r="BM1468"/>
      <c r="BN1468"/>
      <c r="BO1468"/>
      <c r="BP1468"/>
      <c r="BQ1468"/>
      <c r="BR1468"/>
      <c r="BS1468"/>
      <c r="BT1468"/>
      <c r="BU1468"/>
      <c r="BV1468"/>
      <c r="BW1468"/>
      <c r="BX1468"/>
      <c r="BY1468"/>
      <c r="BZ1468"/>
      <c r="CA1468"/>
      <c r="CB1468"/>
      <c r="CC1468"/>
      <c r="CD1468"/>
      <c r="CE1468"/>
      <c r="CF1468"/>
      <c r="CG1468"/>
      <c r="CH1468"/>
    </row>
    <row r="1469" spans="1:86" x14ac:dyDescent="0.2">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c r="AU1469"/>
      <c r="AV1469"/>
      <c r="AW1469"/>
      <c r="AX1469"/>
      <c r="AY1469"/>
      <c r="AZ1469"/>
      <c r="BA1469"/>
      <c r="BB1469"/>
      <c r="BC1469"/>
      <c r="BD1469"/>
      <c r="BE1469"/>
      <c r="BF1469"/>
      <c r="BG1469"/>
      <c r="BH1469"/>
      <c r="BI1469"/>
      <c r="BJ1469"/>
      <c r="BK1469"/>
      <c r="BL1469"/>
      <c r="BM1469"/>
      <c r="BN1469"/>
      <c r="BO1469"/>
      <c r="BP1469"/>
      <c r="BQ1469"/>
      <c r="BR1469"/>
      <c r="BS1469"/>
      <c r="BT1469"/>
      <c r="BU1469"/>
      <c r="BV1469"/>
      <c r="BW1469"/>
      <c r="BX1469"/>
      <c r="BY1469"/>
      <c r="BZ1469"/>
      <c r="CA1469"/>
      <c r="CB1469"/>
      <c r="CC1469"/>
      <c r="CD1469"/>
      <c r="CE1469"/>
      <c r="CF1469"/>
      <c r="CG1469"/>
      <c r="CH1469"/>
    </row>
    <row r="1470" spans="1:86" x14ac:dyDescent="0.2">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c r="AU1470"/>
      <c r="AV1470"/>
      <c r="AW1470"/>
      <c r="AX1470"/>
      <c r="AY1470"/>
      <c r="AZ1470"/>
      <c r="BA1470"/>
      <c r="BB1470"/>
      <c r="BC1470"/>
      <c r="BD1470"/>
      <c r="BE1470"/>
      <c r="BF1470"/>
      <c r="BG1470"/>
      <c r="BH1470"/>
      <c r="BI1470"/>
      <c r="BJ1470"/>
      <c r="BK1470"/>
      <c r="BL1470"/>
      <c r="BM1470"/>
      <c r="BN1470"/>
      <c r="BO1470"/>
      <c r="BP1470"/>
      <c r="BQ1470"/>
      <c r="BR1470"/>
      <c r="BS1470"/>
      <c r="BT1470"/>
      <c r="BU1470"/>
      <c r="BV1470"/>
      <c r="BW1470"/>
      <c r="BX1470"/>
      <c r="BY1470"/>
      <c r="BZ1470"/>
      <c r="CA1470"/>
      <c r="CB1470"/>
      <c r="CC1470"/>
      <c r="CD1470"/>
      <c r="CE1470"/>
      <c r="CF1470"/>
      <c r="CG1470"/>
      <c r="CH1470"/>
    </row>
    <row r="1471" spans="1:86" x14ac:dyDescent="0.2">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c r="AW1471"/>
      <c r="AX1471"/>
      <c r="AY1471"/>
      <c r="AZ1471"/>
      <c r="BA1471"/>
      <c r="BB1471"/>
      <c r="BC1471"/>
      <c r="BD1471"/>
      <c r="BE1471"/>
      <c r="BF1471"/>
      <c r="BG1471"/>
      <c r="BH1471"/>
      <c r="BI1471"/>
      <c r="BJ1471"/>
      <c r="BK1471"/>
      <c r="BL1471"/>
      <c r="BM1471"/>
      <c r="BN1471"/>
      <c r="BO1471"/>
      <c r="BP1471"/>
      <c r="BQ1471"/>
      <c r="BR1471"/>
      <c r="BS1471"/>
      <c r="BT1471"/>
      <c r="BU1471"/>
      <c r="BV1471"/>
      <c r="BW1471"/>
      <c r="BX1471"/>
      <c r="BY1471"/>
      <c r="BZ1471"/>
      <c r="CA1471"/>
      <c r="CB1471"/>
      <c r="CC1471"/>
      <c r="CD1471"/>
      <c r="CE1471"/>
      <c r="CF1471"/>
      <c r="CG1471"/>
      <c r="CH1471"/>
    </row>
    <row r="1472" spans="1:86" x14ac:dyDescent="0.2">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c r="AW1472"/>
      <c r="AX1472"/>
      <c r="AY1472"/>
      <c r="AZ1472"/>
      <c r="BA1472"/>
      <c r="BB1472"/>
      <c r="BC1472"/>
      <c r="BD1472"/>
      <c r="BE1472"/>
      <c r="BF1472"/>
      <c r="BG1472"/>
      <c r="BH1472"/>
      <c r="BI1472"/>
      <c r="BJ1472"/>
      <c r="BK1472"/>
      <c r="BL1472"/>
      <c r="BM1472"/>
      <c r="BN1472"/>
      <c r="BO1472"/>
      <c r="BP1472"/>
      <c r="BQ1472"/>
      <c r="BR1472"/>
      <c r="BS1472"/>
      <c r="BT1472"/>
      <c r="BU1472"/>
      <c r="BV1472"/>
      <c r="BW1472"/>
      <c r="BX1472"/>
      <c r="BY1472"/>
      <c r="BZ1472"/>
      <c r="CA1472"/>
      <c r="CB1472"/>
      <c r="CC1472"/>
      <c r="CD1472"/>
      <c r="CE1472"/>
      <c r="CF1472"/>
      <c r="CG1472"/>
      <c r="CH1472"/>
    </row>
    <row r="1473" spans="1:86" x14ac:dyDescent="0.2">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c r="AU1473"/>
      <c r="AV1473"/>
      <c r="AW1473"/>
      <c r="AX1473"/>
      <c r="AY1473"/>
      <c r="AZ1473"/>
      <c r="BA1473"/>
      <c r="BB1473"/>
      <c r="BC1473"/>
      <c r="BD1473"/>
      <c r="BE1473"/>
      <c r="BF1473"/>
      <c r="BG1473"/>
      <c r="BH1473"/>
      <c r="BI1473"/>
      <c r="BJ1473"/>
      <c r="BK1473"/>
      <c r="BL1473"/>
      <c r="BM1473"/>
      <c r="BN1473"/>
      <c r="BO1473"/>
      <c r="BP1473"/>
      <c r="BQ1473"/>
      <c r="BR1473"/>
      <c r="BS1473"/>
      <c r="BT1473"/>
      <c r="BU1473"/>
      <c r="BV1473"/>
      <c r="BW1473"/>
      <c r="BX1473"/>
      <c r="BY1473"/>
      <c r="BZ1473"/>
      <c r="CA1473"/>
      <c r="CB1473"/>
      <c r="CC1473"/>
      <c r="CD1473"/>
      <c r="CE1473"/>
      <c r="CF1473"/>
      <c r="CG1473"/>
      <c r="CH1473"/>
    </row>
    <row r="1474" spans="1:86" x14ac:dyDescent="0.2">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c r="AU1474"/>
      <c r="AV1474"/>
      <c r="AW1474"/>
      <c r="AX1474"/>
      <c r="AY1474"/>
      <c r="AZ1474"/>
      <c r="BA1474"/>
      <c r="BB1474"/>
      <c r="BC1474"/>
      <c r="BD1474"/>
      <c r="BE1474"/>
      <c r="BF1474"/>
      <c r="BG1474"/>
      <c r="BH1474"/>
      <c r="BI1474"/>
      <c r="BJ1474"/>
      <c r="BK1474"/>
      <c r="BL1474"/>
      <c r="BM1474"/>
      <c r="BN1474"/>
      <c r="BO1474"/>
      <c r="BP1474"/>
      <c r="BQ1474"/>
      <c r="BR1474"/>
      <c r="BS1474"/>
      <c r="BT1474"/>
      <c r="BU1474"/>
      <c r="BV1474"/>
      <c r="BW1474"/>
      <c r="BX1474"/>
      <c r="BY1474"/>
      <c r="BZ1474"/>
      <c r="CA1474"/>
      <c r="CB1474"/>
      <c r="CC1474"/>
      <c r="CD1474"/>
      <c r="CE1474"/>
      <c r="CF1474"/>
      <c r="CG1474"/>
      <c r="CH1474"/>
    </row>
    <row r="1475" spans="1:86" x14ac:dyDescent="0.2">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c r="AU1475"/>
      <c r="AV1475"/>
      <c r="AW1475"/>
      <c r="AX1475"/>
      <c r="AY1475"/>
      <c r="AZ1475"/>
      <c r="BA1475"/>
      <c r="BB1475"/>
      <c r="BC1475"/>
      <c r="BD1475"/>
      <c r="BE1475"/>
      <c r="BF1475"/>
      <c r="BG1475"/>
      <c r="BH1475"/>
      <c r="BI1475"/>
      <c r="BJ1475"/>
      <c r="BK1475"/>
      <c r="BL1475"/>
      <c r="BM1475"/>
      <c r="BN1475"/>
      <c r="BO1475"/>
      <c r="BP1475"/>
      <c r="BQ1475"/>
      <c r="BR1475"/>
      <c r="BS1475"/>
      <c r="BT1475"/>
      <c r="BU1475"/>
      <c r="BV1475"/>
      <c r="BW1475"/>
      <c r="BX1475"/>
      <c r="BY1475"/>
      <c r="BZ1475"/>
      <c r="CA1475"/>
      <c r="CB1475"/>
      <c r="CC1475"/>
      <c r="CD1475"/>
      <c r="CE1475"/>
      <c r="CF1475"/>
      <c r="CG1475"/>
      <c r="CH1475"/>
    </row>
    <row r="1476" spans="1:86" x14ac:dyDescent="0.2">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c r="AU1476"/>
      <c r="AV1476"/>
      <c r="AW1476"/>
      <c r="AX1476"/>
      <c r="AY1476"/>
      <c r="AZ1476"/>
      <c r="BA1476"/>
      <c r="BB1476"/>
      <c r="BC1476"/>
      <c r="BD1476"/>
      <c r="BE1476"/>
      <c r="BF1476"/>
      <c r="BG1476"/>
      <c r="BH1476"/>
      <c r="BI1476"/>
      <c r="BJ1476"/>
      <c r="BK1476"/>
      <c r="BL1476"/>
      <c r="BM1476"/>
      <c r="BN1476"/>
      <c r="BO1476"/>
      <c r="BP1476"/>
      <c r="BQ1476"/>
      <c r="BR1476"/>
      <c r="BS1476"/>
      <c r="BT1476"/>
      <c r="BU1476"/>
      <c r="BV1476"/>
      <c r="BW1476"/>
      <c r="BX1476"/>
      <c r="BY1476"/>
      <c r="BZ1476"/>
      <c r="CA1476"/>
      <c r="CB1476"/>
      <c r="CC1476"/>
      <c r="CD1476"/>
      <c r="CE1476"/>
      <c r="CF1476"/>
      <c r="CG1476"/>
      <c r="CH1476"/>
    </row>
    <row r="1477" spans="1:86" x14ac:dyDescent="0.2">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c r="AU1477"/>
      <c r="AV1477"/>
      <c r="AW1477"/>
      <c r="AX1477"/>
      <c r="AY1477"/>
      <c r="AZ1477"/>
      <c r="BA1477"/>
      <c r="BB1477"/>
      <c r="BC1477"/>
      <c r="BD1477"/>
      <c r="BE1477"/>
      <c r="BF1477"/>
      <c r="BG1477"/>
      <c r="BH1477"/>
      <c r="BI1477"/>
      <c r="BJ1477"/>
      <c r="BK1477"/>
      <c r="BL1477"/>
      <c r="BM1477"/>
      <c r="BN1477"/>
      <c r="BO1477"/>
      <c r="BP1477"/>
      <c r="BQ1477"/>
      <c r="BR1477"/>
      <c r="BS1477"/>
      <c r="BT1477"/>
      <c r="BU1477"/>
      <c r="BV1477"/>
      <c r="BW1477"/>
      <c r="BX1477"/>
      <c r="BY1477"/>
      <c r="BZ1477"/>
      <c r="CA1477"/>
      <c r="CB1477"/>
      <c r="CC1477"/>
      <c r="CD1477"/>
      <c r="CE1477"/>
      <c r="CF1477"/>
      <c r="CG1477"/>
      <c r="CH1477"/>
    </row>
    <row r="1478" spans="1:86" x14ac:dyDescent="0.2">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c r="AU1478"/>
      <c r="AV1478"/>
      <c r="AW1478"/>
      <c r="AX1478"/>
      <c r="AY1478"/>
      <c r="AZ1478"/>
      <c r="BA1478"/>
      <c r="BB1478"/>
      <c r="BC1478"/>
      <c r="BD1478"/>
      <c r="BE1478"/>
      <c r="BF1478"/>
      <c r="BG1478"/>
      <c r="BH1478"/>
      <c r="BI1478"/>
      <c r="BJ1478"/>
      <c r="BK1478"/>
      <c r="BL1478"/>
      <c r="BM1478"/>
      <c r="BN1478"/>
      <c r="BO1478"/>
      <c r="BP1478"/>
      <c r="BQ1478"/>
      <c r="BR1478"/>
      <c r="BS1478"/>
      <c r="BT1478"/>
      <c r="BU1478"/>
      <c r="BV1478"/>
      <c r="BW1478"/>
      <c r="BX1478"/>
      <c r="BY1478"/>
      <c r="BZ1478"/>
      <c r="CA1478"/>
      <c r="CB1478"/>
      <c r="CC1478"/>
      <c r="CD1478"/>
      <c r="CE1478"/>
      <c r="CF1478"/>
      <c r="CG1478"/>
      <c r="CH1478"/>
    </row>
    <row r="1479" spans="1:86" x14ac:dyDescent="0.2">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c r="AU1479"/>
      <c r="AV1479"/>
      <c r="AW1479"/>
      <c r="AX1479"/>
      <c r="AY1479"/>
      <c r="AZ1479"/>
      <c r="BA1479"/>
      <c r="BB1479"/>
      <c r="BC1479"/>
      <c r="BD1479"/>
      <c r="BE1479"/>
      <c r="BF1479"/>
      <c r="BG1479"/>
      <c r="BH1479"/>
      <c r="BI1479"/>
      <c r="BJ1479"/>
      <c r="BK1479"/>
      <c r="BL1479"/>
      <c r="BM1479"/>
      <c r="BN1479"/>
      <c r="BO1479"/>
      <c r="BP1479"/>
      <c r="BQ1479"/>
      <c r="BR1479"/>
      <c r="BS1479"/>
      <c r="BT1479"/>
      <c r="BU1479"/>
      <c r="BV1479"/>
      <c r="BW1479"/>
      <c r="BX1479"/>
      <c r="BY1479"/>
      <c r="BZ1479"/>
      <c r="CA1479"/>
      <c r="CB1479"/>
      <c r="CC1479"/>
      <c r="CD1479"/>
      <c r="CE1479"/>
      <c r="CF1479"/>
      <c r="CG1479"/>
      <c r="CH1479"/>
    </row>
    <row r="1480" spans="1:86" x14ac:dyDescent="0.2">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c r="AU1480"/>
      <c r="AV1480"/>
      <c r="AW1480"/>
      <c r="AX1480"/>
      <c r="AY1480"/>
      <c r="AZ1480"/>
      <c r="BA1480"/>
      <c r="BB1480"/>
      <c r="BC1480"/>
      <c r="BD1480"/>
      <c r="BE1480"/>
      <c r="BF1480"/>
      <c r="BG1480"/>
      <c r="BH1480"/>
      <c r="BI1480"/>
      <c r="BJ1480"/>
      <c r="BK1480"/>
      <c r="BL1480"/>
      <c r="BM1480"/>
      <c r="BN1480"/>
      <c r="BO1480"/>
      <c r="BP1480"/>
      <c r="BQ1480"/>
      <c r="BR1480"/>
      <c r="BS1480"/>
      <c r="BT1480"/>
      <c r="BU1480"/>
      <c r="BV1480"/>
      <c r="BW1480"/>
      <c r="BX1480"/>
      <c r="BY1480"/>
      <c r="BZ1480"/>
      <c r="CA1480"/>
      <c r="CB1480"/>
      <c r="CC1480"/>
      <c r="CD1480"/>
      <c r="CE1480"/>
      <c r="CF1480"/>
      <c r="CG1480"/>
      <c r="CH1480"/>
    </row>
    <row r="1481" spans="1:86" x14ac:dyDescent="0.2">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c r="AU1481"/>
      <c r="AV1481"/>
      <c r="AW1481"/>
      <c r="AX1481"/>
      <c r="AY1481"/>
      <c r="AZ1481"/>
      <c r="BA1481"/>
      <c r="BB1481"/>
      <c r="BC1481"/>
      <c r="BD1481"/>
      <c r="BE1481"/>
      <c r="BF1481"/>
      <c r="BG1481"/>
      <c r="BH1481"/>
      <c r="BI1481"/>
      <c r="BJ1481"/>
      <c r="BK1481"/>
      <c r="BL1481"/>
      <c r="BM1481"/>
      <c r="BN1481"/>
      <c r="BO1481"/>
      <c r="BP1481"/>
      <c r="BQ1481"/>
      <c r="BR1481"/>
      <c r="BS1481"/>
      <c r="BT1481"/>
      <c r="BU1481"/>
      <c r="BV1481"/>
      <c r="BW1481"/>
      <c r="BX1481"/>
      <c r="BY1481"/>
      <c r="BZ1481"/>
      <c r="CA1481"/>
      <c r="CB1481"/>
      <c r="CC1481"/>
      <c r="CD1481"/>
      <c r="CE1481"/>
      <c r="CF1481"/>
      <c r="CG1481"/>
      <c r="CH1481"/>
    </row>
    <row r="1482" spans="1:86" x14ac:dyDescent="0.2">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c r="AU1482"/>
      <c r="AV1482"/>
      <c r="AW1482"/>
      <c r="AX1482"/>
      <c r="AY1482"/>
      <c r="AZ1482"/>
      <c r="BA1482"/>
      <c r="BB1482"/>
      <c r="BC1482"/>
      <c r="BD1482"/>
      <c r="BE1482"/>
      <c r="BF1482"/>
      <c r="BG1482"/>
      <c r="BH1482"/>
      <c r="BI1482"/>
      <c r="BJ1482"/>
      <c r="BK1482"/>
      <c r="BL1482"/>
      <c r="BM1482"/>
      <c r="BN1482"/>
      <c r="BO1482"/>
      <c r="BP1482"/>
      <c r="BQ1482"/>
      <c r="BR1482"/>
      <c r="BS1482"/>
      <c r="BT1482"/>
      <c r="BU1482"/>
      <c r="BV1482"/>
      <c r="BW1482"/>
      <c r="BX1482"/>
      <c r="BY1482"/>
      <c r="BZ1482"/>
      <c r="CA1482"/>
      <c r="CB1482"/>
      <c r="CC1482"/>
      <c r="CD1482"/>
      <c r="CE1482"/>
      <c r="CF1482"/>
      <c r="CG1482"/>
      <c r="CH1482"/>
    </row>
    <row r="1483" spans="1:86" x14ac:dyDescent="0.2">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c r="AU1483"/>
      <c r="AV1483"/>
      <c r="AW1483"/>
      <c r="AX1483"/>
      <c r="AY1483"/>
      <c r="AZ1483"/>
      <c r="BA1483"/>
      <c r="BB1483"/>
      <c r="BC1483"/>
      <c r="BD1483"/>
      <c r="BE1483"/>
      <c r="BF1483"/>
      <c r="BG1483"/>
      <c r="BH1483"/>
      <c r="BI1483"/>
      <c r="BJ1483"/>
      <c r="BK1483"/>
      <c r="BL1483"/>
      <c r="BM1483"/>
      <c r="BN1483"/>
      <c r="BO1483"/>
      <c r="BP1483"/>
      <c r="BQ1483"/>
      <c r="BR1483"/>
      <c r="BS1483"/>
      <c r="BT1483"/>
      <c r="BU1483"/>
      <c r="BV1483"/>
      <c r="BW1483"/>
      <c r="BX1483"/>
      <c r="BY1483"/>
      <c r="BZ1483"/>
      <c r="CA1483"/>
      <c r="CB1483"/>
      <c r="CC1483"/>
      <c r="CD1483"/>
      <c r="CE1483"/>
      <c r="CF1483"/>
      <c r="CG1483"/>
      <c r="CH1483"/>
    </row>
    <row r="1484" spans="1:86" x14ac:dyDescent="0.2">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c r="AU1484"/>
      <c r="AV1484"/>
      <c r="AW1484"/>
      <c r="AX1484"/>
      <c r="AY1484"/>
      <c r="AZ1484"/>
      <c r="BA1484"/>
      <c r="BB1484"/>
      <c r="BC1484"/>
      <c r="BD1484"/>
      <c r="BE1484"/>
      <c r="BF1484"/>
      <c r="BG1484"/>
      <c r="BH1484"/>
      <c r="BI1484"/>
      <c r="BJ1484"/>
      <c r="BK1484"/>
      <c r="BL1484"/>
      <c r="BM1484"/>
      <c r="BN1484"/>
      <c r="BO1484"/>
      <c r="BP1484"/>
      <c r="BQ1484"/>
      <c r="BR1484"/>
      <c r="BS1484"/>
      <c r="BT1484"/>
      <c r="BU1484"/>
      <c r="BV1484"/>
      <c r="BW1484"/>
      <c r="BX1484"/>
      <c r="BY1484"/>
      <c r="BZ1484"/>
      <c r="CA1484"/>
      <c r="CB1484"/>
      <c r="CC1484"/>
      <c r="CD1484"/>
      <c r="CE1484"/>
      <c r="CF1484"/>
      <c r="CG1484"/>
      <c r="CH1484"/>
    </row>
    <row r="1485" spans="1:86" x14ac:dyDescent="0.2">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c r="AU1485"/>
      <c r="AV1485"/>
      <c r="AW1485"/>
      <c r="AX1485"/>
      <c r="AY1485"/>
      <c r="AZ1485"/>
      <c r="BA1485"/>
      <c r="BB1485"/>
      <c r="BC1485"/>
      <c r="BD1485"/>
      <c r="BE1485"/>
      <c r="BF1485"/>
      <c r="BG1485"/>
      <c r="BH1485"/>
      <c r="BI1485"/>
      <c r="BJ1485"/>
      <c r="BK1485"/>
      <c r="BL1485"/>
      <c r="BM1485"/>
      <c r="BN1485"/>
      <c r="BO1485"/>
      <c r="BP1485"/>
      <c r="BQ1485"/>
      <c r="BR1485"/>
      <c r="BS1485"/>
      <c r="BT1485"/>
      <c r="BU1485"/>
      <c r="BV1485"/>
      <c r="BW1485"/>
      <c r="BX1485"/>
      <c r="BY1485"/>
      <c r="BZ1485"/>
      <c r="CA1485"/>
      <c r="CB1485"/>
      <c r="CC1485"/>
      <c r="CD1485"/>
      <c r="CE1485"/>
      <c r="CF1485"/>
      <c r="CG1485"/>
      <c r="CH1485"/>
    </row>
    <row r="1486" spans="1:86" x14ac:dyDescent="0.2">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c r="AU1486"/>
      <c r="AV1486"/>
      <c r="AW1486"/>
      <c r="AX1486"/>
      <c r="AY1486"/>
      <c r="AZ1486"/>
      <c r="BA1486"/>
      <c r="BB1486"/>
      <c r="BC1486"/>
      <c r="BD1486"/>
      <c r="BE1486"/>
      <c r="BF1486"/>
      <c r="BG1486"/>
      <c r="BH1486"/>
      <c r="BI1486"/>
      <c r="BJ1486"/>
      <c r="BK1486"/>
      <c r="BL1486"/>
      <c r="BM1486"/>
      <c r="BN1486"/>
      <c r="BO1486"/>
      <c r="BP1486"/>
      <c r="BQ1486"/>
      <c r="BR1486"/>
      <c r="BS1486"/>
      <c r="BT1486"/>
      <c r="BU1486"/>
      <c r="BV1486"/>
      <c r="BW1486"/>
      <c r="BX1486"/>
      <c r="BY1486"/>
      <c r="BZ1486"/>
      <c r="CA1486"/>
      <c r="CB1486"/>
      <c r="CC1486"/>
      <c r="CD1486"/>
      <c r="CE1486"/>
      <c r="CF1486"/>
      <c r="CG1486"/>
      <c r="CH1486"/>
    </row>
    <row r="1487" spans="1:86" x14ac:dyDescent="0.2">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c r="AU1487"/>
      <c r="AV1487"/>
      <c r="AW1487"/>
      <c r="AX1487"/>
      <c r="AY1487"/>
      <c r="AZ1487"/>
      <c r="BA1487"/>
      <c r="BB1487"/>
      <c r="BC1487"/>
      <c r="BD1487"/>
      <c r="BE1487"/>
      <c r="BF1487"/>
      <c r="BG1487"/>
      <c r="BH1487"/>
      <c r="BI1487"/>
      <c r="BJ1487"/>
      <c r="BK1487"/>
      <c r="BL1487"/>
      <c r="BM1487"/>
      <c r="BN1487"/>
      <c r="BO1487"/>
      <c r="BP1487"/>
      <c r="BQ1487"/>
      <c r="BR1487"/>
      <c r="BS1487"/>
      <c r="BT1487"/>
      <c r="BU1487"/>
      <c r="BV1487"/>
      <c r="BW1487"/>
      <c r="BX1487"/>
      <c r="BY1487"/>
      <c r="BZ1487"/>
      <c r="CA1487"/>
      <c r="CB1487"/>
      <c r="CC1487"/>
      <c r="CD1487"/>
      <c r="CE1487"/>
      <c r="CF1487"/>
      <c r="CG1487"/>
      <c r="CH1487"/>
    </row>
    <row r="1488" spans="1:86" x14ac:dyDescent="0.2">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c r="AU1488"/>
      <c r="AV1488"/>
      <c r="AW1488"/>
      <c r="AX1488"/>
      <c r="AY1488"/>
      <c r="AZ1488"/>
      <c r="BA1488"/>
      <c r="BB1488"/>
      <c r="BC1488"/>
      <c r="BD1488"/>
      <c r="BE1488"/>
      <c r="BF1488"/>
      <c r="BG1488"/>
      <c r="BH1488"/>
      <c r="BI1488"/>
      <c r="BJ1488"/>
      <c r="BK1488"/>
      <c r="BL1488"/>
      <c r="BM1488"/>
      <c r="BN1488"/>
      <c r="BO1488"/>
      <c r="BP1488"/>
      <c r="BQ1488"/>
      <c r="BR1488"/>
      <c r="BS1488"/>
      <c r="BT1488"/>
      <c r="BU1488"/>
      <c r="BV1488"/>
      <c r="BW1488"/>
      <c r="BX1488"/>
      <c r="BY1488"/>
      <c r="BZ1488"/>
      <c r="CA1488"/>
      <c r="CB1488"/>
      <c r="CC1488"/>
      <c r="CD1488"/>
      <c r="CE1488"/>
      <c r="CF1488"/>
      <c r="CG1488"/>
      <c r="CH1488"/>
    </row>
    <row r="1489" spans="1:86" x14ac:dyDescent="0.2">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c r="AU1489"/>
      <c r="AV1489"/>
      <c r="AW1489"/>
      <c r="AX1489"/>
      <c r="AY1489"/>
      <c r="AZ1489"/>
      <c r="BA1489"/>
      <c r="BB1489"/>
      <c r="BC1489"/>
      <c r="BD1489"/>
      <c r="BE1489"/>
      <c r="BF1489"/>
      <c r="BG1489"/>
      <c r="BH1489"/>
      <c r="BI1489"/>
      <c r="BJ1489"/>
      <c r="BK1489"/>
      <c r="BL1489"/>
      <c r="BM1489"/>
      <c r="BN1489"/>
      <c r="BO1489"/>
      <c r="BP1489"/>
      <c r="BQ1489"/>
      <c r="BR1489"/>
      <c r="BS1489"/>
      <c r="BT1489"/>
      <c r="BU1489"/>
      <c r="BV1489"/>
      <c r="BW1489"/>
      <c r="BX1489"/>
      <c r="BY1489"/>
      <c r="BZ1489"/>
      <c r="CA1489"/>
      <c r="CB1489"/>
      <c r="CC1489"/>
      <c r="CD1489"/>
      <c r="CE1489"/>
      <c r="CF1489"/>
      <c r="CG1489"/>
      <c r="CH1489"/>
    </row>
    <row r="1490" spans="1:86" x14ac:dyDescent="0.2">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c r="AU1490"/>
      <c r="AV1490"/>
      <c r="AW1490"/>
      <c r="AX1490"/>
      <c r="AY1490"/>
      <c r="AZ1490"/>
      <c r="BA1490"/>
      <c r="BB1490"/>
      <c r="BC1490"/>
      <c r="BD1490"/>
      <c r="BE1490"/>
      <c r="BF1490"/>
      <c r="BG1490"/>
      <c r="BH1490"/>
      <c r="BI1490"/>
      <c r="BJ1490"/>
      <c r="BK1490"/>
      <c r="BL1490"/>
      <c r="BM1490"/>
      <c r="BN1490"/>
      <c r="BO1490"/>
      <c r="BP1490"/>
      <c r="BQ1490"/>
      <c r="BR1490"/>
      <c r="BS1490"/>
      <c r="BT1490"/>
      <c r="BU1490"/>
      <c r="BV1490"/>
      <c r="BW1490"/>
      <c r="BX1490"/>
      <c r="BY1490"/>
      <c r="BZ1490"/>
      <c r="CA1490"/>
      <c r="CB1490"/>
      <c r="CC1490"/>
      <c r="CD1490"/>
      <c r="CE1490"/>
      <c r="CF1490"/>
      <c r="CG1490"/>
      <c r="CH1490"/>
    </row>
    <row r="1491" spans="1:86" x14ac:dyDescent="0.2">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c r="AU1491"/>
      <c r="AV1491"/>
      <c r="AW1491"/>
      <c r="AX1491"/>
      <c r="AY1491"/>
      <c r="AZ1491"/>
      <c r="BA1491"/>
      <c r="BB1491"/>
      <c r="BC1491"/>
      <c r="BD1491"/>
      <c r="BE1491"/>
      <c r="BF1491"/>
      <c r="BG1491"/>
      <c r="BH1491"/>
      <c r="BI1491"/>
      <c r="BJ1491"/>
      <c r="BK1491"/>
      <c r="BL1491"/>
      <c r="BM1491"/>
      <c r="BN1491"/>
      <c r="BO1491"/>
      <c r="BP1491"/>
      <c r="BQ1491"/>
      <c r="BR1491"/>
      <c r="BS1491"/>
      <c r="BT1491"/>
      <c r="BU1491"/>
      <c r="BV1491"/>
      <c r="BW1491"/>
      <c r="BX1491"/>
      <c r="BY1491"/>
      <c r="BZ1491"/>
      <c r="CA1491"/>
      <c r="CB1491"/>
      <c r="CC1491"/>
      <c r="CD1491"/>
      <c r="CE1491"/>
      <c r="CF1491"/>
      <c r="CG1491"/>
      <c r="CH1491"/>
    </row>
    <row r="1492" spans="1:86" x14ac:dyDescent="0.2">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c r="AU1492"/>
      <c r="AV1492"/>
      <c r="AW1492"/>
      <c r="AX1492"/>
      <c r="AY1492"/>
      <c r="AZ1492"/>
      <c r="BA1492"/>
      <c r="BB1492"/>
      <c r="BC1492"/>
      <c r="BD1492"/>
      <c r="BE1492"/>
      <c r="BF1492"/>
      <c r="BG1492"/>
      <c r="BH1492"/>
      <c r="BI1492"/>
      <c r="BJ1492"/>
      <c r="BK1492"/>
      <c r="BL1492"/>
      <c r="BM1492"/>
      <c r="BN1492"/>
      <c r="BO1492"/>
      <c r="BP1492"/>
      <c r="BQ1492"/>
      <c r="BR1492"/>
      <c r="BS1492"/>
      <c r="BT1492"/>
      <c r="BU1492"/>
      <c r="BV1492"/>
      <c r="BW1492"/>
      <c r="BX1492"/>
      <c r="BY1492"/>
      <c r="BZ1492"/>
      <c r="CA1492"/>
      <c r="CB1492"/>
      <c r="CC1492"/>
      <c r="CD1492"/>
      <c r="CE1492"/>
      <c r="CF1492"/>
      <c r="CG1492"/>
      <c r="CH1492"/>
    </row>
    <row r="1493" spans="1:86" x14ac:dyDescent="0.2">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c r="AU1493"/>
      <c r="AV1493"/>
      <c r="AW1493"/>
      <c r="AX1493"/>
      <c r="AY1493"/>
      <c r="AZ1493"/>
      <c r="BA1493"/>
      <c r="BB1493"/>
      <c r="BC1493"/>
      <c r="BD1493"/>
      <c r="BE1493"/>
      <c r="BF1493"/>
      <c r="BG1493"/>
      <c r="BH1493"/>
      <c r="BI1493"/>
      <c r="BJ1493"/>
      <c r="BK1493"/>
      <c r="BL1493"/>
      <c r="BM1493"/>
      <c r="BN1493"/>
      <c r="BO1493"/>
      <c r="BP1493"/>
      <c r="BQ1493"/>
      <c r="BR1493"/>
      <c r="BS1493"/>
      <c r="BT1493"/>
      <c r="BU1493"/>
      <c r="BV1493"/>
      <c r="BW1493"/>
      <c r="BX1493"/>
      <c r="BY1493"/>
      <c r="BZ1493"/>
      <c r="CA1493"/>
      <c r="CB1493"/>
      <c r="CC1493"/>
      <c r="CD1493"/>
      <c r="CE1493"/>
      <c r="CF1493"/>
      <c r="CG1493"/>
      <c r="CH1493"/>
    </row>
    <row r="1494" spans="1:86" x14ac:dyDescent="0.2">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c r="AU1494"/>
      <c r="AV1494"/>
      <c r="AW1494"/>
      <c r="AX1494"/>
      <c r="AY1494"/>
      <c r="AZ1494"/>
      <c r="BA1494"/>
      <c r="BB1494"/>
      <c r="BC1494"/>
      <c r="BD1494"/>
      <c r="BE1494"/>
      <c r="BF1494"/>
      <c r="BG1494"/>
      <c r="BH1494"/>
      <c r="BI1494"/>
      <c r="BJ1494"/>
      <c r="BK1494"/>
      <c r="BL1494"/>
      <c r="BM1494"/>
      <c r="BN1494"/>
      <c r="BO1494"/>
      <c r="BP1494"/>
      <c r="BQ1494"/>
      <c r="BR1494"/>
      <c r="BS1494"/>
      <c r="BT1494"/>
      <c r="BU1494"/>
      <c r="BV1494"/>
      <c r="BW1494"/>
      <c r="BX1494"/>
      <c r="BY1494"/>
      <c r="BZ1494"/>
      <c r="CA1494"/>
      <c r="CB1494"/>
      <c r="CC1494"/>
      <c r="CD1494"/>
      <c r="CE1494"/>
      <c r="CF1494"/>
      <c r="CG1494"/>
      <c r="CH1494"/>
    </row>
    <row r="1495" spans="1:86" x14ac:dyDescent="0.2">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c r="AU1495"/>
      <c r="AV1495"/>
      <c r="AW1495"/>
      <c r="AX1495"/>
      <c r="AY1495"/>
      <c r="AZ1495"/>
      <c r="BA1495"/>
      <c r="BB1495"/>
      <c r="BC1495"/>
      <c r="BD1495"/>
      <c r="BE1495"/>
      <c r="BF1495"/>
      <c r="BG1495"/>
      <c r="BH1495"/>
      <c r="BI1495"/>
      <c r="BJ1495"/>
      <c r="BK1495"/>
      <c r="BL1495"/>
      <c r="BM1495"/>
      <c r="BN1495"/>
      <c r="BO1495"/>
      <c r="BP1495"/>
      <c r="BQ1495"/>
      <c r="BR1495"/>
      <c r="BS1495"/>
      <c r="BT1495"/>
      <c r="BU1495"/>
      <c r="BV1495"/>
      <c r="BW1495"/>
      <c r="BX1495"/>
      <c r="BY1495"/>
      <c r="BZ1495"/>
      <c r="CA1495"/>
      <c r="CB1495"/>
      <c r="CC1495"/>
      <c r="CD1495"/>
      <c r="CE1495"/>
      <c r="CF1495"/>
      <c r="CG1495"/>
      <c r="CH1495"/>
    </row>
    <row r="1496" spans="1:86" x14ac:dyDescent="0.2">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c r="AU1496"/>
      <c r="AV1496"/>
      <c r="AW1496"/>
      <c r="AX1496"/>
      <c r="AY1496"/>
      <c r="AZ1496"/>
      <c r="BA1496"/>
      <c r="BB1496"/>
      <c r="BC1496"/>
      <c r="BD1496"/>
      <c r="BE1496"/>
      <c r="BF1496"/>
      <c r="BG1496"/>
      <c r="BH1496"/>
      <c r="BI1496"/>
      <c r="BJ1496"/>
      <c r="BK1496"/>
      <c r="BL1496"/>
      <c r="BM1496"/>
      <c r="BN1496"/>
      <c r="BO1496"/>
      <c r="BP1496"/>
      <c r="BQ1496"/>
      <c r="BR1496"/>
      <c r="BS1496"/>
      <c r="BT1496"/>
      <c r="BU1496"/>
      <c r="BV1496"/>
      <c r="BW1496"/>
      <c r="BX1496"/>
      <c r="BY1496"/>
      <c r="BZ1496"/>
      <c r="CA1496"/>
      <c r="CB1496"/>
      <c r="CC1496"/>
      <c r="CD1496"/>
      <c r="CE1496"/>
      <c r="CF1496"/>
      <c r="CG1496"/>
      <c r="CH1496"/>
    </row>
    <row r="1497" spans="1:86" x14ac:dyDescent="0.2">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c r="AU1497"/>
      <c r="AV1497"/>
      <c r="AW1497"/>
      <c r="AX1497"/>
      <c r="AY1497"/>
      <c r="AZ1497"/>
      <c r="BA1497"/>
      <c r="BB1497"/>
      <c r="BC1497"/>
      <c r="BD1497"/>
      <c r="BE1497"/>
      <c r="BF1497"/>
      <c r="BG1497"/>
      <c r="BH1497"/>
      <c r="BI1497"/>
      <c r="BJ1497"/>
      <c r="BK1497"/>
      <c r="BL1497"/>
      <c r="BM1497"/>
      <c r="BN1497"/>
      <c r="BO1497"/>
      <c r="BP1497"/>
      <c r="BQ1497"/>
      <c r="BR1497"/>
      <c r="BS1497"/>
      <c r="BT1497"/>
      <c r="BU1497"/>
      <c r="BV1497"/>
      <c r="BW1497"/>
      <c r="BX1497"/>
      <c r="BY1497"/>
      <c r="BZ1497"/>
      <c r="CA1497"/>
      <c r="CB1497"/>
      <c r="CC1497"/>
      <c r="CD1497"/>
      <c r="CE1497"/>
      <c r="CF1497"/>
      <c r="CG1497"/>
      <c r="CH1497"/>
    </row>
    <row r="1498" spans="1:86" x14ac:dyDescent="0.2">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c r="AU1498"/>
      <c r="AV1498"/>
      <c r="AW1498"/>
      <c r="AX1498"/>
      <c r="AY1498"/>
      <c r="AZ1498"/>
      <c r="BA1498"/>
      <c r="BB1498"/>
      <c r="BC1498"/>
      <c r="BD1498"/>
      <c r="BE1498"/>
      <c r="BF1498"/>
      <c r="BG1498"/>
      <c r="BH1498"/>
      <c r="BI1498"/>
      <c r="BJ1498"/>
      <c r="BK1498"/>
      <c r="BL1498"/>
      <c r="BM1498"/>
      <c r="BN1498"/>
      <c r="BO1498"/>
      <c r="BP1498"/>
      <c r="BQ1498"/>
      <c r="BR1498"/>
      <c r="BS1498"/>
      <c r="BT1498"/>
      <c r="BU1498"/>
      <c r="BV1498"/>
      <c r="BW1498"/>
      <c r="BX1498"/>
      <c r="BY1498"/>
      <c r="BZ1498"/>
      <c r="CA1498"/>
      <c r="CB1498"/>
      <c r="CC1498"/>
      <c r="CD1498"/>
      <c r="CE1498"/>
      <c r="CF1498"/>
      <c r="CG1498"/>
      <c r="CH1498"/>
    </row>
    <row r="1499" spans="1:86" x14ac:dyDescent="0.2">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c r="AU1499"/>
      <c r="AV1499"/>
      <c r="AW1499"/>
      <c r="AX1499"/>
      <c r="AY1499"/>
      <c r="AZ1499"/>
      <c r="BA1499"/>
      <c r="BB1499"/>
      <c r="BC1499"/>
      <c r="BD1499"/>
      <c r="BE1499"/>
      <c r="BF1499"/>
      <c r="BG1499"/>
      <c r="BH1499"/>
      <c r="BI1499"/>
      <c r="BJ1499"/>
      <c r="BK1499"/>
      <c r="BL1499"/>
      <c r="BM1499"/>
      <c r="BN1499"/>
      <c r="BO1499"/>
      <c r="BP1499"/>
      <c r="BQ1499"/>
      <c r="BR1499"/>
      <c r="BS1499"/>
      <c r="BT1499"/>
      <c r="BU1499"/>
      <c r="BV1499"/>
      <c r="BW1499"/>
      <c r="BX1499"/>
      <c r="BY1499"/>
      <c r="BZ1499"/>
      <c r="CA1499"/>
      <c r="CB1499"/>
      <c r="CC1499"/>
      <c r="CD1499"/>
      <c r="CE1499"/>
      <c r="CF1499"/>
      <c r="CG1499"/>
      <c r="CH1499"/>
    </row>
    <row r="1500" spans="1:86" x14ac:dyDescent="0.2">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c r="AU1500"/>
      <c r="AV1500"/>
      <c r="AW1500"/>
      <c r="AX1500"/>
      <c r="AY1500"/>
      <c r="AZ1500"/>
      <c r="BA1500"/>
      <c r="BB1500"/>
      <c r="BC1500"/>
      <c r="BD1500"/>
      <c r="BE1500"/>
      <c r="BF1500"/>
      <c r="BG1500"/>
      <c r="BH1500"/>
      <c r="BI1500"/>
      <c r="BJ1500"/>
      <c r="BK1500"/>
      <c r="BL1500"/>
      <c r="BM1500"/>
      <c r="BN1500"/>
      <c r="BO1500"/>
      <c r="BP1500"/>
      <c r="BQ1500"/>
      <c r="BR1500"/>
      <c r="BS1500"/>
      <c r="BT1500"/>
      <c r="BU1500"/>
      <c r="BV1500"/>
      <c r="BW1500"/>
      <c r="BX1500"/>
      <c r="BY1500"/>
      <c r="BZ1500"/>
      <c r="CA1500"/>
      <c r="CB1500"/>
      <c r="CC1500"/>
      <c r="CD1500"/>
      <c r="CE1500"/>
      <c r="CF1500"/>
      <c r="CG1500"/>
      <c r="CH1500"/>
    </row>
    <row r="1501" spans="1:86" x14ac:dyDescent="0.2">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c r="AU1501"/>
      <c r="AV1501"/>
      <c r="AW1501"/>
      <c r="AX1501"/>
      <c r="AY1501"/>
      <c r="AZ1501"/>
      <c r="BA1501"/>
      <c r="BB1501"/>
      <c r="BC1501"/>
      <c r="BD1501"/>
      <c r="BE1501"/>
      <c r="BF1501"/>
      <c r="BG1501"/>
      <c r="BH1501"/>
      <c r="BI1501"/>
      <c r="BJ1501"/>
      <c r="BK1501"/>
      <c r="BL1501"/>
      <c r="BM1501"/>
      <c r="BN1501"/>
      <c r="BO1501"/>
      <c r="BP1501"/>
      <c r="BQ1501"/>
      <c r="BR1501"/>
      <c r="BS1501"/>
      <c r="BT1501"/>
      <c r="BU1501"/>
      <c r="BV1501"/>
      <c r="BW1501"/>
      <c r="BX1501"/>
      <c r="BY1501"/>
      <c r="BZ1501"/>
      <c r="CA1501"/>
      <c r="CB1501"/>
      <c r="CC1501"/>
      <c r="CD1501"/>
      <c r="CE1501"/>
      <c r="CF1501"/>
      <c r="CG1501"/>
      <c r="CH1501"/>
    </row>
    <row r="1502" spans="1:86" x14ac:dyDescent="0.2">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c r="AU1502"/>
      <c r="AV1502"/>
      <c r="AW1502"/>
      <c r="AX1502"/>
      <c r="AY1502"/>
      <c r="AZ1502"/>
      <c r="BA1502"/>
      <c r="BB1502"/>
      <c r="BC1502"/>
      <c r="BD1502"/>
      <c r="BE1502"/>
      <c r="BF1502"/>
      <c r="BG1502"/>
      <c r="BH1502"/>
      <c r="BI1502"/>
      <c r="BJ1502"/>
      <c r="BK1502"/>
      <c r="BL1502"/>
      <c r="BM1502"/>
      <c r="BN1502"/>
      <c r="BO1502"/>
      <c r="BP1502"/>
      <c r="BQ1502"/>
      <c r="BR1502"/>
      <c r="BS1502"/>
      <c r="BT1502"/>
      <c r="BU1502"/>
      <c r="BV1502"/>
      <c r="BW1502"/>
      <c r="BX1502"/>
      <c r="BY1502"/>
      <c r="BZ1502"/>
      <c r="CA1502"/>
      <c r="CB1502"/>
      <c r="CC1502"/>
      <c r="CD1502"/>
      <c r="CE1502"/>
      <c r="CF1502"/>
      <c r="CG1502"/>
      <c r="CH1502"/>
    </row>
    <row r="1503" spans="1:86" x14ac:dyDescent="0.2">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c r="AU1503"/>
      <c r="AV1503"/>
      <c r="AW1503"/>
      <c r="AX1503"/>
      <c r="AY1503"/>
      <c r="AZ1503"/>
      <c r="BA1503"/>
      <c r="BB1503"/>
      <c r="BC1503"/>
      <c r="BD1503"/>
      <c r="BE1503"/>
      <c r="BF1503"/>
      <c r="BG1503"/>
      <c r="BH1503"/>
      <c r="BI1503"/>
      <c r="BJ1503"/>
      <c r="BK1503"/>
      <c r="BL1503"/>
      <c r="BM1503"/>
      <c r="BN1503"/>
      <c r="BO1503"/>
      <c r="BP1503"/>
      <c r="BQ1503"/>
      <c r="BR1503"/>
      <c r="BS1503"/>
      <c r="BT1503"/>
      <c r="BU1503"/>
      <c r="BV1503"/>
      <c r="BW1503"/>
      <c r="BX1503"/>
      <c r="BY1503"/>
      <c r="BZ1503"/>
      <c r="CA1503"/>
      <c r="CB1503"/>
      <c r="CC1503"/>
      <c r="CD1503"/>
      <c r="CE1503"/>
      <c r="CF1503"/>
      <c r="CG1503"/>
      <c r="CH1503"/>
    </row>
    <row r="1504" spans="1:86" x14ac:dyDescent="0.2">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c r="AU1504"/>
      <c r="AV1504"/>
      <c r="AW1504"/>
      <c r="AX1504"/>
      <c r="AY1504"/>
      <c r="AZ1504"/>
      <c r="BA1504"/>
      <c r="BB1504"/>
      <c r="BC1504"/>
      <c r="BD1504"/>
      <c r="BE1504"/>
      <c r="BF1504"/>
      <c r="BG1504"/>
      <c r="BH1504"/>
      <c r="BI1504"/>
      <c r="BJ1504"/>
      <c r="BK1504"/>
      <c r="BL1504"/>
      <c r="BM1504"/>
      <c r="BN1504"/>
      <c r="BO1504"/>
      <c r="BP1504"/>
      <c r="BQ1504"/>
      <c r="BR1504"/>
      <c r="BS1504"/>
      <c r="BT1504"/>
      <c r="BU1504"/>
      <c r="BV1504"/>
      <c r="BW1504"/>
      <c r="BX1504"/>
      <c r="BY1504"/>
      <c r="BZ1504"/>
      <c r="CA1504"/>
      <c r="CB1504"/>
      <c r="CC1504"/>
      <c r="CD1504"/>
      <c r="CE1504"/>
      <c r="CF1504"/>
      <c r="CG1504"/>
      <c r="CH1504"/>
    </row>
    <row r="1505" spans="1:86" x14ac:dyDescent="0.2">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c r="AU1505"/>
      <c r="AV1505"/>
      <c r="AW1505"/>
      <c r="AX1505"/>
      <c r="AY1505"/>
      <c r="AZ1505"/>
      <c r="BA1505"/>
      <c r="BB1505"/>
      <c r="BC1505"/>
      <c r="BD1505"/>
      <c r="BE1505"/>
      <c r="BF1505"/>
      <c r="BG1505"/>
      <c r="BH1505"/>
      <c r="BI1505"/>
      <c r="BJ1505"/>
      <c r="BK1505"/>
      <c r="BL1505"/>
      <c r="BM1505"/>
      <c r="BN1505"/>
      <c r="BO1505"/>
      <c r="BP1505"/>
      <c r="BQ1505"/>
      <c r="BR1505"/>
      <c r="BS1505"/>
      <c r="BT1505"/>
      <c r="BU1505"/>
      <c r="BV1505"/>
      <c r="BW1505"/>
      <c r="BX1505"/>
      <c r="BY1505"/>
      <c r="BZ1505"/>
      <c r="CA1505"/>
      <c r="CB1505"/>
      <c r="CC1505"/>
      <c r="CD1505"/>
      <c r="CE1505"/>
      <c r="CF1505"/>
      <c r="CG1505"/>
      <c r="CH1505"/>
    </row>
    <row r="1506" spans="1:86" x14ac:dyDescent="0.2">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c r="AU1506"/>
      <c r="AV1506"/>
      <c r="AW1506"/>
      <c r="AX1506"/>
      <c r="AY1506"/>
      <c r="AZ1506"/>
      <c r="BA1506"/>
      <c r="BB1506"/>
      <c r="BC1506"/>
      <c r="BD1506"/>
      <c r="BE1506"/>
      <c r="BF1506"/>
      <c r="BG1506"/>
      <c r="BH1506"/>
      <c r="BI1506"/>
      <c r="BJ1506"/>
      <c r="BK1506"/>
      <c r="BL1506"/>
      <c r="BM1506"/>
      <c r="BN1506"/>
      <c r="BO1506"/>
      <c r="BP1506"/>
      <c r="BQ1506"/>
      <c r="BR1506"/>
      <c r="BS1506"/>
      <c r="BT1506"/>
      <c r="BU1506"/>
      <c r="BV1506"/>
      <c r="BW1506"/>
      <c r="BX1506"/>
      <c r="BY1506"/>
      <c r="BZ1506"/>
      <c r="CA1506"/>
      <c r="CB1506"/>
      <c r="CC1506"/>
      <c r="CD1506"/>
      <c r="CE1506"/>
      <c r="CF1506"/>
      <c r="CG1506"/>
      <c r="CH1506"/>
    </row>
    <row r="1507" spans="1:86" x14ac:dyDescent="0.2">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c r="AU1507"/>
      <c r="AV1507"/>
      <c r="AW1507"/>
      <c r="AX1507"/>
      <c r="AY1507"/>
      <c r="AZ1507"/>
      <c r="BA1507"/>
      <c r="BB1507"/>
      <c r="BC1507"/>
      <c r="BD1507"/>
      <c r="BE1507"/>
      <c r="BF1507"/>
      <c r="BG1507"/>
      <c r="BH1507"/>
      <c r="BI1507"/>
      <c r="BJ1507"/>
      <c r="BK1507"/>
      <c r="BL1507"/>
      <c r="BM1507"/>
      <c r="BN1507"/>
      <c r="BO1507"/>
      <c r="BP1507"/>
      <c r="BQ1507"/>
      <c r="BR1507"/>
      <c r="BS1507"/>
      <c r="BT1507"/>
      <c r="BU1507"/>
      <c r="BV1507"/>
      <c r="BW1507"/>
      <c r="BX1507"/>
      <c r="BY1507"/>
      <c r="BZ1507"/>
      <c r="CA1507"/>
      <c r="CB1507"/>
      <c r="CC1507"/>
      <c r="CD1507"/>
      <c r="CE1507"/>
      <c r="CF1507"/>
      <c r="CG1507"/>
      <c r="CH1507"/>
    </row>
    <row r="1508" spans="1:86" x14ac:dyDescent="0.2">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c r="AU1508"/>
      <c r="AV1508"/>
      <c r="AW1508"/>
      <c r="AX1508"/>
      <c r="AY1508"/>
      <c r="AZ1508"/>
      <c r="BA1508"/>
      <c r="BB1508"/>
      <c r="BC1508"/>
      <c r="BD1508"/>
      <c r="BE1508"/>
      <c r="BF1508"/>
      <c r="BG1508"/>
      <c r="BH1508"/>
      <c r="BI1508"/>
      <c r="BJ1508"/>
      <c r="BK1508"/>
      <c r="BL1508"/>
      <c r="BM1508"/>
      <c r="BN1508"/>
      <c r="BO1508"/>
      <c r="BP1508"/>
      <c r="BQ1508"/>
      <c r="BR1508"/>
      <c r="BS1508"/>
      <c r="BT1508"/>
      <c r="BU1508"/>
      <c r="BV1508"/>
      <c r="BW1508"/>
      <c r="BX1508"/>
      <c r="BY1508"/>
      <c r="BZ1508"/>
      <c r="CA1508"/>
      <c r="CB1508"/>
      <c r="CC1508"/>
      <c r="CD1508"/>
      <c r="CE1508"/>
      <c r="CF1508"/>
      <c r="CG1508"/>
      <c r="CH1508"/>
    </row>
    <row r="1509" spans="1:86" x14ac:dyDescent="0.2">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c r="AU1509"/>
      <c r="AV1509"/>
      <c r="AW1509"/>
      <c r="AX1509"/>
      <c r="AY1509"/>
      <c r="AZ1509"/>
      <c r="BA1509"/>
      <c r="BB1509"/>
      <c r="BC1509"/>
      <c r="BD1509"/>
      <c r="BE1509"/>
      <c r="BF1509"/>
      <c r="BG1509"/>
      <c r="BH1509"/>
      <c r="BI1509"/>
      <c r="BJ1509"/>
      <c r="BK1509"/>
      <c r="BL1509"/>
      <c r="BM1509"/>
      <c r="BN1509"/>
      <c r="BO1509"/>
      <c r="BP1509"/>
      <c r="BQ1509"/>
      <c r="BR1509"/>
      <c r="BS1509"/>
      <c r="BT1509"/>
      <c r="BU1509"/>
      <c r="BV1509"/>
      <c r="BW1509"/>
      <c r="BX1509"/>
      <c r="BY1509"/>
      <c r="BZ1509"/>
      <c r="CA1509"/>
      <c r="CB1509"/>
      <c r="CC1509"/>
      <c r="CD1509"/>
      <c r="CE1509"/>
      <c r="CF1509"/>
      <c r="CG1509"/>
      <c r="CH1509"/>
    </row>
    <row r="1510" spans="1:86" x14ac:dyDescent="0.2">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c r="AU1510"/>
      <c r="AV1510"/>
      <c r="AW1510"/>
      <c r="AX1510"/>
      <c r="AY1510"/>
      <c r="AZ1510"/>
      <c r="BA1510"/>
      <c r="BB1510"/>
      <c r="BC1510"/>
      <c r="BD1510"/>
      <c r="BE1510"/>
      <c r="BF1510"/>
      <c r="BG1510"/>
      <c r="BH1510"/>
      <c r="BI1510"/>
      <c r="BJ1510"/>
      <c r="BK1510"/>
      <c r="BL1510"/>
      <c r="BM1510"/>
      <c r="BN1510"/>
      <c r="BO1510"/>
      <c r="BP1510"/>
      <c r="BQ1510"/>
      <c r="BR1510"/>
      <c r="BS1510"/>
      <c r="BT1510"/>
      <c r="BU1510"/>
      <c r="BV1510"/>
      <c r="BW1510"/>
      <c r="BX1510"/>
      <c r="BY1510"/>
      <c r="BZ1510"/>
      <c r="CA1510"/>
      <c r="CB1510"/>
      <c r="CC1510"/>
      <c r="CD1510"/>
      <c r="CE1510"/>
      <c r="CF1510"/>
      <c r="CG1510"/>
      <c r="CH1510"/>
    </row>
    <row r="1511" spans="1:86" x14ac:dyDescent="0.2">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c r="AU1511"/>
      <c r="AV1511"/>
      <c r="AW1511"/>
      <c r="AX1511"/>
      <c r="AY1511"/>
      <c r="AZ1511"/>
      <c r="BA1511"/>
      <c r="BB1511"/>
      <c r="BC1511"/>
      <c r="BD1511"/>
      <c r="BE1511"/>
      <c r="BF1511"/>
      <c r="BG1511"/>
      <c r="BH1511"/>
      <c r="BI1511"/>
      <c r="BJ1511"/>
      <c r="BK1511"/>
      <c r="BL1511"/>
      <c r="BM1511"/>
      <c r="BN1511"/>
      <c r="BO1511"/>
      <c r="BP1511"/>
      <c r="BQ1511"/>
      <c r="BR1511"/>
      <c r="BS1511"/>
      <c r="BT1511"/>
      <c r="BU1511"/>
      <c r="BV1511"/>
      <c r="BW1511"/>
      <c r="BX1511"/>
      <c r="BY1511"/>
      <c r="BZ1511"/>
      <c r="CA1511"/>
      <c r="CB1511"/>
      <c r="CC1511"/>
      <c r="CD1511"/>
      <c r="CE1511"/>
      <c r="CF1511"/>
      <c r="CG1511"/>
      <c r="CH1511"/>
    </row>
    <row r="1512" spans="1:86" x14ac:dyDescent="0.2">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c r="AU1512"/>
      <c r="AV1512"/>
      <c r="AW1512"/>
      <c r="AX1512"/>
      <c r="AY1512"/>
      <c r="AZ1512"/>
      <c r="BA1512"/>
      <c r="BB1512"/>
      <c r="BC1512"/>
      <c r="BD1512"/>
      <c r="BE1512"/>
      <c r="BF1512"/>
      <c r="BG1512"/>
      <c r="BH1512"/>
      <c r="BI1512"/>
      <c r="BJ1512"/>
      <c r="BK1512"/>
      <c r="BL1512"/>
      <c r="BM1512"/>
      <c r="BN1512"/>
      <c r="BO1512"/>
      <c r="BP1512"/>
      <c r="BQ1512"/>
      <c r="BR1512"/>
      <c r="BS1512"/>
      <c r="BT1512"/>
      <c r="BU1512"/>
      <c r="BV1512"/>
      <c r="BW1512"/>
      <c r="BX1512"/>
      <c r="BY1512"/>
      <c r="BZ1512"/>
      <c r="CA1512"/>
      <c r="CB1512"/>
      <c r="CC1512"/>
      <c r="CD1512"/>
      <c r="CE1512"/>
      <c r="CF1512"/>
      <c r="CG1512"/>
      <c r="CH1512"/>
    </row>
    <row r="1513" spans="1:86" x14ac:dyDescent="0.2">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c r="AU1513"/>
      <c r="AV1513"/>
      <c r="AW1513"/>
      <c r="AX1513"/>
      <c r="AY1513"/>
      <c r="AZ1513"/>
      <c r="BA1513"/>
      <c r="BB1513"/>
      <c r="BC1513"/>
      <c r="BD1513"/>
      <c r="BE1513"/>
      <c r="BF1513"/>
      <c r="BG1513"/>
      <c r="BH1513"/>
      <c r="BI1513"/>
      <c r="BJ1513"/>
      <c r="BK1513"/>
      <c r="BL1513"/>
      <c r="BM1513"/>
      <c r="BN1513"/>
      <c r="BO1513"/>
      <c r="BP1513"/>
      <c r="BQ1513"/>
      <c r="BR1513"/>
      <c r="BS1513"/>
      <c r="BT1513"/>
      <c r="BU1513"/>
      <c r="BV1513"/>
      <c r="BW1513"/>
      <c r="BX1513"/>
      <c r="BY1513"/>
      <c r="BZ1513"/>
      <c r="CA1513"/>
      <c r="CB1513"/>
      <c r="CC1513"/>
      <c r="CD1513"/>
      <c r="CE1513"/>
      <c r="CF1513"/>
      <c r="CG1513"/>
      <c r="CH1513"/>
    </row>
    <row r="1514" spans="1:86" x14ac:dyDescent="0.2">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c r="AU1514"/>
      <c r="AV1514"/>
      <c r="AW1514"/>
      <c r="AX1514"/>
      <c r="AY1514"/>
      <c r="AZ1514"/>
      <c r="BA1514"/>
      <c r="BB1514"/>
      <c r="BC1514"/>
      <c r="BD1514"/>
      <c r="BE1514"/>
      <c r="BF1514"/>
      <c r="BG1514"/>
      <c r="BH1514"/>
      <c r="BI1514"/>
      <c r="BJ1514"/>
      <c r="BK1514"/>
      <c r="BL1514"/>
      <c r="BM1514"/>
      <c r="BN1514"/>
      <c r="BO1514"/>
      <c r="BP1514"/>
      <c r="BQ1514"/>
      <c r="BR1514"/>
      <c r="BS1514"/>
      <c r="BT1514"/>
      <c r="BU1514"/>
      <c r="BV1514"/>
      <c r="BW1514"/>
      <c r="BX1514"/>
      <c r="BY1514"/>
      <c r="BZ1514"/>
      <c r="CA1514"/>
      <c r="CB1514"/>
      <c r="CC1514"/>
      <c r="CD1514"/>
      <c r="CE1514"/>
      <c r="CF1514"/>
      <c r="CG1514"/>
      <c r="CH1514"/>
    </row>
    <row r="1515" spans="1:86" x14ac:dyDescent="0.2">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c r="AU1515"/>
      <c r="AV1515"/>
      <c r="AW1515"/>
      <c r="AX1515"/>
      <c r="AY1515"/>
      <c r="AZ1515"/>
      <c r="BA1515"/>
      <c r="BB1515"/>
      <c r="BC1515"/>
      <c r="BD1515"/>
      <c r="BE1515"/>
      <c r="BF1515"/>
      <c r="BG1515"/>
      <c r="BH1515"/>
      <c r="BI1515"/>
      <c r="BJ1515"/>
      <c r="BK1515"/>
      <c r="BL1515"/>
      <c r="BM1515"/>
      <c r="BN1515"/>
      <c r="BO1515"/>
      <c r="BP1515"/>
      <c r="BQ1515"/>
      <c r="BR1515"/>
      <c r="BS1515"/>
      <c r="BT1515"/>
      <c r="BU1515"/>
      <c r="BV1515"/>
      <c r="BW1515"/>
      <c r="BX1515"/>
      <c r="BY1515"/>
      <c r="BZ1515"/>
      <c r="CA1515"/>
      <c r="CB1515"/>
      <c r="CC1515"/>
      <c r="CD1515"/>
      <c r="CE1515"/>
      <c r="CF1515"/>
      <c r="CG1515"/>
      <c r="CH1515"/>
    </row>
    <row r="1516" spans="1:86" x14ac:dyDescent="0.2">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c r="AU1516"/>
      <c r="AV1516"/>
      <c r="AW1516"/>
      <c r="AX1516"/>
      <c r="AY1516"/>
      <c r="AZ1516"/>
      <c r="BA1516"/>
      <c r="BB1516"/>
      <c r="BC1516"/>
      <c r="BD1516"/>
      <c r="BE1516"/>
      <c r="BF1516"/>
      <c r="BG1516"/>
      <c r="BH1516"/>
      <c r="BI1516"/>
      <c r="BJ1516"/>
      <c r="BK1516"/>
      <c r="BL1516"/>
      <c r="BM1516"/>
      <c r="BN1516"/>
      <c r="BO1516"/>
      <c r="BP1516"/>
      <c r="BQ1516"/>
      <c r="BR1516"/>
      <c r="BS1516"/>
      <c r="BT1516"/>
      <c r="BU1516"/>
      <c r="BV1516"/>
      <c r="BW1516"/>
      <c r="BX1516"/>
      <c r="BY1516"/>
      <c r="BZ1516"/>
      <c r="CA1516"/>
      <c r="CB1516"/>
      <c r="CC1516"/>
      <c r="CD1516"/>
      <c r="CE1516"/>
      <c r="CF1516"/>
      <c r="CG1516"/>
      <c r="CH1516"/>
    </row>
    <row r="1517" spans="1:86" x14ac:dyDescent="0.2">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c r="AU1517"/>
      <c r="AV1517"/>
      <c r="AW1517"/>
      <c r="AX1517"/>
      <c r="AY1517"/>
      <c r="AZ1517"/>
      <c r="BA1517"/>
      <c r="BB1517"/>
      <c r="BC1517"/>
      <c r="BD1517"/>
      <c r="BE1517"/>
      <c r="BF1517"/>
      <c r="BG1517"/>
      <c r="BH1517"/>
      <c r="BI1517"/>
      <c r="BJ1517"/>
      <c r="BK1517"/>
      <c r="BL1517"/>
      <c r="BM1517"/>
      <c r="BN1517"/>
      <c r="BO1517"/>
      <c r="BP1517"/>
      <c r="BQ1517"/>
      <c r="BR1517"/>
      <c r="BS1517"/>
      <c r="BT1517"/>
      <c r="BU1517"/>
      <c r="BV1517"/>
      <c r="BW1517"/>
      <c r="BX1517"/>
      <c r="BY1517"/>
      <c r="BZ1517"/>
      <c r="CA1517"/>
      <c r="CB1517"/>
      <c r="CC1517"/>
      <c r="CD1517"/>
      <c r="CE1517"/>
      <c r="CF1517"/>
      <c r="CG1517"/>
      <c r="CH1517"/>
    </row>
    <row r="1518" spans="1:86" x14ac:dyDescent="0.2">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c r="AU1518"/>
      <c r="AV1518"/>
      <c r="AW1518"/>
      <c r="AX1518"/>
      <c r="AY1518"/>
      <c r="AZ1518"/>
      <c r="BA1518"/>
      <c r="BB1518"/>
      <c r="BC1518"/>
      <c r="BD1518"/>
      <c r="BE1518"/>
      <c r="BF1518"/>
      <c r="BG1518"/>
      <c r="BH1518"/>
      <c r="BI1518"/>
      <c r="BJ1518"/>
      <c r="BK1518"/>
      <c r="BL1518"/>
      <c r="BM1518"/>
      <c r="BN1518"/>
      <c r="BO1518"/>
      <c r="BP1518"/>
      <c r="BQ1518"/>
      <c r="BR1518"/>
      <c r="BS1518"/>
      <c r="BT1518"/>
      <c r="BU1518"/>
      <c r="BV1518"/>
      <c r="BW1518"/>
      <c r="BX1518"/>
      <c r="BY1518"/>
      <c r="BZ1518"/>
      <c r="CA1518"/>
      <c r="CB1518"/>
      <c r="CC1518"/>
      <c r="CD1518"/>
      <c r="CE1518"/>
      <c r="CF1518"/>
      <c r="CG1518"/>
      <c r="CH1518"/>
    </row>
    <row r="1519" spans="1:86" x14ac:dyDescent="0.2">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c r="AU1519"/>
      <c r="AV1519"/>
      <c r="AW1519"/>
      <c r="AX1519"/>
      <c r="AY1519"/>
      <c r="AZ1519"/>
      <c r="BA1519"/>
      <c r="BB1519"/>
      <c r="BC1519"/>
      <c r="BD1519"/>
      <c r="BE1519"/>
      <c r="BF1519"/>
      <c r="BG1519"/>
      <c r="BH1519"/>
      <c r="BI1519"/>
      <c r="BJ1519"/>
      <c r="BK1519"/>
      <c r="BL1519"/>
      <c r="BM1519"/>
      <c r="BN1519"/>
      <c r="BO1519"/>
      <c r="BP1519"/>
      <c r="BQ1519"/>
      <c r="BR1519"/>
      <c r="BS1519"/>
      <c r="BT1519"/>
      <c r="BU1519"/>
      <c r="BV1519"/>
      <c r="BW1519"/>
      <c r="BX1519"/>
      <c r="BY1519"/>
      <c r="BZ1519"/>
      <c r="CA1519"/>
      <c r="CB1519"/>
      <c r="CC1519"/>
      <c r="CD1519"/>
      <c r="CE1519"/>
      <c r="CF1519"/>
      <c r="CG1519"/>
      <c r="CH1519"/>
    </row>
    <row r="1520" spans="1:86" x14ac:dyDescent="0.2">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c r="AU1520"/>
      <c r="AV1520"/>
      <c r="AW1520"/>
      <c r="AX1520"/>
      <c r="AY1520"/>
      <c r="AZ1520"/>
      <c r="BA1520"/>
      <c r="BB1520"/>
      <c r="BC1520"/>
      <c r="BD1520"/>
      <c r="BE1520"/>
      <c r="BF1520"/>
      <c r="BG1520"/>
      <c r="BH1520"/>
      <c r="BI1520"/>
      <c r="BJ1520"/>
      <c r="BK1520"/>
      <c r="BL1520"/>
      <c r="BM1520"/>
      <c r="BN1520"/>
      <c r="BO1520"/>
      <c r="BP1520"/>
      <c r="BQ1520"/>
      <c r="BR1520"/>
      <c r="BS1520"/>
      <c r="BT1520"/>
      <c r="BU1520"/>
      <c r="BV1520"/>
      <c r="BW1520"/>
      <c r="BX1520"/>
      <c r="BY1520"/>
      <c r="BZ1520"/>
      <c r="CA1520"/>
      <c r="CB1520"/>
      <c r="CC1520"/>
      <c r="CD1520"/>
      <c r="CE1520"/>
      <c r="CF1520"/>
      <c r="CG1520"/>
      <c r="CH1520"/>
    </row>
    <row r="1521" spans="1:86" x14ac:dyDescent="0.2">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c r="AU1521"/>
      <c r="AV1521"/>
      <c r="AW1521"/>
      <c r="AX1521"/>
      <c r="AY1521"/>
      <c r="AZ1521"/>
      <c r="BA1521"/>
      <c r="BB1521"/>
      <c r="BC1521"/>
      <c r="BD1521"/>
      <c r="BE1521"/>
      <c r="BF1521"/>
      <c r="BG1521"/>
      <c r="BH1521"/>
      <c r="BI1521"/>
      <c r="BJ1521"/>
      <c r="BK1521"/>
      <c r="BL1521"/>
      <c r="BM1521"/>
      <c r="BN1521"/>
      <c r="BO1521"/>
      <c r="BP1521"/>
      <c r="BQ1521"/>
      <c r="BR1521"/>
      <c r="BS1521"/>
      <c r="BT1521"/>
      <c r="BU1521"/>
      <c r="BV1521"/>
      <c r="BW1521"/>
      <c r="BX1521"/>
      <c r="BY1521"/>
      <c r="BZ1521"/>
      <c r="CA1521"/>
      <c r="CB1521"/>
      <c r="CC1521"/>
      <c r="CD1521"/>
      <c r="CE1521"/>
      <c r="CF1521"/>
      <c r="CG1521"/>
      <c r="CH1521"/>
    </row>
    <row r="1522" spans="1:86" x14ac:dyDescent="0.2">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c r="AU1522"/>
      <c r="AV1522"/>
      <c r="AW1522"/>
      <c r="AX1522"/>
      <c r="AY1522"/>
      <c r="AZ1522"/>
      <c r="BA1522"/>
      <c r="BB1522"/>
      <c r="BC1522"/>
      <c r="BD1522"/>
      <c r="BE1522"/>
      <c r="BF1522"/>
      <c r="BG1522"/>
      <c r="BH1522"/>
      <c r="BI1522"/>
      <c r="BJ1522"/>
      <c r="BK1522"/>
      <c r="BL1522"/>
      <c r="BM1522"/>
      <c r="BN1522"/>
      <c r="BO1522"/>
      <c r="BP1522"/>
      <c r="BQ1522"/>
      <c r="BR1522"/>
      <c r="BS1522"/>
      <c r="BT1522"/>
      <c r="BU1522"/>
      <c r="BV1522"/>
      <c r="BW1522"/>
      <c r="BX1522"/>
      <c r="BY1522"/>
      <c r="BZ1522"/>
      <c r="CA1522"/>
      <c r="CB1522"/>
      <c r="CC1522"/>
      <c r="CD1522"/>
      <c r="CE1522"/>
      <c r="CF1522"/>
      <c r="CG1522"/>
      <c r="CH1522"/>
    </row>
    <row r="1523" spans="1:86" x14ac:dyDescent="0.2">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c r="AU1523"/>
      <c r="AV1523"/>
      <c r="AW1523"/>
      <c r="AX1523"/>
      <c r="AY1523"/>
      <c r="AZ1523"/>
      <c r="BA1523"/>
      <c r="BB1523"/>
      <c r="BC1523"/>
      <c r="BD1523"/>
      <c r="BE1523"/>
      <c r="BF1523"/>
      <c r="BG1523"/>
      <c r="BH1523"/>
      <c r="BI1523"/>
      <c r="BJ1523"/>
      <c r="BK1523"/>
      <c r="BL1523"/>
      <c r="BM1523"/>
      <c r="BN1523"/>
      <c r="BO1523"/>
      <c r="BP1523"/>
      <c r="BQ1523"/>
      <c r="BR1523"/>
      <c r="BS1523"/>
      <c r="BT1523"/>
      <c r="BU1523"/>
      <c r="BV1523"/>
      <c r="BW1523"/>
      <c r="BX1523"/>
      <c r="BY1523"/>
      <c r="BZ1523"/>
      <c r="CA1523"/>
      <c r="CB1523"/>
      <c r="CC1523"/>
      <c r="CD1523"/>
      <c r="CE1523"/>
      <c r="CF1523"/>
      <c r="CG1523"/>
      <c r="CH1523"/>
    </row>
    <row r="1524" spans="1:86" x14ac:dyDescent="0.2">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c r="AU1524"/>
      <c r="AV1524"/>
      <c r="AW1524"/>
      <c r="AX1524"/>
      <c r="AY1524"/>
      <c r="AZ1524"/>
      <c r="BA1524"/>
      <c r="BB1524"/>
      <c r="BC1524"/>
      <c r="BD1524"/>
      <c r="BE1524"/>
      <c r="BF1524"/>
      <c r="BG1524"/>
      <c r="BH1524"/>
      <c r="BI1524"/>
      <c r="BJ1524"/>
      <c r="BK1524"/>
      <c r="BL1524"/>
      <c r="BM1524"/>
      <c r="BN1524"/>
      <c r="BO1524"/>
      <c r="BP1524"/>
      <c r="BQ1524"/>
      <c r="BR1524"/>
      <c r="BS1524"/>
      <c r="BT1524"/>
      <c r="BU1524"/>
      <c r="BV1524"/>
      <c r="BW1524"/>
      <c r="BX1524"/>
      <c r="BY1524"/>
      <c r="BZ1524"/>
      <c r="CA1524"/>
      <c r="CB1524"/>
      <c r="CC1524"/>
      <c r="CD1524"/>
      <c r="CE1524"/>
      <c r="CF1524"/>
      <c r="CG1524"/>
      <c r="CH1524"/>
    </row>
    <row r="1525" spans="1:86" x14ac:dyDescent="0.2">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c r="AU1525"/>
      <c r="AV1525"/>
      <c r="AW1525"/>
      <c r="AX1525"/>
      <c r="AY1525"/>
      <c r="AZ1525"/>
      <c r="BA1525"/>
      <c r="BB1525"/>
      <c r="BC1525"/>
      <c r="BD1525"/>
      <c r="BE1525"/>
      <c r="BF1525"/>
      <c r="BG1525"/>
      <c r="BH1525"/>
      <c r="BI1525"/>
      <c r="BJ1525"/>
      <c r="BK1525"/>
      <c r="BL1525"/>
      <c r="BM1525"/>
      <c r="BN1525"/>
      <c r="BO1525"/>
      <c r="BP1525"/>
      <c r="BQ1525"/>
      <c r="BR1525"/>
      <c r="BS1525"/>
      <c r="BT1525"/>
      <c r="BU1525"/>
      <c r="BV1525"/>
      <c r="BW1525"/>
      <c r="BX1525"/>
      <c r="BY1525"/>
      <c r="BZ1525"/>
      <c r="CA1525"/>
      <c r="CB1525"/>
      <c r="CC1525"/>
      <c r="CD1525"/>
      <c r="CE1525"/>
      <c r="CF1525"/>
      <c r="CG1525"/>
      <c r="CH1525"/>
    </row>
    <row r="1526" spans="1:86" x14ac:dyDescent="0.2">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c r="AU1526"/>
      <c r="AV1526"/>
      <c r="AW1526"/>
      <c r="AX1526"/>
      <c r="AY1526"/>
      <c r="AZ1526"/>
      <c r="BA1526"/>
      <c r="BB1526"/>
      <c r="BC1526"/>
      <c r="BD1526"/>
      <c r="BE1526"/>
      <c r="BF1526"/>
      <c r="BG1526"/>
      <c r="BH1526"/>
      <c r="BI1526"/>
      <c r="BJ1526"/>
      <c r="BK1526"/>
      <c r="BL1526"/>
      <c r="BM1526"/>
      <c r="BN1526"/>
      <c r="BO1526"/>
      <c r="BP1526"/>
      <c r="BQ1526"/>
      <c r="BR1526"/>
      <c r="BS1526"/>
      <c r="BT1526"/>
      <c r="BU1526"/>
      <c r="BV1526"/>
      <c r="BW1526"/>
      <c r="BX1526"/>
      <c r="BY1526"/>
      <c r="BZ1526"/>
      <c r="CA1526"/>
      <c r="CB1526"/>
      <c r="CC1526"/>
      <c r="CD1526"/>
      <c r="CE1526"/>
      <c r="CF1526"/>
      <c r="CG1526"/>
      <c r="CH1526"/>
    </row>
    <row r="1527" spans="1:86" x14ac:dyDescent="0.2">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c r="AU1527"/>
      <c r="AV1527"/>
      <c r="AW1527"/>
      <c r="AX1527"/>
      <c r="AY1527"/>
      <c r="AZ1527"/>
      <c r="BA1527"/>
      <c r="BB1527"/>
      <c r="BC1527"/>
      <c r="BD1527"/>
      <c r="BE1527"/>
      <c r="BF1527"/>
      <c r="BG1527"/>
      <c r="BH1527"/>
      <c r="BI1527"/>
      <c r="BJ1527"/>
      <c r="BK1527"/>
      <c r="BL1527"/>
      <c r="BM1527"/>
      <c r="BN1527"/>
      <c r="BO1527"/>
      <c r="BP1527"/>
      <c r="BQ1527"/>
      <c r="BR1527"/>
      <c r="BS1527"/>
      <c r="BT1527"/>
      <c r="BU1527"/>
      <c r="BV1527"/>
      <c r="BW1527"/>
      <c r="BX1527"/>
      <c r="BY1527"/>
      <c r="BZ1527"/>
      <c r="CA1527"/>
      <c r="CB1527"/>
      <c r="CC1527"/>
      <c r="CD1527"/>
      <c r="CE1527"/>
      <c r="CF1527"/>
      <c r="CG1527"/>
      <c r="CH1527"/>
    </row>
    <row r="1528" spans="1:86" x14ac:dyDescent="0.2">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c r="AU1528"/>
      <c r="AV1528"/>
      <c r="AW1528"/>
      <c r="AX1528"/>
      <c r="AY1528"/>
      <c r="AZ1528"/>
      <c r="BA1528"/>
      <c r="BB1528"/>
      <c r="BC1528"/>
      <c r="BD1528"/>
      <c r="BE1528"/>
      <c r="BF1528"/>
      <c r="BG1528"/>
      <c r="BH1528"/>
      <c r="BI1528"/>
      <c r="BJ1528"/>
      <c r="BK1528"/>
      <c r="BL1528"/>
      <c r="BM1528"/>
      <c r="BN1528"/>
      <c r="BO1528"/>
      <c r="BP1528"/>
      <c r="BQ1528"/>
      <c r="BR1528"/>
      <c r="BS1528"/>
      <c r="BT1528"/>
      <c r="BU1528"/>
      <c r="BV1528"/>
      <c r="BW1528"/>
      <c r="BX1528"/>
      <c r="BY1528"/>
      <c r="BZ1528"/>
      <c r="CA1528"/>
      <c r="CB1528"/>
      <c r="CC1528"/>
      <c r="CD1528"/>
      <c r="CE1528"/>
      <c r="CF1528"/>
      <c r="CG1528"/>
      <c r="CH1528"/>
    </row>
    <row r="1529" spans="1:86" x14ac:dyDescent="0.2">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c r="AU1529"/>
      <c r="AV1529"/>
      <c r="AW1529"/>
      <c r="AX1529"/>
      <c r="AY1529"/>
      <c r="AZ1529"/>
      <c r="BA1529"/>
      <c r="BB1529"/>
      <c r="BC1529"/>
      <c r="BD1529"/>
      <c r="BE1529"/>
      <c r="BF1529"/>
      <c r="BG1529"/>
      <c r="BH1529"/>
      <c r="BI1529"/>
      <c r="BJ1529"/>
      <c r="BK1529"/>
      <c r="BL1529"/>
      <c r="BM1529"/>
      <c r="BN1529"/>
      <c r="BO1529"/>
      <c r="BP1529"/>
      <c r="BQ1529"/>
      <c r="BR1529"/>
      <c r="BS1529"/>
      <c r="BT1529"/>
      <c r="BU1529"/>
      <c r="BV1529"/>
      <c r="BW1529"/>
      <c r="BX1529"/>
      <c r="BY1529"/>
      <c r="BZ1529"/>
      <c r="CA1529"/>
      <c r="CB1529"/>
      <c r="CC1529"/>
      <c r="CD1529"/>
      <c r="CE1529"/>
      <c r="CF1529"/>
      <c r="CG1529"/>
      <c r="CH1529"/>
    </row>
    <row r="1530" spans="1:86" x14ac:dyDescent="0.2">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c r="AU1530"/>
      <c r="AV1530"/>
      <c r="AW1530"/>
      <c r="AX1530"/>
      <c r="AY1530"/>
      <c r="AZ1530"/>
      <c r="BA1530"/>
      <c r="BB1530"/>
      <c r="BC1530"/>
      <c r="BD1530"/>
      <c r="BE1530"/>
      <c r="BF1530"/>
      <c r="BG1530"/>
      <c r="BH1530"/>
      <c r="BI1530"/>
      <c r="BJ1530"/>
      <c r="BK1530"/>
      <c r="BL1530"/>
      <c r="BM1530"/>
      <c r="BN1530"/>
      <c r="BO1530"/>
      <c r="BP1530"/>
      <c r="BQ1530"/>
      <c r="BR1530"/>
      <c r="BS1530"/>
      <c r="BT1530"/>
      <c r="BU1530"/>
      <c r="BV1530"/>
      <c r="BW1530"/>
      <c r="BX1530"/>
      <c r="BY1530"/>
      <c r="BZ1530"/>
      <c r="CA1530"/>
      <c r="CB1530"/>
      <c r="CC1530"/>
      <c r="CD1530"/>
      <c r="CE1530"/>
      <c r="CF1530"/>
      <c r="CG1530"/>
      <c r="CH1530"/>
    </row>
    <row r="1531" spans="1:86" x14ac:dyDescent="0.2">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c r="AU1531"/>
      <c r="AV1531"/>
      <c r="AW1531"/>
      <c r="AX1531"/>
      <c r="AY1531"/>
      <c r="AZ1531"/>
      <c r="BA1531"/>
      <c r="BB1531"/>
      <c r="BC1531"/>
      <c r="BD1531"/>
      <c r="BE1531"/>
      <c r="BF1531"/>
      <c r="BG1531"/>
      <c r="BH1531"/>
      <c r="BI1531"/>
      <c r="BJ1531"/>
      <c r="BK1531"/>
      <c r="BL1531"/>
      <c r="BM1531"/>
      <c r="BN1531"/>
      <c r="BO1531"/>
      <c r="BP1531"/>
      <c r="BQ1531"/>
      <c r="BR1531"/>
      <c r="BS1531"/>
      <c r="BT1531"/>
      <c r="BU1531"/>
      <c r="BV1531"/>
      <c r="BW1531"/>
      <c r="BX1531"/>
      <c r="BY1531"/>
      <c r="BZ1531"/>
      <c r="CA1531"/>
      <c r="CB1531"/>
      <c r="CC1531"/>
      <c r="CD1531"/>
      <c r="CE1531"/>
      <c r="CF1531"/>
      <c r="CG1531"/>
      <c r="CH1531"/>
    </row>
    <row r="1532" spans="1:86" x14ac:dyDescent="0.2">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c r="AU1532"/>
      <c r="AV1532"/>
      <c r="AW1532"/>
      <c r="AX1532"/>
      <c r="AY1532"/>
      <c r="AZ1532"/>
      <c r="BA1532"/>
      <c r="BB1532"/>
      <c r="BC1532"/>
      <c r="BD1532"/>
      <c r="BE1532"/>
      <c r="BF1532"/>
      <c r="BG1532"/>
      <c r="BH1532"/>
      <c r="BI1532"/>
      <c r="BJ1532"/>
      <c r="BK1532"/>
      <c r="BL1532"/>
      <c r="BM1532"/>
      <c r="BN1532"/>
      <c r="BO1532"/>
      <c r="BP1532"/>
      <c r="BQ1532"/>
      <c r="BR1532"/>
      <c r="BS1532"/>
      <c r="BT1532"/>
      <c r="BU1532"/>
      <c r="BV1532"/>
      <c r="BW1532"/>
      <c r="BX1532"/>
      <c r="BY1532"/>
      <c r="BZ1532"/>
      <c r="CA1532"/>
      <c r="CB1532"/>
      <c r="CC1532"/>
      <c r="CD1532"/>
      <c r="CE1532"/>
      <c r="CF1532"/>
      <c r="CG1532"/>
      <c r="CH1532"/>
    </row>
    <row r="1533" spans="1:86" x14ac:dyDescent="0.2">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c r="AU1533"/>
      <c r="AV1533"/>
      <c r="AW1533"/>
      <c r="AX1533"/>
      <c r="AY1533"/>
      <c r="AZ1533"/>
      <c r="BA1533"/>
      <c r="BB1533"/>
      <c r="BC1533"/>
      <c r="BD1533"/>
      <c r="BE1533"/>
      <c r="BF1533"/>
      <c r="BG1533"/>
      <c r="BH1533"/>
      <c r="BI1533"/>
      <c r="BJ1533"/>
      <c r="BK1533"/>
      <c r="BL1533"/>
      <c r="BM1533"/>
      <c r="BN1533"/>
      <c r="BO1533"/>
      <c r="BP1533"/>
      <c r="BQ1533"/>
      <c r="BR1533"/>
      <c r="BS1533"/>
      <c r="BT1533"/>
      <c r="BU1533"/>
      <c r="BV1533"/>
      <c r="BW1533"/>
      <c r="BX1533"/>
      <c r="BY1533"/>
      <c r="BZ1533"/>
      <c r="CA1533"/>
      <c r="CB1533"/>
      <c r="CC1533"/>
      <c r="CD1533"/>
      <c r="CE1533"/>
      <c r="CF1533"/>
      <c r="CG1533"/>
      <c r="CH1533"/>
    </row>
    <row r="1534" spans="1:86" x14ac:dyDescent="0.2">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c r="AU1534"/>
      <c r="AV1534"/>
      <c r="AW1534"/>
      <c r="AX1534"/>
      <c r="AY1534"/>
      <c r="AZ1534"/>
      <c r="BA1534"/>
      <c r="BB1534"/>
      <c r="BC1534"/>
      <c r="BD1534"/>
      <c r="BE1534"/>
      <c r="BF1534"/>
      <c r="BG1534"/>
      <c r="BH1534"/>
      <c r="BI1534"/>
      <c r="BJ1534"/>
      <c r="BK1534"/>
      <c r="BL1534"/>
      <c r="BM1534"/>
      <c r="BN1534"/>
      <c r="BO1534"/>
      <c r="BP1534"/>
      <c r="BQ1534"/>
      <c r="BR1534"/>
      <c r="BS1534"/>
      <c r="BT1534"/>
      <c r="BU1534"/>
      <c r="BV1534"/>
      <c r="BW1534"/>
      <c r="BX1534"/>
      <c r="BY1534"/>
      <c r="BZ1534"/>
      <c r="CA1534"/>
      <c r="CB1534"/>
      <c r="CC1534"/>
      <c r="CD1534"/>
      <c r="CE1534"/>
      <c r="CF1534"/>
      <c r="CG1534"/>
      <c r="CH1534"/>
    </row>
    <row r="1535" spans="1:86" x14ac:dyDescent="0.2">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c r="AU1535"/>
      <c r="AV1535"/>
      <c r="AW1535"/>
      <c r="AX1535"/>
      <c r="AY1535"/>
      <c r="AZ1535"/>
      <c r="BA1535"/>
      <c r="BB1535"/>
      <c r="BC1535"/>
      <c r="BD1535"/>
      <c r="BE1535"/>
      <c r="BF1535"/>
      <c r="BG1535"/>
      <c r="BH1535"/>
      <c r="BI1535"/>
      <c r="BJ1535"/>
      <c r="BK1535"/>
      <c r="BL1535"/>
      <c r="BM1535"/>
      <c r="BN1535"/>
      <c r="BO1535"/>
      <c r="BP1535"/>
      <c r="BQ1535"/>
      <c r="BR1535"/>
      <c r="BS1535"/>
      <c r="BT1535"/>
      <c r="BU1535"/>
      <c r="BV1535"/>
      <c r="BW1535"/>
      <c r="BX1535"/>
      <c r="BY1535"/>
      <c r="BZ1535"/>
      <c r="CA1535"/>
      <c r="CB1535"/>
      <c r="CC1535"/>
      <c r="CD1535"/>
      <c r="CE1535"/>
      <c r="CF1535"/>
      <c r="CG1535"/>
      <c r="CH1535"/>
    </row>
    <row r="1536" spans="1:86" x14ac:dyDescent="0.2">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c r="AU1536"/>
      <c r="AV1536"/>
      <c r="AW1536"/>
      <c r="AX1536"/>
      <c r="AY1536"/>
      <c r="AZ1536"/>
      <c r="BA1536"/>
      <c r="BB1536"/>
      <c r="BC1536"/>
      <c r="BD1536"/>
      <c r="BE1536"/>
      <c r="BF1536"/>
      <c r="BG1536"/>
      <c r="BH1536"/>
      <c r="BI1536"/>
      <c r="BJ1536"/>
      <c r="BK1536"/>
      <c r="BL1536"/>
      <c r="BM1536"/>
      <c r="BN1536"/>
      <c r="BO1536"/>
      <c r="BP1536"/>
      <c r="BQ1536"/>
      <c r="BR1536"/>
      <c r="BS1536"/>
      <c r="BT1536"/>
      <c r="BU1536"/>
      <c r="BV1536"/>
      <c r="BW1536"/>
      <c r="BX1536"/>
      <c r="BY1536"/>
      <c r="BZ1536"/>
      <c r="CA1536"/>
      <c r="CB1536"/>
      <c r="CC1536"/>
      <c r="CD1536"/>
      <c r="CE1536"/>
      <c r="CF1536"/>
      <c r="CG1536"/>
      <c r="CH1536"/>
    </row>
    <row r="1537" spans="1:86" x14ac:dyDescent="0.2">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c r="AU1537"/>
      <c r="AV1537"/>
      <c r="AW1537"/>
      <c r="AX1537"/>
      <c r="AY1537"/>
      <c r="AZ1537"/>
      <c r="BA1537"/>
      <c r="BB1537"/>
      <c r="BC1537"/>
      <c r="BD1537"/>
      <c r="BE1537"/>
      <c r="BF1537"/>
      <c r="BG1537"/>
      <c r="BH1537"/>
      <c r="BI1537"/>
      <c r="BJ1537"/>
      <c r="BK1537"/>
      <c r="BL1537"/>
      <c r="BM1537"/>
      <c r="BN1537"/>
      <c r="BO1537"/>
      <c r="BP1537"/>
      <c r="BQ1537"/>
      <c r="BR1537"/>
      <c r="BS1537"/>
      <c r="BT1537"/>
      <c r="BU1537"/>
      <c r="BV1537"/>
      <c r="BW1537"/>
      <c r="BX1537"/>
      <c r="BY1537"/>
      <c r="BZ1537"/>
      <c r="CA1537"/>
      <c r="CB1537"/>
      <c r="CC1537"/>
      <c r="CD1537"/>
      <c r="CE1537"/>
      <c r="CF1537"/>
      <c r="CG1537"/>
      <c r="CH1537"/>
    </row>
    <row r="1538" spans="1:86" x14ac:dyDescent="0.2">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c r="AU1538"/>
      <c r="AV1538"/>
      <c r="AW1538"/>
      <c r="AX1538"/>
      <c r="AY1538"/>
      <c r="AZ1538"/>
      <c r="BA1538"/>
      <c r="BB1538"/>
      <c r="BC1538"/>
      <c r="BD1538"/>
      <c r="BE1538"/>
      <c r="BF1538"/>
      <c r="BG1538"/>
      <c r="BH1538"/>
      <c r="BI1538"/>
      <c r="BJ1538"/>
      <c r="BK1538"/>
      <c r="BL1538"/>
      <c r="BM1538"/>
      <c r="BN1538"/>
      <c r="BO1538"/>
      <c r="BP1538"/>
      <c r="BQ1538"/>
      <c r="BR1538"/>
      <c r="BS1538"/>
      <c r="BT1538"/>
      <c r="BU1538"/>
      <c r="BV1538"/>
      <c r="BW1538"/>
      <c r="BX1538"/>
      <c r="BY1538"/>
      <c r="BZ1538"/>
      <c r="CA1538"/>
      <c r="CB1538"/>
      <c r="CC1538"/>
      <c r="CD1538"/>
      <c r="CE1538"/>
      <c r="CF1538"/>
      <c r="CG1538"/>
      <c r="CH1538"/>
    </row>
    <row r="1539" spans="1:86" x14ac:dyDescent="0.2">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c r="AU1539"/>
      <c r="AV1539"/>
      <c r="AW1539"/>
      <c r="AX1539"/>
      <c r="AY1539"/>
      <c r="AZ1539"/>
      <c r="BA1539"/>
      <c r="BB1539"/>
      <c r="BC1539"/>
      <c r="BD1539"/>
      <c r="BE1539"/>
      <c r="BF1539"/>
      <c r="BG1539"/>
      <c r="BH1539"/>
      <c r="BI1539"/>
      <c r="BJ1539"/>
      <c r="BK1539"/>
      <c r="BL1539"/>
      <c r="BM1539"/>
      <c r="BN1539"/>
      <c r="BO1539"/>
      <c r="BP1539"/>
      <c r="BQ1539"/>
      <c r="BR1539"/>
      <c r="BS1539"/>
      <c r="BT1539"/>
      <c r="BU1539"/>
      <c r="BV1539"/>
      <c r="BW1539"/>
      <c r="BX1539"/>
      <c r="BY1539"/>
      <c r="BZ1539"/>
      <c r="CA1539"/>
      <c r="CB1539"/>
      <c r="CC1539"/>
      <c r="CD1539"/>
      <c r="CE1539"/>
      <c r="CF1539"/>
      <c r="CG1539"/>
      <c r="CH1539"/>
    </row>
    <row r="1540" spans="1:86" x14ac:dyDescent="0.2">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c r="AU1540"/>
      <c r="AV1540"/>
      <c r="AW1540"/>
      <c r="AX1540"/>
      <c r="AY1540"/>
      <c r="AZ1540"/>
      <c r="BA1540"/>
      <c r="BB1540"/>
      <c r="BC1540"/>
      <c r="BD1540"/>
      <c r="BE1540"/>
      <c r="BF1540"/>
      <c r="BG1540"/>
      <c r="BH1540"/>
      <c r="BI1540"/>
      <c r="BJ1540"/>
      <c r="BK1540"/>
      <c r="BL1540"/>
      <c r="BM1540"/>
      <c r="BN1540"/>
      <c r="BO1540"/>
      <c r="BP1540"/>
      <c r="BQ1540"/>
      <c r="BR1540"/>
      <c r="BS1540"/>
      <c r="BT1540"/>
      <c r="BU1540"/>
      <c r="BV1540"/>
      <c r="BW1540"/>
      <c r="BX1540"/>
      <c r="BY1540"/>
      <c r="BZ1540"/>
      <c r="CA1540"/>
      <c r="CB1540"/>
      <c r="CC1540"/>
      <c r="CD1540"/>
      <c r="CE1540"/>
      <c r="CF1540"/>
      <c r="CG1540"/>
      <c r="CH1540"/>
    </row>
    <row r="1541" spans="1:86" x14ac:dyDescent="0.2">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c r="AU1541"/>
      <c r="AV1541"/>
      <c r="AW1541"/>
      <c r="AX1541"/>
      <c r="AY1541"/>
      <c r="AZ1541"/>
      <c r="BA1541"/>
      <c r="BB1541"/>
      <c r="BC1541"/>
      <c r="BD1541"/>
      <c r="BE1541"/>
      <c r="BF1541"/>
      <c r="BG1541"/>
      <c r="BH1541"/>
      <c r="BI1541"/>
      <c r="BJ1541"/>
      <c r="BK1541"/>
      <c r="BL1541"/>
      <c r="BM1541"/>
      <c r="BN1541"/>
      <c r="BO1541"/>
      <c r="BP1541"/>
      <c r="BQ1541"/>
      <c r="BR1541"/>
      <c r="BS1541"/>
      <c r="BT1541"/>
      <c r="BU1541"/>
      <c r="BV1541"/>
      <c r="BW1541"/>
      <c r="BX1541"/>
      <c r="BY1541"/>
      <c r="BZ1541"/>
      <c r="CA1541"/>
      <c r="CB1541"/>
      <c r="CC1541"/>
      <c r="CD1541"/>
      <c r="CE1541"/>
      <c r="CF1541"/>
      <c r="CG1541"/>
      <c r="CH1541"/>
    </row>
    <row r="1542" spans="1:86" x14ac:dyDescent="0.2">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c r="AU1542"/>
      <c r="AV1542"/>
      <c r="AW1542"/>
      <c r="AX1542"/>
      <c r="AY1542"/>
      <c r="AZ1542"/>
      <c r="BA1542"/>
      <c r="BB1542"/>
      <c r="BC1542"/>
      <c r="BD1542"/>
      <c r="BE1542"/>
      <c r="BF1542"/>
      <c r="BG1542"/>
      <c r="BH1542"/>
      <c r="BI1542"/>
      <c r="BJ1542"/>
      <c r="BK1542"/>
      <c r="BL1542"/>
      <c r="BM1542"/>
      <c r="BN1542"/>
      <c r="BO1542"/>
      <c r="BP1542"/>
      <c r="BQ1542"/>
      <c r="BR1542"/>
      <c r="BS1542"/>
      <c r="BT1542"/>
      <c r="BU1542"/>
      <c r="BV1542"/>
      <c r="BW1542"/>
      <c r="BX1542"/>
      <c r="BY1542"/>
      <c r="BZ1542"/>
      <c r="CA1542"/>
      <c r="CB1542"/>
      <c r="CC1542"/>
      <c r="CD1542"/>
      <c r="CE1542"/>
      <c r="CF1542"/>
      <c r="CG1542"/>
      <c r="CH1542"/>
    </row>
    <row r="1543" spans="1:86" x14ac:dyDescent="0.2">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c r="AU1543"/>
      <c r="AV1543"/>
      <c r="AW1543"/>
      <c r="AX1543"/>
      <c r="AY1543"/>
      <c r="AZ1543"/>
      <c r="BA1543"/>
      <c r="BB1543"/>
      <c r="BC1543"/>
      <c r="BD1543"/>
      <c r="BE1543"/>
      <c r="BF1543"/>
      <c r="BG1543"/>
      <c r="BH1543"/>
      <c r="BI1543"/>
      <c r="BJ1543"/>
      <c r="BK1543"/>
      <c r="BL1543"/>
      <c r="BM1543"/>
      <c r="BN1543"/>
      <c r="BO1543"/>
      <c r="BP1543"/>
      <c r="BQ1543"/>
      <c r="BR1543"/>
      <c r="BS1543"/>
      <c r="BT1543"/>
      <c r="BU1543"/>
      <c r="BV1543"/>
      <c r="BW1543"/>
      <c r="BX1543"/>
      <c r="BY1543"/>
      <c r="BZ1543"/>
      <c r="CA1543"/>
      <c r="CB1543"/>
      <c r="CC1543"/>
      <c r="CD1543"/>
      <c r="CE1543"/>
      <c r="CF1543"/>
      <c r="CG1543"/>
      <c r="CH1543"/>
    </row>
    <row r="1544" spans="1:86" x14ac:dyDescent="0.2">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c r="AU1544"/>
      <c r="AV1544"/>
      <c r="AW1544"/>
      <c r="AX1544"/>
      <c r="AY1544"/>
      <c r="AZ1544"/>
      <c r="BA1544"/>
      <c r="BB1544"/>
      <c r="BC1544"/>
      <c r="BD1544"/>
      <c r="BE1544"/>
      <c r="BF1544"/>
      <c r="BG1544"/>
      <c r="BH1544"/>
      <c r="BI1544"/>
      <c r="BJ1544"/>
      <c r="BK1544"/>
      <c r="BL1544"/>
      <c r="BM1544"/>
      <c r="BN1544"/>
      <c r="BO1544"/>
      <c r="BP1544"/>
      <c r="BQ1544"/>
      <c r="BR1544"/>
      <c r="BS1544"/>
      <c r="BT1544"/>
      <c r="BU1544"/>
      <c r="BV1544"/>
      <c r="BW1544"/>
      <c r="BX1544"/>
      <c r="BY1544"/>
      <c r="BZ1544"/>
      <c r="CA1544"/>
      <c r="CB1544"/>
      <c r="CC1544"/>
      <c r="CD1544"/>
      <c r="CE1544"/>
      <c r="CF1544"/>
      <c r="CG1544"/>
      <c r="CH1544"/>
    </row>
    <row r="1545" spans="1:86" x14ac:dyDescent="0.2">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c r="AU1545"/>
      <c r="AV1545"/>
      <c r="AW1545"/>
      <c r="AX1545"/>
      <c r="AY1545"/>
      <c r="AZ1545"/>
      <c r="BA1545"/>
      <c r="BB1545"/>
      <c r="BC1545"/>
      <c r="BD1545"/>
      <c r="BE1545"/>
      <c r="BF1545"/>
      <c r="BG1545"/>
      <c r="BH1545"/>
      <c r="BI1545"/>
      <c r="BJ1545"/>
      <c r="BK1545"/>
      <c r="BL1545"/>
      <c r="BM1545"/>
      <c r="BN1545"/>
      <c r="BO1545"/>
      <c r="BP1545"/>
      <c r="BQ1545"/>
      <c r="BR1545"/>
      <c r="BS1545"/>
      <c r="BT1545"/>
      <c r="BU1545"/>
      <c r="BV1545"/>
      <c r="BW1545"/>
      <c r="BX1545"/>
      <c r="BY1545"/>
      <c r="BZ1545"/>
      <c r="CA1545"/>
      <c r="CB1545"/>
      <c r="CC1545"/>
      <c r="CD1545"/>
      <c r="CE1545"/>
      <c r="CF1545"/>
      <c r="CG1545"/>
      <c r="CH1545"/>
    </row>
    <row r="1546" spans="1:86" x14ac:dyDescent="0.2">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c r="AU1546"/>
      <c r="AV1546"/>
      <c r="AW1546"/>
      <c r="AX1546"/>
      <c r="AY1546"/>
      <c r="AZ1546"/>
      <c r="BA1546"/>
      <c r="BB1546"/>
      <c r="BC1546"/>
      <c r="BD1546"/>
      <c r="BE1546"/>
      <c r="BF1546"/>
      <c r="BG1546"/>
      <c r="BH1546"/>
      <c r="BI1546"/>
      <c r="BJ1546"/>
      <c r="BK1546"/>
      <c r="BL1546"/>
      <c r="BM1546"/>
      <c r="BN1546"/>
      <c r="BO1546"/>
      <c r="BP1546"/>
      <c r="BQ1546"/>
      <c r="BR1546"/>
      <c r="BS1546"/>
      <c r="BT1546"/>
      <c r="BU1546"/>
      <c r="BV1546"/>
      <c r="BW1546"/>
      <c r="BX1546"/>
      <c r="BY1546"/>
      <c r="BZ1546"/>
      <c r="CA1546"/>
      <c r="CB1546"/>
      <c r="CC1546"/>
      <c r="CD1546"/>
      <c r="CE1546"/>
      <c r="CF1546"/>
      <c r="CG1546"/>
      <c r="CH1546"/>
    </row>
    <row r="1547" spans="1:86" x14ac:dyDescent="0.2">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c r="AU1547"/>
      <c r="AV1547"/>
      <c r="AW1547"/>
      <c r="AX1547"/>
      <c r="AY1547"/>
      <c r="AZ1547"/>
      <c r="BA1547"/>
      <c r="BB1547"/>
      <c r="BC1547"/>
      <c r="BD1547"/>
      <c r="BE1547"/>
      <c r="BF1547"/>
      <c r="BG1547"/>
      <c r="BH1547"/>
      <c r="BI1547"/>
      <c r="BJ1547"/>
      <c r="BK1547"/>
      <c r="BL1547"/>
      <c r="BM1547"/>
      <c r="BN1547"/>
      <c r="BO1547"/>
      <c r="BP1547"/>
      <c r="BQ1547"/>
      <c r="BR1547"/>
      <c r="BS1547"/>
      <c r="BT1547"/>
      <c r="BU1547"/>
      <c r="BV1547"/>
      <c r="BW1547"/>
      <c r="BX1547"/>
      <c r="BY1547"/>
      <c r="BZ1547"/>
      <c r="CA1547"/>
      <c r="CB1547"/>
      <c r="CC1547"/>
      <c r="CD1547"/>
      <c r="CE1547"/>
      <c r="CF1547"/>
      <c r="CG1547"/>
      <c r="CH1547"/>
    </row>
    <row r="1548" spans="1:86" x14ac:dyDescent="0.2">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c r="AU1548"/>
      <c r="AV1548"/>
      <c r="AW1548"/>
      <c r="AX1548"/>
      <c r="AY1548"/>
      <c r="AZ1548"/>
      <c r="BA1548"/>
      <c r="BB1548"/>
      <c r="BC1548"/>
      <c r="BD1548"/>
      <c r="BE1548"/>
      <c r="BF1548"/>
      <c r="BG1548"/>
      <c r="BH1548"/>
      <c r="BI1548"/>
      <c r="BJ1548"/>
      <c r="BK1548"/>
      <c r="BL1548"/>
      <c r="BM1548"/>
      <c r="BN1548"/>
      <c r="BO1548"/>
      <c r="BP1548"/>
      <c r="BQ1548"/>
      <c r="BR1548"/>
      <c r="BS1548"/>
      <c r="BT1548"/>
      <c r="BU1548"/>
      <c r="BV1548"/>
      <c r="BW1548"/>
      <c r="BX1548"/>
      <c r="BY1548"/>
      <c r="BZ1548"/>
      <c r="CA1548"/>
      <c r="CB1548"/>
      <c r="CC1548"/>
      <c r="CD1548"/>
      <c r="CE1548"/>
      <c r="CF1548"/>
      <c r="CG1548"/>
      <c r="CH1548"/>
    </row>
    <row r="1549" spans="1:86" x14ac:dyDescent="0.2">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c r="AU1549"/>
      <c r="AV1549"/>
      <c r="AW1549"/>
      <c r="AX1549"/>
      <c r="AY1549"/>
      <c r="AZ1549"/>
      <c r="BA1549"/>
      <c r="BB1549"/>
      <c r="BC1549"/>
      <c r="BD1549"/>
      <c r="BE1549"/>
      <c r="BF1549"/>
      <c r="BG1549"/>
      <c r="BH1549"/>
      <c r="BI1549"/>
      <c r="BJ1549"/>
      <c r="BK1549"/>
      <c r="BL1549"/>
      <c r="BM1549"/>
      <c r="BN1549"/>
      <c r="BO1549"/>
      <c r="BP1549"/>
      <c r="BQ1549"/>
      <c r="BR1549"/>
      <c r="BS1549"/>
      <c r="BT1549"/>
      <c r="BU1549"/>
      <c r="BV1549"/>
      <c r="BW1549"/>
      <c r="BX1549"/>
      <c r="BY1549"/>
      <c r="BZ1549"/>
      <c r="CA1549"/>
      <c r="CB1549"/>
      <c r="CC1549"/>
      <c r="CD1549"/>
      <c r="CE1549"/>
      <c r="CF1549"/>
      <c r="CG1549"/>
      <c r="CH1549"/>
    </row>
    <row r="1550" spans="1:86" x14ac:dyDescent="0.2">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c r="AU1550"/>
      <c r="AV1550"/>
      <c r="AW1550"/>
      <c r="AX1550"/>
      <c r="AY1550"/>
      <c r="AZ1550"/>
      <c r="BA1550"/>
      <c r="BB1550"/>
      <c r="BC1550"/>
      <c r="BD1550"/>
      <c r="BE1550"/>
      <c r="BF1550"/>
      <c r="BG1550"/>
      <c r="BH1550"/>
      <c r="BI1550"/>
      <c r="BJ1550"/>
      <c r="BK1550"/>
      <c r="BL1550"/>
      <c r="BM1550"/>
      <c r="BN1550"/>
      <c r="BO1550"/>
      <c r="BP1550"/>
      <c r="BQ1550"/>
      <c r="BR1550"/>
      <c r="BS1550"/>
      <c r="BT1550"/>
      <c r="BU1550"/>
      <c r="BV1550"/>
      <c r="BW1550"/>
      <c r="BX1550"/>
      <c r="BY1550"/>
      <c r="BZ1550"/>
      <c r="CA1550"/>
      <c r="CB1550"/>
      <c r="CC1550"/>
      <c r="CD1550"/>
      <c r="CE1550"/>
      <c r="CF1550"/>
      <c r="CG1550"/>
      <c r="CH1550"/>
    </row>
    <row r="1551" spans="1:86" x14ac:dyDescent="0.2">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c r="AU1551"/>
      <c r="AV1551"/>
      <c r="AW1551"/>
      <c r="AX1551"/>
      <c r="AY1551"/>
      <c r="AZ1551"/>
      <c r="BA1551"/>
      <c r="BB1551"/>
      <c r="BC1551"/>
      <c r="BD1551"/>
      <c r="BE1551"/>
      <c r="BF1551"/>
      <c r="BG1551"/>
      <c r="BH1551"/>
      <c r="BI1551"/>
      <c r="BJ1551"/>
      <c r="BK1551"/>
      <c r="BL1551"/>
      <c r="BM1551"/>
      <c r="BN1551"/>
      <c r="BO1551"/>
      <c r="BP1551"/>
      <c r="BQ1551"/>
      <c r="BR1551"/>
      <c r="BS1551"/>
      <c r="BT1551"/>
      <c r="BU1551"/>
      <c r="BV1551"/>
      <c r="BW1551"/>
      <c r="BX1551"/>
      <c r="BY1551"/>
      <c r="BZ1551"/>
      <c r="CA1551"/>
      <c r="CB1551"/>
      <c r="CC1551"/>
      <c r="CD1551"/>
      <c r="CE1551"/>
      <c r="CF1551"/>
      <c r="CG1551"/>
      <c r="CH1551"/>
    </row>
    <row r="1552" spans="1:86" x14ac:dyDescent="0.2">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c r="AU1552"/>
      <c r="AV1552"/>
      <c r="AW1552"/>
      <c r="AX1552"/>
      <c r="AY1552"/>
      <c r="AZ1552"/>
      <c r="BA1552"/>
      <c r="BB1552"/>
      <c r="BC1552"/>
      <c r="BD1552"/>
      <c r="BE1552"/>
      <c r="BF1552"/>
      <c r="BG1552"/>
      <c r="BH1552"/>
      <c r="BI1552"/>
      <c r="BJ1552"/>
      <c r="BK1552"/>
      <c r="BL1552"/>
      <c r="BM1552"/>
      <c r="BN1552"/>
      <c r="BO1552"/>
      <c r="BP1552"/>
      <c r="BQ1552"/>
      <c r="BR1552"/>
      <c r="BS1552"/>
      <c r="BT1552"/>
      <c r="BU1552"/>
      <c r="BV1552"/>
      <c r="BW1552"/>
      <c r="BX1552"/>
      <c r="BY1552"/>
      <c r="BZ1552"/>
      <c r="CA1552"/>
      <c r="CB1552"/>
      <c r="CC1552"/>
      <c r="CD1552"/>
      <c r="CE1552"/>
      <c r="CF1552"/>
      <c r="CG1552"/>
      <c r="CH1552"/>
    </row>
    <row r="1553" spans="1:86" x14ac:dyDescent="0.2">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c r="AU1553"/>
      <c r="AV1553"/>
      <c r="AW1553"/>
      <c r="AX1553"/>
      <c r="AY1553"/>
      <c r="AZ1553"/>
      <c r="BA1553"/>
      <c r="BB1553"/>
      <c r="BC1553"/>
      <c r="BD1553"/>
      <c r="BE1553"/>
      <c r="BF1553"/>
      <c r="BG1553"/>
      <c r="BH1553"/>
      <c r="BI1553"/>
      <c r="BJ1553"/>
      <c r="BK1553"/>
      <c r="BL1553"/>
      <c r="BM1553"/>
      <c r="BN1553"/>
      <c r="BO1553"/>
      <c r="BP1553"/>
      <c r="BQ1553"/>
      <c r="BR1553"/>
      <c r="BS1553"/>
      <c r="BT1553"/>
      <c r="BU1553"/>
      <c r="BV1553"/>
      <c r="BW1553"/>
      <c r="BX1553"/>
      <c r="BY1553"/>
      <c r="BZ1553"/>
      <c r="CA1553"/>
      <c r="CB1553"/>
      <c r="CC1553"/>
      <c r="CD1553"/>
      <c r="CE1553"/>
      <c r="CF1553"/>
      <c r="CG1553"/>
      <c r="CH1553"/>
    </row>
    <row r="1554" spans="1:86" x14ac:dyDescent="0.2">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c r="AU1554"/>
      <c r="AV1554"/>
      <c r="AW1554"/>
      <c r="AX1554"/>
      <c r="AY1554"/>
      <c r="AZ1554"/>
      <c r="BA1554"/>
      <c r="BB1554"/>
      <c r="BC1554"/>
      <c r="BD1554"/>
      <c r="BE1554"/>
      <c r="BF1554"/>
      <c r="BG1554"/>
      <c r="BH1554"/>
      <c r="BI1554"/>
      <c r="BJ1554"/>
      <c r="BK1554"/>
      <c r="BL1554"/>
      <c r="BM1554"/>
      <c r="BN1554"/>
      <c r="BO1554"/>
      <c r="BP1554"/>
      <c r="BQ1554"/>
      <c r="BR1554"/>
      <c r="BS1554"/>
      <c r="BT1554"/>
      <c r="BU1554"/>
      <c r="BV1554"/>
      <c r="BW1554"/>
      <c r="BX1554"/>
      <c r="BY1554"/>
      <c r="BZ1554"/>
      <c r="CA1554"/>
      <c r="CB1554"/>
      <c r="CC1554"/>
      <c r="CD1554"/>
      <c r="CE1554"/>
      <c r="CF1554"/>
      <c r="CG1554"/>
      <c r="CH1554"/>
    </row>
    <row r="1555" spans="1:86" x14ac:dyDescent="0.2">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c r="AU1555"/>
      <c r="AV1555"/>
      <c r="AW1555"/>
      <c r="AX1555"/>
      <c r="AY1555"/>
      <c r="AZ1555"/>
      <c r="BA1555"/>
      <c r="BB1555"/>
      <c r="BC1555"/>
      <c r="BD1555"/>
      <c r="BE1555"/>
      <c r="BF1555"/>
      <c r="BG1555"/>
      <c r="BH1555"/>
      <c r="BI1555"/>
      <c r="BJ1555"/>
      <c r="BK1555"/>
      <c r="BL1555"/>
      <c r="BM1555"/>
      <c r="BN1555"/>
      <c r="BO1555"/>
      <c r="BP1555"/>
      <c r="BQ1555"/>
      <c r="BR1555"/>
      <c r="BS1555"/>
      <c r="BT1555"/>
      <c r="BU1555"/>
      <c r="BV1555"/>
      <c r="BW1555"/>
      <c r="BX1555"/>
      <c r="BY1555"/>
      <c r="BZ1555"/>
      <c r="CA1555"/>
      <c r="CB1555"/>
      <c r="CC1555"/>
      <c r="CD1555"/>
      <c r="CE1555"/>
      <c r="CF1555"/>
      <c r="CG1555"/>
      <c r="CH1555"/>
    </row>
    <row r="1556" spans="1:86" x14ac:dyDescent="0.2">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c r="AU1556"/>
      <c r="AV1556"/>
      <c r="AW1556"/>
      <c r="AX1556"/>
      <c r="AY1556"/>
      <c r="AZ1556"/>
      <c r="BA1556"/>
      <c r="BB1556"/>
      <c r="BC1556"/>
      <c r="BD1556"/>
      <c r="BE1556"/>
      <c r="BF1556"/>
      <c r="BG1556"/>
      <c r="BH1556"/>
      <c r="BI1556"/>
      <c r="BJ1556"/>
      <c r="BK1556"/>
      <c r="BL1556"/>
      <c r="BM1556"/>
      <c r="BN1556"/>
      <c r="BO1556"/>
      <c r="BP1556"/>
      <c r="BQ1556"/>
      <c r="BR1556"/>
      <c r="BS1556"/>
      <c r="BT1556"/>
      <c r="BU1556"/>
      <c r="BV1556"/>
      <c r="BW1556"/>
      <c r="BX1556"/>
      <c r="BY1556"/>
      <c r="BZ1556"/>
      <c r="CA1556"/>
      <c r="CB1556"/>
      <c r="CC1556"/>
      <c r="CD1556"/>
      <c r="CE1556"/>
      <c r="CF1556"/>
      <c r="CG1556"/>
      <c r="CH1556"/>
    </row>
    <row r="1557" spans="1:86" x14ac:dyDescent="0.2">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c r="AU1557"/>
      <c r="AV1557"/>
      <c r="AW1557"/>
      <c r="AX1557"/>
      <c r="AY1557"/>
      <c r="AZ1557"/>
      <c r="BA1557"/>
      <c r="BB1557"/>
      <c r="BC1557"/>
      <c r="BD1557"/>
      <c r="BE1557"/>
      <c r="BF1557"/>
      <c r="BG1557"/>
      <c r="BH1557"/>
      <c r="BI1557"/>
      <c r="BJ1557"/>
      <c r="BK1557"/>
      <c r="BL1557"/>
      <c r="BM1557"/>
      <c r="BN1557"/>
      <c r="BO1557"/>
      <c r="BP1557"/>
      <c r="BQ1557"/>
      <c r="BR1557"/>
      <c r="BS1557"/>
      <c r="BT1557"/>
      <c r="BU1557"/>
      <c r="BV1557"/>
      <c r="BW1557"/>
      <c r="BX1557"/>
      <c r="BY1557"/>
      <c r="BZ1557"/>
      <c r="CA1557"/>
      <c r="CB1557"/>
      <c r="CC1557"/>
      <c r="CD1557"/>
      <c r="CE1557"/>
      <c r="CF1557"/>
      <c r="CG1557"/>
      <c r="CH1557"/>
    </row>
    <row r="1558" spans="1:86" x14ac:dyDescent="0.2">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c r="AU1558"/>
      <c r="AV1558"/>
      <c r="AW1558"/>
      <c r="AX1558"/>
      <c r="AY1558"/>
      <c r="AZ1558"/>
      <c r="BA1558"/>
      <c r="BB1558"/>
      <c r="BC1558"/>
      <c r="BD1558"/>
      <c r="BE1558"/>
      <c r="BF1558"/>
      <c r="BG1558"/>
      <c r="BH1558"/>
      <c r="BI1558"/>
      <c r="BJ1558"/>
      <c r="BK1558"/>
      <c r="BL1558"/>
      <c r="BM1558"/>
      <c r="BN1558"/>
      <c r="BO1558"/>
      <c r="BP1558"/>
      <c r="BQ1558"/>
      <c r="BR1558"/>
      <c r="BS1558"/>
      <c r="BT1558"/>
      <c r="BU1558"/>
      <c r="BV1558"/>
      <c r="BW1558"/>
      <c r="BX1558"/>
      <c r="BY1558"/>
      <c r="BZ1558"/>
      <c r="CA1558"/>
      <c r="CB1558"/>
      <c r="CC1558"/>
      <c r="CD1558"/>
      <c r="CE1558"/>
      <c r="CF1558"/>
      <c r="CG1558"/>
      <c r="CH1558"/>
    </row>
    <row r="1559" spans="1:86" x14ac:dyDescent="0.2">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c r="AU1559"/>
      <c r="AV1559"/>
      <c r="AW1559"/>
      <c r="AX1559"/>
      <c r="AY1559"/>
      <c r="AZ1559"/>
      <c r="BA1559"/>
      <c r="BB1559"/>
      <c r="BC1559"/>
      <c r="BD1559"/>
      <c r="BE1559"/>
      <c r="BF1559"/>
      <c r="BG1559"/>
      <c r="BH1559"/>
      <c r="BI1559"/>
      <c r="BJ1559"/>
      <c r="BK1559"/>
      <c r="BL1559"/>
      <c r="BM1559"/>
      <c r="BN1559"/>
      <c r="BO1559"/>
      <c r="BP1559"/>
      <c r="BQ1559"/>
      <c r="BR1559"/>
      <c r="BS1559"/>
      <c r="BT1559"/>
      <c r="BU1559"/>
      <c r="BV1559"/>
      <c r="BW1559"/>
      <c r="BX1559"/>
      <c r="BY1559"/>
      <c r="BZ1559"/>
      <c r="CA1559"/>
      <c r="CB1559"/>
      <c r="CC1559"/>
      <c r="CD1559"/>
      <c r="CE1559"/>
      <c r="CF1559"/>
      <c r="CG1559"/>
      <c r="CH1559"/>
    </row>
    <row r="1560" spans="1:86" x14ac:dyDescent="0.2">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c r="AU1560"/>
      <c r="AV1560"/>
      <c r="AW1560"/>
      <c r="AX1560"/>
      <c r="AY1560"/>
      <c r="AZ1560"/>
      <c r="BA1560"/>
      <c r="BB1560"/>
      <c r="BC1560"/>
      <c r="BD1560"/>
      <c r="BE1560"/>
      <c r="BF1560"/>
      <c r="BG1560"/>
      <c r="BH1560"/>
      <c r="BI1560"/>
      <c r="BJ1560"/>
      <c r="BK1560"/>
      <c r="BL1560"/>
      <c r="BM1560"/>
      <c r="BN1560"/>
      <c r="BO1560"/>
      <c r="BP1560"/>
      <c r="BQ1560"/>
      <c r="BR1560"/>
      <c r="BS1560"/>
      <c r="BT1560"/>
      <c r="BU1560"/>
      <c r="BV1560"/>
      <c r="BW1560"/>
      <c r="BX1560"/>
      <c r="BY1560"/>
      <c r="BZ1560"/>
      <c r="CA1560"/>
      <c r="CB1560"/>
      <c r="CC1560"/>
      <c r="CD1560"/>
      <c r="CE1560"/>
      <c r="CF1560"/>
      <c r="CG1560"/>
      <c r="CH1560"/>
    </row>
    <row r="1561" spans="1:86" x14ac:dyDescent="0.2">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c r="AU1561"/>
      <c r="AV1561"/>
      <c r="AW1561"/>
      <c r="AX1561"/>
      <c r="AY1561"/>
      <c r="AZ1561"/>
      <c r="BA1561"/>
      <c r="BB1561"/>
      <c r="BC1561"/>
      <c r="BD1561"/>
      <c r="BE1561"/>
      <c r="BF1561"/>
      <c r="BG1561"/>
      <c r="BH1561"/>
      <c r="BI1561"/>
      <c r="BJ1561"/>
      <c r="BK1561"/>
      <c r="BL1561"/>
      <c r="BM1561"/>
      <c r="BN1561"/>
      <c r="BO1561"/>
      <c r="BP1561"/>
      <c r="BQ1561"/>
      <c r="BR1561"/>
      <c r="BS1561"/>
      <c r="BT1561"/>
      <c r="BU1561"/>
      <c r="BV1561"/>
      <c r="BW1561"/>
      <c r="BX1561"/>
      <c r="BY1561"/>
      <c r="BZ1561"/>
      <c r="CA1561"/>
      <c r="CB1561"/>
      <c r="CC1561"/>
      <c r="CD1561"/>
      <c r="CE1561"/>
      <c r="CF1561"/>
      <c r="CG1561"/>
      <c r="CH1561"/>
    </row>
    <row r="1562" spans="1:86" x14ac:dyDescent="0.2">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c r="AU1562"/>
      <c r="AV1562"/>
      <c r="AW1562"/>
      <c r="AX1562"/>
      <c r="AY1562"/>
      <c r="AZ1562"/>
      <c r="BA1562"/>
      <c r="BB1562"/>
      <c r="BC1562"/>
      <c r="BD1562"/>
      <c r="BE1562"/>
      <c r="BF1562"/>
      <c r="BG1562"/>
      <c r="BH1562"/>
      <c r="BI1562"/>
      <c r="BJ1562"/>
      <c r="BK1562"/>
      <c r="BL1562"/>
      <c r="BM1562"/>
      <c r="BN1562"/>
      <c r="BO1562"/>
      <c r="BP1562"/>
      <c r="BQ1562"/>
      <c r="BR1562"/>
      <c r="BS1562"/>
      <c r="BT1562"/>
      <c r="BU1562"/>
      <c r="BV1562"/>
      <c r="BW1562"/>
      <c r="BX1562"/>
      <c r="BY1562"/>
      <c r="BZ1562"/>
      <c r="CA1562"/>
      <c r="CB1562"/>
      <c r="CC1562"/>
      <c r="CD1562"/>
      <c r="CE1562"/>
      <c r="CF1562"/>
      <c r="CG1562"/>
      <c r="CH1562"/>
    </row>
    <row r="1563" spans="1:86" x14ac:dyDescent="0.2">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c r="AU1563"/>
      <c r="AV1563"/>
      <c r="AW1563"/>
      <c r="AX1563"/>
      <c r="AY1563"/>
      <c r="AZ1563"/>
      <c r="BA1563"/>
      <c r="BB1563"/>
      <c r="BC1563"/>
      <c r="BD1563"/>
      <c r="BE1563"/>
      <c r="BF1563"/>
      <c r="BG1563"/>
      <c r="BH1563"/>
      <c r="BI1563"/>
      <c r="BJ1563"/>
      <c r="BK1563"/>
      <c r="BL1563"/>
      <c r="BM1563"/>
      <c r="BN1563"/>
      <c r="BO1563"/>
      <c r="BP1563"/>
      <c r="BQ1563"/>
      <c r="BR1563"/>
      <c r="BS1563"/>
      <c r="BT1563"/>
      <c r="BU1563"/>
      <c r="BV1563"/>
      <c r="BW1563"/>
      <c r="BX1563"/>
      <c r="BY1563"/>
      <c r="BZ1563"/>
      <c r="CA1563"/>
      <c r="CB1563"/>
      <c r="CC1563"/>
      <c r="CD1563"/>
      <c r="CE1563"/>
      <c r="CF1563"/>
      <c r="CG1563"/>
      <c r="CH1563"/>
    </row>
    <row r="1564" spans="1:86" x14ac:dyDescent="0.2">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c r="AU1564"/>
      <c r="AV1564"/>
      <c r="AW1564"/>
      <c r="AX1564"/>
      <c r="AY1564"/>
      <c r="AZ1564"/>
      <c r="BA1564"/>
      <c r="BB1564"/>
      <c r="BC1564"/>
      <c r="BD1564"/>
      <c r="BE1564"/>
      <c r="BF1564"/>
      <c r="BG1564"/>
      <c r="BH1564"/>
      <c r="BI1564"/>
      <c r="BJ1564"/>
      <c r="BK1564"/>
      <c r="BL1564"/>
      <c r="BM1564"/>
      <c r="BN1564"/>
      <c r="BO1564"/>
      <c r="BP1564"/>
      <c r="BQ1564"/>
      <c r="BR1564"/>
      <c r="BS1564"/>
      <c r="BT1564"/>
      <c r="BU1564"/>
      <c r="BV1564"/>
      <c r="BW1564"/>
      <c r="BX1564"/>
      <c r="BY1564"/>
      <c r="BZ1564"/>
      <c r="CA1564"/>
      <c r="CB1564"/>
      <c r="CC1564"/>
      <c r="CD1564"/>
      <c r="CE1564"/>
      <c r="CF1564"/>
      <c r="CG1564"/>
      <c r="CH1564"/>
    </row>
    <row r="1565" spans="1:86" x14ac:dyDescent="0.2">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c r="AU1565"/>
      <c r="AV1565"/>
      <c r="AW1565"/>
      <c r="AX1565"/>
      <c r="AY1565"/>
      <c r="AZ1565"/>
      <c r="BA1565"/>
      <c r="BB1565"/>
      <c r="BC1565"/>
      <c r="BD1565"/>
      <c r="BE1565"/>
      <c r="BF1565"/>
      <c r="BG1565"/>
      <c r="BH1565"/>
      <c r="BI1565"/>
      <c r="BJ1565"/>
      <c r="BK1565"/>
      <c r="BL1565"/>
      <c r="BM1565"/>
      <c r="BN1565"/>
      <c r="BO1565"/>
      <c r="BP1565"/>
      <c r="BQ1565"/>
      <c r="BR1565"/>
      <c r="BS1565"/>
      <c r="BT1565"/>
      <c r="BU1565"/>
      <c r="BV1565"/>
      <c r="BW1565"/>
      <c r="BX1565"/>
      <c r="BY1565"/>
      <c r="BZ1565"/>
      <c r="CA1565"/>
      <c r="CB1565"/>
      <c r="CC1565"/>
      <c r="CD1565"/>
      <c r="CE1565"/>
      <c r="CF1565"/>
      <c r="CG1565"/>
      <c r="CH1565"/>
    </row>
    <row r="1566" spans="1:86" x14ac:dyDescent="0.2">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c r="AU1566"/>
      <c r="AV1566"/>
      <c r="AW1566"/>
      <c r="AX1566"/>
      <c r="AY1566"/>
      <c r="AZ1566"/>
      <c r="BA1566"/>
      <c r="BB1566"/>
      <c r="BC1566"/>
      <c r="BD1566"/>
      <c r="BE1566"/>
      <c r="BF1566"/>
      <c r="BG1566"/>
      <c r="BH1566"/>
      <c r="BI1566"/>
      <c r="BJ1566"/>
      <c r="BK1566"/>
      <c r="BL1566"/>
      <c r="BM1566"/>
      <c r="BN1566"/>
      <c r="BO1566"/>
      <c r="BP1566"/>
      <c r="BQ1566"/>
      <c r="BR1566"/>
      <c r="BS1566"/>
      <c r="BT1566"/>
      <c r="BU1566"/>
      <c r="BV1566"/>
      <c r="BW1566"/>
      <c r="BX1566"/>
      <c r="BY1566"/>
      <c r="BZ1566"/>
      <c r="CA1566"/>
      <c r="CB1566"/>
      <c r="CC1566"/>
      <c r="CD1566"/>
      <c r="CE1566"/>
      <c r="CF1566"/>
      <c r="CG1566"/>
      <c r="CH1566"/>
    </row>
    <row r="1567" spans="1:86" x14ac:dyDescent="0.2">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c r="AU1567"/>
      <c r="AV1567"/>
      <c r="AW1567"/>
      <c r="AX1567"/>
      <c r="AY1567"/>
      <c r="AZ1567"/>
      <c r="BA1567"/>
      <c r="BB1567"/>
      <c r="BC1567"/>
      <c r="BD1567"/>
      <c r="BE1567"/>
      <c r="BF1567"/>
      <c r="BG1567"/>
      <c r="BH1567"/>
      <c r="BI1567"/>
      <c r="BJ1567"/>
      <c r="BK1567"/>
      <c r="BL1567"/>
      <c r="BM1567"/>
      <c r="BN1567"/>
      <c r="BO1567"/>
      <c r="BP1567"/>
      <c r="BQ1567"/>
      <c r="BR1567"/>
      <c r="BS1567"/>
      <c r="BT1567"/>
      <c r="BU1567"/>
      <c r="BV1567"/>
      <c r="BW1567"/>
      <c r="BX1567"/>
      <c r="BY1567"/>
      <c r="BZ1567"/>
      <c r="CA1567"/>
      <c r="CB1567"/>
      <c r="CC1567"/>
      <c r="CD1567"/>
      <c r="CE1567"/>
      <c r="CF1567"/>
      <c r="CG1567"/>
      <c r="CH1567"/>
    </row>
    <row r="1568" spans="1:86" x14ac:dyDescent="0.2">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c r="AU1568"/>
      <c r="AV1568"/>
      <c r="AW1568"/>
      <c r="AX1568"/>
      <c r="AY1568"/>
      <c r="AZ1568"/>
      <c r="BA1568"/>
      <c r="BB1568"/>
      <c r="BC1568"/>
      <c r="BD1568"/>
      <c r="BE1568"/>
      <c r="BF1568"/>
      <c r="BG1568"/>
      <c r="BH1568"/>
      <c r="BI1568"/>
      <c r="BJ1568"/>
      <c r="BK1568"/>
      <c r="BL1568"/>
      <c r="BM1568"/>
      <c r="BN1568"/>
      <c r="BO1568"/>
      <c r="BP1568"/>
      <c r="BQ1568"/>
      <c r="BR1568"/>
      <c r="BS1568"/>
      <c r="BT1568"/>
      <c r="BU1568"/>
      <c r="BV1568"/>
      <c r="BW1568"/>
      <c r="BX1568"/>
      <c r="BY1568"/>
      <c r="BZ1568"/>
      <c r="CA1568"/>
      <c r="CB1568"/>
      <c r="CC1568"/>
      <c r="CD1568"/>
      <c r="CE1568"/>
      <c r="CF1568"/>
      <c r="CG1568"/>
      <c r="CH1568"/>
    </row>
    <row r="1569" spans="1:86" x14ac:dyDescent="0.2">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c r="AU1569"/>
      <c r="AV1569"/>
      <c r="AW1569"/>
      <c r="AX1569"/>
      <c r="AY1569"/>
      <c r="AZ1569"/>
      <c r="BA1569"/>
      <c r="BB1569"/>
      <c r="BC1569"/>
      <c r="BD1569"/>
      <c r="BE1569"/>
      <c r="BF1569"/>
      <c r="BG1569"/>
      <c r="BH1569"/>
      <c r="BI1569"/>
      <c r="BJ1569"/>
      <c r="BK1569"/>
      <c r="BL1569"/>
      <c r="BM1569"/>
      <c r="BN1569"/>
      <c r="BO1569"/>
      <c r="BP1569"/>
      <c r="BQ1569"/>
      <c r="BR1569"/>
      <c r="BS1569"/>
      <c r="BT1569"/>
      <c r="BU1569"/>
      <c r="BV1569"/>
      <c r="BW1569"/>
      <c r="BX1569"/>
      <c r="BY1569"/>
      <c r="BZ1569"/>
      <c r="CA1569"/>
      <c r="CB1569"/>
      <c r="CC1569"/>
      <c r="CD1569"/>
      <c r="CE1569"/>
      <c r="CF1569"/>
      <c r="CG1569"/>
      <c r="CH1569"/>
    </row>
    <row r="1570" spans="1:86" x14ac:dyDescent="0.2">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c r="AU1570"/>
      <c r="AV1570"/>
      <c r="AW1570"/>
      <c r="AX1570"/>
      <c r="AY1570"/>
      <c r="AZ1570"/>
      <c r="BA1570"/>
      <c r="BB1570"/>
      <c r="BC1570"/>
      <c r="BD1570"/>
      <c r="BE1570"/>
      <c r="BF1570"/>
      <c r="BG1570"/>
      <c r="BH1570"/>
      <c r="BI1570"/>
      <c r="BJ1570"/>
      <c r="BK1570"/>
      <c r="BL1570"/>
      <c r="BM1570"/>
      <c r="BN1570"/>
      <c r="BO1570"/>
      <c r="BP1570"/>
      <c r="BQ1570"/>
      <c r="BR1570"/>
      <c r="BS1570"/>
      <c r="BT1570"/>
      <c r="BU1570"/>
      <c r="BV1570"/>
      <c r="BW1570"/>
      <c r="BX1570"/>
      <c r="BY1570"/>
      <c r="BZ1570"/>
      <c r="CA1570"/>
      <c r="CB1570"/>
      <c r="CC1570"/>
      <c r="CD1570"/>
      <c r="CE1570"/>
      <c r="CF1570"/>
      <c r="CG1570"/>
      <c r="CH1570"/>
    </row>
    <row r="1571" spans="1:86" x14ac:dyDescent="0.2">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c r="AU1571"/>
      <c r="AV1571"/>
      <c r="AW1571"/>
      <c r="AX1571"/>
      <c r="AY1571"/>
      <c r="AZ1571"/>
      <c r="BA1571"/>
      <c r="BB1571"/>
      <c r="BC1571"/>
      <c r="BD1571"/>
      <c r="BE1571"/>
      <c r="BF1571"/>
      <c r="BG1571"/>
      <c r="BH1571"/>
      <c r="BI1571"/>
      <c r="BJ1571"/>
      <c r="BK1571"/>
      <c r="BL1571"/>
      <c r="BM1571"/>
      <c r="BN1571"/>
      <c r="BO1571"/>
      <c r="BP1571"/>
      <c r="BQ1571"/>
      <c r="BR1571"/>
      <c r="BS1571"/>
      <c r="BT1571"/>
      <c r="BU1571"/>
      <c r="BV1571"/>
      <c r="BW1571"/>
      <c r="BX1571"/>
      <c r="BY1571"/>
      <c r="BZ1571"/>
      <c r="CA1571"/>
      <c r="CB1571"/>
      <c r="CC1571"/>
      <c r="CD1571"/>
      <c r="CE1571"/>
      <c r="CF1571"/>
      <c r="CG1571"/>
      <c r="CH1571"/>
    </row>
    <row r="1572" spans="1:86" x14ac:dyDescent="0.2">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c r="AU1572"/>
      <c r="AV1572"/>
      <c r="AW1572"/>
      <c r="AX1572"/>
      <c r="AY1572"/>
      <c r="AZ1572"/>
      <c r="BA1572"/>
      <c r="BB1572"/>
      <c r="BC1572"/>
      <c r="BD1572"/>
      <c r="BE1572"/>
      <c r="BF1572"/>
      <c r="BG1572"/>
      <c r="BH1572"/>
      <c r="BI1572"/>
      <c r="BJ1572"/>
      <c r="BK1572"/>
      <c r="BL1572"/>
      <c r="BM1572"/>
      <c r="BN1572"/>
      <c r="BO1572"/>
      <c r="BP1572"/>
      <c r="BQ1572"/>
      <c r="BR1572"/>
      <c r="BS1572"/>
      <c r="BT1572"/>
      <c r="BU1572"/>
      <c r="BV1572"/>
      <c r="BW1572"/>
      <c r="BX1572"/>
      <c r="BY1572"/>
      <c r="BZ1572"/>
      <c r="CA1572"/>
      <c r="CB1572"/>
      <c r="CC1572"/>
      <c r="CD1572"/>
      <c r="CE1572"/>
      <c r="CF1572"/>
      <c r="CG1572"/>
      <c r="CH1572"/>
    </row>
    <row r="1573" spans="1:86" x14ac:dyDescent="0.2">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c r="AU1573"/>
      <c r="AV1573"/>
      <c r="AW1573"/>
      <c r="AX1573"/>
      <c r="AY1573"/>
      <c r="AZ1573"/>
      <c r="BA1573"/>
      <c r="BB1573"/>
      <c r="BC1573"/>
      <c r="BD1573"/>
      <c r="BE1573"/>
      <c r="BF1573"/>
      <c r="BG1573"/>
      <c r="BH1573"/>
      <c r="BI1573"/>
      <c r="BJ1573"/>
      <c r="BK1573"/>
      <c r="BL1573"/>
      <c r="BM1573"/>
      <c r="BN1573"/>
      <c r="BO1573"/>
      <c r="BP1573"/>
      <c r="BQ1573"/>
      <c r="BR1573"/>
      <c r="BS1573"/>
      <c r="BT1573"/>
      <c r="BU1573"/>
      <c r="BV1573"/>
      <c r="BW1573"/>
      <c r="BX1573"/>
      <c r="BY1573"/>
      <c r="BZ1573"/>
      <c r="CA1573"/>
      <c r="CB1573"/>
      <c r="CC1573"/>
      <c r="CD1573"/>
      <c r="CE1573"/>
      <c r="CF1573"/>
      <c r="CG1573"/>
      <c r="CH1573"/>
    </row>
    <row r="1574" spans="1:86" x14ac:dyDescent="0.2">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c r="AU1574"/>
      <c r="AV1574"/>
      <c r="AW1574"/>
      <c r="AX1574"/>
      <c r="AY1574"/>
      <c r="AZ1574"/>
      <c r="BA1574"/>
      <c r="BB1574"/>
      <c r="BC1574"/>
      <c r="BD1574"/>
      <c r="BE1574"/>
      <c r="BF1574"/>
      <c r="BG1574"/>
      <c r="BH1574"/>
      <c r="BI1574"/>
      <c r="BJ1574"/>
      <c r="BK1574"/>
      <c r="BL1574"/>
      <c r="BM1574"/>
      <c r="BN1574"/>
      <c r="BO1574"/>
      <c r="BP1574"/>
      <c r="BQ1574"/>
      <c r="BR1574"/>
      <c r="BS1574"/>
      <c r="BT1574"/>
      <c r="BU1574"/>
      <c r="BV1574"/>
      <c r="BW1574"/>
      <c r="BX1574"/>
      <c r="BY1574"/>
      <c r="BZ1574"/>
      <c r="CA1574"/>
      <c r="CB1574"/>
      <c r="CC1574"/>
      <c r="CD1574"/>
      <c r="CE1574"/>
      <c r="CF1574"/>
      <c r="CG1574"/>
      <c r="CH1574"/>
    </row>
    <row r="1575" spans="1:86" x14ac:dyDescent="0.2">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c r="AU1575"/>
      <c r="AV1575"/>
      <c r="AW1575"/>
      <c r="AX1575"/>
      <c r="AY1575"/>
      <c r="AZ1575"/>
      <c r="BA1575"/>
      <c r="BB1575"/>
      <c r="BC1575"/>
      <c r="BD1575"/>
      <c r="BE1575"/>
      <c r="BF1575"/>
      <c r="BG1575"/>
      <c r="BH1575"/>
      <c r="BI1575"/>
      <c r="BJ1575"/>
      <c r="BK1575"/>
      <c r="BL1575"/>
      <c r="BM1575"/>
      <c r="BN1575"/>
      <c r="BO1575"/>
      <c r="BP1575"/>
      <c r="BQ1575"/>
      <c r="BR1575"/>
      <c r="BS1575"/>
      <c r="BT1575"/>
      <c r="BU1575"/>
      <c r="BV1575"/>
      <c r="BW1575"/>
      <c r="BX1575"/>
      <c r="BY1575"/>
      <c r="BZ1575"/>
      <c r="CA1575"/>
      <c r="CB1575"/>
      <c r="CC1575"/>
      <c r="CD1575"/>
      <c r="CE1575"/>
      <c r="CF1575"/>
      <c r="CG1575"/>
      <c r="CH1575"/>
    </row>
    <row r="1576" spans="1:86" x14ac:dyDescent="0.2">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c r="AU1576"/>
      <c r="AV1576"/>
      <c r="AW1576"/>
      <c r="AX1576"/>
      <c r="AY1576"/>
      <c r="AZ1576"/>
      <c r="BA1576"/>
      <c r="BB1576"/>
      <c r="BC1576"/>
      <c r="BD1576"/>
      <c r="BE1576"/>
      <c r="BF1576"/>
      <c r="BG1576"/>
      <c r="BH1576"/>
      <c r="BI1576"/>
      <c r="BJ1576"/>
      <c r="BK1576"/>
      <c r="BL1576"/>
      <c r="BM1576"/>
      <c r="BN1576"/>
      <c r="BO1576"/>
      <c r="BP1576"/>
      <c r="BQ1576"/>
      <c r="BR1576"/>
      <c r="BS1576"/>
      <c r="BT1576"/>
      <c r="BU1576"/>
      <c r="BV1576"/>
      <c r="BW1576"/>
      <c r="BX1576"/>
      <c r="BY1576"/>
      <c r="BZ1576"/>
      <c r="CA1576"/>
      <c r="CB1576"/>
      <c r="CC1576"/>
      <c r="CD1576"/>
      <c r="CE1576"/>
      <c r="CF1576"/>
      <c r="CG1576"/>
      <c r="CH1576"/>
    </row>
    <row r="1577" spans="1:86" x14ac:dyDescent="0.2">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c r="AU1577"/>
      <c r="AV1577"/>
      <c r="AW1577"/>
      <c r="AX1577"/>
      <c r="AY1577"/>
      <c r="AZ1577"/>
      <c r="BA1577"/>
      <c r="BB1577"/>
      <c r="BC1577"/>
      <c r="BD1577"/>
      <c r="BE1577"/>
      <c r="BF1577"/>
      <c r="BG1577"/>
      <c r="BH1577"/>
      <c r="BI1577"/>
      <c r="BJ1577"/>
      <c r="BK1577"/>
      <c r="BL1577"/>
      <c r="BM1577"/>
      <c r="BN1577"/>
      <c r="BO1577"/>
      <c r="BP1577"/>
      <c r="BQ1577"/>
      <c r="BR1577"/>
      <c r="BS1577"/>
      <c r="BT1577"/>
      <c r="BU1577"/>
      <c r="BV1577"/>
      <c r="BW1577"/>
      <c r="BX1577"/>
      <c r="BY1577"/>
      <c r="BZ1577"/>
      <c r="CA1577"/>
      <c r="CB1577"/>
      <c r="CC1577"/>
      <c r="CD1577"/>
      <c r="CE1577"/>
      <c r="CF1577"/>
      <c r="CG1577"/>
      <c r="CH1577"/>
    </row>
    <row r="1578" spans="1:86" x14ac:dyDescent="0.2">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c r="AU1578"/>
      <c r="AV1578"/>
      <c r="AW1578"/>
      <c r="AX1578"/>
      <c r="AY1578"/>
      <c r="AZ1578"/>
      <c r="BA1578"/>
      <c r="BB1578"/>
      <c r="BC1578"/>
      <c r="BD1578"/>
      <c r="BE1578"/>
      <c r="BF1578"/>
      <c r="BG1578"/>
      <c r="BH1578"/>
      <c r="BI1578"/>
      <c r="BJ1578"/>
      <c r="BK1578"/>
      <c r="BL1578"/>
      <c r="BM1578"/>
      <c r="BN1578"/>
      <c r="BO1578"/>
      <c r="BP1578"/>
      <c r="BQ1578"/>
      <c r="BR1578"/>
      <c r="BS1578"/>
      <c r="BT1578"/>
      <c r="BU1578"/>
      <c r="BV1578"/>
      <c r="BW1578"/>
      <c r="BX1578"/>
      <c r="BY1578"/>
      <c r="BZ1578"/>
      <c r="CA1578"/>
      <c r="CB1578"/>
      <c r="CC1578"/>
      <c r="CD1578"/>
      <c r="CE1578"/>
      <c r="CF1578"/>
      <c r="CG1578"/>
      <c r="CH1578"/>
    </row>
    <row r="1579" spans="1:86" x14ac:dyDescent="0.2">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c r="AU1579"/>
      <c r="AV1579"/>
      <c r="AW1579"/>
      <c r="AX1579"/>
      <c r="AY1579"/>
      <c r="AZ1579"/>
      <c r="BA1579"/>
      <c r="BB1579"/>
      <c r="BC1579"/>
      <c r="BD1579"/>
      <c r="BE1579"/>
      <c r="BF1579"/>
      <c r="BG1579"/>
      <c r="BH1579"/>
      <c r="BI1579"/>
      <c r="BJ1579"/>
      <c r="BK1579"/>
      <c r="BL1579"/>
      <c r="BM1579"/>
      <c r="BN1579"/>
      <c r="BO1579"/>
      <c r="BP1579"/>
      <c r="BQ1579"/>
      <c r="BR1579"/>
      <c r="BS1579"/>
      <c r="BT1579"/>
      <c r="BU1579"/>
      <c r="BV1579"/>
      <c r="BW1579"/>
      <c r="BX1579"/>
      <c r="BY1579"/>
      <c r="BZ1579"/>
      <c r="CA1579"/>
      <c r="CB1579"/>
      <c r="CC1579"/>
      <c r="CD1579"/>
      <c r="CE1579"/>
      <c r="CF1579"/>
      <c r="CG1579"/>
      <c r="CH1579"/>
    </row>
    <row r="1580" spans="1:86" x14ac:dyDescent="0.2">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c r="AU1580"/>
      <c r="AV1580"/>
      <c r="AW1580"/>
      <c r="AX1580"/>
      <c r="AY1580"/>
      <c r="AZ1580"/>
      <c r="BA1580"/>
      <c r="BB1580"/>
      <c r="BC1580"/>
      <c r="BD1580"/>
      <c r="BE1580"/>
      <c r="BF1580"/>
      <c r="BG1580"/>
      <c r="BH1580"/>
      <c r="BI1580"/>
      <c r="BJ1580"/>
      <c r="BK1580"/>
      <c r="BL1580"/>
      <c r="BM1580"/>
      <c r="BN1580"/>
      <c r="BO1580"/>
      <c r="BP1580"/>
      <c r="BQ1580"/>
      <c r="BR1580"/>
      <c r="BS1580"/>
      <c r="BT1580"/>
      <c r="BU1580"/>
      <c r="BV1580"/>
      <c r="BW1580"/>
      <c r="BX1580"/>
      <c r="BY1580"/>
      <c r="BZ1580"/>
      <c r="CA1580"/>
      <c r="CB1580"/>
      <c r="CC1580"/>
      <c r="CD1580"/>
      <c r="CE1580"/>
      <c r="CF1580"/>
      <c r="CG1580"/>
      <c r="CH1580"/>
    </row>
    <row r="1581" spans="1:86" x14ac:dyDescent="0.2">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c r="AU1581"/>
      <c r="AV1581"/>
      <c r="AW1581"/>
      <c r="AX1581"/>
      <c r="AY1581"/>
      <c r="AZ1581"/>
      <c r="BA1581"/>
      <c r="BB1581"/>
      <c r="BC1581"/>
      <c r="BD1581"/>
      <c r="BE1581"/>
      <c r="BF1581"/>
      <c r="BG1581"/>
      <c r="BH1581"/>
      <c r="BI1581"/>
      <c r="BJ1581"/>
      <c r="BK1581"/>
      <c r="BL1581"/>
      <c r="BM1581"/>
      <c r="BN1581"/>
      <c r="BO1581"/>
      <c r="BP1581"/>
      <c r="BQ1581"/>
      <c r="BR1581"/>
      <c r="BS1581"/>
      <c r="BT1581"/>
      <c r="BU1581"/>
      <c r="BV1581"/>
      <c r="BW1581"/>
      <c r="BX1581"/>
      <c r="BY1581"/>
      <c r="BZ1581"/>
      <c r="CA1581"/>
      <c r="CB1581"/>
      <c r="CC1581"/>
      <c r="CD1581"/>
      <c r="CE1581"/>
      <c r="CF1581"/>
      <c r="CG1581"/>
      <c r="CH1581"/>
    </row>
    <row r="1582" spans="1:86" x14ac:dyDescent="0.2">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c r="AU1582"/>
      <c r="AV1582"/>
      <c r="AW1582"/>
      <c r="AX1582"/>
      <c r="AY1582"/>
      <c r="AZ1582"/>
      <c r="BA1582"/>
      <c r="BB1582"/>
      <c r="BC1582"/>
      <c r="BD1582"/>
      <c r="BE1582"/>
      <c r="BF1582"/>
      <c r="BG1582"/>
      <c r="BH1582"/>
      <c r="BI1582"/>
      <c r="BJ1582"/>
      <c r="BK1582"/>
      <c r="BL1582"/>
      <c r="BM1582"/>
      <c r="BN1582"/>
      <c r="BO1582"/>
      <c r="BP1582"/>
      <c r="BQ1582"/>
      <c r="BR1582"/>
      <c r="BS1582"/>
      <c r="BT1582"/>
      <c r="BU1582"/>
      <c r="BV1582"/>
      <c r="BW1582"/>
      <c r="BX1582"/>
      <c r="BY1582"/>
      <c r="BZ1582"/>
      <c r="CA1582"/>
      <c r="CB1582"/>
      <c r="CC1582"/>
      <c r="CD1582"/>
      <c r="CE1582"/>
      <c r="CF1582"/>
      <c r="CG1582"/>
      <c r="CH1582"/>
    </row>
    <row r="1583" spans="1:86" x14ac:dyDescent="0.2">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c r="AU1583"/>
      <c r="AV1583"/>
      <c r="AW1583"/>
      <c r="AX1583"/>
      <c r="AY1583"/>
      <c r="AZ1583"/>
      <c r="BA1583"/>
      <c r="BB1583"/>
      <c r="BC1583"/>
      <c r="BD1583"/>
      <c r="BE1583"/>
      <c r="BF1583"/>
      <c r="BG1583"/>
      <c r="BH1583"/>
      <c r="BI1583"/>
      <c r="BJ1583"/>
      <c r="BK1583"/>
      <c r="BL1583"/>
      <c r="BM1583"/>
      <c r="BN1583"/>
      <c r="BO1583"/>
      <c r="BP1583"/>
      <c r="BQ1583"/>
      <c r="BR1583"/>
      <c r="BS1583"/>
      <c r="BT1583"/>
      <c r="BU1583"/>
      <c r="BV1583"/>
      <c r="BW1583"/>
      <c r="BX1583"/>
      <c r="BY1583"/>
      <c r="BZ1583"/>
      <c r="CA1583"/>
      <c r="CB1583"/>
      <c r="CC1583"/>
      <c r="CD1583"/>
      <c r="CE1583"/>
      <c r="CF1583"/>
      <c r="CG1583"/>
      <c r="CH1583"/>
    </row>
    <row r="1584" spans="1:86" x14ac:dyDescent="0.2">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c r="AU1584"/>
      <c r="AV1584"/>
      <c r="AW1584"/>
      <c r="AX1584"/>
      <c r="AY1584"/>
      <c r="AZ1584"/>
      <c r="BA1584"/>
      <c r="BB1584"/>
      <c r="BC1584"/>
      <c r="BD1584"/>
      <c r="BE1584"/>
      <c r="BF1584"/>
      <c r="BG1584"/>
      <c r="BH1584"/>
      <c r="BI1584"/>
      <c r="BJ1584"/>
      <c r="BK1584"/>
      <c r="BL1584"/>
      <c r="BM1584"/>
      <c r="BN1584"/>
      <c r="BO1584"/>
      <c r="BP1584"/>
      <c r="BQ1584"/>
      <c r="BR1584"/>
      <c r="BS1584"/>
      <c r="BT1584"/>
      <c r="BU1584"/>
      <c r="BV1584"/>
      <c r="BW1584"/>
      <c r="BX1584"/>
      <c r="BY1584"/>
      <c r="BZ1584"/>
      <c r="CA1584"/>
      <c r="CB1584"/>
      <c r="CC1584"/>
      <c r="CD1584"/>
      <c r="CE1584"/>
      <c r="CF1584"/>
      <c r="CG1584"/>
      <c r="CH1584"/>
    </row>
    <row r="1585" spans="1:86" x14ac:dyDescent="0.2">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c r="AU1585"/>
      <c r="AV1585"/>
      <c r="AW1585"/>
      <c r="AX1585"/>
      <c r="AY1585"/>
      <c r="AZ1585"/>
      <c r="BA1585"/>
      <c r="BB1585"/>
      <c r="BC1585"/>
      <c r="BD1585"/>
      <c r="BE1585"/>
      <c r="BF1585"/>
      <c r="BG1585"/>
      <c r="BH1585"/>
      <c r="BI1585"/>
      <c r="BJ1585"/>
      <c r="BK1585"/>
      <c r="BL1585"/>
      <c r="BM1585"/>
      <c r="BN1585"/>
      <c r="BO1585"/>
      <c r="BP1585"/>
      <c r="BQ1585"/>
      <c r="BR1585"/>
      <c r="BS1585"/>
      <c r="BT1585"/>
      <c r="BU1585"/>
      <c r="BV1585"/>
      <c r="BW1585"/>
      <c r="BX1585"/>
      <c r="BY1585"/>
      <c r="BZ1585"/>
      <c r="CA1585"/>
      <c r="CB1585"/>
      <c r="CC1585"/>
      <c r="CD1585"/>
      <c r="CE1585"/>
      <c r="CF1585"/>
      <c r="CG1585"/>
      <c r="CH1585"/>
    </row>
    <row r="1586" spans="1:86" x14ac:dyDescent="0.2">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c r="AU1586"/>
      <c r="AV1586"/>
      <c r="AW1586"/>
      <c r="AX1586"/>
      <c r="AY1586"/>
      <c r="AZ1586"/>
      <c r="BA1586"/>
      <c r="BB1586"/>
      <c r="BC1586"/>
      <c r="BD1586"/>
      <c r="BE1586"/>
      <c r="BF1586"/>
      <c r="BG1586"/>
      <c r="BH1586"/>
      <c r="BI1586"/>
      <c r="BJ1586"/>
      <c r="BK1586"/>
      <c r="BL1586"/>
      <c r="BM1586"/>
      <c r="BN1586"/>
      <c r="BO1586"/>
      <c r="BP1586"/>
      <c r="BQ1586"/>
      <c r="BR1586"/>
      <c r="BS1586"/>
      <c r="BT1586"/>
      <c r="BU1586"/>
      <c r="BV1586"/>
      <c r="BW1586"/>
      <c r="BX1586"/>
      <c r="BY1586"/>
      <c r="BZ1586"/>
      <c r="CA1586"/>
      <c r="CB1586"/>
      <c r="CC1586"/>
      <c r="CD1586"/>
      <c r="CE1586"/>
      <c r="CF1586"/>
      <c r="CG1586"/>
      <c r="CH1586"/>
    </row>
    <row r="1587" spans="1:86" x14ac:dyDescent="0.2">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c r="AU1587"/>
      <c r="AV1587"/>
      <c r="AW1587"/>
      <c r="AX1587"/>
      <c r="AY1587"/>
      <c r="AZ1587"/>
      <c r="BA1587"/>
      <c r="BB1587"/>
      <c r="BC1587"/>
      <c r="BD1587"/>
      <c r="BE1587"/>
      <c r="BF1587"/>
      <c r="BG1587"/>
      <c r="BH1587"/>
      <c r="BI1587"/>
      <c r="BJ1587"/>
      <c r="BK1587"/>
      <c r="BL1587"/>
      <c r="BM1587"/>
      <c r="BN1587"/>
      <c r="BO1587"/>
      <c r="BP1587"/>
      <c r="BQ1587"/>
      <c r="BR1587"/>
      <c r="BS1587"/>
      <c r="BT1587"/>
      <c r="BU1587"/>
      <c r="BV1587"/>
      <c r="BW1587"/>
      <c r="BX1587"/>
      <c r="BY1587"/>
      <c r="BZ1587"/>
      <c r="CA1587"/>
      <c r="CB1587"/>
      <c r="CC1587"/>
      <c r="CD1587"/>
      <c r="CE1587"/>
      <c r="CF1587"/>
      <c r="CG1587"/>
      <c r="CH1587"/>
    </row>
    <row r="1588" spans="1:86" x14ac:dyDescent="0.2">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c r="AU1588"/>
      <c r="AV1588"/>
      <c r="AW1588"/>
      <c r="AX1588"/>
      <c r="AY1588"/>
      <c r="AZ1588"/>
      <c r="BA1588"/>
      <c r="BB1588"/>
      <c r="BC1588"/>
      <c r="BD1588"/>
      <c r="BE1588"/>
      <c r="BF1588"/>
      <c r="BG1588"/>
      <c r="BH1588"/>
      <c r="BI1588"/>
      <c r="BJ1588"/>
      <c r="BK1588"/>
      <c r="BL1588"/>
      <c r="BM1588"/>
      <c r="BN1588"/>
      <c r="BO1588"/>
      <c r="BP1588"/>
      <c r="BQ1588"/>
      <c r="BR1588"/>
      <c r="BS1588"/>
      <c r="BT1588"/>
      <c r="BU1588"/>
      <c r="BV1588"/>
      <c r="BW1588"/>
      <c r="BX1588"/>
      <c r="BY1588"/>
      <c r="BZ1588"/>
      <c r="CA1588"/>
      <c r="CB1588"/>
      <c r="CC1588"/>
      <c r="CD1588"/>
      <c r="CE1588"/>
      <c r="CF1588"/>
      <c r="CG1588"/>
      <c r="CH1588"/>
    </row>
    <row r="1589" spans="1:86" x14ac:dyDescent="0.2">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c r="AU1589"/>
      <c r="AV1589"/>
      <c r="AW1589"/>
      <c r="AX1589"/>
      <c r="AY1589"/>
      <c r="AZ1589"/>
      <c r="BA1589"/>
      <c r="BB1589"/>
      <c r="BC1589"/>
      <c r="BD1589"/>
      <c r="BE1589"/>
      <c r="BF1589"/>
      <c r="BG1589"/>
      <c r="BH1589"/>
      <c r="BI1589"/>
      <c r="BJ1589"/>
      <c r="BK1589"/>
      <c r="BL1589"/>
      <c r="BM1589"/>
      <c r="BN1589"/>
      <c r="BO1589"/>
      <c r="BP1589"/>
      <c r="BQ1589"/>
      <c r="BR1589"/>
      <c r="BS1589"/>
      <c r="BT1589"/>
      <c r="BU1589"/>
      <c r="BV1589"/>
      <c r="BW1589"/>
      <c r="BX1589"/>
      <c r="BY1589"/>
      <c r="BZ1589"/>
      <c r="CA1589"/>
      <c r="CB1589"/>
      <c r="CC1589"/>
      <c r="CD1589"/>
      <c r="CE1589"/>
      <c r="CF1589"/>
      <c r="CG1589"/>
      <c r="CH1589"/>
    </row>
    <row r="1590" spans="1:86" x14ac:dyDescent="0.2">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c r="AU1590"/>
      <c r="AV1590"/>
      <c r="AW1590"/>
      <c r="AX1590"/>
      <c r="AY1590"/>
      <c r="AZ1590"/>
      <c r="BA1590"/>
      <c r="BB1590"/>
      <c r="BC1590"/>
      <c r="BD1590"/>
      <c r="BE1590"/>
      <c r="BF1590"/>
      <c r="BG1590"/>
      <c r="BH1590"/>
      <c r="BI1590"/>
      <c r="BJ1590"/>
      <c r="BK1590"/>
      <c r="BL1590"/>
      <c r="BM1590"/>
      <c r="BN1590"/>
      <c r="BO1590"/>
      <c r="BP1590"/>
      <c r="BQ1590"/>
      <c r="BR1590"/>
      <c r="BS1590"/>
      <c r="BT1590"/>
      <c r="BU1590"/>
      <c r="BV1590"/>
      <c r="BW1590"/>
      <c r="BX1590"/>
      <c r="BY1590"/>
      <c r="BZ1590"/>
      <c r="CA1590"/>
      <c r="CB1590"/>
      <c r="CC1590"/>
      <c r="CD1590"/>
      <c r="CE1590"/>
      <c r="CF1590"/>
      <c r="CG1590"/>
      <c r="CH1590"/>
    </row>
    <row r="1591" spans="1:86" x14ac:dyDescent="0.2">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c r="AU1591"/>
      <c r="AV1591"/>
      <c r="AW1591"/>
      <c r="AX1591"/>
      <c r="AY1591"/>
      <c r="AZ1591"/>
      <c r="BA1591"/>
      <c r="BB1591"/>
      <c r="BC1591"/>
      <c r="BD1591"/>
      <c r="BE1591"/>
      <c r="BF1591"/>
      <c r="BG1591"/>
      <c r="BH1591"/>
      <c r="BI1591"/>
      <c r="BJ1591"/>
      <c r="BK1591"/>
      <c r="BL1591"/>
      <c r="BM1591"/>
      <c r="BN1591"/>
      <c r="BO1591"/>
      <c r="BP1591"/>
      <c r="BQ1591"/>
      <c r="BR1591"/>
      <c r="BS1591"/>
      <c r="BT1591"/>
      <c r="BU1591"/>
      <c r="BV1591"/>
      <c r="BW1591"/>
      <c r="BX1591"/>
      <c r="BY1591"/>
      <c r="BZ1591"/>
      <c r="CA1591"/>
      <c r="CB1591"/>
      <c r="CC1591"/>
      <c r="CD1591"/>
      <c r="CE1591"/>
      <c r="CF1591"/>
      <c r="CG1591"/>
      <c r="CH1591"/>
    </row>
    <row r="1592" spans="1:86" x14ac:dyDescent="0.2">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c r="AU1592"/>
      <c r="AV1592"/>
      <c r="AW1592"/>
      <c r="AX1592"/>
      <c r="AY1592"/>
      <c r="AZ1592"/>
      <c r="BA1592"/>
      <c r="BB1592"/>
      <c r="BC1592"/>
      <c r="BD1592"/>
      <c r="BE1592"/>
      <c r="BF1592"/>
      <c r="BG1592"/>
      <c r="BH1592"/>
      <c r="BI1592"/>
      <c r="BJ1592"/>
      <c r="BK1592"/>
      <c r="BL1592"/>
      <c r="BM1592"/>
      <c r="BN1592"/>
      <c r="BO1592"/>
      <c r="BP1592"/>
      <c r="BQ1592"/>
      <c r="BR1592"/>
      <c r="BS1592"/>
      <c r="BT1592"/>
      <c r="BU1592"/>
      <c r="BV1592"/>
      <c r="BW1592"/>
      <c r="BX1592"/>
      <c r="BY1592"/>
      <c r="BZ1592"/>
      <c r="CA1592"/>
      <c r="CB1592"/>
      <c r="CC1592"/>
      <c r="CD1592"/>
      <c r="CE1592"/>
      <c r="CF1592"/>
      <c r="CG1592"/>
      <c r="CH1592"/>
    </row>
    <row r="1593" spans="1:86" x14ac:dyDescent="0.2">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c r="AU1593"/>
      <c r="AV1593"/>
      <c r="AW1593"/>
      <c r="AX1593"/>
      <c r="AY1593"/>
      <c r="AZ1593"/>
      <c r="BA1593"/>
      <c r="BB1593"/>
      <c r="BC1593"/>
      <c r="BD1593"/>
      <c r="BE1593"/>
      <c r="BF1593"/>
      <c r="BG1593"/>
      <c r="BH1593"/>
      <c r="BI1593"/>
      <c r="BJ1593"/>
      <c r="BK1593"/>
      <c r="BL1593"/>
      <c r="BM1593"/>
      <c r="BN1593"/>
      <c r="BO1593"/>
      <c r="BP1593"/>
      <c r="BQ1593"/>
      <c r="BR1593"/>
      <c r="BS1593"/>
      <c r="BT1593"/>
      <c r="BU1593"/>
      <c r="BV1593"/>
      <c r="BW1593"/>
      <c r="BX1593"/>
      <c r="BY1593"/>
      <c r="BZ1593"/>
      <c r="CA1593"/>
      <c r="CB1593"/>
      <c r="CC1593"/>
      <c r="CD1593"/>
      <c r="CE1593"/>
      <c r="CF1593"/>
      <c r="CG1593"/>
      <c r="CH1593"/>
    </row>
    <row r="1594" spans="1:86" x14ac:dyDescent="0.2">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c r="AU1594"/>
      <c r="AV1594"/>
      <c r="AW1594"/>
      <c r="AX1594"/>
      <c r="AY1594"/>
      <c r="AZ1594"/>
      <c r="BA1594"/>
      <c r="BB1594"/>
      <c r="BC1594"/>
      <c r="BD1594"/>
      <c r="BE1594"/>
      <c r="BF1594"/>
      <c r="BG1594"/>
      <c r="BH1594"/>
      <c r="BI1594"/>
      <c r="BJ1594"/>
      <c r="BK1594"/>
      <c r="BL1594"/>
      <c r="BM1594"/>
      <c r="BN1594"/>
      <c r="BO1594"/>
      <c r="BP1594"/>
      <c r="BQ1594"/>
      <c r="BR1594"/>
      <c r="BS1594"/>
      <c r="BT1594"/>
      <c r="BU1594"/>
      <c r="BV1594"/>
      <c r="BW1594"/>
      <c r="BX1594"/>
      <c r="BY1594"/>
      <c r="BZ1594"/>
      <c r="CA1594"/>
      <c r="CB1594"/>
      <c r="CC1594"/>
      <c r="CD1594"/>
      <c r="CE1594"/>
      <c r="CF1594"/>
      <c r="CG1594"/>
      <c r="CH1594"/>
    </row>
    <row r="1595" spans="1:86" x14ac:dyDescent="0.2">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c r="AU1595"/>
      <c r="AV1595"/>
      <c r="AW1595"/>
      <c r="AX1595"/>
      <c r="AY1595"/>
      <c r="AZ1595"/>
      <c r="BA1595"/>
      <c r="BB1595"/>
      <c r="BC1595"/>
      <c r="BD1595"/>
      <c r="BE1595"/>
      <c r="BF1595"/>
      <c r="BG1595"/>
      <c r="BH1595"/>
      <c r="BI1595"/>
      <c r="BJ1595"/>
      <c r="BK1595"/>
      <c r="BL1595"/>
      <c r="BM1595"/>
      <c r="BN1595"/>
      <c r="BO1595"/>
      <c r="BP1595"/>
      <c r="BQ1595"/>
      <c r="BR1595"/>
      <c r="BS1595"/>
      <c r="BT1595"/>
      <c r="BU1595"/>
      <c r="BV1595"/>
      <c r="BW1595"/>
      <c r="BX1595"/>
      <c r="BY1595"/>
      <c r="BZ1595"/>
      <c r="CA1595"/>
      <c r="CB1595"/>
      <c r="CC1595"/>
      <c r="CD1595"/>
      <c r="CE1595"/>
      <c r="CF1595"/>
      <c r="CG1595"/>
      <c r="CH1595"/>
    </row>
    <row r="1596" spans="1:86" x14ac:dyDescent="0.2">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c r="AU1596"/>
      <c r="AV1596"/>
      <c r="AW1596"/>
      <c r="AX1596"/>
      <c r="AY1596"/>
      <c r="AZ1596"/>
      <c r="BA1596"/>
      <c r="BB1596"/>
      <c r="BC1596"/>
      <c r="BD1596"/>
      <c r="BE1596"/>
      <c r="BF1596"/>
      <c r="BG1596"/>
      <c r="BH1596"/>
      <c r="BI1596"/>
      <c r="BJ1596"/>
      <c r="BK1596"/>
      <c r="BL1596"/>
      <c r="BM1596"/>
      <c r="BN1596"/>
      <c r="BO1596"/>
      <c r="BP1596"/>
      <c r="BQ1596"/>
      <c r="BR1596"/>
      <c r="BS1596"/>
      <c r="BT1596"/>
      <c r="BU1596"/>
      <c r="BV1596"/>
      <c r="BW1596"/>
      <c r="BX1596"/>
      <c r="BY1596"/>
      <c r="BZ1596"/>
      <c r="CA1596"/>
      <c r="CB1596"/>
      <c r="CC1596"/>
      <c r="CD1596"/>
      <c r="CE1596"/>
      <c r="CF1596"/>
      <c r="CG1596"/>
      <c r="CH1596"/>
    </row>
    <row r="1597" spans="1:86" x14ac:dyDescent="0.2">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c r="AU1597"/>
      <c r="AV1597"/>
      <c r="AW1597"/>
      <c r="AX1597"/>
      <c r="AY1597"/>
      <c r="AZ1597"/>
      <c r="BA1597"/>
      <c r="BB1597"/>
      <c r="BC1597"/>
      <c r="BD1597"/>
      <c r="BE1597"/>
      <c r="BF1597"/>
      <c r="BG1597"/>
      <c r="BH1597"/>
      <c r="BI1597"/>
      <c r="BJ1597"/>
      <c r="BK1597"/>
      <c r="BL1597"/>
      <c r="BM1597"/>
      <c r="BN1597"/>
      <c r="BO1597"/>
      <c r="BP1597"/>
      <c r="BQ1597"/>
      <c r="BR1597"/>
      <c r="BS1597"/>
      <c r="BT1597"/>
      <c r="BU1597"/>
      <c r="BV1597"/>
      <c r="BW1597"/>
      <c r="BX1597"/>
      <c r="BY1597"/>
      <c r="BZ1597"/>
      <c r="CA1597"/>
      <c r="CB1597"/>
      <c r="CC1597"/>
      <c r="CD1597"/>
      <c r="CE1597"/>
      <c r="CF1597"/>
      <c r="CG1597"/>
      <c r="CH1597"/>
    </row>
    <row r="1598" spans="1:86" x14ac:dyDescent="0.2">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c r="AU1598"/>
      <c r="AV1598"/>
      <c r="AW1598"/>
      <c r="AX1598"/>
      <c r="AY1598"/>
      <c r="AZ1598"/>
      <c r="BA1598"/>
      <c r="BB1598"/>
      <c r="BC1598"/>
      <c r="BD1598"/>
      <c r="BE1598"/>
      <c r="BF1598"/>
      <c r="BG1598"/>
      <c r="BH1598"/>
      <c r="BI1598"/>
      <c r="BJ1598"/>
      <c r="BK1598"/>
      <c r="BL1598"/>
      <c r="BM1598"/>
      <c r="BN1598"/>
      <c r="BO1598"/>
      <c r="BP1598"/>
      <c r="BQ1598"/>
      <c r="BR1598"/>
      <c r="BS1598"/>
      <c r="BT1598"/>
      <c r="BU1598"/>
      <c r="BV1598"/>
      <c r="BW1598"/>
      <c r="BX1598"/>
      <c r="BY1598"/>
      <c r="BZ1598"/>
      <c r="CA1598"/>
      <c r="CB1598"/>
      <c r="CC1598"/>
      <c r="CD1598"/>
      <c r="CE1598"/>
      <c r="CF1598"/>
      <c r="CG1598"/>
      <c r="CH1598"/>
    </row>
    <row r="1599" spans="1:86" x14ac:dyDescent="0.2">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c r="AU1599"/>
      <c r="AV1599"/>
      <c r="AW1599"/>
      <c r="AX1599"/>
      <c r="AY1599"/>
      <c r="AZ1599"/>
      <c r="BA1599"/>
      <c r="BB1599"/>
      <c r="BC1599"/>
      <c r="BD1599"/>
      <c r="BE1599"/>
      <c r="BF1599"/>
      <c r="BG1599"/>
      <c r="BH1599"/>
      <c r="BI1599"/>
      <c r="BJ1599"/>
      <c r="BK1599"/>
      <c r="BL1599"/>
      <c r="BM1599"/>
      <c r="BN1599"/>
      <c r="BO1599"/>
      <c r="BP1599"/>
      <c r="BQ1599"/>
      <c r="BR1599"/>
      <c r="BS1599"/>
      <c r="BT1599"/>
      <c r="BU1599"/>
      <c r="BV1599"/>
      <c r="BW1599"/>
      <c r="BX1599"/>
      <c r="BY1599"/>
      <c r="BZ1599"/>
      <c r="CA1599"/>
      <c r="CB1599"/>
      <c r="CC1599"/>
      <c r="CD1599"/>
      <c r="CE1599"/>
      <c r="CF1599"/>
      <c r="CG1599"/>
      <c r="CH1599"/>
    </row>
    <row r="1600" spans="1:86" x14ac:dyDescent="0.2">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c r="AU1600"/>
      <c r="AV1600"/>
      <c r="AW1600"/>
      <c r="AX1600"/>
      <c r="AY1600"/>
      <c r="AZ1600"/>
      <c r="BA1600"/>
      <c r="BB1600"/>
      <c r="BC1600"/>
      <c r="BD1600"/>
      <c r="BE1600"/>
      <c r="BF1600"/>
      <c r="BG1600"/>
      <c r="BH1600"/>
      <c r="BI1600"/>
      <c r="BJ1600"/>
      <c r="BK1600"/>
      <c r="BL1600"/>
      <c r="BM1600"/>
      <c r="BN1600"/>
      <c r="BO1600"/>
      <c r="BP1600"/>
      <c r="BQ1600"/>
      <c r="BR1600"/>
      <c r="BS1600"/>
      <c r="BT1600"/>
      <c r="BU1600"/>
      <c r="BV1600"/>
      <c r="BW1600"/>
      <c r="BX1600"/>
      <c r="BY1600"/>
      <c r="BZ1600"/>
      <c r="CA1600"/>
      <c r="CB1600"/>
      <c r="CC1600"/>
      <c r="CD1600"/>
      <c r="CE1600"/>
      <c r="CF1600"/>
      <c r="CG1600"/>
      <c r="CH1600"/>
    </row>
    <row r="1601" spans="1:86" x14ac:dyDescent="0.2">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c r="AU1601"/>
      <c r="AV1601"/>
      <c r="AW1601"/>
      <c r="AX1601"/>
      <c r="AY1601"/>
      <c r="AZ1601"/>
      <c r="BA1601"/>
      <c r="BB1601"/>
      <c r="BC1601"/>
      <c r="BD1601"/>
      <c r="BE1601"/>
      <c r="BF1601"/>
      <c r="BG1601"/>
      <c r="BH1601"/>
      <c r="BI1601"/>
      <c r="BJ1601"/>
      <c r="BK1601"/>
      <c r="BL1601"/>
      <c r="BM1601"/>
      <c r="BN1601"/>
      <c r="BO1601"/>
      <c r="BP1601"/>
      <c r="BQ1601"/>
      <c r="BR1601"/>
      <c r="BS1601"/>
      <c r="BT1601"/>
      <c r="BU1601"/>
      <c r="BV1601"/>
      <c r="BW1601"/>
      <c r="BX1601"/>
      <c r="BY1601"/>
      <c r="BZ1601"/>
      <c r="CA1601"/>
      <c r="CB1601"/>
      <c r="CC1601"/>
      <c r="CD1601"/>
      <c r="CE1601"/>
      <c r="CF1601"/>
      <c r="CG1601"/>
      <c r="CH1601"/>
    </row>
    <row r="1602" spans="1:86" x14ac:dyDescent="0.2">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c r="AU1602"/>
      <c r="AV1602"/>
      <c r="AW1602"/>
      <c r="AX1602"/>
      <c r="AY1602"/>
      <c r="AZ1602"/>
      <c r="BA1602"/>
      <c r="BB1602"/>
      <c r="BC1602"/>
      <c r="BD1602"/>
      <c r="BE1602"/>
      <c r="BF1602"/>
      <c r="BG1602"/>
      <c r="BH1602"/>
      <c r="BI1602"/>
      <c r="BJ1602"/>
      <c r="BK1602"/>
      <c r="BL1602"/>
      <c r="BM1602"/>
      <c r="BN1602"/>
      <c r="BO1602"/>
      <c r="BP1602"/>
      <c r="BQ1602"/>
      <c r="BR1602"/>
      <c r="BS1602"/>
      <c r="BT1602"/>
      <c r="BU1602"/>
      <c r="BV1602"/>
      <c r="BW1602"/>
      <c r="BX1602"/>
      <c r="BY1602"/>
      <c r="BZ1602"/>
      <c r="CA1602"/>
      <c r="CB1602"/>
      <c r="CC1602"/>
      <c r="CD1602"/>
      <c r="CE1602"/>
      <c r="CF1602"/>
      <c r="CG1602"/>
      <c r="CH1602"/>
    </row>
    <row r="1603" spans="1:86" x14ac:dyDescent="0.2">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c r="AU1603"/>
      <c r="AV1603"/>
      <c r="AW1603"/>
      <c r="AX1603"/>
      <c r="AY1603"/>
      <c r="AZ1603"/>
      <c r="BA1603"/>
      <c r="BB1603"/>
      <c r="BC1603"/>
      <c r="BD1603"/>
      <c r="BE1603"/>
      <c r="BF1603"/>
      <c r="BG1603"/>
      <c r="BH1603"/>
      <c r="BI1603"/>
      <c r="BJ1603"/>
      <c r="BK1603"/>
      <c r="BL1603"/>
      <c r="BM1603"/>
      <c r="BN1603"/>
      <c r="BO1603"/>
      <c r="BP1603"/>
      <c r="BQ1603"/>
      <c r="BR1603"/>
      <c r="BS1603"/>
      <c r="BT1603"/>
      <c r="BU1603"/>
      <c r="BV1603"/>
      <c r="BW1603"/>
      <c r="BX1603"/>
      <c r="BY1603"/>
      <c r="BZ1603"/>
      <c r="CA1603"/>
      <c r="CB1603"/>
      <c r="CC1603"/>
      <c r="CD1603"/>
      <c r="CE1603"/>
      <c r="CF1603"/>
      <c r="CG1603"/>
      <c r="CH1603"/>
    </row>
    <row r="1604" spans="1:86" x14ac:dyDescent="0.2">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c r="AU1604"/>
      <c r="AV1604"/>
      <c r="AW1604"/>
      <c r="AX1604"/>
      <c r="AY1604"/>
      <c r="AZ1604"/>
      <c r="BA1604"/>
      <c r="BB1604"/>
      <c r="BC1604"/>
      <c r="BD1604"/>
      <c r="BE1604"/>
      <c r="BF1604"/>
      <c r="BG1604"/>
      <c r="BH1604"/>
      <c r="BI1604"/>
      <c r="BJ1604"/>
      <c r="BK1604"/>
      <c r="BL1604"/>
      <c r="BM1604"/>
      <c r="BN1604"/>
      <c r="BO1604"/>
      <c r="BP1604"/>
      <c r="BQ1604"/>
      <c r="BR1604"/>
      <c r="BS1604"/>
      <c r="BT1604"/>
      <c r="BU1604"/>
      <c r="BV1604"/>
      <c r="BW1604"/>
      <c r="BX1604"/>
      <c r="BY1604"/>
      <c r="BZ1604"/>
      <c r="CA1604"/>
      <c r="CB1604"/>
      <c r="CC1604"/>
      <c r="CD1604"/>
      <c r="CE1604"/>
      <c r="CF1604"/>
      <c r="CG1604"/>
      <c r="CH1604"/>
    </row>
    <row r="1605" spans="1:86" x14ac:dyDescent="0.2">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c r="AU1605"/>
      <c r="AV1605"/>
      <c r="AW1605"/>
      <c r="AX1605"/>
      <c r="AY1605"/>
      <c r="AZ1605"/>
      <c r="BA1605"/>
      <c r="BB1605"/>
      <c r="BC1605"/>
      <c r="BD1605"/>
      <c r="BE1605"/>
      <c r="BF1605"/>
      <c r="BG1605"/>
      <c r="BH1605"/>
      <c r="BI1605"/>
      <c r="BJ1605"/>
      <c r="BK1605"/>
      <c r="BL1605"/>
      <c r="BM1605"/>
      <c r="BN1605"/>
      <c r="BO1605"/>
      <c r="BP1605"/>
      <c r="BQ1605"/>
      <c r="BR1605"/>
      <c r="BS1605"/>
      <c r="BT1605"/>
      <c r="BU1605"/>
      <c r="BV1605"/>
      <c r="BW1605"/>
      <c r="BX1605"/>
      <c r="BY1605"/>
      <c r="BZ1605"/>
      <c r="CA1605"/>
      <c r="CB1605"/>
      <c r="CC1605"/>
      <c r="CD1605"/>
      <c r="CE1605"/>
      <c r="CF1605"/>
      <c r="CG1605"/>
      <c r="CH1605"/>
    </row>
    <row r="1606" spans="1:86" x14ac:dyDescent="0.2">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c r="AU1606"/>
      <c r="AV1606"/>
      <c r="AW1606"/>
      <c r="AX1606"/>
      <c r="AY1606"/>
      <c r="AZ1606"/>
      <c r="BA1606"/>
      <c r="BB1606"/>
      <c r="BC1606"/>
      <c r="BD1606"/>
      <c r="BE1606"/>
      <c r="BF1606"/>
      <c r="BG1606"/>
      <c r="BH1606"/>
      <c r="BI1606"/>
      <c r="BJ1606"/>
      <c r="BK1606"/>
      <c r="BL1606"/>
      <c r="BM1606"/>
      <c r="BN1606"/>
      <c r="BO1606"/>
      <c r="BP1606"/>
      <c r="BQ1606"/>
      <c r="BR1606"/>
      <c r="BS1606"/>
      <c r="BT1606"/>
      <c r="BU1606"/>
      <c r="BV1606"/>
      <c r="BW1606"/>
      <c r="BX1606"/>
      <c r="BY1606"/>
      <c r="BZ1606"/>
      <c r="CA1606"/>
      <c r="CB1606"/>
      <c r="CC1606"/>
      <c r="CD1606"/>
      <c r="CE1606"/>
      <c r="CF1606"/>
      <c r="CG1606"/>
      <c r="CH1606"/>
    </row>
    <row r="1607" spans="1:86" x14ac:dyDescent="0.2">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c r="AU1607"/>
      <c r="AV1607"/>
      <c r="AW1607"/>
      <c r="AX1607"/>
      <c r="AY1607"/>
      <c r="AZ1607"/>
      <c r="BA1607"/>
      <c r="BB1607"/>
      <c r="BC1607"/>
      <c r="BD1607"/>
      <c r="BE1607"/>
      <c r="BF1607"/>
      <c r="BG1607"/>
      <c r="BH1607"/>
      <c r="BI1607"/>
      <c r="BJ1607"/>
      <c r="BK1607"/>
      <c r="BL1607"/>
      <c r="BM1607"/>
      <c r="BN1607"/>
      <c r="BO1607"/>
      <c r="BP1607"/>
      <c r="BQ1607"/>
      <c r="BR1607"/>
      <c r="BS1607"/>
      <c r="BT1607"/>
      <c r="BU1607"/>
      <c r="BV1607"/>
      <c r="BW1607"/>
      <c r="BX1607"/>
      <c r="BY1607"/>
      <c r="BZ1607"/>
      <c r="CA1607"/>
      <c r="CB1607"/>
      <c r="CC1607"/>
      <c r="CD1607"/>
      <c r="CE1607"/>
      <c r="CF1607"/>
      <c r="CG1607"/>
      <c r="CH1607"/>
    </row>
    <row r="1608" spans="1:86" x14ac:dyDescent="0.2">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c r="AU1608"/>
      <c r="AV1608"/>
      <c r="AW1608"/>
      <c r="AX1608"/>
      <c r="AY1608"/>
      <c r="AZ1608"/>
      <c r="BA1608"/>
      <c r="BB1608"/>
      <c r="BC1608"/>
      <c r="BD1608"/>
      <c r="BE1608"/>
      <c r="BF1608"/>
      <c r="BG1608"/>
      <c r="BH1608"/>
      <c r="BI1608"/>
      <c r="BJ1608"/>
      <c r="BK1608"/>
      <c r="BL1608"/>
      <c r="BM1608"/>
      <c r="BN1608"/>
      <c r="BO1608"/>
      <c r="BP1608"/>
      <c r="BQ1608"/>
      <c r="BR1608"/>
      <c r="BS1608"/>
      <c r="BT1608"/>
      <c r="BU1608"/>
      <c r="BV1608"/>
      <c r="BW1608"/>
      <c r="BX1608"/>
      <c r="BY1608"/>
      <c r="BZ1608"/>
      <c r="CA1608"/>
      <c r="CB1608"/>
      <c r="CC1608"/>
      <c r="CD1608"/>
      <c r="CE1608"/>
      <c r="CF1608"/>
      <c r="CG1608"/>
      <c r="CH1608"/>
    </row>
    <row r="1609" spans="1:86" x14ac:dyDescent="0.2">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c r="AU1609"/>
      <c r="AV1609"/>
      <c r="AW1609"/>
      <c r="AX1609"/>
      <c r="AY1609"/>
      <c r="AZ1609"/>
      <c r="BA1609"/>
      <c r="BB1609"/>
      <c r="BC1609"/>
      <c r="BD1609"/>
      <c r="BE1609"/>
      <c r="BF1609"/>
      <c r="BG1609"/>
      <c r="BH1609"/>
      <c r="BI1609"/>
      <c r="BJ1609"/>
      <c r="BK1609"/>
      <c r="BL1609"/>
      <c r="BM1609"/>
      <c r="BN1609"/>
      <c r="BO1609"/>
      <c r="BP1609"/>
      <c r="BQ1609"/>
      <c r="BR1609"/>
      <c r="BS1609"/>
      <c r="BT1609"/>
      <c r="BU1609"/>
      <c r="BV1609"/>
      <c r="BW1609"/>
      <c r="BX1609"/>
      <c r="BY1609"/>
      <c r="BZ1609"/>
      <c r="CA1609"/>
      <c r="CB1609"/>
      <c r="CC1609"/>
      <c r="CD1609"/>
      <c r="CE1609"/>
      <c r="CF1609"/>
      <c r="CG1609"/>
      <c r="CH1609"/>
    </row>
    <row r="1610" spans="1:86" x14ac:dyDescent="0.2">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c r="AU1610"/>
      <c r="AV1610"/>
      <c r="AW1610"/>
      <c r="AX1610"/>
      <c r="AY1610"/>
      <c r="AZ1610"/>
      <c r="BA1610"/>
      <c r="BB1610"/>
      <c r="BC1610"/>
      <c r="BD1610"/>
      <c r="BE1610"/>
      <c r="BF1610"/>
      <c r="BG1610"/>
      <c r="BH1610"/>
      <c r="BI1610"/>
      <c r="BJ1610"/>
      <c r="BK1610"/>
      <c r="BL1610"/>
      <c r="BM1610"/>
      <c r="BN1610"/>
      <c r="BO1610"/>
      <c r="BP1610"/>
      <c r="BQ1610"/>
      <c r="BR1610"/>
      <c r="BS1610"/>
      <c r="BT1610"/>
      <c r="BU1610"/>
      <c r="BV1610"/>
      <c r="BW1610"/>
      <c r="BX1610"/>
      <c r="BY1610"/>
      <c r="BZ1610"/>
      <c r="CA1610"/>
      <c r="CB1610"/>
      <c r="CC1610"/>
      <c r="CD1610"/>
      <c r="CE1610"/>
      <c r="CF1610"/>
      <c r="CG1610"/>
      <c r="CH1610"/>
    </row>
    <row r="1611" spans="1:86" x14ac:dyDescent="0.2">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c r="AU1611"/>
      <c r="AV1611"/>
      <c r="AW1611"/>
      <c r="AX1611"/>
      <c r="AY1611"/>
      <c r="AZ1611"/>
      <c r="BA1611"/>
      <c r="BB1611"/>
      <c r="BC1611"/>
      <c r="BD1611"/>
      <c r="BE1611"/>
      <c r="BF1611"/>
      <c r="BG1611"/>
      <c r="BH1611"/>
      <c r="BI1611"/>
      <c r="BJ1611"/>
      <c r="BK1611"/>
      <c r="BL1611"/>
      <c r="BM1611"/>
      <c r="BN1611"/>
      <c r="BO1611"/>
      <c r="BP1611"/>
      <c r="BQ1611"/>
      <c r="BR1611"/>
      <c r="BS1611"/>
      <c r="BT1611"/>
      <c r="BU1611"/>
      <c r="BV1611"/>
      <c r="BW1611"/>
      <c r="BX1611"/>
      <c r="BY1611"/>
      <c r="BZ1611"/>
      <c r="CA1611"/>
      <c r="CB1611"/>
      <c r="CC1611"/>
      <c r="CD1611"/>
      <c r="CE1611"/>
      <c r="CF1611"/>
      <c r="CG1611"/>
      <c r="CH1611"/>
    </row>
    <row r="1612" spans="1:86" x14ac:dyDescent="0.2">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c r="AU1612"/>
      <c r="AV1612"/>
      <c r="AW1612"/>
      <c r="AX1612"/>
      <c r="AY1612"/>
      <c r="AZ1612"/>
      <c r="BA1612"/>
      <c r="BB1612"/>
      <c r="BC1612"/>
      <c r="BD1612"/>
      <c r="BE1612"/>
      <c r="BF1612"/>
      <c r="BG1612"/>
      <c r="BH1612"/>
      <c r="BI1612"/>
      <c r="BJ1612"/>
      <c r="BK1612"/>
      <c r="BL1612"/>
      <c r="BM1612"/>
      <c r="BN1612"/>
      <c r="BO1612"/>
      <c r="BP1612"/>
      <c r="BQ1612"/>
      <c r="BR1612"/>
      <c r="BS1612"/>
      <c r="BT1612"/>
      <c r="BU1612"/>
      <c r="BV1612"/>
      <c r="BW1612"/>
      <c r="BX1612"/>
      <c r="BY1612"/>
      <c r="BZ1612"/>
      <c r="CA1612"/>
      <c r="CB1612"/>
      <c r="CC1612"/>
      <c r="CD1612"/>
      <c r="CE1612"/>
      <c r="CF1612"/>
      <c r="CG1612"/>
      <c r="CH1612"/>
    </row>
    <row r="1613" spans="1:86" x14ac:dyDescent="0.2">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c r="AU1613"/>
      <c r="AV1613"/>
      <c r="AW1613"/>
      <c r="AX1613"/>
      <c r="AY1613"/>
      <c r="AZ1613"/>
      <c r="BA1613"/>
      <c r="BB1613"/>
      <c r="BC1613"/>
      <c r="BD1613"/>
      <c r="BE1613"/>
      <c r="BF1613"/>
      <c r="BG1613"/>
      <c r="BH1613"/>
      <c r="BI1613"/>
      <c r="BJ1613"/>
      <c r="BK1613"/>
      <c r="BL1613"/>
      <c r="BM1613"/>
      <c r="BN1613"/>
      <c r="BO1613"/>
      <c r="BP1613"/>
      <c r="BQ1613"/>
      <c r="BR1613"/>
      <c r="BS1613"/>
      <c r="BT1613"/>
      <c r="BU1613"/>
      <c r="BV1613"/>
      <c r="BW1613"/>
      <c r="BX1613"/>
      <c r="BY1613"/>
      <c r="BZ1613"/>
      <c r="CA1613"/>
      <c r="CB1613"/>
      <c r="CC1613"/>
      <c r="CD1613"/>
      <c r="CE1613"/>
      <c r="CF1613"/>
      <c r="CG1613"/>
      <c r="CH1613"/>
    </row>
    <row r="1614" spans="1:86" x14ac:dyDescent="0.2">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c r="AU1614"/>
      <c r="AV1614"/>
      <c r="AW1614"/>
      <c r="AX1614"/>
      <c r="AY1614"/>
      <c r="AZ1614"/>
      <c r="BA1614"/>
      <c r="BB1614"/>
      <c r="BC1614"/>
      <c r="BD1614"/>
      <c r="BE1614"/>
      <c r="BF1614"/>
      <c r="BG1614"/>
      <c r="BH1614"/>
      <c r="BI1614"/>
      <c r="BJ1614"/>
      <c r="BK1614"/>
      <c r="BL1614"/>
      <c r="BM1614"/>
      <c r="BN1614"/>
      <c r="BO1614"/>
      <c r="BP1614"/>
      <c r="BQ1614"/>
      <c r="BR1614"/>
      <c r="BS1614"/>
      <c r="BT1614"/>
      <c r="BU1614"/>
      <c r="BV1614"/>
      <c r="BW1614"/>
      <c r="BX1614"/>
      <c r="BY1614"/>
      <c r="BZ1614"/>
      <c r="CA1614"/>
      <c r="CB1614"/>
      <c r="CC1614"/>
      <c r="CD1614"/>
      <c r="CE1614"/>
      <c r="CF1614"/>
      <c r="CG1614"/>
      <c r="CH1614"/>
    </row>
    <row r="1615" spans="1:86" x14ac:dyDescent="0.2">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c r="AU1615"/>
      <c r="AV1615"/>
      <c r="AW1615"/>
      <c r="AX1615"/>
      <c r="AY1615"/>
      <c r="AZ1615"/>
      <c r="BA1615"/>
      <c r="BB1615"/>
      <c r="BC1615"/>
      <c r="BD1615"/>
      <c r="BE1615"/>
      <c r="BF1615"/>
      <c r="BG1615"/>
      <c r="BH1615"/>
      <c r="BI1615"/>
      <c r="BJ1615"/>
      <c r="BK1615"/>
      <c r="BL1615"/>
      <c r="BM1615"/>
      <c r="BN1615"/>
      <c r="BO1615"/>
      <c r="BP1615"/>
      <c r="BQ1615"/>
      <c r="BR1615"/>
      <c r="BS1615"/>
      <c r="BT1615"/>
      <c r="BU1615"/>
      <c r="BV1615"/>
      <c r="BW1615"/>
      <c r="BX1615"/>
      <c r="BY1615"/>
      <c r="BZ1615"/>
      <c r="CA1615"/>
      <c r="CB1615"/>
      <c r="CC1615"/>
      <c r="CD1615"/>
      <c r="CE1615"/>
      <c r="CF1615"/>
      <c r="CG1615"/>
      <c r="CH1615"/>
    </row>
    <row r="1616" spans="1:86" x14ac:dyDescent="0.2">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c r="AU1616"/>
      <c r="AV1616"/>
      <c r="AW1616"/>
      <c r="AX1616"/>
      <c r="AY1616"/>
      <c r="AZ1616"/>
      <c r="BA1616"/>
      <c r="BB1616"/>
      <c r="BC1616"/>
      <c r="BD1616"/>
      <c r="BE1616"/>
      <c r="BF1616"/>
      <c r="BG1616"/>
      <c r="BH1616"/>
      <c r="BI1616"/>
      <c r="BJ1616"/>
      <c r="BK1616"/>
      <c r="BL1616"/>
      <c r="BM1616"/>
      <c r="BN1616"/>
      <c r="BO1616"/>
      <c r="BP1616"/>
      <c r="BQ1616"/>
      <c r="BR1616"/>
      <c r="BS1616"/>
      <c r="BT1616"/>
      <c r="BU1616"/>
      <c r="BV1616"/>
      <c r="BW1616"/>
      <c r="BX1616"/>
      <c r="BY1616"/>
      <c r="BZ1616"/>
      <c r="CA1616"/>
      <c r="CB1616"/>
      <c r="CC1616"/>
      <c r="CD1616"/>
      <c r="CE1616"/>
      <c r="CF1616"/>
      <c r="CG1616"/>
      <c r="CH1616"/>
    </row>
    <row r="1617" spans="1:86" x14ac:dyDescent="0.2">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c r="AU1617"/>
      <c r="AV1617"/>
      <c r="AW1617"/>
      <c r="AX1617"/>
      <c r="AY1617"/>
      <c r="AZ1617"/>
      <c r="BA1617"/>
      <c r="BB1617"/>
      <c r="BC1617"/>
      <c r="BD1617"/>
      <c r="BE1617"/>
      <c r="BF1617"/>
      <c r="BG1617"/>
      <c r="BH1617"/>
      <c r="BI1617"/>
      <c r="BJ1617"/>
      <c r="BK1617"/>
      <c r="BL1617"/>
      <c r="BM1617"/>
      <c r="BN1617"/>
      <c r="BO1617"/>
      <c r="BP1617"/>
      <c r="BQ1617"/>
      <c r="BR1617"/>
      <c r="BS1617"/>
      <c r="BT1617"/>
      <c r="BU1617"/>
      <c r="BV1617"/>
      <c r="BW1617"/>
      <c r="BX1617"/>
      <c r="BY1617"/>
      <c r="BZ1617"/>
      <c r="CA1617"/>
      <c r="CB1617"/>
      <c r="CC1617"/>
      <c r="CD1617"/>
      <c r="CE1617"/>
      <c r="CF1617"/>
      <c r="CG1617"/>
      <c r="CH1617"/>
    </row>
    <row r="1618" spans="1:86" x14ac:dyDescent="0.2">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c r="AU1618"/>
      <c r="AV1618"/>
      <c r="AW1618"/>
      <c r="AX1618"/>
      <c r="AY1618"/>
      <c r="AZ1618"/>
      <c r="BA1618"/>
      <c r="BB1618"/>
      <c r="BC1618"/>
      <c r="BD1618"/>
      <c r="BE1618"/>
      <c r="BF1618"/>
      <c r="BG1618"/>
      <c r="BH1618"/>
      <c r="BI1618"/>
      <c r="BJ1618"/>
      <c r="BK1618"/>
      <c r="BL1618"/>
      <c r="BM1618"/>
      <c r="BN1618"/>
      <c r="BO1618"/>
      <c r="BP1618"/>
      <c r="BQ1618"/>
      <c r="BR1618"/>
      <c r="BS1618"/>
      <c r="BT1618"/>
      <c r="BU1618"/>
      <c r="BV1618"/>
      <c r="BW1618"/>
      <c r="BX1618"/>
      <c r="BY1618"/>
      <c r="BZ1618"/>
      <c r="CA1618"/>
      <c r="CB1618"/>
      <c r="CC1618"/>
      <c r="CD1618"/>
      <c r="CE1618"/>
      <c r="CF1618"/>
      <c r="CG1618"/>
      <c r="CH1618"/>
    </row>
    <row r="1619" spans="1:86" x14ac:dyDescent="0.2">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c r="AU1619"/>
      <c r="AV1619"/>
      <c r="AW1619"/>
      <c r="AX1619"/>
      <c r="AY1619"/>
      <c r="AZ1619"/>
      <c r="BA1619"/>
      <c r="BB1619"/>
      <c r="BC1619"/>
      <c r="BD1619"/>
      <c r="BE1619"/>
      <c r="BF1619"/>
      <c r="BG1619"/>
      <c r="BH1619"/>
      <c r="BI1619"/>
      <c r="BJ1619"/>
      <c r="BK1619"/>
      <c r="BL1619"/>
      <c r="BM1619"/>
      <c r="BN1619"/>
      <c r="BO1619"/>
      <c r="BP1619"/>
      <c r="BQ1619"/>
      <c r="BR1619"/>
      <c r="BS1619"/>
      <c r="BT1619"/>
      <c r="BU1619"/>
      <c r="BV1619"/>
      <c r="BW1619"/>
      <c r="BX1619"/>
      <c r="BY1619"/>
      <c r="BZ1619"/>
      <c r="CA1619"/>
      <c r="CB1619"/>
      <c r="CC1619"/>
      <c r="CD1619"/>
      <c r="CE1619"/>
      <c r="CF1619"/>
      <c r="CG1619"/>
      <c r="CH1619"/>
    </row>
    <row r="1620" spans="1:86" x14ac:dyDescent="0.2">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c r="AU1620"/>
      <c r="AV1620"/>
      <c r="AW1620"/>
      <c r="AX1620"/>
      <c r="AY1620"/>
      <c r="AZ1620"/>
      <c r="BA1620"/>
      <c r="BB1620"/>
      <c r="BC1620"/>
      <c r="BD1620"/>
      <c r="BE1620"/>
      <c r="BF1620"/>
      <c r="BG1620"/>
      <c r="BH1620"/>
      <c r="BI1620"/>
      <c r="BJ1620"/>
      <c r="BK1620"/>
      <c r="BL1620"/>
      <c r="BM1620"/>
      <c r="BN1620"/>
      <c r="BO1620"/>
      <c r="BP1620"/>
      <c r="BQ1620"/>
      <c r="BR1620"/>
      <c r="BS1620"/>
      <c r="BT1620"/>
      <c r="BU1620"/>
      <c r="BV1620"/>
      <c r="BW1620"/>
      <c r="BX1620"/>
      <c r="BY1620"/>
      <c r="BZ1620"/>
      <c r="CA1620"/>
      <c r="CB1620"/>
      <c r="CC1620"/>
      <c r="CD1620"/>
      <c r="CE1620"/>
      <c r="CF1620"/>
      <c r="CG1620"/>
      <c r="CH1620"/>
    </row>
    <row r="1621" spans="1:86" x14ac:dyDescent="0.2">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c r="AU1621"/>
      <c r="AV1621"/>
      <c r="AW1621"/>
      <c r="AX1621"/>
      <c r="AY1621"/>
      <c r="AZ1621"/>
      <c r="BA1621"/>
      <c r="BB1621"/>
      <c r="BC1621"/>
      <c r="BD1621"/>
      <c r="BE1621"/>
      <c r="BF1621"/>
      <c r="BG1621"/>
      <c r="BH1621"/>
      <c r="BI1621"/>
      <c r="BJ1621"/>
      <c r="BK1621"/>
      <c r="BL1621"/>
      <c r="BM1621"/>
      <c r="BN1621"/>
      <c r="BO1621"/>
      <c r="BP1621"/>
      <c r="BQ1621"/>
      <c r="BR1621"/>
      <c r="BS1621"/>
      <c r="BT1621"/>
      <c r="BU1621"/>
      <c r="BV1621"/>
      <c r="BW1621"/>
      <c r="BX1621"/>
      <c r="BY1621"/>
      <c r="BZ1621"/>
      <c r="CA1621"/>
      <c r="CB1621"/>
      <c r="CC1621"/>
      <c r="CD1621"/>
      <c r="CE1621"/>
      <c r="CF1621"/>
      <c r="CG1621"/>
      <c r="CH1621"/>
    </row>
    <row r="1622" spans="1:86" x14ac:dyDescent="0.2">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c r="AU1622"/>
      <c r="AV1622"/>
      <c r="AW1622"/>
      <c r="AX1622"/>
      <c r="AY1622"/>
      <c r="AZ1622"/>
      <c r="BA1622"/>
      <c r="BB1622"/>
      <c r="BC1622"/>
      <c r="BD1622"/>
      <c r="BE1622"/>
      <c r="BF1622"/>
      <c r="BG1622"/>
      <c r="BH1622"/>
      <c r="BI1622"/>
      <c r="BJ1622"/>
      <c r="BK1622"/>
      <c r="BL1622"/>
      <c r="BM1622"/>
      <c r="BN1622"/>
      <c r="BO1622"/>
      <c r="BP1622"/>
      <c r="BQ1622"/>
      <c r="BR1622"/>
      <c r="BS1622"/>
      <c r="BT1622"/>
      <c r="BU1622"/>
      <c r="BV1622"/>
      <c r="BW1622"/>
      <c r="BX1622"/>
      <c r="BY1622"/>
      <c r="BZ1622"/>
      <c r="CA1622"/>
      <c r="CB1622"/>
      <c r="CC1622"/>
      <c r="CD1622"/>
      <c r="CE1622"/>
      <c r="CF1622"/>
      <c r="CG1622"/>
      <c r="CH1622"/>
    </row>
    <row r="1623" spans="1:86" x14ac:dyDescent="0.2">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c r="AU1623"/>
      <c r="AV1623"/>
      <c r="AW1623"/>
      <c r="AX1623"/>
      <c r="AY1623"/>
      <c r="AZ1623"/>
      <c r="BA1623"/>
      <c r="BB1623"/>
      <c r="BC1623"/>
      <c r="BD1623"/>
      <c r="BE1623"/>
      <c r="BF1623"/>
      <c r="BG1623"/>
      <c r="BH1623"/>
      <c r="BI1623"/>
      <c r="BJ1623"/>
      <c r="BK1623"/>
      <c r="BL1623"/>
      <c r="BM1623"/>
      <c r="BN1623"/>
      <c r="BO1623"/>
      <c r="BP1623"/>
      <c r="BQ1623"/>
      <c r="BR1623"/>
      <c r="BS1623"/>
      <c r="BT1623"/>
      <c r="BU1623"/>
      <c r="BV1623"/>
      <c r="BW1623"/>
      <c r="BX1623"/>
      <c r="BY1623"/>
      <c r="BZ1623"/>
      <c r="CA1623"/>
      <c r="CB1623"/>
      <c r="CC1623"/>
      <c r="CD1623"/>
      <c r="CE1623"/>
      <c r="CF1623"/>
      <c r="CG1623"/>
      <c r="CH1623"/>
    </row>
    <row r="1624" spans="1:86" x14ac:dyDescent="0.2">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c r="AU1624"/>
      <c r="AV1624"/>
      <c r="AW1624"/>
      <c r="AX1624"/>
      <c r="AY1624"/>
      <c r="AZ1624"/>
      <c r="BA1624"/>
      <c r="BB1624"/>
      <c r="BC1624"/>
      <c r="BD1624"/>
      <c r="BE1624"/>
      <c r="BF1624"/>
      <c r="BG1624"/>
      <c r="BH1624"/>
      <c r="BI1624"/>
      <c r="BJ1624"/>
      <c r="BK1624"/>
      <c r="BL1624"/>
      <c r="BM1624"/>
      <c r="BN1624"/>
      <c r="BO1624"/>
      <c r="BP1624"/>
      <c r="BQ1624"/>
      <c r="BR1624"/>
      <c r="BS1624"/>
      <c r="BT1624"/>
      <c r="BU1624"/>
      <c r="BV1624"/>
      <c r="BW1624"/>
      <c r="BX1624"/>
      <c r="BY1624"/>
      <c r="BZ1624"/>
      <c r="CA1624"/>
      <c r="CB1624"/>
      <c r="CC1624"/>
      <c r="CD1624"/>
      <c r="CE1624"/>
      <c r="CF1624"/>
      <c r="CG1624"/>
      <c r="CH1624"/>
    </row>
    <row r="1625" spans="1:86" x14ac:dyDescent="0.2">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c r="AU1625"/>
      <c r="AV1625"/>
      <c r="AW1625"/>
      <c r="AX1625"/>
      <c r="AY1625"/>
      <c r="AZ1625"/>
      <c r="BA1625"/>
      <c r="BB1625"/>
      <c r="BC1625"/>
      <c r="BD1625"/>
      <c r="BE1625"/>
      <c r="BF1625"/>
      <c r="BG1625"/>
      <c r="BH1625"/>
      <c r="BI1625"/>
      <c r="BJ1625"/>
      <c r="BK1625"/>
      <c r="BL1625"/>
      <c r="BM1625"/>
      <c r="BN1625"/>
      <c r="BO1625"/>
      <c r="BP1625"/>
      <c r="BQ1625"/>
      <c r="BR1625"/>
      <c r="BS1625"/>
      <c r="BT1625"/>
      <c r="BU1625"/>
      <c r="BV1625"/>
      <c r="BW1625"/>
      <c r="BX1625"/>
      <c r="BY1625"/>
      <c r="BZ1625"/>
      <c r="CA1625"/>
      <c r="CB1625"/>
      <c r="CC1625"/>
      <c r="CD1625"/>
      <c r="CE1625"/>
      <c r="CF1625"/>
      <c r="CG1625"/>
      <c r="CH1625"/>
    </row>
    <row r="1626" spans="1:86" x14ac:dyDescent="0.2">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c r="AU1626"/>
      <c r="AV1626"/>
      <c r="AW1626"/>
      <c r="AX1626"/>
      <c r="AY1626"/>
      <c r="AZ1626"/>
      <c r="BA1626"/>
      <c r="BB1626"/>
      <c r="BC1626"/>
      <c r="BD1626"/>
      <c r="BE1626"/>
      <c r="BF1626"/>
      <c r="BG1626"/>
      <c r="BH1626"/>
      <c r="BI1626"/>
      <c r="BJ1626"/>
      <c r="BK1626"/>
      <c r="BL1626"/>
      <c r="BM1626"/>
      <c r="BN1626"/>
      <c r="BO1626"/>
      <c r="BP1626"/>
      <c r="BQ1626"/>
      <c r="BR1626"/>
      <c r="BS1626"/>
      <c r="BT1626"/>
      <c r="BU1626"/>
      <c r="BV1626"/>
      <c r="BW1626"/>
      <c r="BX1626"/>
      <c r="BY1626"/>
      <c r="BZ1626"/>
      <c r="CA1626"/>
      <c r="CB1626"/>
      <c r="CC1626"/>
      <c r="CD1626"/>
      <c r="CE1626"/>
      <c r="CF1626"/>
      <c r="CG1626"/>
      <c r="CH1626"/>
    </row>
    <row r="1627" spans="1:86" x14ac:dyDescent="0.2">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c r="AU1627"/>
      <c r="AV1627"/>
      <c r="AW1627"/>
      <c r="AX1627"/>
      <c r="AY1627"/>
      <c r="AZ1627"/>
      <c r="BA1627"/>
      <c r="BB1627"/>
      <c r="BC1627"/>
      <c r="BD1627"/>
      <c r="BE1627"/>
      <c r="BF1627"/>
      <c r="BG1627"/>
      <c r="BH1627"/>
      <c r="BI1627"/>
      <c r="BJ1627"/>
      <c r="BK1627"/>
      <c r="BL1627"/>
      <c r="BM1627"/>
      <c r="BN1627"/>
      <c r="BO1627"/>
      <c r="BP1627"/>
      <c r="BQ1627"/>
      <c r="BR1627"/>
      <c r="BS1627"/>
      <c r="BT1627"/>
      <c r="BU1627"/>
      <c r="BV1627"/>
      <c r="BW1627"/>
      <c r="BX1627"/>
      <c r="BY1627"/>
      <c r="BZ1627"/>
      <c r="CA1627"/>
      <c r="CB1627"/>
      <c r="CC1627"/>
      <c r="CD1627"/>
      <c r="CE1627"/>
      <c r="CF1627"/>
      <c r="CG1627"/>
      <c r="CH1627"/>
    </row>
    <row r="1628" spans="1:86" x14ac:dyDescent="0.2">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c r="AU1628"/>
      <c r="AV1628"/>
      <c r="AW1628"/>
      <c r="AX1628"/>
      <c r="AY1628"/>
      <c r="AZ1628"/>
      <c r="BA1628"/>
      <c r="BB1628"/>
      <c r="BC1628"/>
      <c r="BD1628"/>
      <c r="BE1628"/>
      <c r="BF1628"/>
      <c r="BG1628"/>
      <c r="BH1628"/>
      <c r="BI1628"/>
      <c r="BJ1628"/>
      <c r="BK1628"/>
      <c r="BL1628"/>
      <c r="BM1628"/>
      <c r="BN1628"/>
      <c r="BO1628"/>
      <c r="BP1628"/>
      <c r="BQ1628"/>
      <c r="BR1628"/>
      <c r="BS1628"/>
      <c r="BT1628"/>
      <c r="BU1628"/>
      <c r="BV1628"/>
      <c r="BW1628"/>
      <c r="BX1628"/>
      <c r="BY1628"/>
      <c r="BZ1628"/>
      <c r="CA1628"/>
      <c r="CB1628"/>
      <c r="CC1628"/>
      <c r="CD1628"/>
      <c r="CE1628"/>
      <c r="CF1628"/>
      <c r="CG1628"/>
      <c r="CH1628"/>
    </row>
    <row r="1629" spans="1:86" x14ac:dyDescent="0.2">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c r="AU1629"/>
      <c r="AV1629"/>
      <c r="AW1629"/>
      <c r="AX1629"/>
      <c r="AY1629"/>
      <c r="AZ1629"/>
      <c r="BA1629"/>
      <c r="BB1629"/>
      <c r="BC1629"/>
      <c r="BD1629"/>
      <c r="BE1629"/>
      <c r="BF1629"/>
      <c r="BG1629"/>
      <c r="BH1629"/>
      <c r="BI1629"/>
      <c r="BJ1629"/>
      <c r="BK1629"/>
      <c r="BL1629"/>
      <c r="BM1629"/>
      <c r="BN1629"/>
      <c r="BO1629"/>
      <c r="BP1629"/>
      <c r="BQ1629"/>
      <c r="BR1629"/>
      <c r="BS1629"/>
      <c r="BT1629"/>
      <c r="BU1629"/>
      <c r="BV1629"/>
      <c r="BW1629"/>
      <c r="BX1629"/>
      <c r="BY1629"/>
      <c r="BZ1629"/>
      <c r="CA1629"/>
      <c r="CB1629"/>
      <c r="CC1629"/>
      <c r="CD1629"/>
      <c r="CE1629"/>
      <c r="CF1629"/>
      <c r="CG1629"/>
      <c r="CH1629"/>
    </row>
    <row r="1630" spans="1:86" x14ac:dyDescent="0.2">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c r="AU1630"/>
      <c r="AV1630"/>
      <c r="AW1630"/>
      <c r="AX1630"/>
      <c r="AY1630"/>
      <c r="AZ1630"/>
      <c r="BA1630"/>
      <c r="BB1630"/>
      <c r="BC1630"/>
      <c r="BD1630"/>
      <c r="BE1630"/>
      <c r="BF1630"/>
      <c r="BG1630"/>
      <c r="BH1630"/>
      <c r="BI1630"/>
      <c r="BJ1630"/>
      <c r="BK1630"/>
      <c r="BL1630"/>
      <c r="BM1630"/>
      <c r="BN1630"/>
      <c r="BO1630"/>
      <c r="BP1630"/>
      <c r="BQ1630"/>
      <c r="BR1630"/>
      <c r="BS1630"/>
      <c r="BT1630"/>
      <c r="BU1630"/>
      <c r="BV1630"/>
      <c r="BW1630"/>
      <c r="BX1630"/>
      <c r="BY1630"/>
      <c r="BZ1630"/>
      <c r="CA1630"/>
      <c r="CB1630"/>
      <c r="CC1630"/>
      <c r="CD1630"/>
      <c r="CE1630"/>
      <c r="CF1630"/>
      <c r="CG1630"/>
      <c r="CH1630"/>
    </row>
    <row r="1631" spans="1:86" x14ac:dyDescent="0.2">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c r="AU1631"/>
      <c r="AV1631"/>
      <c r="AW1631"/>
      <c r="AX1631"/>
      <c r="AY1631"/>
      <c r="AZ1631"/>
      <c r="BA1631"/>
      <c r="BB1631"/>
      <c r="BC1631"/>
      <c r="BD1631"/>
      <c r="BE1631"/>
      <c r="BF1631"/>
      <c r="BG1631"/>
      <c r="BH1631"/>
      <c r="BI1631"/>
      <c r="BJ1631"/>
      <c r="BK1631"/>
      <c r="BL1631"/>
      <c r="BM1631"/>
      <c r="BN1631"/>
      <c r="BO1631"/>
      <c r="BP1631"/>
      <c r="BQ1631"/>
      <c r="BR1631"/>
      <c r="BS1631"/>
      <c r="BT1631"/>
      <c r="BU1631"/>
      <c r="BV1631"/>
      <c r="BW1631"/>
      <c r="BX1631"/>
      <c r="BY1631"/>
      <c r="BZ1631"/>
      <c r="CA1631"/>
      <c r="CB1631"/>
      <c r="CC1631"/>
      <c r="CD1631"/>
      <c r="CE1631"/>
      <c r="CF1631"/>
      <c r="CG1631"/>
      <c r="CH1631"/>
    </row>
    <row r="1632" spans="1:86" x14ac:dyDescent="0.2">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c r="AU1632"/>
      <c r="AV1632"/>
      <c r="AW1632"/>
      <c r="AX1632"/>
      <c r="AY1632"/>
      <c r="AZ1632"/>
      <c r="BA1632"/>
      <c r="BB1632"/>
      <c r="BC1632"/>
      <c r="BD1632"/>
      <c r="BE1632"/>
      <c r="BF1632"/>
      <c r="BG1632"/>
      <c r="BH1632"/>
      <c r="BI1632"/>
      <c r="BJ1632"/>
      <c r="BK1632"/>
      <c r="BL1632"/>
      <c r="BM1632"/>
      <c r="BN1632"/>
      <c r="BO1632"/>
      <c r="BP1632"/>
      <c r="BQ1632"/>
      <c r="BR1632"/>
      <c r="BS1632"/>
      <c r="BT1632"/>
      <c r="BU1632"/>
      <c r="BV1632"/>
      <c r="BW1632"/>
      <c r="BX1632"/>
      <c r="BY1632"/>
      <c r="BZ1632"/>
      <c r="CA1632"/>
      <c r="CB1632"/>
      <c r="CC1632"/>
      <c r="CD1632"/>
      <c r="CE1632"/>
      <c r="CF1632"/>
      <c r="CG1632"/>
      <c r="CH1632"/>
    </row>
    <row r="1633" spans="1:86" x14ac:dyDescent="0.2">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c r="AU1633"/>
      <c r="AV1633"/>
      <c r="AW1633"/>
      <c r="AX1633"/>
      <c r="AY1633"/>
      <c r="AZ1633"/>
      <c r="BA1633"/>
      <c r="BB1633"/>
      <c r="BC1633"/>
      <c r="BD1633"/>
      <c r="BE1633"/>
      <c r="BF1633"/>
      <c r="BG1633"/>
      <c r="BH1633"/>
      <c r="BI1633"/>
      <c r="BJ1633"/>
      <c r="BK1633"/>
      <c r="BL1633"/>
      <c r="BM1633"/>
      <c r="BN1633"/>
      <c r="BO1633"/>
      <c r="BP1633"/>
      <c r="BQ1633"/>
      <c r="BR1633"/>
      <c r="BS1633"/>
      <c r="BT1633"/>
      <c r="BU1633"/>
      <c r="BV1633"/>
      <c r="BW1633"/>
      <c r="BX1633"/>
      <c r="BY1633"/>
      <c r="BZ1633"/>
      <c r="CA1633"/>
      <c r="CB1633"/>
      <c r="CC1633"/>
      <c r="CD1633"/>
      <c r="CE1633"/>
      <c r="CF1633"/>
      <c r="CG1633"/>
      <c r="CH1633"/>
    </row>
    <row r="1634" spans="1:86" x14ac:dyDescent="0.2">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c r="AU1634"/>
      <c r="AV1634"/>
      <c r="AW1634"/>
      <c r="AX1634"/>
      <c r="AY1634"/>
      <c r="AZ1634"/>
      <c r="BA1634"/>
      <c r="BB1634"/>
      <c r="BC1634"/>
      <c r="BD1634"/>
      <c r="BE1634"/>
      <c r="BF1634"/>
      <c r="BG1634"/>
      <c r="BH1634"/>
      <c r="BI1634"/>
      <c r="BJ1634"/>
      <c r="BK1634"/>
      <c r="BL1634"/>
      <c r="BM1634"/>
      <c r="BN1634"/>
      <c r="BO1634"/>
      <c r="BP1634"/>
      <c r="BQ1634"/>
      <c r="BR1634"/>
      <c r="BS1634"/>
      <c r="BT1634"/>
      <c r="BU1634"/>
      <c r="BV1634"/>
      <c r="BW1634"/>
      <c r="BX1634"/>
      <c r="BY1634"/>
      <c r="BZ1634"/>
      <c r="CA1634"/>
      <c r="CB1634"/>
      <c r="CC1634"/>
      <c r="CD1634"/>
      <c r="CE1634"/>
      <c r="CF1634"/>
      <c r="CG1634"/>
      <c r="CH1634"/>
    </row>
    <row r="1635" spans="1:86" x14ac:dyDescent="0.2">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c r="AU1635"/>
      <c r="AV1635"/>
      <c r="AW1635"/>
      <c r="AX1635"/>
      <c r="AY1635"/>
      <c r="AZ1635"/>
      <c r="BA1635"/>
      <c r="BB1635"/>
      <c r="BC1635"/>
      <c r="BD1635"/>
      <c r="BE1635"/>
      <c r="BF1635"/>
      <c r="BG1635"/>
      <c r="BH1635"/>
      <c r="BI1635"/>
      <c r="BJ1635"/>
      <c r="BK1635"/>
      <c r="BL1635"/>
      <c r="BM1635"/>
      <c r="BN1635"/>
      <c r="BO1635"/>
      <c r="BP1635"/>
      <c r="BQ1635"/>
      <c r="BR1635"/>
      <c r="BS1635"/>
      <c r="BT1635"/>
      <c r="BU1635"/>
      <c r="BV1635"/>
      <c r="BW1635"/>
      <c r="BX1635"/>
      <c r="BY1635"/>
      <c r="BZ1635"/>
      <c r="CA1635"/>
      <c r="CB1635"/>
      <c r="CC1635"/>
      <c r="CD1635"/>
      <c r="CE1635"/>
      <c r="CF1635"/>
      <c r="CG1635"/>
      <c r="CH1635"/>
    </row>
    <row r="1636" spans="1:86" x14ac:dyDescent="0.2">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c r="AU1636"/>
      <c r="AV1636"/>
      <c r="AW1636"/>
      <c r="AX1636"/>
      <c r="AY1636"/>
      <c r="AZ1636"/>
      <c r="BA1636"/>
      <c r="BB1636"/>
      <c r="BC1636"/>
      <c r="BD1636"/>
      <c r="BE1636"/>
      <c r="BF1636"/>
      <c r="BG1636"/>
      <c r="BH1636"/>
      <c r="BI1636"/>
      <c r="BJ1636"/>
      <c r="BK1636"/>
      <c r="BL1636"/>
      <c r="BM1636"/>
      <c r="BN1636"/>
      <c r="BO1636"/>
      <c r="BP1636"/>
      <c r="BQ1636"/>
      <c r="BR1636"/>
      <c r="BS1636"/>
      <c r="BT1636"/>
      <c r="BU1636"/>
      <c r="BV1636"/>
      <c r="BW1636"/>
      <c r="BX1636"/>
      <c r="BY1636"/>
      <c r="BZ1636"/>
      <c r="CA1636"/>
      <c r="CB1636"/>
      <c r="CC1636"/>
      <c r="CD1636"/>
      <c r="CE1636"/>
      <c r="CF1636"/>
      <c r="CG1636"/>
      <c r="CH1636"/>
    </row>
    <row r="1637" spans="1:86" x14ac:dyDescent="0.2">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c r="AU1637"/>
      <c r="AV1637"/>
      <c r="AW1637"/>
      <c r="AX1637"/>
      <c r="AY1637"/>
      <c r="AZ1637"/>
      <c r="BA1637"/>
      <c r="BB1637"/>
      <c r="BC1637"/>
      <c r="BD1637"/>
      <c r="BE1637"/>
      <c r="BF1637"/>
      <c r="BG1637"/>
      <c r="BH1637"/>
      <c r="BI1637"/>
      <c r="BJ1637"/>
      <c r="BK1637"/>
      <c r="BL1637"/>
      <c r="BM1637"/>
      <c r="BN1637"/>
      <c r="BO1637"/>
      <c r="BP1637"/>
      <c r="BQ1637"/>
      <c r="BR1637"/>
      <c r="BS1637"/>
      <c r="BT1637"/>
      <c r="BU1637"/>
      <c r="BV1637"/>
      <c r="BW1637"/>
      <c r="BX1637"/>
      <c r="BY1637"/>
      <c r="BZ1637"/>
      <c r="CA1637"/>
      <c r="CB1637"/>
      <c r="CC1637"/>
      <c r="CD1637"/>
      <c r="CE1637"/>
      <c r="CF1637"/>
      <c r="CG1637"/>
      <c r="CH1637"/>
    </row>
    <row r="1638" spans="1:86" x14ac:dyDescent="0.2">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c r="AU1638"/>
      <c r="AV1638"/>
      <c r="AW1638"/>
      <c r="AX1638"/>
      <c r="AY1638"/>
      <c r="AZ1638"/>
      <c r="BA1638"/>
      <c r="BB1638"/>
      <c r="BC1638"/>
      <c r="BD1638"/>
      <c r="BE1638"/>
      <c r="BF1638"/>
      <c r="BG1638"/>
      <c r="BH1638"/>
      <c r="BI1638"/>
      <c r="BJ1638"/>
      <c r="BK1638"/>
      <c r="BL1638"/>
      <c r="BM1638"/>
      <c r="BN1638"/>
      <c r="BO1638"/>
      <c r="BP1638"/>
      <c r="BQ1638"/>
      <c r="BR1638"/>
      <c r="BS1638"/>
      <c r="BT1638"/>
      <c r="BU1638"/>
      <c r="BV1638"/>
      <c r="BW1638"/>
      <c r="BX1638"/>
      <c r="BY1638"/>
      <c r="BZ1638"/>
      <c r="CA1638"/>
      <c r="CB1638"/>
      <c r="CC1638"/>
      <c r="CD1638"/>
      <c r="CE1638"/>
      <c r="CF1638"/>
      <c r="CG1638"/>
      <c r="CH1638"/>
    </row>
    <row r="1639" spans="1:86" x14ac:dyDescent="0.2">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c r="AU1639"/>
      <c r="AV1639"/>
      <c r="AW1639"/>
      <c r="AX1639"/>
      <c r="AY1639"/>
      <c r="AZ1639"/>
      <c r="BA1639"/>
      <c r="BB1639"/>
      <c r="BC1639"/>
      <c r="BD1639"/>
      <c r="BE1639"/>
      <c r="BF1639"/>
      <c r="BG1639"/>
      <c r="BH1639"/>
      <c r="BI1639"/>
      <c r="BJ1639"/>
      <c r="BK1639"/>
      <c r="BL1639"/>
      <c r="BM1639"/>
      <c r="BN1639"/>
      <c r="BO1639"/>
      <c r="BP1639"/>
      <c r="BQ1639"/>
      <c r="BR1639"/>
      <c r="BS1639"/>
      <c r="BT1639"/>
      <c r="BU1639"/>
      <c r="BV1639"/>
      <c r="BW1639"/>
      <c r="BX1639"/>
      <c r="BY1639"/>
      <c r="BZ1639"/>
      <c r="CA1639"/>
      <c r="CB1639"/>
      <c r="CC1639"/>
      <c r="CD1639"/>
      <c r="CE1639"/>
      <c r="CF1639"/>
      <c r="CG1639"/>
      <c r="CH1639"/>
    </row>
    <row r="1640" spans="1:86" x14ac:dyDescent="0.2">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c r="AU1640"/>
      <c r="AV1640"/>
      <c r="AW1640"/>
      <c r="AX1640"/>
      <c r="AY1640"/>
      <c r="AZ1640"/>
      <c r="BA1640"/>
      <c r="BB1640"/>
      <c r="BC1640"/>
      <c r="BD1640"/>
      <c r="BE1640"/>
      <c r="BF1640"/>
      <c r="BG1640"/>
      <c r="BH1640"/>
      <c r="BI1640"/>
      <c r="BJ1640"/>
      <c r="BK1640"/>
      <c r="BL1640"/>
      <c r="BM1640"/>
      <c r="BN1640"/>
      <c r="BO1640"/>
      <c r="BP1640"/>
      <c r="BQ1640"/>
      <c r="BR1640"/>
      <c r="BS1640"/>
      <c r="BT1640"/>
      <c r="BU1640"/>
      <c r="BV1640"/>
      <c r="BW1640"/>
      <c r="BX1640"/>
      <c r="BY1640"/>
      <c r="BZ1640"/>
      <c r="CA1640"/>
      <c r="CB1640"/>
      <c r="CC1640"/>
      <c r="CD1640"/>
      <c r="CE1640"/>
      <c r="CF1640"/>
      <c r="CG1640"/>
      <c r="CH1640"/>
    </row>
    <row r="1641" spans="1:86" x14ac:dyDescent="0.2">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c r="AU1641"/>
      <c r="AV1641"/>
      <c r="AW1641"/>
      <c r="AX1641"/>
      <c r="AY1641"/>
      <c r="AZ1641"/>
      <c r="BA1641"/>
      <c r="BB1641"/>
      <c r="BC1641"/>
      <c r="BD1641"/>
      <c r="BE1641"/>
      <c r="BF1641"/>
      <c r="BG1641"/>
      <c r="BH1641"/>
      <c r="BI1641"/>
      <c r="BJ1641"/>
      <c r="BK1641"/>
      <c r="BL1641"/>
      <c r="BM1641"/>
      <c r="BN1641"/>
      <c r="BO1641"/>
      <c r="BP1641"/>
      <c r="BQ1641"/>
      <c r="BR1641"/>
      <c r="BS1641"/>
      <c r="BT1641"/>
      <c r="BU1641"/>
      <c r="BV1641"/>
      <c r="BW1641"/>
      <c r="BX1641"/>
      <c r="BY1641"/>
      <c r="BZ1641"/>
      <c r="CA1641"/>
      <c r="CB1641"/>
      <c r="CC1641"/>
      <c r="CD1641"/>
      <c r="CE1641"/>
      <c r="CF1641"/>
      <c r="CG1641"/>
      <c r="CH1641"/>
    </row>
    <row r="1642" spans="1:86" x14ac:dyDescent="0.2">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c r="AU1642"/>
      <c r="AV1642"/>
      <c r="AW1642"/>
      <c r="AX1642"/>
      <c r="AY1642"/>
      <c r="AZ1642"/>
      <c r="BA1642"/>
      <c r="BB1642"/>
      <c r="BC1642"/>
      <c r="BD1642"/>
      <c r="BE1642"/>
      <c r="BF1642"/>
      <c r="BG1642"/>
      <c r="BH1642"/>
      <c r="BI1642"/>
      <c r="BJ1642"/>
      <c r="BK1642"/>
      <c r="BL1642"/>
      <c r="BM1642"/>
      <c r="BN1642"/>
      <c r="BO1642"/>
      <c r="BP1642"/>
      <c r="BQ1642"/>
      <c r="BR1642"/>
      <c r="BS1642"/>
      <c r="BT1642"/>
      <c r="BU1642"/>
      <c r="BV1642"/>
      <c r="BW1642"/>
      <c r="BX1642"/>
      <c r="BY1642"/>
      <c r="BZ1642"/>
      <c r="CA1642"/>
      <c r="CB1642"/>
      <c r="CC1642"/>
      <c r="CD1642"/>
      <c r="CE1642"/>
      <c r="CF1642"/>
      <c r="CG1642"/>
      <c r="CH1642"/>
    </row>
    <row r="1643" spans="1:86" x14ac:dyDescent="0.2">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c r="AU1643"/>
      <c r="AV1643"/>
      <c r="AW1643"/>
      <c r="AX1643"/>
      <c r="AY1643"/>
      <c r="AZ1643"/>
      <c r="BA1643"/>
      <c r="BB1643"/>
      <c r="BC1643"/>
      <c r="BD1643"/>
      <c r="BE1643"/>
      <c r="BF1643"/>
      <c r="BG1643"/>
      <c r="BH1643"/>
      <c r="BI1643"/>
      <c r="BJ1643"/>
      <c r="BK1643"/>
      <c r="BL1643"/>
      <c r="BM1643"/>
      <c r="BN1643"/>
      <c r="BO1643"/>
      <c r="BP1643"/>
      <c r="BQ1643"/>
      <c r="BR1643"/>
      <c r="BS1643"/>
      <c r="BT1643"/>
      <c r="BU1643"/>
      <c r="BV1643"/>
      <c r="BW1643"/>
      <c r="BX1643"/>
      <c r="BY1643"/>
      <c r="BZ1643"/>
      <c r="CA1643"/>
      <c r="CB1643"/>
      <c r="CC1643"/>
      <c r="CD1643"/>
      <c r="CE1643"/>
      <c r="CF1643"/>
      <c r="CG1643"/>
      <c r="CH1643"/>
    </row>
    <row r="1644" spans="1:86" x14ac:dyDescent="0.2">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c r="AU1644"/>
      <c r="AV1644"/>
      <c r="AW1644"/>
      <c r="AX1644"/>
      <c r="AY1644"/>
      <c r="AZ1644"/>
      <c r="BA1644"/>
      <c r="BB1644"/>
      <c r="BC1644"/>
      <c r="BD1644"/>
      <c r="BE1644"/>
      <c r="BF1644"/>
      <c r="BG1644"/>
      <c r="BH1644"/>
      <c r="BI1644"/>
      <c r="BJ1644"/>
      <c r="BK1644"/>
      <c r="BL1644"/>
      <c r="BM1644"/>
      <c r="BN1644"/>
      <c r="BO1644"/>
      <c r="BP1644"/>
      <c r="BQ1644"/>
      <c r="BR1644"/>
      <c r="BS1644"/>
      <c r="BT1644"/>
      <c r="BU1644"/>
      <c r="BV1644"/>
      <c r="BW1644"/>
      <c r="BX1644"/>
      <c r="BY1644"/>
      <c r="BZ1644"/>
      <c r="CA1644"/>
      <c r="CB1644"/>
      <c r="CC1644"/>
      <c r="CD1644"/>
      <c r="CE1644"/>
      <c r="CF1644"/>
      <c r="CG1644"/>
      <c r="CH1644"/>
    </row>
    <row r="1645" spans="1:86" x14ac:dyDescent="0.2">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c r="AU1645"/>
      <c r="AV1645"/>
      <c r="AW1645"/>
      <c r="AX1645"/>
      <c r="AY1645"/>
      <c r="AZ1645"/>
      <c r="BA1645"/>
      <c r="BB1645"/>
      <c r="BC1645"/>
      <c r="BD1645"/>
      <c r="BE1645"/>
      <c r="BF1645"/>
      <c r="BG1645"/>
      <c r="BH1645"/>
      <c r="BI1645"/>
      <c r="BJ1645"/>
      <c r="BK1645"/>
      <c r="BL1645"/>
      <c r="BM1645"/>
      <c r="BN1645"/>
      <c r="BO1645"/>
      <c r="BP1645"/>
      <c r="BQ1645"/>
      <c r="BR1645"/>
      <c r="BS1645"/>
      <c r="BT1645"/>
      <c r="BU1645"/>
      <c r="BV1645"/>
      <c r="BW1645"/>
      <c r="BX1645"/>
      <c r="BY1645"/>
      <c r="BZ1645"/>
      <c r="CA1645"/>
      <c r="CB1645"/>
      <c r="CC1645"/>
      <c r="CD1645"/>
      <c r="CE1645"/>
      <c r="CF1645"/>
      <c r="CG1645"/>
      <c r="CH1645"/>
    </row>
    <row r="1646" spans="1:86" x14ac:dyDescent="0.2">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c r="AU1646"/>
      <c r="AV1646"/>
      <c r="AW1646"/>
      <c r="AX1646"/>
      <c r="AY1646"/>
      <c r="AZ1646"/>
      <c r="BA1646"/>
      <c r="BB1646"/>
      <c r="BC1646"/>
      <c r="BD1646"/>
      <c r="BE1646"/>
      <c r="BF1646"/>
      <c r="BG1646"/>
      <c r="BH1646"/>
      <c r="BI1646"/>
      <c r="BJ1646"/>
      <c r="BK1646"/>
      <c r="BL1646"/>
      <c r="BM1646"/>
      <c r="BN1646"/>
      <c r="BO1646"/>
      <c r="BP1646"/>
      <c r="BQ1646"/>
      <c r="BR1646"/>
      <c r="BS1646"/>
      <c r="BT1646"/>
      <c r="BU1646"/>
      <c r="BV1646"/>
      <c r="BW1646"/>
      <c r="BX1646"/>
      <c r="BY1646"/>
      <c r="BZ1646"/>
      <c r="CA1646"/>
      <c r="CB1646"/>
      <c r="CC1646"/>
      <c r="CD1646"/>
      <c r="CE1646"/>
      <c r="CF1646"/>
      <c r="CG1646"/>
      <c r="CH1646"/>
    </row>
    <row r="1647" spans="1:86" x14ac:dyDescent="0.2">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c r="AU1647"/>
      <c r="AV1647"/>
      <c r="AW1647"/>
      <c r="AX1647"/>
      <c r="AY1647"/>
      <c r="AZ1647"/>
      <c r="BA1647"/>
      <c r="BB1647"/>
      <c r="BC1647"/>
      <c r="BD1647"/>
      <c r="BE1647"/>
      <c r="BF1647"/>
      <c r="BG1647"/>
      <c r="BH1647"/>
      <c r="BI1647"/>
      <c r="BJ1647"/>
      <c r="BK1647"/>
      <c r="BL1647"/>
      <c r="BM1647"/>
      <c r="BN1647"/>
      <c r="BO1647"/>
      <c r="BP1647"/>
      <c r="BQ1647"/>
      <c r="BR1647"/>
      <c r="BS1647"/>
      <c r="BT1647"/>
      <c r="BU1647"/>
      <c r="BV1647"/>
      <c r="BW1647"/>
      <c r="BX1647"/>
      <c r="BY1647"/>
      <c r="BZ1647"/>
      <c r="CA1647"/>
      <c r="CB1647"/>
      <c r="CC1647"/>
      <c r="CD1647"/>
      <c r="CE1647"/>
      <c r="CF1647"/>
      <c r="CG1647"/>
      <c r="CH1647"/>
    </row>
    <row r="1648" spans="1:86" x14ac:dyDescent="0.2">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c r="AU1648"/>
      <c r="AV1648"/>
      <c r="AW1648"/>
      <c r="AX1648"/>
      <c r="AY1648"/>
      <c r="AZ1648"/>
      <c r="BA1648"/>
      <c r="BB1648"/>
      <c r="BC1648"/>
      <c r="BD1648"/>
      <c r="BE1648"/>
      <c r="BF1648"/>
      <c r="BG1648"/>
      <c r="BH1648"/>
      <c r="BI1648"/>
      <c r="BJ1648"/>
      <c r="BK1648"/>
      <c r="BL1648"/>
      <c r="BM1648"/>
      <c r="BN1648"/>
      <c r="BO1648"/>
      <c r="BP1648"/>
      <c r="BQ1648"/>
      <c r="BR1648"/>
      <c r="BS1648"/>
      <c r="BT1648"/>
      <c r="BU1648"/>
      <c r="BV1648"/>
      <c r="BW1648"/>
      <c r="BX1648"/>
      <c r="BY1648"/>
      <c r="BZ1648"/>
      <c r="CA1648"/>
      <c r="CB1648"/>
      <c r="CC1648"/>
      <c r="CD1648"/>
      <c r="CE1648"/>
      <c r="CF1648"/>
      <c r="CG1648"/>
      <c r="CH1648"/>
    </row>
    <row r="1649" spans="1:86" x14ac:dyDescent="0.2">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c r="AU1649"/>
      <c r="AV1649"/>
      <c r="AW1649"/>
      <c r="AX1649"/>
      <c r="AY1649"/>
      <c r="AZ1649"/>
      <c r="BA1649"/>
      <c r="BB1649"/>
      <c r="BC1649"/>
      <c r="BD1649"/>
      <c r="BE1649"/>
      <c r="BF1649"/>
      <c r="BG1649"/>
      <c r="BH1649"/>
      <c r="BI1649"/>
      <c r="BJ1649"/>
      <c r="BK1649"/>
      <c r="BL1649"/>
      <c r="BM1649"/>
      <c r="BN1649"/>
      <c r="BO1649"/>
      <c r="BP1649"/>
      <c r="BQ1649"/>
      <c r="BR1649"/>
      <c r="BS1649"/>
      <c r="BT1649"/>
      <c r="BU1649"/>
      <c r="BV1649"/>
      <c r="BW1649"/>
      <c r="BX1649"/>
      <c r="BY1649"/>
      <c r="BZ1649"/>
      <c r="CA1649"/>
      <c r="CB1649"/>
      <c r="CC1649"/>
      <c r="CD1649"/>
      <c r="CE1649"/>
      <c r="CF1649"/>
      <c r="CG1649"/>
      <c r="CH1649"/>
    </row>
    <row r="1650" spans="1:86" x14ac:dyDescent="0.2">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c r="AU1650"/>
      <c r="AV1650"/>
      <c r="AW1650"/>
      <c r="AX1650"/>
      <c r="AY1650"/>
      <c r="AZ1650"/>
      <c r="BA1650"/>
      <c r="BB1650"/>
      <c r="BC1650"/>
      <c r="BD1650"/>
      <c r="BE1650"/>
      <c r="BF1650"/>
      <c r="BG1650"/>
      <c r="BH1650"/>
      <c r="BI1650"/>
      <c r="BJ1650"/>
      <c r="BK1650"/>
      <c r="BL1650"/>
      <c r="BM1650"/>
      <c r="BN1650"/>
      <c r="BO1650"/>
      <c r="BP1650"/>
      <c r="BQ1650"/>
      <c r="BR1650"/>
      <c r="BS1650"/>
      <c r="BT1650"/>
      <c r="BU1650"/>
      <c r="BV1650"/>
      <c r="BW1650"/>
      <c r="BX1650"/>
      <c r="BY1650"/>
      <c r="BZ1650"/>
      <c r="CA1650"/>
      <c r="CB1650"/>
      <c r="CC1650"/>
      <c r="CD1650"/>
      <c r="CE1650"/>
      <c r="CF1650"/>
      <c r="CG1650"/>
      <c r="CH1650"/>
    </row>
    <row r="1651" spans="1:86" x14ac:dyDescent="0.2">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c r="AU1651"/>
      <c r="AV1651"/>
      <c r="AW1651"/>
      <c r="AX1651"/>
      <c r="AY1651"/>
      <c r="AZ1651"/>
      <c r="BA1651"/>
      <c r="BB1651"/>
      <c r="BC1651"/>
      <c r="BD1651"/>
      <c r="BE1651"/>
      <c r="BF1651"/>
      <c r="BG1651"/>
      <c r="BH1651"/>
      <c r="BI1651"/>
      <c r="BJ1651"/>
      <c r="BK1651"/>
      <c r="BL1651"/>
      <c r="BM1651"/>
      <c r="BN1651"/>
      <c r="BO1651"/>
      <c r="BP1651"/>
      <c r="BQ1651"/>
      <c r="BR1651"/>
      <c r="BS1651"/>
      <c r="BT1651"/>
      <c r="BU1651"/>
      <c r="BV1651"/>
      <c r="BW1651"/>
      <c r="BX1651"/>
      <c r="BY1651"/>
      <c r="BZ1651"/>
      <c r="CA1651"/>
      <c r="CB1651"/>
      <c r="CC1651"/>
      <c r="CD1651"/>
      <c r="CE1651"/>
      <c r="CF1651"/>
      <c r="CG1651"/>
      <c r="CH1651"/>
    </row>
    <row r="1652" spans="1:86" x14ac:dyDescent="0.2">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c r="AU1652"/>
      <c r="AV1652"/>
      <c r="AW1652"/>
      <c r="AX1652"/>
      <c r="AY1652"/>
      <c r="AZ1652"/>
      <c r="BA1652"/>
      <c r="BB1652"/>
      <c r="BC1652"/>
      <c r="BD1652"/>
      <c r="BE1652"/>
      <c r="BF1652"/>
      <c r="BG1652"/>
      <c r="BH1652"/>
      <c r="BI1652"/>
      <c r="BJ1652"/>
      <c r="BK1652"/>
      <c r="BL1652"/>
      <c r="BM1652"/>
      <c r="BN1652"/>
      <c r="BO1652"/>
      <c r="BP1652"/>
      <c r="BQ1652"/>
      <c r="BR1652"/>
      <c r="BS1652"/>
      <c r="BT1652"/>
      <c r="BU1652"/>
      <c r="BV1652"/>
      <c r="BW1652"/>
      <c r="BX1652"/>
      <c r="BY1652"/>
      <c r="BZ1652"/>
      <c r="CA1652"/>
      <c r="CB1652"/>
      <c r="CC1652"/>
      <c r="CD1652"/>
      <c r="CE1652"/>
      <c r="CF1652"/>
      <c r="CG1652"/>
      <c r="CH1652"/>
    </row>
    <row r="1653" spans="1:86" x14ac:dyDescent="0.2">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c r="AU1653"/>
      <c r="AV1653"/>
      <c r="AW1653"/>
      <c r="AX1653"/>
      <c r="AY1653"/>
      <c r="AZ1653"/>
      <c r="BA1653"/>
      <c r="BB1653"/>
      <c r="BC1653"/>
      <c r="BD1653"/>
      <c r="BE1653"/>
      <c r="BF1653"/>
      <c r="BG1653"/>
      <c r="BH1653"/>
      <c r="BI1653"/>
      <c r="BJ1653"/>
      <c r="BK1653"/>
      <c r="BL1653"/>
      <c r="BM1653"/>
      <c r="BN1653"/>
      <c r="BO1653"/>
      <c r="BP1653"/>
      <c r="BQ1653"/>
      <c r="BR1653"/>
      <c r="BS1653"/>
      <c r="BT1653"/>
      <c r="BU1653"/>
      <c r="BV1653"/>
      <c r="BW1653"/>
      <c r="BX1653"/>
      <c r="BY1653"/>
      <c r="BZ1653"/>
      <c r="CA1653"/>
      <c r="CB1653"/>
      <c r="CC1653"/>
      <c r="CD1653"/>
      <c r="CE1653"/>
      <c r="CF1653"/>
      <c r="CG1653"/>
      <c r="CH1653"/>
    </row>
    <row r="1654" spans="1:86" x14ac:dyDescent="0.2">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c r="AU1654"/>
      <c r="AV1654"/>
      <c r="AW1654"/>
      <c r="AX1654"/>
      <c r="AY1654"/>
      <c r="AZ1654"/>
      <c r="BA1654"/>
      <c r="BB1654"/>
      <c r="BC1654"/>
      <c r="BD1654"/>
      <c r="BE1654"/>
      <c r="BF1654"/>
      <c r="BG1654"/>
      <c r="BH1654"/>
      <c r="BI1654"/>
      <c r="BJ1654"/>
      <c r="BK1654"/>
      <c r="BL1654"/>
      <c r="BM1654"/>
      <c r="BN1654"/>
      <c r="BO1654"/>
      <c r="BP1654"/>
      <c r="BQ1654"/>
      <c r="BR1654"/>
      <c r="BS1654"/>
      <c r="BT1654"/>
      <c r="BU1654"/>
      <c r="BV1654"/>
      <c r="BW1654"/>
      <c r="BX1654"/>
      <c r="BY1654"/>
      <c r="BZ1654"/>
      <c r="CA1654"/>
      <c r="CB1654"/>
      <c r="CC1654"/>
      <c r="CD1654"/>
      <c r="CE1654"/>
      <c r="CF1654"/>
      <c r="CG1654"/>
      <c r="CH1654"/>
    </row>
    <row r="1655" spans="1:86" x14ac:dyDescent="0.2">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c r="AU1655"/>
      <c r="AV1655"/>
      <c r="AW1655"/>
      <c r="AX1655"/>
      <c r="AY1655"/>
      <c r="AZ1655"/>
      <c r="BA1655"/>
      <c r="BB1655"/>
      <c r="BC1655"/>
      <c r="BD1655"/>
      <c r="BE1655"/>
      <c r="BF1655"/>
      <c r="BG1655"/>
      <c r="BH1655"/>
      <c r="BI1655"/>
      <c r="BJ1655"/>
      <c r="BK1655"/>
      <c r="BL1655"/>
      <c r="BM1655"/>
      <c r="BN1655"/>
      <c r="BO1655"/>
      <c r="BP1655"/>
      <c r="BQ1655"/>
      <c r="BR1655"/>
      <c r="BS1655"/>
      <c r="BT1655"/>
      <c r="BU1655"/>
      <c r="BV1655"/>
      <c r="BW1655"/>
      <c r="BX1655"/>
      <c r="BY1655"/>
      <c r="BZ1655"/>
      <c r="CA1655"/>
      <c r="CB1655"/>
      <c r="CC1655"/>
      <c r="CD1655"/>
      <c r="CE1655"/>
      <c r="CF1655"/>
      <c r="CG1655"/>
      <c r="CH1655"/>
    </row>
    <row r="1656" spans="1:86" x14ac:dyDescent="0.2">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c r="AU1656"/>
      <c r="AV1656"/>
      <c r="AW1656"/>
      <c r="AX1656"/>
      <c r="AY1656"/>
      <c r="AZ1656"/>
      <c r="BA1656"/>
      <c r="BB1656"/>
      <c r="BC1656"/>
      <c r="BD1656"/>
      <c r="BE1656"/>
      <c r="BF1656"/>
      <c r="BG1656"/>
      <c r="BH1656"/>
      <c r="BI1656"/>
      <c r="BJ1656"/>
      <c r="BK1656"/>
      <c r="BL1656"/>
      <c r="BM1656"/>
      <c r="BN1656"/>
      <c r="BO1656"/>
      <c r="BP1656"/>
      <c r="BQ1656"/>
      <c r="BR1656"/>
      <c r="BS1656"/>
      <c r="BT1656"/>
      <c r="BU1656"/>
      <c r="BV1656"/>
      <c r="BW1656"/>
      <c r="BX1656"/>
      <c r="BY1656"/>
      <c r="BZ1656"/>
      <c r="CA1656"/>
      <c r="CB1656"/>
      <c r="CC1656"/>
      <c r="CD1656"/>
      <c r="CE1656"/>
      <c r="CF1656"/>
      <c r="CG1656"/>
      <c r="CH1656"/>
    </row>
    <row r="1657" spans="1:86" x14ac:dyDescent="0.2">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c r="AU1657"/>
      <c r="AV1657"/>
      <c r="AW1657"/>
      <c r="AX1657"/>
      <c r="AY1657"/>
      <c r="AZ1657"/>
      <c r="BA1657"/>
      <c r="BB1657"/>
      <c r="BC1657"/>
      <c r="BD1657"/>
      <c r="BE1657"/>
      <c r="BF1657"/>
      <c r="BG1657"/>
      <c r="BH1657"/>
      <c r="BI1657"/>
      <c r="BJ1657"/>
      <c r="BK1657"/>
      <c r="BL1657"/>
      <c r="BM1657"/>
      <c r="BN1657"/>
      <c r="BO1657"/>
      <c r="BP1657"/>
      <c r="BQ1657"/>
      <c r="BR1657"/>
      <c r="BS1657"/>
      <c r="BT1657"/>
      <c r="BU1657"/>
      <c r="BV1657"/>
      <c r="BW1657"/>
      <c r="BX1657"/>
      <c r="BY1657"/>
      <c r="BZ1657"/>
      <c r="CA1657"/>
      <c r="CB1657"/>
      <c r="CC1657"/>
      <c r="CD1657"/>
      <c r="CE1657"/>
      <c r="CF1657"/>
      <c r="CG1657"/>
      <c r="CH1657"/>
    </row>
    <row r="1658" spans="1:86" x14ac:dyDescent="0.2">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c r="AU1658"/>
      <c r="AV1658"/>
      <c r="AW1658"/>
      <c r="AX1658"/>
      <c r="AY1658"/>
      <c r="AZ1658"/>
      <c r="BA1658"/>
      <c r="BB1658"/>
      <c r="BC1658"/>
      <c r="BD1658"/>
      <c r="BE1658"/>
      <c r="BF1658"/>
      <c r="BG1658"/>
      <c r="BH1658"/>
      <c r="BI1658"/>
      <c r="BJ1658"/>
      <c r="BK1658"/>
      <c r="BL1658"/>
      <c r="BM1658"/>
      <c r="BN1658"/>
      <c r="BO1658"/>
      <c r="BP1658"/>
      <c r="BQ1658"/>
      <c r="BR1658"/>
      <c r="BS1658"/>
      <c r="BT1658"/>
      <c r="BU1658"/>
      <c r="BV1658"/>
      <c r="BW1658"/>
      <c r="BX1658"/>
      <c r="BY1658"/>
      <c r="BZ1658"/>
      <c r="CA1658"/>
      <c r="CB1658"/>
      <c r="CC1658"/>
      <c r="CD1658"/>
      <c r="CE1658"/>
      <c r="CF1658"/>
      <c r="CG1658"/>
      <c r="CH1658"/>
    </row>
    <row r="1659" spans="1:86" x14ac:dyDescent="0.2">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c r="AU1659"/>
      <c r="AV1659"/>
      <c r="AW1659"/>
      <c r="AX1659"/>
      <c r="AY1659"/>
      <c r="AZ1659"/>
      <c r="BA1659"/>
      <c r="BB1659"/>
      <c r="BC1659"/>
      <c r="BD1659"/>
      <c r="BE1659"/>
      <c r="BF1659"/>
      <c r="BG1659"/>
      <c r="BH1659"/>
      <c r="BI1659"/>
      <c r="BJ1659"/>
      <c r="BK1659"/>
      <c r="BL1659"/>
      <c r="BM1659"/>
      <c r="BN1659"/>
      <c r="BO1659"/>
      <c r="BP1659"/>
      <c r="BQ1659"/>
      <c r="BR1659"/>
      <c r="BS1659"/>
      <c r="BT1659"/>
      <c r="BU1659"/>
      <c r="BV1659"/>
      <c r="BW1659"/>
      <c r="BX1659"/>
      <c r="BY1659"/>
      <c r="BZ1659"/>
      <c r="CA1659"/>
      <c r="CB1659"/>
      <c r="CC1659"/>
      <c r="CD1659"/>
      <c r="CE1659"/>
      <c r="CF1659"/>
      <c r="CG1659"/>
      <c r="CH1659"/>
    </row>
    <row r="1660" spans="1:86" x14ac:dyDescent="0.2">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c r="AU1660"/>
      <c r="AV1660"/>
      <c r="AW1660"/>
      <c r="AX1660"/>
      <c r="AY1660"/>
      <c r="AZ1660"/>
      <c r="BA1660"/>
      <c r="BB1660"/>
      <c r="BC1660"/>
      <c r="BD1660"/>
      <c r="BE1660"/>
      <c r="BF1660"/>
      <c r="BG1660"/>
      <c r="BH1660"/>
      <c r="BI1660"/>
      <c r="BJ1660"/>
      <c r="BK1660"/>
      <c r="BL1660"/>
      <c r="BM1660"/>
      <c r="BN1660"/>
      <c r="BO1660"/>
      <c r="BP1660"/>
      <c r="BQ1660"/>
      <c r="BR1660"/>
      <c r="BS1660"/>
      <c r="BT1660"/>
      <c r="BU1660"/>
      <c r="BV1660"/>
      <c r="BW1660"/>
      <c r="BX1660"/>
      <c r="BY1660"/>
      <c r="BZ1660"/>
      <c r="CA1660"/>
      <c r="CB1660"/>
      <c r="CC1660"/>
      <c r="CD1660"/>
      <c r="CE1660"/>
      <c r="CF1660"/>
      <c r="CG1660"/>
      <c r="CH1660"/>
    </row>
    <row r="1661" spans="1:86" x14ac:dyDescent="0.2">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c r="AU1661"/>
      <c r="AV1661"/>
      <c r="AW1661"/>
      <c r="AX1661"/>
      <c r="AY1661"/>
      <c r="AZ1661"/>
      <c r="BA1661"/>
      <c r="BB1661"/>
      <c r="BC1661"/>
      <c r="BD1661"/>
      <c r="BE1661"/>
      <c r="BF1661"/>
      <c r="BG1661"/>
      <c r="BH1661"/>
      <c r="BI1661"/>
      <c r="BJ1661"/>
      <c r="BK1661"/>
      <c r="BL1661"/>
      <c r="BM1661"/>
      <c r="BN1661"/>
      <c r="BO1661"/>
      <c r="BP1661"/>
      <c r="BQ1661"/>
      <c r="BR1661"/>
      <c r="BS1661"/>
      <c r="BT1661"/>
      <c r="BU1661"/>
      <c r="BV1661"/>
      <c r="BW1661"/>
      <c r="BX1661"/>
      <c r="BY1661"/>
      <c r="BZ1661"/>
      <c r="CA1661"/>
      <c r="CB1661"/>
      <c r="CC1661"/>
      <c r="CD1661"/>
      <c r="CE1661"/>
      <c r="CF1661"/>
      <c r="CG1661"/>
      <c r="CH1661"/>
    </row>
    <row r="1662" spans="1:86" x14ac:dyDescent="0.2">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c r="AU1662"/>
      <c r="AV1662"/>
      <c r="AW1662"/>
      <c r="AX1662"/>
      <c r="AY1662"/>
      <c r="AZ1662"/>
      <c r="BA1662"/>
      <c r="BB1662"/>
      <c r="BC1662"/>
      <c r="BD1662"/>
      <c r="BE1662"/>
      <c r="BF1662"/>
      <c r="BG1662"/>
      <c r="BH1662"/>
      <c r="BI1662"/>
      <c r="BJ1662"/>
      <c r="BK1662"/>
      <c r="BL1662"/>
      <c r="BM1662"/>
      <c r="BN1662"/>
      <c r="BO1662"/>
      <c r="BP1662"/>
      <c r="BQ1662"/>
      <c r="BR1662"/>
      <c r="BS1662"/>
      <c r="BT1662"/>
      <c r="BU1662"/>
      <c r="BV1662"/>
      <c r="BW1662"/>
      <c r="BX1662"/>
      <c r="BY1662"/>
      <c r="BZ1662"/>
      <c r="CA1662"/>
      <c r="CB1662"/>
      <c r="CC1662"/>
      <c r="CD1662"/>
      <c r="CE1662"/>
      <c r="CF1662"/>
      <c r="CG1662"/>
      <c r="CH1662"/>
    </row>
    <row r="1663" spans="1:86" x14ac:dyDescent="0.2">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c r="AU1663"/>
      <c r="AV1663"/>
      <c r="AW1663"/>
      <c r="AX1663"/>
      <c r="AY1663"/>
      <c r="AZ1663"/>
      <c r="BA1663"/>
      <c r="BB1663"/>
      <c r="BC1663"/>
      <c r="BD1663"/>
      <c r="BE1663"/>
      <c r="BF1663"/>
      <c r="BG1663"/>
      <c r="BH1663"/>
      <c r="BI1663"/>
      <c r="BJ1663"/>
      <c r="BK1663"/>
      <c r="BL1663"/>
      <c r="BM1663"/>
      <c r="BN1663"/>
      <c r="BO1663"/>
      <c r="BP1663"/>
      <c r="BQ1663"/>
      <c r="BR1663"/>
      <c r="BS1663"/>
      <c r="BT1663"/>
      <c r="BU1663"/>
      <c r="BV1663"/>
      <c r="BW1663"/>
      <c r="BX1663"/>
      <c r="BY1663"/>
      <c r="BZ1663"/>
      <c r="CA1663"/>
      <c r="CB1663"/>
      <c r="CC1663"/>
      <c r="CD1663"/>
      <c r="CE1663"/>
      <c r="CF1663"/>
      <c r="CG1663"/>
      <c r="CH1663"/>
    </row>
    <row r="1664" spans="1:86" x14ac:dyDescent="0.2">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c r="AU1664"/>
      <c r="AV1664"/>
      <c r="AW1664"/>
      <c r="AX1664"/>
      <c r="AY1664"/>
      <c r="AZ1664"/>
      <c r="BA1664"/>
      <c r="BB1664"/>
      <c r="BC1664"/>
      <c r="BD1664"/>
      <c r="BE1664"/>
      <c r="BF1664"/>
      <c r="BG1664"/>
      <c r="BH1664"/>
      <c r="BI1664"/>
      <c r="BJ1664"/>
      <c r="BK1664"/>
      <c r="BL1664"/>
      <c r="BM1664"/>
      <c r="BN1664"/>
      <c r="BO1664"/>
      <c r="BP1664"/>
      <c r="BQ1664"/>
      <c r="BR1664"/>
      <c r="BS1664"/>
      <c r="BT1664"/>
      <c r="BU1664"/>
      <c r="BV1664"/>
      <c r="BW1664"/>
      <c r="BX1664"/>
      <c r="BY1664"/>
      <c r="BZ1664"/>
      <c r="CA1664"/>
      <c r="CB1664"/>
      <c r="CC1664"/>
      <c r="CD1664"/>
      <c r="CE1664"/>
      <c r="CF1664"/>
      <c r="CG1664"/>
      <c r="CH1664"/>
    </row>
    <row r="1665" spans="1:86" x14ac:dyDescent="0.2">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c r="AU1665"/>
      <c r="AV1665"/>
      <c r="AW1665"/>
      <c r="AX1665"/>
      <c r="AY1665"/>
      <c r="AZ1665"/>
      <c r="BA1665"/>
      <c r="BB1665"/>
      <c r="BC1665"/>
      <c r="BD1665"/>
      <c r="BE1665"/>
      <c r="BF1665"/>
      <c r="BG1665"/>
      <c r="BH1665"/>
      <c r="BI1665"/>
      <c r="BJ1665"/>
      <c r="BK1665"/>
      <c r="BL1665"/>
      <c r="BM1665"/>
      <c r="BN1665"/>
      <c r="BO1665"/>
      <c r="BP1665"/>
      <c r="BQ1665"/>
      <c r="BR1665"/>
      <c r="BS1665"/>
      <c r="BT1665"/>
      <c r="BU1665"/>
      <c r="BV1665"/>
      <c r="BW1665"/>
      <c r="BX1665"/>
      <c r="BY1665"/>
      <c r="BZ1665"/>
      <c r="CA1665"/>
      <c r="CB1665"/>
      <c r="CC1665"/>
      <c r="CD1665"/>
      <c r="CE1665"/>
      <c r="CF1665"/>
      <c r="CG1665"/>
      <c r="CH1665"/>
    </row>
    <row r="1666" spans="1:86" x14ac:dyDescent="0.2">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c r="AU1666"/>
      <c r="AV1666"/>
      <c r="AW1666"/>
      <c r="AX1666"/>
      <c r="AY1666"/>
      <c r="AZ1666"/>
      <c r="BA1666"/>
      <c r="BB1666"/>
      <c r="BC1666"/>
      <c r="BD1666"/>
      <c r="BE1666"/>
      <c r="BF1666"/>
      <c r="BG1666"/>
      <c r="BH1666"/>
      <c r="BI1666"/>
      <c r="BJ1666"/>
      <c r="BK1666"/>
      <c r="BL1666"/>
      <c r="BM1666"/>
      <c r="BN1666"/>
      <c r="BO1666"/>
      <c r="BP1666"/>
      <c r="BQ1666"/>
      <c r="BR1666"/>
      <c r="BS1666"/>
      <c r="BT1666"/>
      <c r="BU1666"/>
      <c r="BV1666"/>
      <c r="BW1666"/>
      <c r="BX1666"/>
      <c r="BY1666"/>
      <c r="BZ1666"/>
      <c r="CA1666"/>
      <c r="CB1666"/>
      <c r="CC1666"/>
      <c r="CD1666"/>
      <c r="CE1666"/>
      <c r="CF1666"/>
      <c r="CG1666"/>
      <c r="CH1666"/>
    </row>
    <row r="1667" spans="1:86" x14ac:dyDescent="0.2">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c r="AU1667"/>
      <c r="AV1667"/>
      <c r="AW1667"/>
      <c r="AX1667"/>
      <c r="AY1667"/>
      <c r="AZ1667"/>
      <c r="BA1667"/>
      <c r="BB1667"/>
      <c r="BC1667"/>
      <c r="BD1667"/>
      <c r="BE1667"/>
      <c r="BF1667"/>
      <c r="BG1667"/>
      <c r="BH1667"/>
      <c r="BI1667"/>
      <c r="BJ1667"/>
      <c r="BK1667"/>
      <c r="BL1667"/>
      <c r="BM1667"/>
      <c r="BN1667"/>
      <c r="BO1667"/>
      <c r="BP1667"/>
      <c r="BQ1667"/>
      <c r="BR1667"/>
      <c r="BS1667"/>
      <c r="BT1667"/>
      <c r="BU1667"/>
      <c r="BV1667"/>
      <c r="BW1667"/>
      <c r="BX1667"/>
      <c r="BY1667"/>
      <c r="BZ1667"/>
      <c r="CA1667"/>
      <c r="CB1667"/>
      <c r="CC1667"/>
      <c r="CD1667"/>
      <c r="CE1667"/>
      <c r="CF1667"/>
      <c r="CG1667"/>
      <c r="CH1667"/>
    </row>
    <row r="1668" spans="1:86" x14ac:dyDescent="0.2">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c r="AU1668"/>
      <c r="AV1668"/>
      <c r="AW1668"/>
      <c r="AX1668"/>
      <c r="AY1668"/>
      <c r="AZ1668"/>
      <c r="BA1668"/>
      <c r="BB1668"/>
      <c r="BC1668"/>
      <c r="BD1668"/>
      <c r="BE1668"/>
      <c r="BF1668"/>
      <c r="BG1668"/>
      <c r="BH1668"/>
      <c r="BI1668"/>
      <c r="BJ1668"/>
      <c r="BK1668"/>
      <c r="BL1668"/>
      <c r="BM1668"/>
      <c r="BN1668"/>
      <c r="BO1668"/>
      <c r="BP1668"/>
      <c r="BQ1668"/>
      <c r="BR1668"/>
      <c r="BS1668"/>
      <c r="BT1668"/>
      <c r="BU1668"/>
      <c r="BV1668"/>
      <c r="BW1668"/>
      <c r="BX1668"/>
      <c r="BY1668"/>
      <c r="BZ1668"/>
      <c r="CA1668"/>
      <c r="CB1668"/>
      <c r="CC1668"/>
      <c r="CD1668"/>
      <c r="CE1668"/>
      <c r="CF1668"/>
      <c r="CG1668"/>
      <c r="CH1668"/>
    </row>
    <row r="1669" spans="1:86" x14ac:dyDescent="0.2">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c r="AU1669"/>
      <c r="AV1669"/>
      <c r="AW1669"/>
      <c r="AX1669"/>
      <c r="AY1669"/>
      <c r="AZ1669"/>
      <c r="BA1669"/>
      <c r="BB1669"/>
      <c r="BC1669"/>
      <c r="BD1669"/>
      <c r="BE1669"/>
      <c r="BF1669"/>
      <c r="BG1669"/>
      <c r="BH1669"/>
      <c r="BI1669"/>
      <c r="BJ1669"/>
      <c r="BK1669"/>
      <c r="BL1669"/>
      <c r="BM1669"/>
      <c r="BN1669"/>
      <c r="BO1669"/>
      <c r="BP1669"/>
      <c r="BQ1669"/>
      <c r="BR1669"/>
      <c r="BS1669"/>
      <c r="BT1669"/>
      <c r="BU1669"/>
      <c r="BV1669"/>
      <c r="BW1669"/>
      <c r="BX1669"/>
      <c r="BY1669"/>
      <c r="BZ1669"/>
      <c r="CA1669"/>
      <c r="CB1669"/>
      <c r="CC1669"/>
      <c r="CD1669"/>
      <c r="CE1669"/>
      <c r="CF1669"/>
      <c r="CG1669"/>
      <c r="CH1669"/>
    </row>
    <row r="1670" spans="1:86" x14ac:dyDescent="0.2">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c r="AU1670"/>
      <c r="AV1670"/>
      <c r="AW1670"/>
      <c r="AX1670"/>
      <c r="AY1670"/>
      <c r="AZ1670"/>
      <c r="BA1670"/>
      <c r="BB1670"/>
      <c r="BC1670"/>
      <c r="BD1670"/>
      <c r="BE1670"/>
      <c r="BF1670"/>
      <c r="BG1670"/>
      <c r="BH1670"/>
      <c r="BI1670"/>
      <c r="BJ1670"/>
      <c r="BK1670"/>
      <c r="BL1670"/>
      <c r="BM1670"/>
      <c r="BN1670"/>
      <c r="BO1670"/>
      <c r="BP1670"/>
      <c r="BQ1670"/>
      <c r="BR1670"/>
      <c r="BS1670"/>
      <c r="BT1670"/>
      <c r="BU1670"/>
      <c r="BV1670"/>
      <c r="BW1670"/>
      <c r="BX1670"/>
      <c r="BY1670"/>
      <c r="BZ1670"/>
      <c r="CA1670"/>
      <c r="CB1670"/>
      <c r="CC1670"/>
      <c r="CD1670"/>
      <c r="CE1670"/>
      <c r="CF1670"/>
      <c r="CG1670"/>
      <c r="CH1670"/>
    </row>
    <row r="1671" spans="1:86" x14ac:dyDescent="0.2">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c r="AU1671"/>
      <c r="AV1671"/>
      <c r="AW1671"/>
      <c r="AX1671"/>
      <c r="AY1671"/>
      <c r="AZ1671"/>
      <c r="BA1671"/>
      <c r="BB1671"/>
      <c r="BC1671"/>
      <c r="BD1671"/>
      <c r="BE1671"/>
      <c r="BF1671"/>
      <c r="BG1671"/>
      <c r="BH1671"/>
      <c r="BI1671"/>
      <c r="BJ1671"/>
      <c r="BK1671"/>
      <c r="BL1671"/>
      <c r="BM1671"/>
      <c r="BN1671"/>
      <c r="BO1671"/>
      <c r="BP1671"/>
      <c r="BQ1671"/>
      <c r="BR1671"/>
      <c r="BS1671"/>
      <c r="BT1671"/>
      <c r="BU1671"/>
      <c r="BV1671"/>
      <c r="BW1671"/>
      <c r="BX1671"/>
      <c r="BY1671"/>
      <c r="BZ1671"/>
      <c r="CA1671"/>
      <c r="CB1671"/>
      <c r="CC1671"/>
      <c r="CD1671"/>
      <c r="CE1671"/>
      <c r="CF1671"/>
      <c r="CG1671"/>
      <c r="CH1671"/>
    </row>
    <row r="1672" spans="1:86" x14ac:dyDescent="0.2">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c r="AU1672"/>
      <c r="AV1672"/>
      <c r="AW1672"/>
      <c r="AX1672"/>
      <c r="AY1672"/>
      <c r="AZ1672"/>
      <c r="BA1672"/>
      <c r="BB1672"/>
      <c r="BC1672"/>
      <c r="BD1672"/>
      <c r="BE1672"/>
      <c r="BF1672"/>
      <c r="BG1672"/>
      <c r="BH1672"/>
      <c r="BI1672"/>
      <c r="BJ1672"/>
      <c r="BK1672"/>
      <c r="BL1672"/>
      <c r="BM1672"/>
      <c r="BN1672"/>
      <c r="BO1672"/>
      <c r="BP1672"/>
      <c r="BQ1672"/>
      <c r="BR1672"/>
      <c r="BS1672"/>
      <c r="BT1672"/>
      <c r="BU1672"/>
      <c r="BV1672"/>
      <c r="BW1672"/>
      <c r="BX1672"/>
      <c r="BY1672"/>
      <c r="BZ1672"/>
      <c r="CA1672"/>
      <c r="CB1672"/>
      <c r="CC1672"/>
      <c r="CD1672"/>
      <c r="CE1672"/>
      <c r="CF1672"/>
      <c r="CG1672"/>
      <c r="CH1672"/>
    </row>
    <row r="1673" spans="1:86" x14ac:dyDescent="0.2">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c r="AU1673"/>
      <c r="AV1673"/>
      <c r="AW1673"/>
      <c r="AX1673"/>
      <c r="AY1673"/>
      <c r="AZ1673"/>
      <c r="BA1673"/>
      <c r="BB1673"/>
      <c r="BC1673"/>
      <c r="BD1673"/>
      <c r="BE1673"/>
      <c r="BF1673"/>
      <c r="BG1673"/>
      <c r="BH1673"/>
      <c r="BI1673"/>
      <c r="BJ1673"/>
      <c r="BK1673"/>
      <c r="BL1673"/>
      <c r="BM1673"/>
      <c r="BN1673"/>
      <c r="BO1673"/>
      <c r="BP1673"/>
      <c r="BQ1673"/>
      <c r="BR1673"/>
      <c r="BS1673"/>
      <c r="BT1673"/>
      <c r="BU1673"/>
      <c r="BV1673"/>
      <c r="BW1673"/>
      <c r="BX1673"/>
      <c r="BY1673"/>
      <c r="BZ1673"/>
      <c r="CA1673"/>
      <c r="CB1673"/>
      <c r="CC1673"/>
      <c r="CD1673"/>
      <c r="CE1673"/>
      <c r="CF1673"/>
      <c r="CG1673"/>
      <c r="CH1673"/>
    </row>
    <row r="1674" spans="1:86" x14ac:dyDescent="0.2">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c r="AU1674"/>
      <c r="AV1674"/>
      <c r="AW1674"/>
      <c r="AX1674"/>
      <c r="AY1674"/>
      <c r="AZ1674"/>
      <c r="BA1674"/>
      <c r="BB1674"/>
      <c r="BC1674"/>
      <c r="BD1674"/>
      <c r="BE1674"/>
      <c r="BF1674"/>
      <c r="BG1674"/>
      <c r="BH1674"/>
      <c r="BI1674"/>
      <c r="BJ1674"/>
      <c r="BK1674"/>
      <c r="BL1674"/>
      <c r="BM1674"/>
      <c r="BN1674"/>
      <c r="BO1674"/>
      <c r="BP1674"/>
      <c r="BQ1674"/>
      <c r="BR1674"/>
      <c r="BS1674"/>
      <c r="BT1674"/>
      <c r="BU1674"/>
      <c r="BV1674"/>
      <c r="BW1674"/>
      <c r="BX1674"/>
      <c r="BY1674"/>
      <c r="BZ1674"/>
      <c r="CA1674"/>
      <c r="CB1674"/>
      <c r="CC1674"/>
      <c r="CD1674"/>
      <c r="CE1674"/>
      <c r="CF1674"/>
      <c r="CG1674"/>
      <c r="CH1674"/>
    </row>
    <row r="1675" spans="1:86" x14ac:dyDescent="0.2">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c r="AU1675"/>
      <c r="AV1675"/>
      <c r="AW1675"/>
      <c r="AX1675"/>
      <c r="AY1675"/>
      <c r="AZ1675"/>
      <c r="BA1675"/>
      <c r="BB1675"/>
      <c r="BC1675"/>
      <c r="BD1675"/>
      <c r="BE1675"/>
      <c r="BF1675"/>
      <c r="BG1675"/>
      <c r="BH1675"/>
      <c r="BI1675"/>
      <c r="BJ1675"/>
      <c r="BK1675"/>
      <c r="BL1675"/>
      <c r="BM1675"/>
      <c r="BN1675"/>
      <c r="BO1675"/>
      <c r="BP1675"/>
      <c r="BQ1675"/>
      <c r="BR1675"/>
      <c r="BS1675"/>
      <c r="BT1675"/>
      <c r="BU1675"/>
      <c r="BV1675"/>
      <c r="BW1675"/>
      <c r="BX1675"/>
      <c r="BY1675"/>
      <c r="BZ1675"/>
      <c r="CA1675"/>
      <c r="CB1675"/>
      <c r="CC1675"/>
      <c r="CD1675"/>
      <c r="CE1675"/>
      <c r="CF1675"/>
      <c r="CG1675"/>
      <c r="CH1675"/>
    </row>
    <row r="1676" spans="1:86" x14ac:dyDescent="0.2">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c r="AU1676"/>
      <c r="AV1676"/>
      <c r="AW1676"/>
      <c r="AX1676"/>
      <c r="AY1676"/>
      <c r="AZ1676"/>
      <c r="BA1676"/>
      <c r="BB1676"/>
      <c r="BC1676"/>
      <c r="BD1676"/>
      <c r="BE1676"/>
      <c r="BF1676"/>
      <c r="BG1676"/>
      <c r="BH1676"/>
      <c r="BI1676"/>
      <c r="BJ1676"/>
      <c r="BK1676"/>
      <c r="BL1676"/>
      <c r="BM1676"/>
      <c r="BN1676"/>
      <c r="BO1676"/>
      <c r="BP1676"/>
      <c r="BQ1676"/>
      <c r="BR1676"/>
      <c r="BS1676"/>
      <c r="BT1676"/>
      <c r="BU1676"/>
      <c r="BV1676"/>
      <c r="BW1676"/>
      <c r="BX1676"/>
      <c r="BY1676"/>
      <c r="BZ1676"/>
      <c r="CA1676"/>
      <c r="CB1676"/>
      <c r="CC1676"/>
      <c r="CD1676"/>
      <c r="CE1676"/>
      <c r="CF1676"/>
      <c r="CG1676"/>
      <c r="CH1676"/>
    </row>
    <row r="1677" spans="1:86" x14ac:dyDescent="0.2">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c r="AU1677"/>
      <c r="AV1677"/>
      <c r="AW1677"/>
      <c r="AX1677"/>
      <c r="AY1677"/>
      <c r="AZ1677"/>
      <c r="BA1677"/>
      <c r="BB1677"/>
      <c r="BC1677"/>
      <c r="BD1677"/>
      <c r="BE1677"/>
      <c r="BF1677"/>
      <c r="BG1677"/>
      <c r="BH1677"/>
      <c r="BI1677"/>
      <c r="BJ1677"/>
      <c r="BK1677"/>
      <c r="BL1677"/>
      <c r="BM1677"/>
      <c r="BN1677"/>
      <c r="BO1677"/>
      <c r="BP1677"/>
      <c r="BQ1677"/>
      <c r="BR1677"/>
      <c r="BS1677"/>
      <c r="BT1677"/>
      <c r="BU1677"/>
      <c r="BV1677"/>
      <c r="BW1677"/>
      <c r="BX1677"/>
      <c r="BY1677"/>
      <c r="BZ1677"/>
      <c r="CA1677"/>
      <c r="CB1677"/>
      <c r="CC1677"/>
      <c r="CD1677"/>
      <c r="CE1677"/>
      <c r="CF1677"/>
      <c r="CG1677"/>
      <c r="CH1677"/>
    </row>
    <row r="1678" spans="1:86" x14ac:dyDescent="0.2">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c r="AU1678"/>
      <c r="AV1678"/>
      <c r="AW1678"/>
      <c r="AX1678"/>
      <c r="AY1678"/>
      <c r="AZ1678"/>
      <c r="BA1678"/>
      <c r="BB1678"/>
      <c r="BC1678"/>
      <c r="BD1678"/>
      <c r="BE1678"/>
      <c r="BF1678"/>
      <c r="BG1678"/>
      <c r="BH1678"/>
      <c r="BI1678"/>
      <c r="BJ1678"/>
      <c r="BK1678"/>
      <c r="BL1678"/>
      <c r="BM1678"/>
      <c r="BN1678"/>
      <c r="BO1678"/>
      <c r="BP1678"/>
      <c r="BQ1678"/>
      <c r="BR1678"/>
      <c r="BS1678"/>
      <c r="BT1678"/>
      <c r="BU1678"/>
      <c r="BV1678"/>
      <c r="BW1678"/>
      <c r="BX1678"/>
      <c r="BY1678"/>
      <c r="BZ1678"/>
      <c r="CA1678"/>
      <c r="CB1678"/>
      <c r="CC1678"/>
      <c r="CD1678"/>
      <c r="CE1678"/>
      <c r="CF1678"/>
      <c r="CG1678"/>
      <c r="CH1678"/>
    </row>
    <row r="1679" spans="1:86" x14ac:dyDescent="0.2">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c r="AU1679"/>
      <c r="AV1679"/>
      <c r="AW1679"/>
      <c r="AX1679"/>
      <c r="AY1679"/>
      <c r="AZ1679"/>
      <c r="BA1679"/>
      <c r="BB1679"/>
      <c r="BC1679"/>
      <c r="BD1679"/>
      <c r="BE1679"/>
      <c r="BF1679"/>
      <c r="BG1679"/>
      <c r="BH1679"/>
      <c r="BI1679"/>
      <c r="BJ1679"/>
      <c r="BK1679"/>
      <c r="BL1679"/>
      <c r="BM1679"/>
      <c r="BN1679"/>
      <c r="BO1679"/>
      <c r="BP1679"/>
      <c r="BQ1679"/>
      <c r="BR1679"/>
      <c r="BS1679"/>
      <c r="BT1679"/>
      <c r="BU1679"/>
      <c r="BV1679"/>
      <c r="BW1679"/>
      <c r="BX1679"/>
      <c r="BY1679"/>
      <c r="BZ1679"/>
      <c r="CA1679"/>
      <c r="CB1679"/>
      <c r="CC1679"/>
      <c r="CD1679"/>
      <c r="CE1679"/>
      <c r="CF1679"/>
      <c r="CG1679"/>
      <c r="CH1679"/>
    </row>
    <row r="1680" spans="1:86" x14ac:dyDescent="0.2">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c r="AU1680"/>
      <c r="AV1680"/>
      <c r="AW1680"/>
      <c r="AX1680"/>
      <c r="AY1680"/>
      <c r="AZ1680"/>
      <c r="BA1680"/>
      <c r="BB1680"/>
      <c r="BC1680"/>
      <c r="BD1680"/>
      <c r="BE1680"/>
      <c r="BF1680"/>
      <c r="BG1680"/>
      <c r="BH1680"/>
      <c r="BI1680"/>
      <c r="BJ1680"/>
      <c r="BK1680"/>
      <c r="BL1680"/>
      <c r="BM1680"/>
      <c r="BN1680"/>
      <c r="BO1680"/>
      <c r="BP1680"/>
      <c r="BQ1680"/>
      <c r="BR1680"/>
      <c r="BS1680"/>
      <c r="BT1680"/>
      <c r="BU1680"/>
      <c r="BV1680"/>
      <c r="BW1680"/>
      <c r="BX1680"/>
      <c r="BY1680"/>
      <c r="BZ1680"/>
      <c r="CA1680"/>
      <c r="CB1680"/>
      <c r="CC1680"/>
      <c r="CD1680"/>
      <c r="CE1680"/>
      <c r="CF1680"/>
      <c r="CG1680"/>
      <c r="CH1680"/>
    </row>
    <row r="1681" spans="1:86" x14ac:dyDescent="0.2">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c r="AU1681"/>
      <c r="AV1681"/>
      <c r="AW1681"/>
      <c r="AX1681"/>
      <c r="AY1681"/>
      <c r="AZ1681"/>
      <c r="BA1681"/>
      <c r="BB1681"/>
      <c r="BC1681"/>
      <c r="BD1681"/>
      <c r="BE1681"/>
      <c r="BF1681"/>
      <c r="BG1681"/>
      <c r="BH1681"/>
      <c r="BI1681"/>
      <c r="BJ1681"/>
      <c r="BK1681"/>
      <c r="BL1681"/>
      <c r="BM1681"/>
      <c r="BN1681"/>
      <c r="BO1681"/>
      <c r="BP1681"/>
      <c r="BQ1681"/>
      <c r="BR1681"/>
      <c r="BS1681"/>
      <c r="BT1681"/>
      <c r="BU1681"/>
      <c r="BV1681"/>
      <c r="BW1681"/>
      <c r="BX1681"/>
      <c r="BY1681"/>
      <c r="BZ1681"/>
      <c r="CA1681"/>
      <c r="CB1681"/>
      <c r="CC1681"/>
      <c r="CD1681"/>
      <c r="CE1681"/>
      <c r="CF1681"/>
      <c r="CG1681"/>
      <c r="CH1681"/>
    </row>
    <row r="1682" spans="1:86" x14ac:dyDescent="0.2">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c r="AU1682"/>
      <c r="AV1682"/>
      <c r="AW1682"/>
      <c r="AX1682"/>
      <c r="AY1682"/>
      <c r="AZ1682"/>
      <c r="BA1682"/>
      <c r="BB1682"/>
      <c r="BC1682"/>
      <c r="BD1682"/>
      <c r="BE1682"/>
      <c r="BF1682"/>
      <c r="BG1682"/>
      <c r="BH1682"/>
      <c r="BI1682"/>
      <c r="BJ1682"/>
      <c r="BK1682"/>
      <c r="BL1682"/>
      <c r="BM1682"/>
      <c r="BN1682"/>
      <c r="BO1682"/>
      <c r="BP1682"/>
      <c r="BQ1682"/>
      <c r="BR1682"/>
      <c r="BS1682"/>
      <c r="BT1682"/>
      <c r="BU1682"/>
      <c r="BV1682"/>
      <c r="BW1682"/>
      <c r="BX1682"/>
      <c r="BY1682"/>
      <c r="BZ1682"/>
      <c r="CA1682"/>
      <c r="CB1682"/>
      <c r="CC1682"/>
      <c r="CD1682"/>
      <c r="CE1682"/>
      <c r="CF1682"/>
      <c r="CG1682"/>
      <c r="CH1682"/>
    </row>
    <row r="1683" spans="1:86" x14ac:dyDescent="0.2">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c r="AU1683"/>
      <c r="AV1683"/>
      <c r="AW1683"/>
      <c r="AX1683"/>
      <c r="AY1683"/>
      <c r="AZ1683"/>
      <c r="BA1683"/>
      <c r="BB1683"/>
      <c r="BC1683"/>
      <c r="BD1683"/>
      <c r="BE1683"/>
      <c r="BF1683"/>
      <c r="BG1683"/>
      <c r="BH1683"/>
      <c r="BI1683"/>
      <c r="BJ1683"/>
      <c r="BK1683"/>
      <c r="BL1683"/>
      <c r="BM1683"/>
      <c r="BN1683"/>
      <c r="BO1683"/>
      <c r="BP1683"/>
      <c r="BQ1683"/>
      <c r="BR1683"/>
      <c r="BS1683"/>
      <c r="BT1683"/>
      <c r="BU1683"/>
      <c r="BV1683"/>
      <c r="BW1683"/>
      <c r="BX1683"/>
      <c r="BY1683"/>
      <c r="BZ1683"/>
      <c r="CA1683"/>
      <c r="CB1683"/>
      <c r="CC1683"/>
      <c r="CD1683"/>
      <c r="CE1683"/>
      <c r="CF1683"/>
      <c r="CG1683"/>
      <c r="CH1683"/>
    </row>
    <row r="1684" spans="1:86" x14ac:dyDescent="0.2">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c r="AU1684"/>
      <c r="AV1684"/>
      <c r="AW1684"/>
      <c r="AX1684"/>
      <c r="AY1684"/>
      <c r="AZ1684"/>
      <c r="BA1684"/>
      <c r="BB1684"/>
      <c r="BC1684"/>
      <c r="BD1684"/>
      <c r="BE1684"/>
      <c r="BF1684"/>
      <c r="BG1684"/>
      <c r="BH1684"/>
      <c r="BI1684"/>
      <c r="BJ1684"/>
      <c r="BK1684"/>
      <c r="BL1684"/>
      <c r="BM1684"/>
      <c r="BN1684"/>
      <c r="BO1684"/>
      <c r="BP1684"/>
      <c r="BQ1684"/>
      <c r="BR1684"/>
      <c r="BS1684"/>
      <c r="BT1684"/>
      <c r="BU1684"/>
      <c r="BV1684"/>
      <c r="BW1684"/>
      <c r="BX1684"/>
      <c r="BY1684"/>
      <c r="BZ1684"/>
      <c r="CA1684"/>
      <c r="CB1684"/>
      <c r="CC1684"/>
      <c r="CD1684"/>
      <c r="CE1684"/>
      <c r="CF1684"/>
      <c r="CG1684"/>
      <c r="CH1684"/>
    </row>
    <row r="1685" spans="1:86" x14ac:dyDescent="0.2">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c r="AU1685"/>
      <c r="AV1685"/>
      <c r="AW1685"/>
      <c r="AX1685"/>
      <c r="AY1685"/>
      <c r="AZ1685"/>
      <c r="BA1685"/>
      <c r="BB1685"/>
      <c r="BC1685"/>
      <c r="BD1685"/>
      <c r="BE1685"/>
      <c r="BF1685"/>
      <c r="BG1685"/>
      <c r="BH1685"/>
      <c r="BI1685"/>
      <c r="BJ1685"/>
      <c r="BK1685"/>
      <c r="BL1685"/>
      <c r="BM1685"/>
      <c r="BN1685"/>
      <c r="BO1685"/>
      <c r="BP1685"/>
      <c r="BQ1685"/>
      <c r="BR1685"/>
      <c r="BS1685"/>
      <c r="BT1685"/>
      <c r="BU1685"/>
      <c r="BV1685"/>
      <c r="BW1685"/>
      <c r="BX1685"/>
      <c r="BY1685"/>
      <c r="BZ1685"/>
      <c r="CA1685"/>
      <c r="CB1685"/>
      <c r="CC1685"/>
      <c r="CD1685"/>
      <c r="CE1685"/>
      <c r="CF1685"/>
      <c r="CG1685"/>
      <c r="CH1685"/>
    </row>
    <row r="1686" spans="1:86" x14ac:dyDescent="0.2">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c r="AU1686"/>
      <c r="AV1686"/>
      <c r="AW1686"/>
      <c r="AX1686"/>
      <c r="AY1686"/>
      <c r="AZ1686"/>
      <c r="BA1686"/>
      <c r="BB1686"/>
      <c r="BC1686"/>
      <c r="BD1686"/>
      <c r="BE1686"/>
      <c r="BF1686"/>
      <c r="BG1686"/>
      <c r="BH1686"/>
      <c r="BI1686"/>
      <c r="BJ1686"/>
      <c r="BK1686"/>
      <c r="BL1686"/>
      <c r="BM1686"/>
      <c r="BN1686"/>
      <c r="BO1686"/>
      <c r="BP1686"/>
      <c r="BQ1686"/>
      <c r="BR1686"/>
      <c r="BS1686"/>
      <c r="BT1686"/>
      <c r="BU1686"/>
      <c r="BV1686"/>
      <c r="BW1686"/>
      <c r="BX1686"/>
      <c r="BY1686"/>
      <c r="BZ1686"/>
      <c r="CA1686"/>
      <c r="CB1686"/>
      <c r="CC1686"/>
      <c r="CD1686"/>
      <c r="CE1686"/>
      <c r="CF1686"/>
      <c r="CG1686"/>
      <c r="CH1686"/>
    </row>
    <row r="1687" spans="1:86" x14ac:dyDescent="0.2">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c r="AU1687"/>
      <c r="AV1687"/>
      <c r="AW1687"/>
      <c r="AX1687"/>
      <c r="AY1687"/>
      <c r="AZ1687"/>
      <c r="BA1687"/>
      <c r="BB1687"/>
      <c r="BC1687"/>
      <c r="BD1687"/>
      <c r="BE1687"/>
      <c r="BF1687"/>
      <c r="BG1687"/>
      <c r="BH1687"/>
      <c r="BI1687"/>
      <c r="BJ1687"/>
      <c r="BK1687"/>
      <c r="BL1687"/>
      <c r="BM1687"/>
      <c r="BN1687"/>
      <c r="BO1687"/>
      <c r="BP1687"/>
      <c r="BQ1687"/>
      <c r="BR1687"/>
      <c r="BS1687"/>
      <c r="BT1687"/>
      <c r="BU1687"/>
      <c r="BV1687"/>
      <c r="BW1687"/>
      <c r="BX1687"/>
      <c r="BY1687"/>
      <c r="BZ1687"/>
      <c r="CA1687"/>
      <c r="CB1687"/>
      <c r="CC1687"/>
      <c r="CD1687"/>
      <c r="CE1687"/>
      <c r="CF1687"/>
      <c r="CG1687"/>
      <c r="CH1687"/>
    </row>
    <row r="1688" spans="1:86" x14ac:dyDescent="0.2">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c r="AU1688"/>
      <c r="AV1688"/>
      <c r="AW1688"/>
      <c r="AX1688"/>
      <c r="AY1688"/>
      <c r="AZ1688"/>
      <c r="BA1688"/>
      <c r="BB1688"/>
      <c r="BC1688"/>
      <c r="BD1688"/>
      <c r="BE1688"/>
      <c r="BF1688"/>
      <c r="BG1688"/>
      <c r="BH1688"/>
      <c r="BI1688"/>
      <c r="BJ1688"/>
      <c r="BK1688"/>
      <c r="BL1688"/>
      <c r="BM1688"/>
      <c r="BN1688"/>
      <c r="BO1688"/>
      <c r="BP1688"/>
      <c r="BQ1688"/>
      <c r="BR1688"/>
      <c r="BS1688"/>
      <c r="BT1688"/>
      <c r="BU1688"/>
      <c r="BV1688"/>
      <c r="BW1688"/>
      <c r="BX1688"/>
      <c r="BY1688"/>
      <c r="BZ1688"/>
      <c r="CA1688"/>
      <c r="CB1688"/>
      <c r="CC1688"/>
      <c r="CD1688"/>
      <c r="CE1688"/>
      <c r="CF1688"/>
      <c r="CG1688"/>
      <c r="CH1688"/>
    </row>
    <row r="1689" spans="1:86" x14ac:dyDescent="0.2">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c r="AU1689"/>
      <c r="AV1689"/>
      <c r="AW1689"/>
      <c r="AX1689"/>
      <c r="AY1689"/>
      <c r="AZ1689"/>
      <c r="BA1689"/>
      <c r="BB1689"/>
      <c r="BC1689"/>
      <c r="BD1689"/>
      <c r="BE1689"/>
      <c r="BF1689"/>
      <c r="BG1689"/>
      <c r="BH1689"/>
      <c r="BI1689"/>
      <c r="BJ1689"/>
      <c r="BK1689"/>
      <c r="BL1689"/>
      <c r="BM1689"/>
      <c r="BN1689"/>
      <c r="BO1689"/>
      <c r="BP1689"/>
      <c r="BQ1689"/>
      <c r="BR1689"/>
      <c r="BS1689"/>
      <c r="BT1689"/>
      <c r="BU1689"/>
      <c r="BV1689"/>
      <c r="BW1689"/>
      <c r="BX1689"/>
      <c r="BY1689"/>
      <c r="BZ1689"/>
      <c r="CA1689"/>
      <c r="CB1689"/>
      <c r="CC1689"/>
      <c r="CD1689"/>
      <c r="CE1689"/>
      <c r="CF1689"/>
      <c r="CG1689"/>
      <c r="CH1689"/>
    </row>
    <row r="1690" spans="1:86" x14ac:dyDescent="0.2">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c r="AU1690"/>
      <c r="AV1690"/>
      <c r="AW1690"/>
      <c r="AX1690"/>
      <c r="AY1690"/>
      <c r="AZ1690"/>
      <c r="BA1690"/>
      <c r="BB1690"/>
      <c r="BC1690"/>
      <c r="BD1690"/>
      <c r="BE1690"/>
      <c r="BF1690"/>
      <c r="BG1690"/>
      <c r="BH1690"/>
      <c r="BI1690"/>
      <c r="BJ1690"/>
      <c r="BK1690"/>
      <c r="BL1690"/>
      <c r="BM1690"/>
      <c r="BN1690"/>
      <c r="BO1690"/>
      <c r="BP1690"/>
      <c r="BQ1690"/>
      <c r="BR1690"/>
      <c r="BS1690"/>
      <c r="BT1690"/>
      <c r="BU1690"/>
      <c r="BV1690"/>
      <c r="BW1690"/>
      <c r="BX1690"/>
      <c r="BY1690"/>
      <c r="BZ1690"/>
      <c r="CA1690"/>
      <c r="CB1690"/>
      <c r="CC1690"/>
      <c r="CD1690"/>
      <c r="CE1690"/>
      <c r="CF1690"/>
      <c r="CG1690"/>
      <c r="CH1690"/>
    </row>
    <row r="1691" spans="1:86" x14ac:dyDescent="0.2">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c r="AU1691"/>
      <c r="AV1691"/>
      <c r="AW1691"/>
      <c r="AX1691"/>
      <c r="AY1691"/>
      <c r="AZ1691"/>
      <c r="BA1691"/>
      <c r="BB1691"/>
      <c r="BC1691"/>
      <c r="BD1691"/>
      <c r="BE1691"/>
      <c r="BF1691"/>
      <c r="BG1691"/>
      <c r="BH1691"/>
      <c r="BI1691"/>
      <c r="BJ1691"/>
      <c r="BK1691"/>
      <c r="BL1691"/>
      <c r="BM1691"/>
      <c r="BN1691"/>
      <c r="BO1691"/>
      <c r="BP1691"/>
      <c r="BQ1691"/>
      <c r="BR1691"/>
      <c r="BS1691"/>
      <c r="BT1691"/>
      <c r="BU1691"/>
      <c r="BV1691"/>
      <c r="BW1691"/>
      <c r="BX1691"/>
      <c r="BY1691"/>
      <c r="BZ1691"/>
      <c r="CA1691"/>
      <c r="CB1691"/>
      <c r="CC1691"/>
      <c r="CD1691"/>
      <c r="CE1691"/>
      <c r="CF1691"/>
      <c r="CG1691"/>
      <c r="CH1691"/>
    </row>
    <row r="1692" spans="1:86" x14ac:dyDescent="0.2">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c r="AU1692"/>
      <c r="AV1692"/>
      <c r="AW1692"/>
      <c r="AX1692"/>
      <c r="AY1692"/>
      <c r="AZ1692"/>
      <c r="BA1692"/>
      <c r="BB1692"/>
      <c r="BC1692"/>
      <c r="BD1692"/>
      <c r="BE1692"/>
      <c r="BF1692"/>
      <c r="BG1692"/>
      <c r="BH1692"/>
      <c r="BI1692"/>
      <c r="BJ1692"/>
      <c r="BK1692"/>
      <c r="BL1692"/>
      <c r="BM1692"/>
      <c r="BN1692"/>
      <c r="BO1692"/>
      <c r="BP1692"/>
      <c r="BQ1692"/>
      <c r="BR1692"/>
      <c r="BS1692"/>
      <c r="BT1692"/>
      <c r="BU1692"/>
      <c r="BV1692"/>
      <c r="BW1692"/>
      <c r="BX1692"/>
      <c r="BY1692"/>
      <c r="BZ1692"/>
      <c r="CA1692"/>
      <c r="CB1692"/>
      <c r="CC1692"/>
      <c r="CD1692"/>
      <c r="CE1692"/>
      <c r="CF1692"/>
      <c r="CG1692"/>
      <c r="CH1692"/>
    </row>
    <row r="1693" spans="1:86" x14ac:dyDescent="0.2">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c r="AU1693"/>
      <c r="AV1693"/>
      <c r="AW1693"/>
      <c r="AX1693"/>
      <c r="AY1693"/>
      <c r="AZ1693"/>
      <c r="BA1693"/>
      <c r="BB1693"/>
      <c r="BC1693"/>
      <c r="BD1693"/>
      <c r="BE1693"/>
      <c r="BF1693"/>
      <c r="BG1693"/>
      <c r="BH1693"/>
      <c r="BI1693"/>
      <c r="BJ1693"/>
      <c r="BK1693"/>
      <c r="BL1693"/>
      <c r="BM1693"/>
      <c r="BN1693"/>
      <c r="BO1693"/>
      <c r="BP1693"/>
      <c r="BQ1693"/>
      <c r="BR1693"/>
      <c r="BS1693"/>
      <c r="BT1693"/>
      <c r="BU1693"/>
      <c r="BV1693"/>
      <c r="BW1693"/>
      <c r="BX1693"/>
      <c r="BY1693"/>
      <c r="BZ1693"/>
      <c r="CA1693"/>
      <c r="CB1693"/>
      <c r="CC1693"/>
      <c r="CD1693"/>
      <c r="CE1693"/>
      <c r="CF1693"/>
      <c r="CG1693"/>
      <c r="CH1693"/>
    </row>
    <row r="1694" spans="1:86" x14ac:dyDescent="0.2">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c r="AU1694"/>
      <c r="AV1694"/>
      <c r="AW1694"/>
      <c r="AX1694"/>
      <c r="AY1694"/>
      <c r="AZ1694"/>
      <c r="BA1694"/>
      <c r="BB1694"/>
      <c r="BC1694"/>
      <c r="BD1694"/>
      <c r="BE1694"/>
      <c r="BF1694"/>
      <c r="BG1694"/>
      <c r="BH1694"/>
      <c r="BI1694"/>
      <c r="BJ1694"/>
      <c r="BK1694"/>
      <c r="BL1694"/>
      <c r="BM1694"/>
      <c r="BN1694"/>
      <c r="BO1694"/>
      <c r="BP1694"/>
      <c r="BQ1694"/>
      <c r="BR1694"/>
      <c r="BS1694"/>
      <c r="BT1694"/>
      <c r="BU1694"/>
      <c r="BV1694"/>
      <c r="BW1694"/>
      <c r="BX1694"/>
      <c r="BY1694"/>
      <c r="BZ1694"/>
      <c r="CA1694"/>
      <c r="CB1694"/>
      <c r="CC1694"/>
      <c r="CD1694"/>
      <c r="CE1694"/>
      <c r="CF1694"/>
      <c r="CG1694"/>
      <c r="CH1694"/>
    </row>
    <row r="1695" spans="1:86" x14ac:dyDescent="0.2">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c r="AU1695"/>
      <c r="AV1695"/>
      <c r="AW1695"/>
      <c r="AX1695"/>
      <c r="AY1695"/>
      <c r="AZ1695"/>
      <c r="BA1695"/>
      <c r="BB1695"/>
      <c r="BC1695"/>
      <c r="BD1695"/>
      <c r="BE1695"/>
      <c r="BF1695"/>
      <c r="BG1695"/>
      <c r="BH1695"/>
      <c r="BI1695"/>
      <c r="BJ1695"/>
      <c r="BK1695"/>
      <c r="BL1695"/>
      <c r="BM1695"/>
      <c r="BN1695"/>
      <c r="BO1695"/>
      <c r="BP1695"/>
      <c r="BQ1695"/>
      <c r="BR1695"/>
      <c r="BS1695"/>
      <c r="BT1695"/>
      <c r="BU1695"/>
      <c r="BV1695"/>
      <c r="BW1695"/>
      <c r="BX1695"/>
      <c r="BY1695"/>
      <c r="BZ1695"/>
      <c r="CA1695"/>
      <c r="CB1695"/>
      <c r="CC1695"/>
      <c r="CD1695"/>
      <c r="CE1695"/>
      <c r="CF1695"/>
      <c r="CG1695"/>
      <c r="CH1695"/>
    </row>
    <row r="1696" spans="1:86" x14ac:dyDescent="0.2">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c r="AU1696"/>
      <c r="AV1696"/>
      <c r="AW1696"/>
      <c r="AX1696"/>
      <c r="AY1696"/>
      <c r="AZ1696"/>
      <c r="BA1696"/>
      <c r="BB1696"/>
      <c r="BC1696"/>
      <c r="BD1696"/>
      <c r="BE1696"/>
      <c r="BF1696"/>
      <c r="BG1696"/>
      <c r="BH1696"/>
      <c r="BI1696"/>
      <c r="BJ1696"/>
      <c r="BK1696"/>
      <c r="BL1696"/>
      <c r="BM1696"/>
      <c r="BN1696"/>
      <c r="BO1696"/>
      <c r="BP1696"/>
      <c r="BQ1696"/>
      <c r="BR1696"/>
      <c r="BS1696"/>
      <c r="BT1696"/>
      <c r="BU1696"/>
      <c r="BV1696"/>
      <c r="BW1696"/>
      <c r="BX1696"/>
      <c r="BY1696"/>
      <c r="BZ1696"/>
      <c r="CA1696"/>
      <c r="CB1696"/>
      <c r="CC1696"/>
      <c r="CD1696"/>
      <c r="CE1696"/>
      <c r="CF1696"/>
      <c r="CG1696"/>
      <c r="CH1696"/>
    </row>
    <row r="1697" spans="1:86" x14ac:dyDescent="0.2">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c r="AU1697"/>
      <c r="AV1697"/>
      <c r="AW1697"/>
      <c r="AX1697"/>
      <c r="AY1697"/>
      <c r="AZ1697"/>
      <c r="BA1697"/>
      <c r="BB1697"/>
      <c r="BC1697"/>
      <c r="BD1697"/>
      <c r="BE1697"/>
      <c r="BF1697"/>
      <c r="BG1697"/>
      <c r="BH1697"/>
      <c r="BI1697"/>
      <c r="BJ1697"/>
      <c r="BK1697"/>
      <c r="BL1697"/>
      <c r="BM1697"/>
      <c r="BN1697"/>
      <c r="BO1697"/>
      <c r="BP1697"/>
      <c r="BQ1697"/>
      <c r="BR1697"/>
      <c r="BS1697"/>
      <c r="BT1697"/>
      <c r="BU1697"/>
      <c r="BV1697"/>
      <c r="BW1697"/>
      <c r="BX1697"/>
      <c r="BY1697"/>
      <c r="BZ1697"/>
      <c r="CA1697"/>
      <c r="CB1697"/>
      <c r="CC1697"/>
      <c r="CD1697"/>
      <c r="CE1697"/>
      <c r="CF1697"/>
      <c r="CG1697"/>
      <c r="CH1697"/>
    </row>
    <row r="1698" spans="1:86" x14ac:dyDescent="0.2">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c r="AU1698"/>
      <c r="AV1698"/>
      <c r="AW1698"/>
      <c r="AX1698"/>
      <c r="AY1698"/>
      <c r="AZ1698"/>
      <c r="BA1698"/>
      <c r="BB1698"/>
      <c r="BC1698"/>
      <c r="BD1698"/>
      <c r="BE1698"/>
      <c r="BF1698"/>
      <c r="BG1698"/>
      <c r="BH1698"/>
      <c r="BI1698"/>
      <c r="BJ1698"/>
      <c r="BK1698"/>
      <c r="BL1698"/>
      <c r="BM1698"/>
      <c r="BN1698"/>
      <c r="BO1698"/>
      <c r="BP1698"/>
      <c r="BQ1698"/>
      <c r="BR1698"/>
      <c r="BS1698"/>
      <c r="BT1698"/>
      <c r="BU1698"/>
      <c r="BV1698"/>
      <c r="BW1698"/>
      <c r="BX1698"/>
      <c r="BY1698"/>
      <c r="BZ1698"/>
      <c r="CA1698"/>
      <c r="CB1698"/>
      <c r="CC1698"/>
      <c r="CD1698"/>
      <c r="CE1698"/>
      <c r="CF1698"/>
      <c r="CG1698"/>
      <c r="CH1698"/>
    </row>
    <row r="1699" spans="1:86" x14ac:dyDescent="0.2">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c r="AU1699"/>
      <c r="AV1699"/>
      <c r="AW1699"/>
      <c r="AX1699"/>
      <c r="AY1699"/>
      <c r="AZ1699"/>
      <c r="BA1699"/>
      <c r="BB1699"/>
      <c r="BC1699"/>
      <c r="BD1699"/>
      <c r="BE1699"/>
      <c r="BF1699"/>
      <c r="BG1699"/>
      <c r="BH1699"/>
      <c r="BI1699"/>
      <c r="BJ1699"/>
      <c r="BK1699"/>
      <c r="BL1699"/>
      <c r="BM1699"/>
      <c r="BN1699"/>
      <c r="BO1699"/>
      <c r="BP1699"/>
      <c r="BQ1699"/>
      <c r="BR1699"/>
      <c r="BS1699"/>
      <c r="BT1699"/>
      <c r="BU1699"/>
      <c r="BV1699"/>
      <c r="BW1699"/>
      <c r="BX1699"/>
      <c r="BY1699"/>
      <c r="BZ1699"/>
      <c r="CA1699"/>
      <c r="CB1699"/>
      <c r="CC1699"/>
      <c r="CD1699"/>
      <c r="CE1699"/>
      <c r="CF1699"/>
      <c r="CG1699"/>
      <c r="CH1699"/>
    </row>
    <row r="1700" spans="1:86" x14ac:dyDescent="0.2">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c r="AU1700"/>
      <c r="AV1700"/>
      <c r="AW1700"/>
      <c r="AX1700"/>
      <c r="AY1700"/>
      <c r="AZ1700"/>
      <c r="BA1700"/>
      <c r="BB1700"/>
      <c r="BC1700"/>
      <c r="BD1700"/>
      <c r="BE1700"/>
      <c r="BF1700"/>
      <c r="BG1700"/>
      <c r="BH1700"/>
      <c r="BI1700"/>
      <c r="BJ1700"/>
      <c r="BK1700"/>
      <c r="BL1700"/>
      <c r="BM1700"/>
      <c r="BN1700"/>
      <c r="BO1700"/>
      <c r="BP1700"/>
      <c r="BQ1700"/>
      <c r="BR1700"/>
      <c r="BS1700"/>
      <c r="BT1700"/>
      <c r="BU1700"/>
      <c r="BV1700"/>
      <c r="BW1700"/>
      <c r="BX1700"/>
      <c r="BY1700"/>
      <c r="BZ1700"/>
      <c r="CA1700"/>
      <c r="CB1700"/>
      <c r="CC1700"/>
      <c r="CD1700"/>
      <c r="CE1700"/>
      <c r="CF1700"/>
      <c r="CG1700"/>
      <c r="CH1700"/>
    </row>
    <row r="1701" spans="1:86" x14ac:dyDescent="0.2">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c r="AU1701"/>
      <c r="AV1701"/>
      <c r="AW1701"/>
      <c r="AX1701"/>
      <c r="AY1701"/>
      <c r="AZ1701"/>
      <c r="BA1701"/>
      <c r="BB1701"/>
      <c r="BC1701"/>
      <c r="BD1701"/>
      <c r="BE1701"/>
      <c r="BF1701"/>
      <c r="BG1701"/>
      <c r="BH1701"/>
      <c r="BI1701"/>
      <c r="BJ1701"/>
      <c r="BK1701"/>
      <c r="BL1701"/>
      <c r="BM1701"/>
      <c r="BN1701"/>
      <c r="BO1701"/>
      <c r="BP1701"/>
      <c r="BQ1701"/>
      <c r="BR1701"/>
      <c r="BS1701"/>
      <c r="BT1701"/>
      <c r="BU1701"/>
      <c r="BV1701"/>
      <c r="BW1701"/>
      <c r="BX1701"/>
      <c r="BY1701"/>
      <c r="BZ1701"/>
      <c r="CA1701"/>
      <c r="CB1701"/>
      <c r="CC1701"/>
      <c r="CD1701"/>
      <c r="CE1701"/>
      <c r="CF1701"/>
      <c r="CG1701"/>
      <c r="CH1701"/>
    </row>
    <row r="1702" spans="1:86" x14ac:dyDescent="0.2">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c r="AU1702"/>
      <c r="AV1702"/>
      <c r="AW1702"/>
      <c r="AX1702"/>
      <c r="AY1702"/>
      <c r="AZ1702"/>
      <c r="BA1702"/>
      <c r="BB1702"/>
      <c r="BC1702"/>
      <c r="BD1702"/>
      <c r="BE1702"/>
      <c r="BF1702"/>
      <c r="BG1702"/>
      <c r="BH1702"/>
      <c r="BI1702"/>
      <c r="BJ1702"/>
      <c r="BK1702"/>
      <c r="BL1702"/>
      <c r="BM1702"/>
      <c r="BN1702"/>
      <c r="BO1702"/>
      <c r="BP1702"/>
      <c r="BQ1702"/>
      <c r="BR1702"/>
      <c r="BS1702"/>
      <c r="BT1702"/>
      <c r="BU1702"/>
      <c r="BV1702"/>
      <c r="BW1702"/>
      <c r="BX1702"/>
      <c r="BY1702"/>
      <c r="BZ1702"/>
      <c r="CA1702"/>
      <c r="CB1702"/>
      <c r="CC1702"/>
      <c r="CD1702"/>
      <c r="CE1702"/>
      <c r="CF1702"/>
      <c r="CG1702"/>
      <c r="CH1702"/>
    </row>
    <row r="1703" spans="1:86" x14ac:dyDescent="0.2">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c r="AU1703"/>
      <c r="AV1703"/>
      <c r="AW1703"/>
      <c r="AX1703"/>
      <c r="AY1703"/>
      <c r="AZ1703"/>
      <c r="BA1703"/>
      <c r="BB1703"/>
      <c r="BC1703"/>
      <c r="BD1703"/>
      <c r="BE1703"/>
      <c r="BF1703"/>
      <c r="BG1703"/>
      <c r="BH1703"/>
      <c r="BI1703"/>
      <c r="BJ1703"/>
      <c r="BK1703"/>
      <c r="BL1703"/>
      <c r="BM1703"/>
      <c r="BN1703"/>
      <c r="BO1703"/>
      <c r="BP1703"/>
      <c r="BQ1703"/>
      <c r="BR1703"/>
      <c r="BS1703"/>
      <c r="BT1703"/>
      <c r="BU1703"/>
      <c r="BV1703"/>
      <c r="BW1703"/>
      <c r="BX1703"/>
      <c r="BY1703"/>
      <c r="BZ1703"/>
      <c r="CA1703"/>
      <c r="CB1703"/>
      <c r="CC1703"/>
      <c r="CD1703"/>
      <c r="CE1703"/>
      <c r="CF1703"/>
      <c r="CG1703"/>
      <c r="CH1703"/>
    </row>
    <row r="1704" spans="1:86" x14ac:dyDescent="0.2">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c r="AU1704"/>
      <c r="AV1704"/>
      <c r="AW1704"/>
      <c r="AX1704"/>
      <c r="AY1704"/>
      <c r="AZ1704"/>
      <c r="BA1704"/>
      <c r="BB1704"/>
      <c r="BC1704"/>
      <c r="BD1704"/>
      <c r="BE1704"/>
      <c r="BF1704"/>
      <c r="BG1704"/>
      <c r="BH1704"/>
      <c r="BI1704"/>
      <c r="BJ1704"/>
      <c r="BK1704"/>
      <c r="BL1704"/>
      <c r="BM1704"/>
      <c r="BN1704"/>
      <c r="BO1704"/>
      <c r="BP1704"/>
      <c r="BQ1704"/>
      <c r="BR1704"/>
      <c r="BS1704"/>
      <c r="BT1704"/>
      <c r="BU1704"/>
      <c r="BV1704"/>
      <c r="BW1704"/>
      <c r="BX1704"/>
      <c r="BY1704"/>
      <c r="BZ1704"/>
      <c r="CA1704"/>
      <c r="CB1704"/>
      <c r="CC1704"/>
      <c r="CD1704"/>
      <c r="CE1704"/>
      <c r="CF1704"/>
      <c r="CG1704"/>
      <c r="CH1704"/>
    </row>
    <row r="1705" spans="1:86" x14ac:dyDescent="0.2">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c r="AU1705"/>
      <c r="AV1705"/>
      <c r="AW1705"/>
      <c r="AX1705"/>
      <c r="AY1705"/>
      <c r="AZ1705"/>
      <c r="BA1705"/>
      <c r="BB1705"/>
      <c r="BC1705"/>
      <c r="BD1705"/>
      <c r="BE1705"/>
      <c r="BF1705"/>
      <c r="BG1705"/>
      <c r="BH1705"/>
      <c r="BI1705"/>
      <c r="BJ1705"/>
      <c r="BK1705"/>
      <c r="BL1705"/>
      <c r="BM1705"/>
      <c r="BN1705"/>
      <c r="BO1705"/>
      <c r="BP1705"/>
      <c r="BQ1705"/>
      <c r="BR1705"/>
      <c r="BS1705"/>
      <c r="BT1705"/>
      <c r="BU1705"/>
      <c r="BV1705"/>
      <c r="BW1705"/>
      <c r="BX1705"/>
      <c r="BY1705"/>
      <c r="BZ1705"/>
      <c r="CA1705"/>
      <c r="CB1705"/>
      <c r="CC1705"/>
      <c r="CD1705"/>
      <c r="CE1705"/>
      <c r="CF1705"/>
      <c r="CG1705"/>
      <c r="CH1705"/>
    </row>
    <row r="1706" spans="1:86" x14ac:dyDescent="0.2">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c r="AU1706"/>
      <c r="AV1706"/>
      <c r="AW1706"/>
      <c r="AX1706"/>
      <c r="AY1706"/>
      <c r="AZ1706"/>
      <c r="BA1706"/>
      <c r="BB1706"/>
      <c r="BC1706"/>
      <c r="BD1706"/>
      <c r="BE1706"/>
      <c r="BF1706"/>
      <c r="BG1706"/>
      <c r="BH1706"/>
      <c r="BI1706"/>
      <c r="BJ1706"/>
      <c r="BK1706"/>
      <c r="BL1706"/>
      <c r="BM1706"/>
      <c r="BN1706"/>
      <c r="BO1706"/>
      <c r="BP1706"/>
      <c r="BQ1706"/>
      <c r="BR1706"/>
      <c r="BS1706"/>
      <c r="BT1706"/>
      <c r="BU1706"/>
      <c r="BV1706"/>
      <c r="BW1706"/>
      <c r="BX1706"/>
      <c r="BY1706"/>
      <c r="BZ1706"/>
      <c r="CA1706"/>
      <c r="CB1706"/>
      <c r="CC1706"/>
      <c r="CD1706"/>
      <c r="CE1706"/>
      <c r="CF1706"/>
      <c r="CG1706"/>
      <c r="CH1706"/>
    </row>
    <row r="1707" spans="1:86" x14ac:dyDescent="0.2">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c r="AU1707"/>
      <c r="AV1707"/>
      <c r="AW1707"/>
      <c r="AX1707"/>
      <c r="AY1707"/>
      <c r="AZ1707"/>
      <c r="BA1707"/>
      <c r="BB1707"/>
      <c r="BC1707"/>
      <c r="BD1707"/>
      <c r="BE1707"/>
      <c r="BF1707"/>
      <c r="BG1707"/>
      <c r="BH1707"/>
      <c r="BI1707"/>
      <c r="BJ1707"/>
      <c r="BK1707"/>
      <c r="BL1707"/>
      <c r="BM1707"/>
      <c r="BN1707"/>
      <c r="BO1707"/>
      <c r="BP1707"/>
      <c r="BQ1707"/>
      <c r="BR1707"/>
      <c r="BS1707"/>
      <c r="BT1707"/>
      <c r="BU1707"/>
      <c r="BV1707"/>
      <c r="BW1707"/>
      <c r="BX1707"/>
      <c r="BY1707"/>
      <c r="BZ1707"/>
      <c r="CA1707"/>
      <c r="CB1707"/>
      <c r="CC1707"/>
      <c r="CD1707"/>
      <c r="CE1707"/>
      <c r="CF1707"/>
      <c r="CG1707"/>
      <c r="CH1707"/>
    </row>
    <row r="1708" spans="1:86" x14ac:dyDescent="0.2">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c r="AU1708"/>
      <c r="AV1708"/>
      <c r="AW1708"/>
      <c r="AX1708"/>
      <c r="AY1708"/>
      <c r="AZ1708"/>
      <c r="BA1708"/>
      <c r="BB1708"/>
      <c r="BC1708"/>
      <c r="BD1708"/>
      <c r="BE1708"/>
      <c r="BF1708"/>
      <c r="BG1708"/>
      <c r="BH1708"/>
      <c r="BI1708"/>
      <c r="BJ1708"/>
      <c r="BK1708"/>
      <c r="BL1708"/>
      <c r="BM1708"/>
      <c r="BN1708"/>
      <c r="BO1708"/>
      <c r="BP1708"/>
      <c r="BQ1708"/>
      <c r="BR1708"/>
      <c r="BS1708"/>
      <c r="BT1708"/>
      <c r="BU1708"/>
      <c r="BV1708"/>
      <c r="BW1708"/>
      <c r="BX1708"/>
      <c r="BY1708"/>
      <c r="BZ1708"/>
      <c r="CA1708"/>
      <c r="CB1708"/>
      <c r="CC1708"/>
      <c r="CD1708"/>
      <c r="CE1708"/>
      <c r="CF1708"/>
      <c r="CG1708"/>
      <c r="CH1708"/>
    </row>
    <row r="1709" spans="1:86" x14ac:dyDescent="0.2">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c r="AU1709"/>
      <c r="AV1709"/>
      <c r="AW1709"/>
      <c r="AX1709"/>
      <c r="AY1709"/>
      <c r="AZ1709"/>
      <c r="BA1709"/>
      <c r="BB1709"/>
      <c r="BC1709"/>
      <c r="BD1709"/>
      <c r="BE1709"/>
      <c r="BF1709"/>
      <c r="BG1709"/>
      <c r="BH1709"/>
      <c r="BI1709"/>
      <c r="BJ1709"/>
      <c r="BK1709"/>
      <c r="BL1709"/>
      <c r="BM1709"/>
      <c r="BN1709"/>
      <c r="BO1709"/>
      <c r="BP1709"/>
      <c r="BQ1709"/>
      <c r="BR1709"/>
      <c r="BS1709"/>
      <c r="BT1709"/>
      <c r="BU1709"/>
      <c r="BV1709"/>
      <c r="BW1709"/>
      <c r="BX1709"/>
      <c r="BY1709"/>
      <c r="BZ1709"/>
      <c r="CA1709"/>
      <c r="CB1709"/>
      <c r="CC1709"/>
      <c r="CD1709"/>
      <c r="CE1709"/>
      <c r="CF1709"/>
      <c r="CG1709"/>
      <c r="CH1709"/>
    </row>
    <row r="1710" spans="1:86" x14ac:dyDescent="0.2">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c r="AU1710"/>
      <c r="AV1710"/>
      <c r="AW1710"/>
      <c r="AX1710"/>
      <c r="AY1710"/>
      <c r="AZ1710"/>
      <c r="BA1710"/>
      <c r="BB1710"/>
      <c r="BC1710"/>
      <c r="BD1710"/>
      <c r="BE1710"/>
      <c r="BF1710"/>
      <c r="BG1710"/>
      <c r="BH1710"/>
      <c r="BI1710"/>
      <c r="BJ1710"/>
      <c r="BK1710"/>
      <c r="BL1710"/>
      <c r="BM1710"/>
      <c r="BN1710"/>
      <c r="BO1710"/>
      <c r="BP1710"/>
      <c r="BQ1710"/>
      <c r="BR1710"/>
      <c r="BS1710"/>
      <c r="BT1710"/>
      <c r="BU1710"/>
      <c r="BV1710"/>
      <c r="BW1710"/>
      <c r="BX1710"/>
      <c r="BY1710"/>
      <c r="BZ1710"/>
      <c r="CA1710"/>
      <c r="CB1710"/>
      <c r="CC1710"/>
      <c r="CD1710"/>
      <c r="CE1710"/>
      <c r="CF1710"/>
      <c r="CG1710"/>
      <c r="CH1710"/>
    </row>
    <row r="1711" spans="1:86" x14ac:dyDescent="0.2">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c r="AU1711"/>
      <c r="AV1711"/>
      <c r="AW1711"/>
      <c r="AX1711"/>
      <c r="AY1711"/>
      <c r="AZ1711"/>
      <c r="BA1711"/>
      <c r="BB1711"/>
      <c r="BC1711"/>
      <c r="BD1711"/>
      <c r="BE1711"/>
      <c r="BF1711"/>
      <c r="BG1711"/>
      <c r="BH1711"/>
      <c r="BI1711"/>
      <c r="BJ1711"/>
      <c r="BK1711"/>
      <c r="BL1711"/>
      <c r="BM1711"/>
      <c r="BN1711"/>
      <c r="BO1711"/>
      <c r="BP1711"/>
      <c r="BQ1711"/>
      <c r="BR1711"/>
      <c r="BS1711"/>
      <c r="BT1711"/>
      <c r="BU1711"/>
      <c r="BV1711"/>
      <c r="BW1711"/>
      <c r="BX1711"/>
      <c r="BY1711"/>
      <c r="BZ1711"/>
      <c r="CA1711"/>
      <c r="CB1711"/>
      <c r="CC1711"/>
      <c r="CD1711"/>
      <c r="CE1711"/>
      <c r="CF1711"/>
      <c r="CG1711"/>
      <c r="CH1711"/>
    </row>
    <row r="1712" spans="1:86" x14ac:dyDescent="0.2">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c r="AU1712"/>
      <c r="AV1712"/>
      <c r="AW1712"/>
      <c r="AX1712"/>
      <c r="AY1712"/>
      <c r="AZ1712"/>
      <c r="BA1712"/>
      <c r="BB1712"/>
      <c r="BC1712"/>
      <c r="BD1712"/>
      <c r="BE1712"/>
      <c r="BF1712"/>
      <c r="BG1712"/>
      <c r="BH1712"/>
      <c r="BI1712"/>
      <c r="BJ1712"/>
      <c r="BK1712"/>
      <c r="BL1712"/>
      <c r="BM1712"/>
      <c r="BN1712"/>
      <c r="BO1712"/>
      <c r="BP1712"/>
      <c r="BQ1712"/>
      <c r="BR1712"/>
      <c r="BS1712"/>
      <c r="BT1712"/>
      <c r="BU1712"/>
      <c r="BV1712"/>
      <c r="BW1712"/>
      <c r="BX1712"/>
      <c r="BY1712"/>
      <c r="BZ1712"/>
      <c r="CA1712"/>
      <c r="CB1712"/>
      <c r="CC1712"/>
      <c r="CD1712"/>
      <c r="CE1712"/>
      <c r="CF1712"/>
      <c r="CG1712"/>
      <c r="CH1712"/>
    </row>
    <row r="1713" spans="1:86" x14ac:dyDescent="0.2">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c r="AU1713"/>
      <c r="AV1713"/>
      <c r="AW1713"/>
      <c r="AX1713"/>
      <c r="AY1713"/>
      <c r="AZ1713"/>
      <c r="BA1713"/>
      <c r="BB1713"/>
      <c r="BC1713"/>
      <c r="BD1713"/>
      <c r="BE1713"/>
      <c r="BF1713"/>
      <c r="BG1713"/>
      <c r="BH1713"/>
      <c r="BI1713"/>
      <c r="BJ1713"/>
      <c r="BK1713"/>
      <c r="BL1713"/>
      <c r="BM1713"/>
      <c r="BN1713"/>
      <c r="BO1713"/>
      <c r="BP1713"/>
      <c r="BQ1713"/>
      <c r="BR1713"/>
      <c r="BS1713"/>
      <c r="BT1713"/>
      <c r="BU1713"/>
      <c r="BV1713"/>
      <c r="BW1713"/>
      <c r="BX1713"/>
      <c r="BY1713"/>
      <c r="BZ1713"/>
      <c r="CA1713"/>
      <c r="CB1713"/>
      <c r="CC1713"/>
      <c r="CD1713"/>
      <c r="CE1713"/>
      <c r="CF1713"/>
      <c r="CG1713"/>
      <c r="CH1713"/>
    </row>
    <row r="1714" spans="1:86" x14ac:dyDescent="0.2">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c r="AU1714"/>
      <c r="AV1714"/>
      <c r="AW1714"/>
      <c r="AX1714"/>
      <c r="AY1714"/>
      <c r="AZ1714"/>
      <c r="BA1714"/>
      <c r="BB1714"/>
      <c r="BC1714"/>
      <c r="BD1714"/>
      <c r="BE1714"/>
      <c r="BF1714"/>
      <c r="BG1714"/>
      <c r="BH1714"/>
      <c r="BI1714"/>
      <c r="BJ1714"/>
      <c r="BK1714"/>
      <c r="BL1714"/>
      <c r="BM1714"/>
      <c r="BN1714"/>
      <c r="BO1714"/>
      <c r="BP1714"/>
      <c r="BQ1714"/>
      <c r="BR1714"/>
      <c r="BS1714"/>
      <c r="BT1714"/>
      <c r="BU1714"/>
      <c r="BV1714"/>
      <c r="BW1714"/>
      <c r="BX1714"/>
      <c r="BY1714"/>
      <c r="BZ1714"/>
      <c r="CA1714"/>
      <c r="CB1714"/>
      <c r="CC1714"/>
      <c r="CD1714"/>
      <c r="CE1714"/>
      <c r="CF1714"/>
      <c r="CG1714"/>
      <c r="CH1714"/>
    </row>
    <row r="1715" spans="1:86" x14ac:dyDescent="0.2">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c r="AU1715"/>
      <c r="AV1715"/>
      <c r="AW1715"/>
      <c r="AX1715"/>
      <c r="AY1715"/>
      <c r="AZ1715"/>
      <c r="BA1715"/>
      <c r="BB1715"/>
      <c r="BC1715"/>
      <c r="BD1715"/>
      <c r="BE1715"/>
      <c r="BF1715"/>
      <c r="BG1715"/>
      <c r="BH1715"/>
      <c r="BI1715"/>
      <c r="BJ1715"/>
      <c r="BK1715"/>
      <c r="BL1715"/>
      <c r="BM1715"/>
      <c r="BN1715"/>
      <c r="BO1715"/>
      <c r="BP1715"/>
      <c r="BQ1715"/>
      <c r="BR1715"/>
      <c r="BS1715"/>
      <c r="BT1715"/>
      <c r="BU1715"/>
      <c r="BV1715"/>
      <c r="BW1715"/>
      <c r="BX1715"/>
      <c r="BY1715"/>
      <c r="BZ1715"/>
      <c r="CA1715"/>
      <c r="CB1715"/>
      <c r="CC1715"/>
      <c r="CD1715"/>
      <c r="CE1715"/>
      <c r="CF1715"/>
      <c r="CG1715"/>
      <c r="CH1715"/>
    </row>
    <row r="1716" spans="1:86" x14ac:dyDescent="0.2">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c r="AU1716"/>
      <c r="AV1716"/>
      <c r="AW1716"/>
      <c r="AX1716"/>
      <c r="AY1716"/>
      <c r="AZ1716"/>
      <c r="BA1716"/>
      <c r="BB1716"/>
      <c r="BC1716"/>
      <c r="BD1716"/>
      <c r="BE1716"/>
      <c r="BF1716"/>
      <c r="BG1716"/>
      <c r="BH1716"/>
      <c r="BI1716"/>
      <c r="BJ1716"/>
      <c r="BK1716"/>
      <c r="BL1716"/>
      <c r="BM1716"/>
      <c r="BN1716"/>
      <c r="BO1716"/>
      <c r="BP1716"/>
      <c r="BQ1716"/>
      <c r="BR1716"/>
      <c r="BS1716"/>
      <c r="BT1716"/>
      <c r="BU1716"/>
      <c r="BV1716"/>
      <c r="BW1716"/>
      <c r="BX1716"/>
      <c r="BY1716"/>
      <c r="BZ1716"/>
      <c r="CA1716"/>
      <c r="CB1716"/>
      <c r="CC1716"/>
      <c r="CD1716"/>
      <c r="CE1716"/>
      <c r="CF1716"/>
      <c r="CG1716"/>
      <c r="CH1716"/>
    </row>
    <row r="1717" spans="1:86" x14ac:dyDescent="0.2">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c r="AU1717"/>
      <c r="AV1717"/>
      <c r="AW1717"/>
      <c r="AX1717"/>
      <c r="AY1717"/>
      <c r="AZ1717"/>
      <c r="BA1717"/>
      <c r="BB1717"/>
      <c r="BC1717"/>
      <c r="BD1717"/>
      <c r="BE1717"/>
      <c r="BF1717"/>
      <c r="BG1717"/>
      <c r="BH1717"/>
      <c r="BI1717"/>
      <c r="BJ1717"/>
      <c r="BK1717"/>
      <c r="BL1717"/>
      <c r="BM1717"/>
      <c r="BN1717"/>
      <c r="BO1717"/>
      <c r="BP1717"/>
      <c r="BQ1717"/>
      <c r="BR1717"/>
      <c r="BS1717"/>
      <c r="BT1717"/>
      <c r="BU1717"/>
      <c r="BV1717"/>
      <c r="BW1717"/>
      <c r="BX1717"/>
      <c r="BY1717"/>
      <c r="BZ1717"/>
      <c r="CA1717"/>
      <c r="CB1717"/>
      <c r="CC1717"/>
      <c r="CD1717"/>
      <c r="CE1717"/>
      <c r="CF1717"/>
      <c r="CG1717"/>
      <c r="CH1717"/>
    </row>
    <row r="1718" spans="1:86" x14ac:dyDescent="0.2">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c r="AU1718"/>
      <c r="AV1718"/>
      <c r="AW1718"/>
      <c r="AX1718"/>
      <c r="AY1718"/>
      <c r="AZ1718"/>
      <c r="BA1718"/>
      <c r="BB1718"/>
      <c r="BC1718"/>
      <c r="BD1718"/>
      <c r="BE1718"/>
      <c r="BF1718"/>
      <c r="BG1718"/>
      <c r="BH1718"/>
      <c r="BI1718"/>
      <c r="BJ1718"/>
      <c r="BK1718"/>
      <c r="BL1718"/>
      <c r="BM1718"/>
      <c r="BN1718"/>
      <c r="BO1718"/>
      <c r="BP1718"/>
      <c r="BQ1718"/>
      <c r="BR1718"/>
      <c r="BS1718"/>
      <c r="BT1718"/>
      <c r="BU1718"/>
      <c r="BV1718"/>
      <c r="BW1718"/>
      <c r="BX1718"/>
      <c r="BY1718"/>
      <c r="BZ1718"/>
      <c r="CA1718"/>
      <c r="CB1718"/>
      <c r="CC1718"/>
      <c r="CD1718"/>
      <c r="CE1718"/>
      <c r="CF1718"/>
      <c r="CG1718"/>
      <c r="CH1718"/>
    </row>
    <row r="1719" spans="1:86" x14ac:dyDescent="0.2">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c r="AU1719"/>
      <c r="AV1719"/>
      <c r="AW1719"/>
      <c r="AX1719"/>
      <c r="AY1719"/>
      <c r="AZ1719"/>
      <c r="BA1719"/>
      <c r="BB1719"/>
      <c r="BC1719"/>
      <c r="BD1719"/>
      <c r="BE1719"/>
      <c r="BF1719"/>
      <c r="BG1719"/>
      <c r="BH1719"/>
      <c r="BI1719"/>
      <c r="BJ1719"/>
      <c r="BK1719"/>
      <c r="BL1719"/>
      <c r="BM1719"/>
      <c r="BN1719"/>
      <c r="BO1719"/>
      <c r="BP1719"/>
      <c r="BQ1719"/>
      <c r="BR1719"/>
      <c r="BS1719"/>
      <c r="BT1719"/>
      <c r="BU1719"/>
      <c r="BV1719"/>
      <c r="BW1719"/>
      <c r="BX1719"/>
      <c r="BY1719"/>
      <c r="BZ1719"/>
      <c r="CA1719"/>
      <c r="CB1719"/>
      <c r="CC1719"/>
      <c r="CD1719"/>
      <c r="CE1719"/>
      <c r="CF1719"/>
      <c r="CG1719"/>
      <c r="CH1719"/>
    </row>
    <row r="1720" spans="1:86" x14ac:dyDescent="0.2">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c r="AU1720"/>
      <c r="AV1720"/>
      <c r="AW1720"/>
      <c r="AX1720"/>
      <c r="AY1720"/>
      <c r="AZ1720"/>
      <c r="BA1720"/>
      <c r="BB1720"/>
      <c r="BC1720"/>
      <c r="BD1720"/>
      <c r="BE1720"/>
      <c r="BF1720"/>
      <c r="BG1720"/>
      <c r="BH1720"/>
      <c r="BI1720"/>
      <c r="BJ1720"/>
      <c r="BK1720"/>
      <c r="BL1720"/>
      <c r="BM1720"/>
      <c r="BN1720"/>
      <c r="BO1720"/>
      <c r="BP1720"/>
      <c r="BQ1720"/>
      <c r="BR1720"/>
      <c r="BS1720"/>
      <c r="BT1720"/>
      <c r="BU1720"/>
      <c r="BV1720"/>
      <c r="BW1720"/>
      <c r="BX1720"/>
      <c r="BY1720"/>
      <c r="BZ1720"/>
      <c r="CA1720"/>
      <c r="CB1720"/>
      <c r="CC1720"/>
      <c r="CD1720"/>
      <c r="CE1720"/>
      <c r="CF1720"/>
      <c r="CG1720"/>
      <c r="CH1720"/>
    </row>
    <row r="1721" spans="1:86" x14ac:dyDescent="0.2">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c r="AU1721"/>
      <c r="AV1721"/>
      <c r="AW1721"/>
      <c r="AX1721"/>
      <c r="AY1721"/>
      <c r="AZ1721"/>
      <c r="BA1721"/>
      <c r="BB1721"/>
      <c r="BC1721"/>
      <c r="BD1721"/>
      <c r="BE1721"/>
      <c r="BF1721"/>
      <c r="BG1721"/>
      <c r="BH1721"/>
      <c r="BI1721"/>
      <c r="BJ1721"/>
      <c r="BK1721"/>
      <c r="BL1721"/>
      <c r="BM1721"/>
      <c r="BN1721"/>
      <c r="BO1721"/>
      <c r="BP1721"/>
      <c r="BQ1721"/>
      <c r="BR1721"/>
      <c r="BS1721"/>
      <c r="BT1721"/>
      <c r="BU1721"/>
      <c r="BV1721"/>
      <c r="BW1721"/>
      <c r="BX1721"/>
      <c r="BY1721"/>
      <c r="BZ1721"/>
      <c r="CA1721"/>
      <c r="CB1721"/>
      <c r="CC1721"/>
      <c r="CD1721"/>
      <c r="CE1721"/>
      <c r="CF1721"/>
      <c r="CG1721"/>
      <c r="CH1721"/>
    </row>
    <row r="1722" spans="1:86" x14ac:dyDescent="0.2">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c r="AU1722"/>
      <c r="AV1722"/>
      <c r="AW1722"/>
      <c r="AX1722"/>
      <c r="AY1722"/>
      <c r="AZ1722"/>
      <c r="BA1722"/>
      <c r="BB1722"/>
      <c r="BC1722"/>
      <c r="BD1722"/>
      <c r="BE1722"/>
      <c r="BF1722"/>
      <c r="BG1722"/>
      <c r="BH1722"/>
      <c r="BI1722"/>
      <c r="BJ1722"/>
      <c r="BK1722"/>
      <c r="BL1722"/>
      <c r="BM1722"/>
      <c r="BN1722"/>
      <c r="BO1722"/>
      <c r="BP1722"/>
      <c r="BQ1722"/>
      <c r="BR1722"/>
      <c r="BS1722"/>
      <c r="BT1722"/>
      <c r="BU1722"/>
      <c r="BV1722"/>
      <c r="BW1722"/>
      <c r="BX1722"/>
      <c r="BY1722"/>
      <c r="BZ1722"/>
      <c r="CA1722"/>
      <c r="CB1722"/>
      <c r="CC1722"/>
      <c r="CD1722"/>
      <c r="CE1722"/>
      <c r="CF1722"/>
      <c r="CG1722"/>
      <c r="CH1722"/>
    </row>
    <row r="1723" spans="1:86" x14ac:dyDescent="0.2">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c r="AU1723"/>
      <c r="AV1723"/>
      <c r="AW1723"/>
      <c r="AX1723"/>
      <c r="AY1723"/>
      <c r="AZ1723"/>
      <c r="BA1723"/>
      <c r="BB1723"/>
      <c r="BC1723"/>
      <c r="BD1723"/>
      <c r="BE1723"/>
      <c r="BF1723"/>
      <c r="BG1723"/>
      <c r="BH1723"/>
      <c r="BI1723"/>
      <c r="BJ1723"/>
      <c r="BK1723"/>
      <c r="BL1723"/>
      <c r="BM1723"/>
      <c r="BN1723"/>
      <c r="BO1723"/>
      <c r="BP1723"/>
      <c r="BQ1723"/>
      <c r="BR1723"/>
      <c r="BS1723"/>
      <c r="BT1723"/>
      <c r="BU1723"/>
      <c r="BV1723"/>
      <c r="BW1723"/>
      <c r="BX1723"/>
      <c r="BY1723"/>
      <c r="BZ1723"/>
      <c r="CA1723"/>
      <c r="CB1723"/>
      <c r="CC1723"/>
      <c r="CD1723"/>
      <c r="CE1723"/>
      <c r="CF1723"/>
      <c r="CG1723"/>
      <c r="CH1723"/>
    </row>
    <row r="1724" spans="1:86" x14ac:dyDescent="0.2">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c r="AU1724"/>
      <c r="AV1724"/>
      <c r="AW1724"/>
      <c r="AX1724"/>
      <c r="AY1724"/>
      <c r="AZ1724"/>
      <c r="BA1724"/>
      <c r="BB1724"/>
      <c r="BC1724"/>
      <c r="BD1724"/>
      <c r="BE1724"/>
      <c r="BF1724"/>
      <c r="BG1724"/>
      <c r="BH1724"/>
      <c r="BI1724"/>
      <c r="BJ1724"/>
      <c r="BK1724"/>
      <c r="BL1724"/>
      <c r="BM1724"/>
      <c r="BN1724"/>
      <c r="BO1724"/>
      <c r="BP1724"/>
      <c r="BQ1724"/>
      <c r="BR1724"/>
      <c r="BS1724"/>
      <c r="BT1724"/>
      <c r="BU1724"/>
      <c r="BV1724"/>
      <c r="BW1724"/>
      <c r="BX1724"/>
      <c r="BY1724"/>
      <c r="BZ1724"/>
      <c r="CA1724"/>
      <c r="CB1724"/>
      <c r="CC1724"/>
      <c r="CD1724"/>
      <c r="CE1724"/>
      <c r="CF1724"/>
      <c r="CG1724"/>
      <c r="CH1724"/>
    </row>
    <row r="1725" spans="1:86" x14ac:dyDescent="0.2">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c r="AU1725"/>
      <c r="AV1725"/>
      <c r="AW1725"/>
      <c r="AX1725"/>
      <c r="AY1725"/>
      <c r="AZ1725"/>
      <c r="BA1725"/>
      <c r="BB1725"/>
      <c r="BC1725"/>
      <c r="BD1725"/>
      <c r="BE1725"/>
      <c r="BF1725"/>
      <c r="BG1725"/>
      <c r="BH1725"/>
      <c r="BI1725"/>
      <c r="BJ1725"/>
      <c r="BK1725"/>
      <c r="BL1725"/>
      <c r="BM1725"/>
      <c r="BN1725"/>
      <c r="BO1725"/>
      <c r="BP1725"/>
      <c r="BQ1725"/>
      <c r="BR1725"/>
      <c r="BS1725"/>
      <c r="BT1725"/>
      <c r="BU1725"/>
      <c r="BV1725"/>
      <c r="BW1725"/>
      <c r="BX1725"/>
      <c r="BY1725"/>
      <c r="BZ1725"/>
      <c r="CA1725"/>
      <c r="CB1725"/>
      <c r="CC1725"/>
      <c r="CD1725"/>
      <c r="CE1725"/>
      <c r="CF1725"/>
      <c r="CG1725"/>
      <c r="CH1725"/>
    </row>
    <row r="1726" spans="1:86" x14ac:dyDescent="0.2">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c r="AU1726"/>
      <c r="AV1726"/>
      <c r="AW1726"/>
      <c r="AX1726"/>
      <c r="AY1726"/>
      <c r="AZ1726"/>
      <c r="BA1726"/>
      <c r="BB1726"/>
      <c r="BC1726"/>
      <c r="BD1726"/>
      <c r="BE1726"/>
      <c r="BF1726"/>
      <c r="BG1726"/>
      <c r="BH1726"/>
      <c r="BI1726"/>
      <c r="BJ1726"/>
      <c r="BK1726"/>
      <c r="BL1726"/>
      <c r="BM1726"/>
      <c r="BN1726"/>
      <c r="BO1726"/>
      <c r="BP1726"/>
      <c r="BQ1726"/>
      <c r="BR1726"/>
      <c r="BS1726"/>
      <c r="BT1726"/>
      <c r="BU1726"/>
      <c r="BV1726"/>
      <c r="BW1726"/>
      <c r="BX1726"/>
      <c r="BY1726"/>
      <c r="BZ1726"/>
      <c r="CA1726"/>
      <c r="CB1726"/>
      <c r="CC1726"/>
      <c r="CD1726"/>
      <c r="CE1726"/>
      <c r="CF1726"/>
      <c r="CG1726"/>
      <c r="CH1726"/>
    </row>
    <row r="1727" spans="1:86" x14ac:dyDescent="0.2">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c r="AU1727"/>
      <c r="AV1727"/>
      <c r="AW1727"/>
      <c r="AX1727"/>
      <c r="AY1727"/>
      <c r="AZ1727"/>
      <c r="BA1727"/>
      <c r="BB1727"/>
      <c r="BC1727"/>
      <c r="BD1727"/>
      <c r="BE1727"/>
      <c r="BF1727"/>
      <c r="BG1727"/>
      <c r="BH1727"/>
      <c r="BI1727"/>
      <c r="BJ1727"/>
      <c r="BK1727"/>
      <c r="BL1727"/>
      <c r="BM1727"/>
      <c r="BN1727"/>
      <c r="BO1727"/>
      <c r="BP1727"/>
      <c r="BQ1727"/>
      <c r="BR1727"/>
      <c r="BS1727"/>
      <c r="BT1727"/>
      <c r="BU1727"/>
      <c r="BV1727"/>
      <c r="BW1727"/>
      <c r="BX1727"/>
      <c r="BY1727"/>
      <c r="BZ1727"/>
      <c r="CA1727"/>
      <c r="CB1727"/>
      <c r="CC1727"/>
      <c r="CD1727"/>
      <c r="CE1727"/>
      <c r="CF1727"/>
      <c r="CG1727"/>
      <c r="CH1727"/>
    </row>
    <row r="1728" spans="1:86" x14ac:dyDescent="0.2">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c r="AU1728"/>
      <c r="AV1728"/>
      <c r="AW1728"/>
      <c r="AX1728"/>
      <c r="AY1728"/>
      <c r="AZ1728"/>
      <c r="BA1728"/>
      <c r="BB1728"/>
      <c r="BC1728"/>
      <c r="BD1728"/>
      <c r="BE1728"/>
      <c r="BF1728"/>
      <c r="BG1728"/>
      <c r="BH1728"/>
      <c r="BI1728"/>
      <c r="BJ1728"/>
      <c r="BK1728"/>
      <c r="BL1728"/>
      <c r="BM1728"/>
      <c r="BN1728"/>
      <c r="BO1728"/>
      <c r="BP1728"/>
      <c r="BQ1728"/>
      <c r="BR1728"/>
      <c r="BS1728"/>
      <c r="BT1728"/>
      <c r="BU1728"/>
      <c r="BV1728"/>
      <c r="BW1728"/>
      <c r="BX1728"/>
      <c r="BY1728"/>
      <c r="BZ1728"/>
      <c r="CA1728"/>
      <c r="CB1728"/>
      <c r="CC1728"/>
      <c r="CD1728"/>
      <c r="CE1728"/>
      <c r="CF1728"/>
      <c r="CG1728"/>
      <c r="CH1728"/>
    </row>
    <row r="1729" spans="1:86" x14ac:dyDescent="0.2">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c r="AU1729"/>
      <c r="AV1729"/>
      <c r="AW1729"/>
      <c r="AX1729"/>
      <c r="AY1729"/>
      <c r="AZ1729"/>
      <c r="BA1729"/>
      <c r="BB1729"/>
      <c r="BC1729"/>
      <c r="BD1729"/>
      <c r="BE1729"/>
      <c r="BF1729"/>
      <c r="BG1729"/>
      <c r="BH1729"/>
      <c r="BI1729"/>
      <c r="BJ1729"/>
      <c r="BK1729"/>
      <c r="BL1729"/>
      <c r="BM1729"/>
      <c r="BN1729"/>
      <c r="BO1729"/>
      <c r="BP1729"/>
      <c r="BQ1729"/>
      <c r="BR1729"/>
      <c r="BS1729"/>
      <c r="BT1729"/>
      <c r="BU1729"/>
      <c r="BV1729"/>
      <c r="BW1729"/>
      <c r="BX1729"/>
      <c r="BY1729"/>
      <c r="BZ1729"/>
      <c r="CA1729"/>
      <c r="CB1729"/>
      <c r="CC1729"/>
      <c r="CD1729"/>
      <c r="CE1729"/>
      <c r="CF1729"/>
      <c r="CG1729"/>
      <c r="CH1729"/>
    </row>
    <row r="1730" spans="1:86" x14ac:dyDescent="0.2">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c r="AU1730"/>
      <c r="AV1730"/>
      <c r="AW1730"/>
      <c r="AX1730"/>
      <c r="AY1730"/>
      <c r="AZ1730"/>
      <c r="BA1730"/>
      <c r="BB1730"/>
      <c r="BC1730"/>
      <c r="BD1730"/>
      <c r="BE1730"/>
      <c r="BF1730"/>
      <c r="BG1730"/>
      <c r="BH1730"/>
      <c r="BI1730"/>
      <c r="BJ1730"/>
      <c r="BK1730"/>
      <c r="BL1730"/>
      <c r="BM1730"/>
      <c r="BN1730"/>
      <c r="BO1730"/>
      <c r="BP1730"/>
      <c r="BQ1730"/>
      <c r="BR1730"/>
      <c r="BS1730"/>
      <c r="BT1730"/>
      <c r="BU1730"/>
      <c r="BV1730"/>
      <c r="BW1730"/>
      <c r="BX1730"/>
      <c r="BY1730"/>
      <c r="BZ1730"/>
      <c r="CA1730"/>
      <c r="CB1730"/>
      <c r="CC1730"/>
      <c r="CD1730"/>
      <c r="CE1730"/>
      <c r="CF1730"/>
      <c r="CG1730"/>
      <c r="CH1730"/>
    </row>
    <row r="1731" spans="1:86" x14ac:dyDescent="0.2">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c r="AU1731"/>
      <c r="AV1731"/>
      <c r="AW1731"/>
      <c r="AX1731"/>
      <c r="AY1731"/>
      <c r="AZ1731"/>
      <c r="BA1731"/>
      <c r="BB1731"/>
      <c r="BC1731"/>
      <c r="BD1731"/>
      <c r="BE1731"/>
      <c r="BF1731"/>
      <c r="BG1731"/>
      <c r="BH1731"/>
      <c r="BI1731"/>
      <c r="BJ1731"/>
      <c r="BK1731"/>
      <c r="BL1731"/>
      <c r="BM1731"/>
      <c r="BN1731"/>
      <c r="BO1731"/>
      <c r="BP1731"/>
      <c r="BQ1731"/>
      <c r="BR1731"/>
      <c r="BS1731"/>
      <c r="BT1731"/>
      <c r="BU1731"/>
      <c r="BV1731"/>
      <c r="BW1731"/>
      <c r="BX1731"/>
      <c r="BY1731"/>
      <c r="BZ1731"/>
      <c r="CA1731"/>
      <c r="CB1731"/>
      <c r="CC1731"/>
      <c r="CD1731"/>
      <c r="CE1731"/>
      <c r="CF1731"/>
      <c r="CG1731"/>
      <c r="CH1731"/>
    </row>
    <row r="1732" spans="1:86" x14ac:dyDescent="0.2">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c r="AU1732"/>
      <c r="AV1732"/>
      <c r="AW1732"/>
      <c r="AX1732"/>
      <c r="AY1732"/>
      <c r="AZ1732"/>
      <c r="BA1732"/>
      <c r="BB1732"/>
      <c r="BC1732"/>
      <c r="BD1732"/>
      <c r="BE1732"/>
      <c r="BF1732"/>
      <c r="BG1732"/>
      <c r="BH1732"/>
      <c r="BI1732"/>
      <c r="BJ1732"/>
      <c r="BK1732"/>
      <c r="BL1732"/>
      <c r="BM1732"/>
      <c r="BN1732"/>
      <c r="BO1732"/>
      <c r="BP1732"/>
      <c r="BQ1732"/>
      <c r="BR1732"/>
      <c r="BS1732"/>
      <c r="BT1732"/>
      <c r="BU1732"/>
      <c r="BV1732"/>
      <c r="BW1732"/>
      <c r="BX1732"/>
      <c r="BY1732"/>
      <c r="BZ1732"/>
      <c r="CA1732"/>
      <c r="CB1732"/>
      <c r="CC1732"/>
      <c r="CD1732"/>
      <c r="CE1732"/>
      <c r="CF1732"/>
      <c r="CG1732"/>
      <c r="CH1732"/>
    </row>
    <row r="1733" spans="1:86" x14ac:dyDescent="0.2">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c r="AU1733"/>
      <c r="AV1733"/>
      <c r="AW1733"/>
      <c r="AX1733"/>
      <c r="AY1733"/>
      <c r="AZ1733"/>
      <c r="BA1733"/>
      <c r="BB1733"/>
      <c r="BC1733"/>
      <c r="BD1733"/>
      <c r="BE1733"/>
      <c r="BF1733"/>
      <c r="BG1733"/>
      <c r="BH1733"/>
      <c r="BI1733"/>
      <c r="BJ1733"/>
      <c r="BK1733"/>
      <c r="BL1733"/>
      <c r="BM1733"/>
      <c r="BN1733"/>
      <c r="BO1733"/>
      <c r="BP1733"/>
      <c r="BQ1733"/>
      <c r="BR1733"/>
      <c r="BS1733"/>
      <c r="BT1733"/>
      <c r="BU1733"/>
      <c r="BV1733"/>
      <c r="BW1733"/>
      <c r="BX1733"/>
      <c r="BY1733"/>
      <c r="BZ1733"/>
      <c r="CA1733"/>
      <c r="CB1733"/>
      <c r="CC1733"/>
      <c r="CD1733"/>
      <c r="CE1733"/>
      <c r="CF1733"/>
      <c r="CG1733"/>
      <c r="CH1733"/>
    </row>
    <row r="1734" spans="1:86" x14ac:dyDescent="0.2">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c r="AU1734"/>
      <c r="AV1734"/>
      <c r="AW1734"/>
      <c r="AX1734"/>
      <c r="AY1734"/>
      <c r="AZ1734"/>
      <c r="BA1734"/>
      <c r="BB1734"/>
      <c r="BC1734"/>
      <c r="BD1734"/>
      <c r="BE1734"/>
      <c r="BF1734"/>
      <c r="BG1734"/>
      <c r="BH1734"/>
      <c r="BI1734"/>
      <c r="BJ1734"/>
      <c r="BK1734"/>
      <c r="BL1734"/>
      <c r="BM1734"/>
      <c r="BN1734"/>
      <c r="BO1734"/>
      <c r="BP1734"/>
      <c r="BQ1734"/>
      <c r="BR1734"/>
      <c r="BS1734"/>
      <c r="BT1734"/>
      <c r="BU1734"/>
      <c r="BV1734"/>
      <c r="BW1734"/>
      <c r="BX1734"/>
      <c r="BY1734"/>
      <c r="BZ1734"/>
      <c r="CA1734"/>
      <c r="CB1734"/>
      <c r="CC1734"/>
      <c r="CD1734"/>
      <c r="CE1734"/>
      <c r="CF1734"/>
      <c r="CG1734"/>
      <c r="CH1734"/>
    </row>
    <row r="1735" spans="1:86" x14ac:dyDescent="0.2">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c r="AU1735"/>
      <c r="AV1735"/>
      <c r="AW1735"/>
      <c r="AX1735"/>
      <c r="AY1735"/>
      <c r="AZ1735"/>
      <c r="BA1735"/>
      <c r="BB1735"/>
      <c r="BC1735"/>
      <c r="BD1735"/>
      <c r="BE1735"/>
      <c r="BF1735"/>
      <c r="BG1735"/>
      <c r="BH1735"/>
      <c r="BI1735"/>
      <c r="BJ1735"/>
      <c r="BK1735"/>
      <c r="BL1735"/>
      <c r="BM1735"/>
      <c r="BN1735"/>
      <c r="BO1735"/>
      <c r="BP1735"/>
      <c r="BQ1735"/>
      <c r="BR1735"/>
      <c r="BS1735"/>
      <c r="BT1735"/>
      <c r="BU1735"/>
      <c r="BV1735"/>
      <c r="BW1735"/>
      <c r="BX1735"/>
      <c r="BY1735"/>
      <c r="BZ1735"/>
      <c r="CA1735"/>
      <c r="CB1735"/>
      <c r="CC1735"/>
      <c r="CD1735"/>
      <c r="CE1735"/>
      <c r="CF1735"/>
      <c r="CG1735"/>
      <c r="CH1735"/>
    </row>
    <row r="1736" spans="1:86" x14ac:dyDescent="0.2">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c r="AU1736"/>
      <c r="AV1736"/>
      <c r="AW1736"/>
      <c r="AX1736"/>
      <c r="AY1736"/>
      <c r="AZ1736"/>
      <c r="BA1736"/>
      <c r="BB1736"/>
      <c r="BC1736"/>
      <c r="BD1736"/>
      <c r="BE1736"/>
      <c r="BF1736"/>
      <c r="BG1736"/>
      <c r="BH1736"/>
      <c r="BI1736"/>
      <c r="BJ1736"/>
      <c r="BK1736"/>
      <c r="BL1736"/>
      <c r="BM1736"/>
      <c r="BN1736"/>
      <c r="BO1736"/>
      <c r="BP1736"/>
      <c r="BQ1736"/>
      <c r="BR1736"/>
      <c r="BS1736"/>
      <c r="BT1736"/>
      <c r="BU1736"/>
      <c r="BV1736"/>
      <c r="BW1736"/>
      <c r="BX1736"/>
      <c r="BY1736"/>
      <c r="BZ1736"/>
      <c r="CA1736"/>
      <c r="CB1736"/>
      <c r="CC1736"/>
      <c r="CD1736"/>
      <c r="CE1736"/>
      <c r="CF1736"/>
      <c r="CG1736"/>
      <c r="CH1736"/>
    </row>
    <row r="1737" spans="1:86" x14ac:dyDescent="0.2">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c r="AU1737"/>
      <c r="AV1737"/>
      <c r="AW1737"/>
      <c r="AX1737"/>
      <c r="AY1737"/>
      <c r="AZ1737"/>
      <c r="BA1737"/>
      <c r="BB1737"/>
      <c r="BC1737"/>
      <c r="BD1737"/>
      <c r="BE1737"/>
      <c r="BF1737"/>
      <c r="BG1737"/>
      <c r="BH1737"/>
      <c r="BI1737"/>
      <c r="BJ1737"/>
      <c r="BK1737"/>
      <c r="BL1737"/>
      <c r="BM1737"/>
      <c r="BN1737"/>
      <c r="BO1737"/>
      <c r="BP1737"/>
      <c r="BQ1737"/>
      <c r="BR1737"/>
      <c r="BS1737"/>
      <c r="BT1737"/>
      <c r="BU1737"/>
      <c r="BV1737"/>
      <c r="BW1737"/>
      <c r="BX1737"/>
      <c r="BY1737"/>
      <c r="BZ1737"/>
      <c r="CA1737"/>
      <c r="CB1737"/>
      <c r="CC1737"/>
      <c r="CD1737"/>
      <c r="CE1737"/>
      <c r="CF1737"/>
      <c r="CG1737"/>
      <c r="CH1737"/>
    </row>
    <row r="1738" spans="1:86" x14ac:dyDescent="0.2">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c r="AU1738"/>
      <c r="AV1738"/>
      <c r="AW1738"/>
      <c r="AX1738"/>
      <c r="AY1738"/>
      <c r="AZ1738"/>
      <c r="BA1738"/>
      <c r="BB1738"/>
      <c r="BC1738"/>
      <c r="BD1738"/>
      <c r="BE1738"/>
      <c r="BF1738"/>
      <c r="BG1738"/>
      <c r="BH1738"/>
      <c r="BI1738"/>
      <c r="BJ1738"/>
      <c r="BK1738"/>
      <c r="BL1738"/>
      <c r="BM1738"/>
      <c r="BN1738"/>
      <c r="BO1738"/>
      <c r="BP1738"/>
      <c r="BQ1738"/>
      <c r="BR1738"/>
      <c r="BS1738"/>
      <c r="BT1738"/>
      <c r="BU1738"/>
      <c r="BV1738"/>
      <c r="BW1738"/>
      <c r="BX1738"/>
      <c r="BY1738"/>
      <c r="BZ1738"/>
      <c r="CA1738"/>
      <c r="CB1738"/>
      <c r="CC1738"/>
      <c r="CD1738"/>
      <c r="CE1738"/>
      <c r="CF1738"/>
      <c r="CG1738"/>
      <c r="CH1738"/>
    </row>
    <row r="1739" spans="1:86" x14ac:dyDescent="0.2">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c r="AU1739"/>
      <c r="AV1739"/>
      <c r="AW1739"/>
      <c r="AX1739"/>
      <c r="AY1739"/>
      <c r="AZ1739"/>
      <c r="BA1739"/>
      <c r="BB1739"/>
      <c r="BC1739"/>
      <c r="BD1739"/>
      <c r="BE1739"/>
      <c r="BF1739"/>
      <c r="BG1739"/>
      <c r="BH1739"/>
      <c r="BI1739"/>
      <c r="BJ1739"/>
      <c r="BK1739"/>
      <c r="BL1739"/>
      <c r="BM1739"/>
      <c r="BN1739"/>
      <c r="BO1739"/>
      <c r="BP1739"/>
      <c r="BQ1739"/>
      <c r="BR1739"/>
      <c r="BS1739"/>
      <c r="BT1739"/>
      <c r="BU1739"/>
      <c r="BV1739"/>
      <c r="BW1739"/>
      <c r="BX1739"/>
      <c r="BY1739"/>
      <c r="BZ1739"/>
      <c r="CA1739"/>
      <c r="CB1739"/>
      <c r="CC1739"/>
      <c r="CD1739"/>
      <c r="CE1739"/>
      <c r="CF1739"/>
      <c r="CG1739"/>
      <c r="CH1739"/>
    </row>
    <row r="1740" spans="1:86" x14ac:dyDescent="0.2">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c r="AU1740"/>
      <c r="AV1740"/>
      <c r="AW1740"/>
      <c r="AX1740"/>
      <c r="AY1740"/>
      <c r="AZ1740"/>
      <c r="BA1740"/>
      <c r="BB1740"/>
      <c r="BC1740"/>
      <c r="BD1740"/>
      <c r="BE1740"/>
      <c r="BF1740"/>
      <c r="BG1740"/>
      <c r="BH1740"/>
      <c r="BI1740"/>
      <c r="BJ1740"/>
      <c r="BK1740"/>
      <c r="BL1740"/>
      <c r="BM1740"/>
      <c r="BN1740"/>
      <c r="BO1740"/>
      <c r="BP1740"/>
      <c r="BQ1740"/>
      <c r="BR1740"/>
      <c r="BS1740"/>
      <c r="BT1740"/>
      <c r="BU1740"/>
      <c r="BV1740"/>
      <c r="BW1740"/>
      <c r="BX1740"/>
      <c r="BY1740"/>
      <c r="BZ1740"/>
      <c r="CA1740"/>
      <c r="CB1740"/>
      <c r="CC1740"/>
      <c r="CD1740"/>
      <c r="CE1740"/>
      <c r="CF1740"/>
      <c r="CG1740"/>
      <c r="CH1740"/>
    </row>
    <row r="1741" spans="1:86" x14ac:dyDescent="0.2">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c r="AU1741"/>
      <c r="AV1741"/>
      <c r="AW1741"/>
      <c r="AX1741"/>
      <c r="AY1741"/>
      <c r="AZ1741"/>
      <c r="BA1741"/>
      <c r="BB1741"/>
      <c r="BC1741"/>
      <c r="BD1741"/>
      <c r="BE1741"/>
      <c r="BF1741"/>
      <c r="BG1741"/>
      <c r="BH1741"/>
      <c r="BI1741"/>
      <c r="BJ1741"/>
      <c r="BK1741"/>
      <c r="BL1741"/>
      <c r="BM1741"/>
      <c r="BN1741"/>
      <c r="BO1741"/>
      <c r="BP1741"/>
      <c r="BQ1741"/>
      <c r="BR1741"/>
      <c r="BS1741"/>
      <c r="BT1741"/>
      <c r="BU1741"/>
      <c r="BV1741"/>
      <c r="BW1741"/>
      <c r="BX1741"/>
      <c r="BY1741"/>
      <c r="BZ1741"/>
      <c r="CA1741"/>
      <c r="CB1741"/>
      <c r="CC1741"/>
      <c r="CD1741"/>
      <c r="CE1741"/>
      <c r="CF1741"/>
      <c r="CG1741"/>
      <c r="CH1741"/>
    </row>
    <row r="1742" spans="1:86" x14ac:dyDescent="0.2">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c r="AU1742"/>
      <c r="AV1742"/>
      <c r="AW1742"/>
      <c r="AX1742"/>
      <c r="AY1742"/>
      <c r="AZ1742"/>
      <c r="BA1742"/>
      <c r="BB1742"/>
      <c r="BC1742"/>
      <c r="BD1742"/>
      <c r="BE1742"/>
      <c r="BF1742"/>
      <c r="BG1742"/>
      <c r="BH1742"/>
      <c r="BI1742"/>
      <c r="BJ1742"/>
      <c r="BK1742"/>
      <c r="BL1742"/>
      <c r="BM1742"/>
      <c r="BN1742"/>
      <c r="BO1742"/>
      <c r="BP1742"/>
      <c r="BQ1742"/>
      <c r="BR1742"/>
      <c r="BS1742"/>
      <c r="BT1742"/>
      <c r="BU1742"/>
      <c r="BV1742"/>
      <c r="BW1742"/>
      <c r="BX1742"/>
      <c r="BY1742"/>
      <c r="BZ1742"/>
      <c r="CA1742"/>
      <c r="CB1742"/>
      <c r="CC1742"/>
      <c r="CD1742"/>
      <c r="CE1742"/>
      <c r="CF1742"/>
      <c r="CG1742"/>
      <c r="CH1742"/>
    </row>
    <row r="1743" spans="1:86" x14ac:dyDescent="0.2">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c r="AU1743"/>
      <c r="AV1743"/>
      <c r="AW1743"/>
      <c r="AX1743"/>
      <c r="AY1743"/>
      <c r="AZ1743"/>
      <c r="BA1743"/>
      <c r="BB1743"/>
      <c r="BC1743"/>
      <c r="BD1743"/>
      <c r="BE1743"/>
      <c r="BF1743"/>
      <c r="BG1743"/>
      <c r="BH1743"/>
      <c r="BI1743"/>
      <c r="BJ1743"/>
      <c r="BK1743"/>
      <c r="BL1743"/>
      <c r="BM1743"/>
      <c r="BN1743"/>
      <c r="BO1743"/>
      <c r="BP1743"/>
      <c r="BQ1743"/>
      <c r="BR1743"/>
      <c r="BS1743"/>
      <c r="BT1743"/>
      <c r="BU1743"/>
      <c r="BV1743"/>
      <c r="BW1743"/>
      <c r="BX1743"/>
      <c r="BY1743"/>
      <c r="BZ1743"/>
      <c r="CA1743"/>
      <c r="CB1743"/>
      <c r="CC1743"/>
      <c r="CD1743"/>
      <c r="CE1743"/>
      <c r="CF1743"/>
      <c r="CG1743"/>
      <c r="CH1743"/>
    </row>
    <row r="1744" spans="1:86" x14ac:dyDescent="0.2">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c r="AU1744"/>
      <c r="AV1744"/>
      <c r="AW1744"/>
      <c r="AX1744"/>
      <c r="AY1744"/>
      <c r="AZ1744"/>
      <c r="BA1744"/>
      <c r="BB1744"/>
      <c r="BC1744"/>
      <c r="BD1744"/>
      <c r="BE1744"/>
      <c r="BF1744"/>
      <c r="BG1744"/>
      <c r="BH1744"/>
      <c r="BI1744"/>
      <c r="BJ1744"/>
      <c r="BK1744"/>
      <c r="BL1744"/>
      <c r="BM1744"/>
      <c r="BN1744"/>
      <c r="BO1744"/>
      <c r="BP1744"/>
      <c r="BQ1744"/>
      <c r="BR1744"/>
      <c r="BS1744"/>
      <c r="BT1744"/>
      <c r="BU1744"/>
      <c r="BV1744"/>
      <c r="BW1744"/>
      <c r="BX1744"/>
      <c r="BY1744"/>
      <c r="BZ1744"/>
      <c r="CA1744"/>
      <c r="CB1744"/>
      <c r="CC1744"/>
      <c r="CD1744"/>
      <c r="CE1744"/>
      <c r="CF1744"/>
      <c r="CG1744"/>
      <c r="CH1744"/>
    </row>
    <row r="1745" spans="1:86" x14ac:dyDescent="0.2">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c r="AU1745"/>
      <c r="AV1745"/>
      <c r="AW1745"/>
      <c r="AX1745"/>
      <c r="AY1745"/>
      <c r="AZ1745"/>
      <c r="BA1745"/>
      <c r="BB1745"/>
      <c r="BC1745"/>
      <c r="BD1745"/>
      <c r="BE1745"/>
      <c r="BF1745"/>
      <c r="BG1745"/>
      <c r="BH1745"/>
      <c r="BI1745"/>
      <c r="BJ1745"/>
      <c r="BK1745"/>
      <c r="BL1745"/>
      <c r="BM1745"/>
      <c r="BN1745"/>
      <c r="BO1745"/>
      <c r="BP1745"/>
      <c r="BQ1745"/>
      <c r="BR1745"/>
      <c r="BS1745"/>
      <c r="BT1745"/>
      <c r="BU1745"/>
      <c r="BV1745"/>
      <c r="BW1745"/>
      <c r="BX1745"/>
      <c r="BY1745"/>
      <c r="BZ1745"/>
      <c r="CA1745"/>
      <c r="CB1745"/>
      <c r="CC1745"/>
      <c r="CD1745"/>
      <c r="CE1745"/>
      <c r="CF1745"/>
      <c r="CG1745"/>
      <c r="CH1745"/>
    </row>
    <row r="1746" spans="1:86" x14ac:dyDescent="0.2">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c r="AU1746"/>
      <c r="AV1746"/>
      <c r="AW1746"/>
      <c r="AX1746"/>
      <c r="AY1746"/>
      <c r="AZ1746"/>
      <c r="BA1746"/>
      <c r="BB1746"/>
      <c r="BC1746"/>
      <c r="BD1746"/>
      <c r="BE1746"/>
      <c r="BF1746"/>
      <c r="BG1746"/>
      <c r="BH1746"/>
      <c r="BI1746"/>
      <c r="BJ1746"/>
      <c r="BK1746"/>
      <c r="BL1746"/>
      <c r="BM1746"/>
      <c r="BN1746"/>
      <c r="BO1746"/>
      <c r="BP1746"/>
      <c r="BQ1746"/>
      <c r="BR1746"/>
      <c r="BS1746"/>
      <c r="BT1746"/>
      <c r="BU1746"/>
      <c r="BV1746"/>
      <c r="BW1746"/>
      <c r="BX1746"/>
      <c r="BY1746"/>
      <c r="BZ1746"/>
      <c r="CA1746"/>
      <c r="CB1746"/>
      <c r="CC1746"/>
      <c r="CD1746"/>
      <c r="CE1746"/>
      <c r="CF1746"/>
      <c r="CG1746"/>
      <c r="CH1746"/>
    </row>
    <row r="1747" spans="1:86" x14ac:dyDescent="0.2">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c r="AU1747"/>
      <c r="AV1747"/>
      <c r="AW1747"/>
      <c r="AX1747"/>
      <c r="AY1747"/>
      <c r="AZ1747"/>
      <c r="BA1747"/>
      <c r="BB1747"/>
      <c r="BC1747"/>
      <c r="BD1747"/>
      <c r="BE1747"/>
      <c r="BF1747"/>
      <c r="BG1747"/>
      <c r="BH1747"/>
      <c r="BI1747"/>
      <c r="BJ1747"/>
      <c r="BK1747"/>
      <c r="BL1747"/>
      <c r="BM1747"/>
      <c r="BN1747"/>
      <c r="BO1747"/>
      <c r="BP1747"/>
      <c r="BQ1747"/>
      <c r="BR1747"/>
      <c r="BS1747"/>
      <c r="BT1747"/>
      <c r="BU1747"/>
      <c r="BV1747"/>
      <c r="BW1747"/>
      <c r="BX1747"/>
      <c r="BY1747"/>
      <c r="BZ1747"/>
      <c r="CA1747"/>
      <c r="CB1747"/>
      <c r="CC1747"/>
      <c r="CD1747"/>
      <c r="CE1747"/>
      <c r="CF1747"/>
      <c r="CG1747"/>
      <c r="CH1747"/>
    </row>
    <row r="1748" spans="1:86" x14ac:dyDescent="0.2">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c r="AU1748"/>
      <c r="AV1748"/>
      <c r="AW1748"/>
      <c r="AX1748"/>
      <c r="AY1748"/>
      <c r="AZ1748"/>
      <c r="BA1748"/>
      <c r="BB1748"/>
      <c r="BC1748"/>
      <c r="BD1748"/>
      <c r="BE1748"/>
      <c r="BF1748"/>
      <c r="BG1748"/>
      <c r="BH1748"/>
      <c r="BI1748"/>
      <c r="BJ1748"/>
      <c r="BK1748"/>
      <c r="BL1748"/>
      <c r="BM1748"/>
      <c r="BN1748"/>
      <c r="BO1748"/>
      <c r="BP1748"/>
      <c r="BQ1748"/>
      <c r="BR1748"/>
      <c r="BS1748"/>
      <c r="BT1748"/>
      <c r="BU1748"/>
      <c r="BV1748"/>
      <c r="BW1748"/>
      <c r="BX1748"/>
      <c r="BY1748"/>
      <c r="BZ1748"/>
      <c r="CA1748"/>
      <c r="CB1748"/>
      <c r="CC1748"/>
      <c r="CD1748"/>
      <c r="CE1748"/>
      <c r="CF1748"/>
      <c r="CG1748"/>
      <c r="CH1748"/>
    </row>
    <row r="1749" spans="1:86" x14ac:dyDescent="0.2">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c r="AU1749"/>
      <c r="AV1749"/>
      <c r="AW1749"/>
      <c r="AX1749"/>
      <c r="AY1749"/>
      <c r="AZ1749"/>
      <c r="BA1749"/>
      <c r="BB1749"/>
      <c r="BC1749"/>
      <c r="BD1749"/>
      <c r="BE1749"/>
      <c r="BF1749"/>
      <c r="BG1749"/>
      <c r="BH1749"/>
      <c r="BI1749"/>
      <c r="BJ1749"/>
      <c r="BK1749"/>
      <c r="BL1749"/>
      <c r="BM1749"/>
      <c r="BN1749"/>
      <c r="BO1749"/>
      <c r="BP1749"/>
      <c r="BQ1749"/>
      <c r="BR1749"/>
      <c r="BS1749"/>
      <c r="BT1749"/>
      <c r="BU1749"/>
      <c r="BV1749"/>
      <c r="BW1749"/>
      <c r="BX1749"/>
      <c r="BY1749"/>
      <c r="BZ1749"/>
      <c r="CA1749"/>
      <c r="CB1749"/>
      <c r="CC1749"/>
      <c r="CD1749"/>
      <c r="CE1749"/>
      <c r="CF1749"/>
      <c r="CG1749"/>
      <c r="CH1749"/>
    </row>
    <row r="1750" spans="1:86" x14ac:dyDescent="0.2">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c r="AU1750"/>
      <c r="AV1750"/>
      <c r="AW1750"/>
      <c r="AX1750"/>
      <c r="AY1750"/>
      <c r="AZ1750"/>
      <c r="BA1750"/>
      <c r="BB1750"/>
      <c r="BC1750"/>
      <c r="BD1750"/>
      <c r="BE1750"/>
      <c r="BF1750"/>
      <c r="BG1750"/>
      <c r="BH1750"/>
      <c r="BI1750"/>
      <c r="BJ1750"/>
      <c r="BK1750"/>
      <c r="BL1750"/>
      <c r="BM1750"/>
      <c r="BN1750"/>
      <c r="BO1750"/>
      <c r="BP1750"/>
      <c r="BQ1750"/>
      <c r="BR1750"/>
      <c r="BS1750"/>
      <c r="BT1750"/>
      <c r="BU1750"/>
      <c r="BV1750"/>
      <c r="BW1750"/>
      <c r="BX1750"/>
      <c r="BY1750"/>
      <c r="BZ1750"/>
      <c r="CA1750"/>
      <c r="CB1750"/>
      <c r="CC1750"/>
      <c r="CD1750"/>
      <c r="CE1750"/>
      <c r="CF1750"/>
      <c r="CG1750"/>
      <c r="CH1750"/>
    </row>
    <row r="1751" spans="1:86" x14ac:dyDescent="0.2">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c r="AU1751"/>
      <c r="AV1751"/>
      <c r="AW1751"/>
      <c r="AX1751"/>
      <c r="AY1751"/>
      <c r="AZ1751"/>
      <c r="BA1751"/>
      <c r="BB1751"/>
      <c r="BC1751"/>
      <c r="BD1751"/>
      <c r="BE1751"/>
      <c r="BF1751"/>
      <c r="BG1751"/>
      <c r="BH1751"/>
      <c r="BI1751"/>
      <c r="BJ1751"/>
      <c r="BK1751"/>
      <c r="BL1751"/>
      <c r="BM1751"/>
      <c r="BN1751"/>
      <c r="BO1751"/>
      <c r="BP1751"/>
      <c r="BQ1751"/>
      <c r="BR1751"/>
      <c r="BS1751"/>
      <c r="BT1751"/>
      <c r="BU1751"/>
      <c r="BV1751"/>
      <c r="BW1751"/>
      <c r="BX1751"/>
      <c r="BY1751"/>
      <c r="BZ1751"/>
      <c r="CA1751"/>
      <c r="CB1751"/>
      <c r="CC1751"/>
      <c r="CD1751"/>
      <c r="CE1751"/>
      <c r="CF1751"/>
      <c r="CG1751"/>
      <c r="CH1751"/>
    </row>
    <row r="1752" spans="1:86" x14ac:dyDescent="0.2">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c r="AU1752"/>
      <c r="AV1752"/>
      <c r="AW1752"/>
      <c r="AX1752"/>
      <c r="AY1752"/>
      <c r="AZ1752"/>
      <c r="BA1752"/>
      <c r="BB1752"/>
      <c r="BC1752"/>
      <c r="BD1752"/>
      <c r="BE1752"/>
      <c r="BF1752"/>
      <c r="BG1752"/>
      <c r="BH1752"/>
      <c r="BI1752"/>
      <c r="BJ1752"/>
      <c r="BK1752"/>
      <c r="BL1752"/>
      <c r="BM1752"/>
      <c r="BN1752"/>
      <c r="BO1752"/>
      <c r="BP1752"/>
      <c r="BQ1752"/>
      <c r="BR1752"/>
      <c r="BS1752"/>
      <c r="BT1752"/>
      <c r="BU1752"/>
      <c r="BV1752"/>
      <c r="BW1752"/>
      <c r="BX1752"/>
      <c r="BY1752"/>
      <c r="BZ1752"/>
      <c r="CA1752"/>
      <c r="CB1752"/>
      <c r="CC1752"/>
      <c r="CD1752"/>
      <c r="CE1752"/>
      <c r="CF1752"/>
      <c r="CG1752"/>
      <c r="CH1752"/>
    </row>
    <row r="1753" spans="1:86" x14ac:dyDescent="0.2">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c r="AU1753"/>
      <c r="AV1753"/>
      <c r="AW1753"/>
      <c r="AX1753"/>
      <c r="AY1753"/>
      <c r="AZ1753"/>
      <c r="BA1753"/>
      <c r="BB1753"/>
      <c r="BC1753"/>
      <c r="BD1753"/>
      <c r="BE1753"/>
      <c r="BF1753"/>
      <c r="BG1753"/>
      <c r="BH1753"/>
      <c r="BI1753"/>
      <c r="BJ1753"/>
      <c r="BK1753"/>
      <c r="BL1753"/>
      <c r="BM1753"/>
      <c r="BN1753"/>
      <c r="BO1753"/>
      <c r="BP1753"/>
      <c r="BQ1753"/>
      <c r="BR1753"/>
      <c r="BS1753"/>
      <c r="BT1753"/>
      <c r="BU1753"/>
      <c r="BV1753"/>
      <c r="BW1753"/>
      <c r="BX1753"/>
      <c r="BY1753"/>
      <c r="BZ1753"/>
      <c r="CA1753"/>
      <c r="CB1753"/>
      <c r="CC1753"/>
      <c r="CD1753"/>
      <c r="CE1753"/>
      <c r="CF1753"/>
      <c r="CG1753"/>
      <c r="CH1753"/>
    </row>
    <row r="1754" spans="1:86" x14ac:dyDescent="0.2">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c r="AU1754"/>
      <c r="AV1754"/>
      <c r="AW1754"/>
      <c r="AX1754"/>
      <c r="AY1754"/>
      <c r="AZ1754"/>
      <c r="BA1754"/>
      <c r="BB1754"/>
      <c r="BC1754"/>
      <c r="BD1754"/>
      <c r="BE1754"/>
      <c r="BF1754"/>
      <c r="BG1754"/>
      <c r="BH1754"/>
      <c r="BI1754"/>
      <c r="BJ1754"/>
      <c r="BK1754"/>
      <c r="BL1754"/>
      <c r="BM1754"/>
      <c r="BN1754"/>
      <c r="BO1754"/>
      <c r="BP1754"/>
      <c r="BQ1754"/>
      <c r="BR1754"/>
      <c r="BS1754"/>
      <c r="BT1754"/>
      <c r="BU1754"/>
      <c r="BV1754"/>
      <c r="BW1754"/>
      <c r="BX1754"/>
      <c r="BY1754"/>
      <c r="BZ1754"/>
      <c r="CA1754"/>
      <c r="CB1754"/>
      <c r="CC1754"/>
      <c r="CD1754"/>
      <c r="CE1754"/>
      <c r="CF1754"/>
      <c r="CG1754"/>
      <c r="CH1754"/>
    </row>
    <row r="1755" spans="1:86" x14ac:dyDescent="0.2">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c r="AU1755"/>
      <c r="AV1755"/>
      <c r="AW1755"/>
      <c r="AX1755"/>
      <c r="AY1755"/>
      <c r="AZ1755"/>
      <c r="BA1755"/>
      <c r="BB1755"/>
      <c r="BC1755"/>
      <c r="BD1755"/>
      <c r="BE1755"/>
      <c r="BF1755"/>
      <c r="BG1755"/>
      <c r="BH1755"/>
      <c r="BI1755"/>
      <c r="BJ1755"/>
      <c r="BK1755"/>
      <c r="BL1755"/>
      <c r="BM1755"/>
      <c r="BN1755"/>
      <c r="BO1755"/>
      <c r="BP1755"/>
      <c r="BQ1755"/>
      <c r="BR1755"/>
      <c r="BS1755"/>
      <c r="BT1755"/>
      <c r="BU1755"/>
      <c r="BV1755"/>
      <c r="BW1755"/>
      <c r="BX1755"/>
      <c r="BY1755"/>
      <c r="BZ1755"/>
      <c r="CA1755"/>
      <c r="CB1755"/>
      <c r="CC1755"/>
      <c r="CD1755"/>
      <c r="CE1755"/>
      <c r="CF1755"/>
      <c r="CG1755"/>
      <c r="CH1755"/>
    </row>
    <row r="1756" spans="1:86" x14ac:dyDescent="0.2">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c r="AU1756"/>
      <c r="AV1756"/>
      <c r="AW1756"/>
      <c r="AX1756"/>
      <c r="AY1756"/>
      <c r="AZ1756"/>
      <c r="BA1756"/>
      <c r="BB1756"/>
      <c r="BC1756"/>
      <c r="BD1756"/>
      <c r="BE1756"/>
      <c r="BF1756"/>
      <c r="BG1756"/>
      <c r="BH1756"/>
      <c r="BI1756"/>
      <c r="BJ1756"/>
      <c r="BK1756"/>
      <c r="BL1756"/>
      <c r="BM1756"/>
      <c r="BN1756"/>
      <c r="BO1756"/>
      <c r="BP1756"/>
      <c r="BQ1756"/>
      <c r="BR1756"/>
      <c r="BS1756"/>
      <c r="BT1756"/>
      <c r="BU1756"/>
      <c r="BV1756"/>
      <c r="BW1756"/>
      <c r="BX1756"/>
      <c r="BY1756"/>
      <c r="BZ1756"/>
      <c r="CA1756"/>
      <c r="CB1756"/>
      <c r="CC1756"/>
      <c r="CD1756"/>
      <c r="CE1756"/>
      <c r="CF1756"/>
      <c r="CG1756"/>
      <c r="CH1756"/>
    </row>
    <row r="1757" spans="1:86" x14ac:dyDescent="0.2">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c r="AU1757"/>
      <c r="AV1757"/>
      <c r="AW1757"/>
      <c r="AX1757"/>
      <c r="AY1757"/>
      <c r="AZ1757"/>
      <c r="BA1757"/>
      <c r="BB1757"/>
      <c r="BC1757"/>
      <c r="BD1757"/>
      <c r="BE1757"/>
      <c r="BF1757"/>
      <c r="BG1757"/>
      <c r="BH1757"/>
      <c r="BI1757"/>
      <c r="BJ1757"/>
      <c r="BK1757"/>
      <c r="BL1757"/>
      <c r="BM1757"/>
      <c r="BN1757"/>
      <c r="BO1757"/>
      <c r="BP1757"/>
      <c r="BQ1757"/>
      <c r="BR1757"/>
      <c r="BS1757"/>
      <c r="BT1757"/>
      <c r="BU1757"/>
      <c r="BV1757"/>
      <c r="BW1757"/>
      <c r="BX1757"/>
      <c r="BY1757"/>
      <c r="BZ1757"/>
      <c r="CA1757"/>
      <c r="CB1757"/>
      <c r="CC1757"/>
      <c r="CD1757"/>
      <c r="CE1757"/>
      <c r="CF1757"/>
      <c r="CG1757"/>
      <c r="CH1757"/>
    </row>
    <row r="1758" spans="1:86" x14ac:dyDescent="0.2">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c r="AU1758"/>
      <c r="AV1758"/>
      <c r="AW1758"/>
      <c r="AX1758"/>
      <c r="AY1758"/>
      <c r="AZ1758"/>
      <c r="BA1758"/>
      <c r="BB1758"/>
      <c r="BC1758"/>
      <c r="BD1758"/>
      <c r="BE1758"/>
      <c r="BF1758"/>
      <c r="BG1758"/>
      <c r="BH1758"/>
      <c r="BI1758"/>
      <c r="BJ1758"/>
      <c r="BK1758"/>
      <c r="BL1758"/>
      <c r="BM1758"/>
      <c r="BN1758"/>
      <c r="BO1758"/>
      <c r="BP1758"/>
      <c r="BQ1758"/>
      <c r="BR1758"/>
      <c r="BS1758"/>
      <c r="BT1758"/>
      <c r="BU1758"/>
      <c r="BV1758"/>
      <c r="BW1758"/>
      <c r="BX1758"/>
      <c r="BY1758"/>
      <c r="BZ1758"/>
      <c r="CA1758"/>
      <c r="CB1758"/>
      <c r="CC1758"/>
      <c r="CD1758"/>
      <c r="CE1758"/>
      <c r="CF1758"/>
      <c r="CG1758"/>
      <c r="CH1758"/>
    </row>
    <row r="1759" spans="1:86" x14ac:dyDescent="0.2">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c r="AU1759"/>
      <c r="AV1759"/>
      <c r="AW1759"/>
      <c r="AX1759"/>
      <c r="AY1759"/>
      <c r="AZ1759"/>
      <c r="BA1759"/>
      <c r="BB1759"/>
      <c r="BC1759"/>
      <c r="BD1759"/>
      <c r="BE1759"/>
      <c r="BF1759"/>
      <c r="BG1759"/>
      <c r="BH1759"/>
      <c r="BI1759"/>
      <c r="BJ1759"/>
      <c r="BK1759"/>
      <c r="BL1759"/>
      <c r="BM1759"/>
      <c r="BN1759"/>
      <c r="BO1759"/>
      <c r="BP1759"/>
      <c r="BQ1759"/>
      <c r="BR1759"/>
      <c r="BS1759"/>
      <c r="BT1759"/>
      <c r="BU1759"/>
      <c r="BV1759"/>
      <c r="BW1759"/>
      <c r="BX1759"/>
      <c r="BY1759"/>
      <c r="BZ1759"/>
      <c r="CA1759"/>
      <c r="CB1759"/>
      <c r="CC1759"/>
      <c r="CD1759"/>
      <c r="CE1759"/>
      <c r="CF1759"/>
      <c r="CG1759"/>
      <c r="CH1759"/>
    </row>
    <row r="1760" spans="1:86" x14ac:dyDescent="0.2">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c r="AU1760"/>
      <c r="AV1760"/>
      <c r="AW1760"/>
      <c r="AX1760"/>
      <c r="AY1760"/>
      <c r="AZ1760"/>
      <c r="BA1760"/>
      <c r="BB1760"/>
      <c r="BC1760"/>
      <c r="BD1760"/>
      <c r="BE1760"/>
      <c r="BF1760"/>
      <c r="BG1760"/>
      <c r="BH1760"/>
      <c r="BI1760"/>
      <c r="BJ1760"/>
      <c r="BK1760"/>
      <c r="BL1760"/>
      <c r="BM1760"/>
      <c r="BN1760"/>
      <c r="BO1760"/>
      <c r="BP1760"/>
      <c r="BQ1760"/>
      <c r="BR1760"/>
      <c r="BS1760"/>
      <c r="BT1760"/>
      <c r="BU1760"/>
      <c r="BV1760"/>
      <c r="BW1760"/>
      <c r="BX1760"/>
      <c r="BY1760"/>
      <c r="BZ1760"/>
      <c r="CA1760"/>
      <c r="CB1760"/>
      <c r="CC1760"/>
      <c r="CD1760"/>
      <c r="CE1760"/>
      <c r="CF1760"/>
      <c r="CG1760"/>
      <c r="CH1760"/>
    </row>
    <row r="1761" spans="1:86" x14ac:dyDescent="0.2">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c r="AU1761"/>
      <c r="AV1761"/>
      <c r="AW1761"/>
      <c r="AX1761"/>
      <c r="AY1761"/>
      <c r="AZ1761"/>
      <c r="BA1761"/>
      <c r="BB1761"/>
      <c r="BC1761"/>
      <c r="BD1761"/>
      <c r="BE1761"/>
      <c r="BF1761"/>
      <c r="BG1761"/>
      <c r="BH1761"/>
      <c r="BI1761"/>
      <c r="BJ1761"/>
      <c r="BK1761"/>
      <c r="BL1761"/>
      <c r="BM1761"/>
      <c r="BN1761"/>
      <c r="BO1761"/>
      <c r="BP1761"/>
      <c r="BQ1761"/>
      <c r="BR1761"/>
      <c r="BS1761"/>
      <c r="BT1761"/>
      <c r="BU1761"/>
      <c r="BV1761"/>
      <c r="BW1761"/>
      <c r="BX1761"/>
      <c r="BY1761"/>
      <c r="BZ1761"/>
      <c r="CA1761"/>
      <c r="CB1761"/>
      <c r="CC1761"/>
      <c r="CD1761"/>
      <c r="CE1761"/>
      <c r="CF1761"/>
      <c r="CG1761"/>
      <c r="CH1761"/>
    </row>
    <row r="1762" spans="1:86" x14ac:dyDescent="0.2">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c r="AU1762"/>
      <c r="AV1762"/>
      <c r="AW1762"/>
      <c r="AX1762"/>
      <c r="AY1762"/>
      <c r="AZ1762"/>
      <c r="BA1762"/>
      <c r="BB1762"/>
      <c r="BC1762"/>
      <c r="BD1762"/>
      <c r="BE1762"/>
      <c r="BF1762"/>
      <c r="BG1762"/>
      <c r="BH1762"/>
      <c r="BI1762"/>
      <c r="BJ1762"/>
      <c r="BK1762"/>
      <c r="BL1762"/>
      <c r="BM1762"/>
      <c r="BN1762"/>
      <c r="BO1762"/>
      <c r="BP1762"/>
      <c r="BQ1762"/>
      <c r="BR1762"/>
      <c r="BS1762"/>
      <c r="BT1762"/>
      <c r="BU1762"/>
      <c r="BV1762"/>
      <c r="BW1762"/>
      <c r="BX1762"/>
      <c r="BY1762"/>
      <c r="BZ1762"/>
      <c r="CA1762"/>
      <c r="CB1762"/>
      <c r="CC1762"/>
      <c r="CD1762"/>
      <c r="CE1762"/>
      <c r="CF1762"/>
      <c r="CG1762"/>
      <c r="CH1762"/>
    </row>
    <row r="1763" spans="1:86" x14ac:dyDescent="0.2">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c r="AU1763"/>
      <c r="AV1763"/>
      <c r="AW1763"/>
      <c r="AX1763"/>
      <c r="AY1763"/>
      <c r="AZ1763"/>
      <c r="BA1763"/>
      <c r="BB1763"/>
      <c r="BC1763"/>
      <c r="BD1763"/>
      <c r="BE1763"/>
      <c r="BF1763"/>
      <c r="BG1763"/>
      <c r="BH1763"/>
      <c r="BI1763"/>
      <c r="BJ1763"/>
      <c r="BK1763"/>
      <c r="BL1763"/>
      <c r="BM1763"/>
      <c r="BN1763"/>
      <c r="BO1763"/>
      <c r="BP1763"/>
      <c r="BQ1763"/>
      <c r="BR1763"/>
      <c r="BS1763"/>
      <c r="BT1763"/>
      <c r="BU1763"/>
      <c r="BV1763"/>
      <c r="BW1763"/>
      <c r="BX1763"/>
      <c r="BY1763"/>
      <c r="BZ1763"/>
      <c r="CA1763"/>
      <c r="CB1763"/>
      <c r="CC1763"/>
      <c r="CD1763"/>
      <c r="CE1763"/>
      <c r="CF1763"/>
      <c r="CG1763"/>
      <c r="CH1763"/>
    </row>
    <row r="1764" spans="1:86" x14ac:dyDescent="0.2">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c r="AU1764"/>
      <c r="AV1764"/>
      <c r="AW1764"/>
      <c r="AX1764"/>
      <c r="AY1764"/>
      <c r="AZ1764"/>
      <c r="BA1764"/>
      <c r="BB1764"/>
      <c r="BC1764"/>
      <c r="BD1764"/>
      <c r="BE1764"/>
      <c r="BF1764"/>
      <c r="BG1764"/>
      <c r="BH1764"/>
      <c r="BI1764"/>
      <c r="BJ1764"/>
      <c r="BK1764"/>
      <c r="BL1764"/>
      <c r="BM1764"/>
      <c r="BN1764"/>
      <c r="BO1764"/>
      <c r="BP1764"/>
      <c r="BQ1764"/>
      <c r="BR1764"/>
      <c r="BS1764"/>
      <c r="BT1764"/>
      <c r="BU1764"/>
      <c r="BV1764"/>
      <c r="BW1764"/>
      <c r="BX1764"/>
      <c r="BY1764"/>
      <c r="BZ1764"/>
      <c r="CA1764"/>
      <c r="CB1764"/>
      <c r="CC1764"/>
      <c r="CD1764"/>
      <c r="CE1764"/>
      <c r="CF1764"/>
      <c r="CG1764"/>
      <c r="CH1764"/>
    </row>
    <row r="1765" spans="1:86" x14ac:dyDescent="0.2">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c r="AU1765"/>
      <c r="AV1765"/>
      <c r="AW1765"/>
      <c r="AX1765"/>
      <c r="AY1765"/>
      <c r="AZ1765"/>
      <c r="BA1765"/>
      <c r="BB1765"/>
      <c r="BC1765"/>
      <c r="BD1765"/>
      <c r="BE1765"/>
      <c r="BF1765"/>
      <c r="BG1765"/>
      <c r="BH1765"/>
      <c r="BI1765"/>
      <c r="BJ1765"/>
      <c r="BK1765"/>
      <c r="BL1765"/>
      <c r="BM1765"/>
      <c r="BN1765"/>
      <c r="BO1765"/>
      <c r="BP1765"/>
      <c r="BQ1765"/>
      <c r="BR1765"/>
      <c r="BS1765"/>
      <c r="BT1765"/>
      <c r="BU1765"/>
      <c r="BV1765"/>
      <c r="BW1765"/>
      <c r="BX1765"/>
      <c r="BY1765"/>
      <c r="BZ1765"/>
      <c r="CA1765"/>
      <c r="CB1765"/>
      <c r="CC1765"/>
      <c r="CD1765"/>
      <c r="CE1765"/>
      <c r="CF1765"/>
      <c r="CG1765"/>
      <c r="CH1765"/>
    </row>
    <row r="1766" spans="1:86" x14ac:dyDescent="0.2">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c r="AU1766"/>
      <c r="AV1766"/>
      <c r="AW1766"/>
      <c r="AX1766"/>
      <c r="AY1766"/>
      <c r="AZ1766"/>
      <c r="BA1766"/>
      <c r="BB1766"/>
      <c r="BC1766"/>
      <c r="BD1766"/>
      <c r="BE1766"/>
      <c r="BF1766"/>
      <c r="BG1766"/>
      <c r="BH1766"/>
      <c r="BI1766"/>
      <c r="BJ1766"/>
      <c r="BK1766"/>
      <c r="BL1766"/>
      <c r="BM1766"/>
      <c r="BN1766"/>
      <c r="BO1766"/>
      <c r="BP1766"/>
      <c r="BQ1766"/>
      <c r="BR1766"/>
      <c r="BS1766"/>
      <c r="BT1766"/>
      <c r="BU1766"/>
      <c r="BV1766"/>
      <c r="BW1766"/>
      <c r="BX1766"/>
      <c r="BY1766"/>
      <c r="BZ1766"/>
      <c r="CA1766"/>
      <c r="CB1766"/>
      <c r="CC1766"/>
      <c r="CD1766"/>
      <c r="CE1766"/>
      <c r="CF1766"/>
      <c r="CG1766"/>
      <c r="CH1766"/>
    </row>
    <row r="1767" spans="1:86" x14ac:dyDescent="0.2">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c r="AU1767"/>
      <c r="AV1767"/>
      <c r="AW1767"/>
      <c r="AX1767"/>
      <c r="AY1767"/>
      <c r="AZ1767"/>
      <c r="BA1767"/>
      <c r="BB1767"/>
      <c r="BC1767"/>
      <c r="BD1767"/>
      <c r="BE1767"/>
      <c r="BF1767"/>
      <c r="BG1767"/>
      <c r="BH1767"/>
      <c r="BI1767"/>
      <c r="BJ1767"/>
      <c r="BK1767"/>
      <c r="BL1767"/>
      <c r="BM1767"/>
      <c r="BN1767"/>
      <c r="BO1767"/>
      <c r="BP1767"/>
      <c r="BQ1767"/>
      <c r="BR1767"/>
      <c r="BS1767"/>
      <c r="BT1767"/>
      <c r="BU1767"/>
      <c r="BV1767"/>
      <c r="BW1767"/>
      <c r="BX1767"/>
      <c r="BY1767"/>
      <c r="BZ1767"/>
      <c r="CA1767"/>
      <c r="CB1767"/>
      <c r="CC1767"/>
      <c r="CD1767"/>
      <c r="CE1767"/>
      <c r="CF1767"/>
      <c r="CG1767"/>
      <c r="CH1767"/>
    </row>
    <row r="1768" spans="1:86" x14ac:dyDescent="0.2">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c r="AU1768"/>
      <c r="AV1768"/>
      <c r="AW1768"/>
      <c r="AX1768"/>
      <c r="AY1768"/>
      <c r="AZ1768"/>
      <c r="BA1768"/>
      <c r="BB1768"/>
      <c r="BC1768"/>
      <c r="BD1768"/>
      <c r="BE1768"/>
      <c r="BF1768"/>
      <c r="BG1768"/>
      <c r="BH1768"/>
      <c r="BI1768"/>
      <c r="BJ1768"/>
      <c r="BK1768"/>
      <c r="BL1768"/>
      <c r="BM1768"/>
      <c r="BN1768"/>
      <c r="BO1768"/>
      <c r="BP1768"/>
      <c r="BQ1768"/>
      <c r="BR1768"/>
      <c r="BS1768"/>
      <c r="BT1768"/>
      <c r="BU1768"/>
      <c r="BV1768"/>
      <c r="BW1768"/>
      <c r="BX1768"/>
      <c r="BY1768"/>
      <c r="BZ1768"/>
      <c r="CA1768"/>
      <c r="CB1768"/>
      <c r="CC1768"/>
      <c r="CD1768"/>
      <c r="CE1768"/>
      <c r="CF1768"/>
      <c r="CG1768"/>
      <c r="CH1768"/>
    </row>
    <row r="1769" spans="1:86" x14ac:dyDescent="0.2">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c r="AR1769"/>
      <c r="AS1769"/>
      <c r="AT1769"/>
      <c r="AU1769"/>
      <c r="AV1769"/>
      <c r="AW1769"/>
      <c r="AX1769"/>
      <c r="AY1769"/>
      <c r="AZ1769"/>
      <c r="BA1769"/>
      <c r="BB1769"/>
      <c r="BC1769"/>
      <c r="BD1769"/>
      <c r="BE1769"/>
      <c r="BF1769"/>
      <c r="BG1769"/>
      <c r="BH1769"/>
      <c r="BI1769"/>
      <c r="BJ1769"/>
      <c r="BK1769"/>
      <c r="BL1769"/>
      <c r="BM1769"/>
      <c r="BN1769"/>
      <c r="BO1769"/>
      <c r="BP1769"/>
      <c r="BQ1769"/>
      <c r="BR1769"/>
      <c r="BS1769"/>
      <c r="BT1769"/>
      <c r="BU1769"/>
      <c r="BV1769"/>
      <c r="BW1769"/>
      <c r="BX1769"/>
      <c r="BY1769"/>
      <c r="BZ1769"/>
      <c r="CA1769"/>
      <c r="CB1769"/>
      <c r="CC1769"/>
      <c r="CD1769"/>
      <c r="CE1769"/>
      <c r="CF1769"/>
      <c r="CG1769"/>
      <c r="CH1769"/>
    </row>
    <row r="1770" spans="1:86" x14ac:dyDescent="0.2">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c r="AR1770"/>
      <c r="AS1770"/>
      <c r="AT1770"/>
      <c r="AU1770"/>
      <c r="AV1770"/>
      <c r="AW1770"/>
      <c r="AX1770"/>
      <c r="AY1770"/>
      <c r="AZ1770"/>
      <c r="BA1770"/>
      <c r="BB1770"/>
      <c r="BC1770"/>
      <c r="BD1770"/>
      <c r="BE1770"/>
      <c r="BF1770"/>
      <c r="BG1770"/>
      <c r="BH1770"/>
      <c r="BI1770"/>
      <c r="BJ1770"/>
      <c r="BK1770"/>
      <c r="BL1770"/>
      <c r="BM1770"/>
      <c r="BN1770"/>
      <c r="BO1770"/>
      <c r="BP1770"/>
      <c r="BQ1770"/>
      <c r="BR1770"/>
      <c r="BS1770"/>
      <c r="BT1770"/>
      <c r="BU1770"/>
      <c r="BV1770"/>
      <c r="BW1770"/>
      <c r="BX1770"/>
      <c r="BY1770"/>
      <c r="BZ1770"/>
      <c r="CA1770"/>
      <c r="CB1770"/>
      <c r="CC1770"/>
      <c r="CD1770"/>
      <c r="CE1770"/>
      <c r="CF1770"/>
      <c r="CG1770"/>
      <c r="CH1770"/>
    </row>
    <row r="1771" spans="1:86" x14ac:dyDescent="0.2">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c r="AR1771"/>
      <c r="AS1771"/>
      <c r="AT1771"/>
      <c r="AU1771"/>
      <c r="AV1771"/>
      <c r="AW1771"/>
      <c r="AX1771"/>
      <c r="AY1771"/>
      <c r="AZ1771"/>
      <c r="BA1771"/>
      <c r="BB1771"/>
      <c r="BC1771"/>
      <c r="BD1771"/>
      <c r="BE1771"/>
      <c r="BF1771"/>
      <c r="BG1771"/>
      <c r="BH1771"/>
      <c r="BI1771"/>
      <c r="BJ1771"/>
      <c r="BK1771"/>
      <c r="BL1771"/>
      <c r="BM1771"/>
      <c r="BN1771"/>
      <c r="BO1771"/>
      <c r="BP1771"/>
      <c r="BQ1771"/>
      <c r="BR1771"/>
      <c r="BS1771"/>
      <c r="BT1771"/>
      <c r="BU1771"/>
      <c r="BV1771"/>
      <c r="BW1771"/>
      <c r="BX1771"/>
      <c r="BY1771"/>
      <c r="BZ1771"/>
      <c r="CA1771"/>
      <c r="CB1771"/>
      <c r="CC1771"/>
      <c r="CD1771"/>
      <c r="CE1771"/>
      <c r="CF1771"/>
      <c r="CG1771"/>
      <c r="CH1771"/>
    </row>
    <row r="1772" spans="1:86" x14ac:dyDescent="0.2">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c r="AU1772"/>
      <c r="AV1772"/>
      <c r="AW1772"/>
      <c r="AX1772"/>
      <c r="AY1772"/>
      <c r="AZ1772"/>
      <c r="BA1772"/>
      <c r="BB1772"/>
      <c r="BC1772"/>
      <c r="BD1772"/>
      <c r="BE1772"/>
      <c r="BF1772"/>
      <c r="BG1772"/>
      <c r="BH1772"/>
      <c r="BI1772"/>
      <c r="BJ1772"/>
      <c r="BK1772"/>
      <c r="BL1772"/>
      <c r="BM1772"/>
      <c r="BN1772"/>
      <c r="BO1772"/>
      <c r="BP1772"/>
      <c r="BQ1772"/>
      <c r="BR1772"/>
      <c r="BS1772"/>
      <c r="BT1772"/>
      <c r="BU1772"/>
      <c r="BV1772"/>
      <c r="BW1772"/>
      <c r="BX1772"/>
      <c r="BY1772"/>
      <c r="BZ1772"/>
      <c r="CA1772"/>
      <c r="CB1772"/>
      <c r="CC1772"/>
      <c r="CD1772"/>
      <c r="CE1772"/>
      <c r="CF1772"/>
      <c r="CG1772"/>
      <c r="CH1772"/>
    </row>
    <row r="1773" spans="1:86" x14ac:dyDescent="0.2">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c r="AR1773"/>
      <c r="AS1773"/>
      <c r="AT1773"/>
      <c r="AU1773"/>
      <c r="AV1773"/>
      <c r="AW1773"/>
      <c r="AX1773"/>
      <c r="AY1773"/>
      <c r="AZ1773"/>
      <c r="BA1773"/>
      <c r="BB1773"/>
      <c r="BC1773"/>
      <c r="BD1773"/>
      <c r="BE1773"/>
      <c r="BF1773"/>
      <c r="BG1773"/>
      <c r="BH1773"/>
      <c r="BI1773"/>
      <c r="BJ1773"/>
      <c r="BK1773"/>
      <c r="BL1773"/>
      <c r="BM1773"/>
      <c r="BN1773"/>
      <c r="BO1773"/>
      <c r="BP1773"/>
      <c r="BQ1773"/>
      <c r="BR1773"/>
      <c r="BS1773"/>
      <c r="BT1773"/>
      <c r="BU1773"/>
      <c r="BV1773"/>
      <c r="BW1773"/>
      <c r="BX1773"/>
      <c r="BY1773"/>
      <c r="BZ1773"/>
      <c r="CA1773"/>
      <c r="CB1773"/>
      <c r="CC1773"/>
      <c r="CD1773"/>
      <c r="CE1773"/>
      <c r="CF1773"/>
      <c r="CG1773"/>
      <c r="CH1773"/>
    </row>
    <row r="1774" spans="1:86" x14ac:dyDescent="0.2">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c r="AU1774"/>
      <c r="AV1774"/>
      <c r="AW1774"/>
      <c r="AX1774"/>
      <c r="AY1774"/>
      <c r="AZ1774"/>
      <c r="BA1774"/>
      <c r="BB1774"/>
      <c r="BC1774"/>
      <c r="BD1774"/>
      <c r="BE1774"/>
      <c r="BF1774"/>
      <c r="BG1774"/>
      <c r="BH1774"/>
      <c r="BI1774"/>
      <c r="BJ1774"/>
      <c r="BK1774"/>
      <c r="BL1774"/>
      <c r="BM1774"/>
      <c r="BN1774"/>
      <c r="BO1774"/>
      <c r="BP1774"/>
      <c r="BQ1774"/>
      <c r="BR1774"/>
      <c r="BS1774"/>
      <c r="BT1774"/>
      <c r="BU1774"/>
      <c r="BV1774"/>
      <c r="BW1774"/>
      <c r="BX1774"/>
      <c r="BY1774"/>
      <c r="BZ1774"/>
      <c r="CA1774"/>
      <c r="CB1774"/>
      <c r="CC1774"/>
      <c r="CD1774"/>
      <c r="CE1774"/>
      <c r="CF1774"/>
      <c r="CG1774"/>
      <c r="CH1774"/>
    </row>
    <row r="1775" spans="1:86" x14ac:dyDescent="0.2">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c r="AR1775"/>
      <c r="AS1775"/>
      <c r="AT1775"/>
      <c r="AU1775"/>
      <c r="AV1775"/>
      <c r="AW1775"/>
      <c r="AX1775"/>
      <c r="AY1775"/>
      <c r="AZ1775"/>
      <c r="BA1775"/>
      <c r="BB1775"/>
      <c r="BC1775"/>
      <c r="BD1775"/>
      <c r="BE1775"/>
      <c r="BF1775"/>
      <c r="BG1775"/>
      <c r="BH1775"/>
      <c r="BI1775"/>
      <c r="BJ1775"/>
      <c r="BK1775"/>
      <c r="BL1775"/>
      <c r="BM1775"/>
      <c r="BN1775"/>
      <c r="BO1775"/>
      <c r="BP1775"/>
      <c r="BQ1775"/>
      <c r="BR1775"/>
      <c r="BS1775"/>
      <c r="BT1775"/>
      <c r="BU1775"/>
      <c r="BV1775"/>
      <c r="BW1775"/>
      <c r="BX1775"/>
      <c r="BY1775"/>
      <c r="BZ1775"/>
      <c r="CA1775"/>
      <c r="CB1775"/>
      <c r="CC1775"/>
      <c r="CD1775"/>
      <c r="CE1775"/>
      <c r="CF1775"/>
      <c r="CG1775"/>
      <c r="CH1775"/>
    </row>
    <row r="1776" spans="1:86" x14ac:dyDescent="0.2">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c r="AR1776"/>
      <c r="AS1776"/>
      <c r="AT1776"/>
      <c r="AU1776"/>
      <c r="AV1776"/>
      <c r="AW1776"/>
      <c r="AX1776"/>
      <c r="AY1776"/>
      <c r="AZ1776"/>
      <c r="BA1776"/>
      <c r="BB1776"/>
      <c r="BC1776"/>
      <c r="BD1776"/>
      <c r="BE1776"/>
      <c r="BF1776"/>
      <c r="BG1776"/>
      <c r="BH1776"/>
      <c r="BI1776"/>
      <c r="BJ1776"/>
      <c r="BK1776"/>
      <c r="BL1776"/>
      <c r="BM1776"/>
      <c r="BN1776"/>
      <c r="BO1776"/>
      <c r="BP1776"/>
      <c r="BQ1776"/>
      <c r="BR1776"/>
      <c r="BS1776"/>
      <c r="BT1776"/>
      <c r="BU1776"/>
      <c r="BV1776"/>
      <c r="BW1776"/>
      <c r="BX1776"/>
      <c r="BY1776"/>
      <c r="BZ1776"/>
      <c r="CA1776"/>
      <c r="CB1776"/>
      <c r="CC1776"/>
      <c r="CD1776"/>
      <c r="CE1776"/>
      <c r="CF1776"/>
      <c r="CG1776"/>
      <c r="CH1776"/>
    </row>
    <row r="1777" spans="1:86" x14ac:dyDescent="0.2">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c r="AR1777"/>
      <c r="AS1777"/>
      <c r="AT1777"/>
      <c r="AU1777"/>
      <c r="AV1777"/>
      <c r="AW1777"/>
      <c r="AX1777"/>
      <c r="AY1777"/>
      <c r="AZ1777"/>
      <c r="BA1777"/>
      <c r="BB1777"/>
      <c r="BC1777"/>
      <c r="BD1777"/>
      <c r="BE1777"/>
      <c r="BF1777"/>
      <c r="BG1777"/>
      <c r="BH1777"/>
      <c r="BI1777"/>
      <c r="BJ1777"/>
      <c r="BK1777"/>
      <c r="BL1777"/>
      <c r="BM1777"/>
      <c r="BN1777"/>
      <c r="BO1777"/>
      <c r="BP1777"/>
      <c r="BQ1777"/>
      <c r="BR1777"/>
      <c r="BS1777"/>
      <c r="BT1777"/>
      <c r="BU1777"/>
      <c r="BV1777"/>
      <c r="BW1777"/>
      <c r="BX1777"/>
      <c r="BY1777"/>
      <c r="BZ1777"/>
      <c r="CA1777"/>
      <c r="CB1777"/>
      <c r="CC1777"/>
      <c r="CD1777"/>
      <c r="CE1777"/>
      <c r="CF1777"/>
      <c r="CG1777"/>
      <c r="CH1777"/>
    </row>
    <row r="1778" spans="1:86" x14ac:dyDescent="0.2">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c r="AU1778"/>
      <c r="AV1778"/>
      <c r="AW1778"/>
      <c r="AX1778"/>
      <c r="AY1778"/>
      <c r="AZ1778"/>
      <c r="BA1778"/>
      <c r="BB1778"/>
      <c r="BC1778"/>
      <c r="BD1778"/>
      <c r="BE1778"/>
      <c r="BF1778"/>
      <c r="BG1778"/>
      <c r="BH1778"/>
      <c r="BI1778"/>
      <c r="BJ1778"/>
      <c r="BK1778"/>
      <c r="BL1778"/>
      <c r="BM1778"/>
      <c r="BN1778"/>
      <c r="BO1778"/>
      <c r="BP1778"/>
      <c r="BQ1778"/>
      <c r="BR1778"/>
      <c r="BS1778"/>
      <c r="BT1778"/>
      <c r="BU1778"/>
      <c r="BV1778"/>
      <c r="BW1778"/>
      <c r="BX1778"/>
      <c r="BY1778"/>
      <c r="BZ1778"/>
      <c r="CA1778"/>
      <c r="CB1778"/>
      <c r="CC1778"/>
      <c r="CD1778"/>
      <c r="CE1778"/>
      <c r="CF1778"/>
      <c r="CG1778"/>
      <c r="CH1778"/>
    </row>
    <row r="1779" spans="1:86" x14ac:dyDescent="0.2">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c r="AR1779"/>
      <c r="AS1779"/>
      <c r="AT1779"/>
      <c r="AU1779"/>
      <c r="AV1779"/>
      <c r="AW1779"/>
      <c r="AX1779"/>
      <c r="AY1779"/>
      <c r="AZ1779"/>
      <c r="BA1779"/>
      <c r="BB1779"/>
      <c r="BC1779"/>
      <c r="BD1779"/>
      <c r="BE1779"/>
      <c r="BF1779"/>
      <c r="BG1779"/>
      <c r="BH1779"/>
      <c r="BI1779"/>
      <c r="BJ1779"/>
      <c r="BK1779"/>
      <c r="BL1779"/>
      <c r="BM1779"/>
      <c r="BN1779"/>
      <c r="BO1779"/>
      <c r="BP1779"/>
      <c r="BQ1779"/>
      <c r="BR1779"/>
      <c r="BS1779"/>
      <c r="BT1779"/>
      <c r="BU1779"/>
      <c r="BV1779"/>
      <c r="BW1779"/>
      <c r="BX1779"/>
      <c r="BY1779"/>
      <c r="BZ1779"/>
      <c r="CA1779"/>
      <c r="CB1779"/>
      <c r="CC1779"/>
      <c r="CD1779"/>
      <c r="CE1779"/>
      <c r="CF1779"/>
      <c r="CG1779"/>
      <c r="CH1779"/>
    </row>
    <row r="1780" spans="1:86" x14ac:dyDescent="0.2">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c r="AR1780"/>
      <c r="AS1780"/>
      <c r="AT1780"/>
      <c r="AU1780"/>
      <c r="AV1780"/>
      <c r="AW1780"/>
      <c r="AX1780"/>
      <c r="AY1780"/>
      <c r="AZ1780"/>
      <c r="BA1780"/>
      <c r="BB1780"/>
      <c r="BC1780"/>
      <c r="BD1780"/>
      <c r="BE1780"/>
      <c r="BF1780"/>
      <c r="BG1780"/>
      <c r="BH1780"/>
      <c r="BI1780"/>
      <c r="BJ1780"/>
      <c r="BK1780"/>
      <c r="BL1780"/>
      <c r="BM1780"/>
      <c r="BN1780"/>
      <c r="BO1780"/>
      <c r="BP1780"/>
      <c r="BQ1780"/>
      <c r="BR1780"/>
      <c r="BS1780"/>
      <c r="BT1780"/>
      <c r="BU1780"/>
      <c r="BV1780"/>
      <c r="BW1780"/>
      <c r="BX1780"/>
      <c r="BY1780"/>
      <c r="BZ1780"/>
      <c r="CA1780"/>
      <c r="CB1780"/>
      <c r="CC1780"/>
      <c r="CD1780"/>
      <c r="CE1780"/>
      <c r="CF1780"/>
      <c r="CG1780"/>
      <c r="CH1780"/>
    </row>
    <row r="1781" spans="1:86" x14ac:dyDescent="0.2">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c r="AR1781"/>
      <c r="AS1781"/>
      <c r="AT1781"/>
      <c r="AU1781"/>
      <c r="AV1781"/>
      <c r="AW1781"/>
      <c r="AX1781"/>
      <c r="AY1781"/>
      <c r="AZ1781"/>
      <c r="BA1781"/>
      <c r="BB1781"/>
      <c r="BC1781"/>
      <c r="BD1781"/>
      <c r="BE1781"/>
      <c r="BF1781"/>
      <c r="BG1781"/>
      <c r="BH1781"/>
      <c r="BI1781"/>
      <c r="BJ1781"/>
      <c r="BK1781"/>
      <c r="BL1781"/>
      <c r="BM1781"/>
      <c r="BN1781"/>
      <c r="BO1781"/>
      <c r="BP1781"/>
      <c r="BQ1781"/>
      <c r="BR1781"/>
      <c r="BS1781"/>
      <c r="BT1781"/>
      <c r="BU1781"/>
      <c r="BV1781"/>
      <c r="BW1781"/>
      <c r="BX1781"/>
      <c r="BY1781"/>
      <c r="BZ1781"/>
      <c r="CA1781"/>
      <c r="CB1781"/>
      <c r="CC1781"/>
      <c r="CD1781"/>
      <c r="CE1781"/>
      <c r="CF1781"/>
      <c r="CG1781"/>
      <c r="CH1781"/>
    </row>
    <row r="1782" spans="1:86" x14ac:dyDescent="0.2">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c r="AR1782"/>
      <c r="AS1782"/>
      <c r="AT1782"/>
      <c r="AU1782"/>
      <c r="AV1782"/>
      <c r="AW1782"/>
      <c r="AX1782"/>
      <c r="AY1782"/>
      <c r="AZ1782"/>
      <c r="BA1782"/>
      <c r="BB1782"/>
      <c r="BC1782"/>
      <c r="BD1782"/>
      <c r="BE1782"/>
      <c r="BF1782"/>
      <c r="BG1782"/>
      <c r="BH1782"/>
      <c r="BI1782"/>
      <c r="BJ1782"/>
      <c r="BK1782"/>
      <c r="BL1782"/>
      <c r="BM1782"/>
      <c r="BN1782"/>
      <c r="BO1782"/>
      <c r="BP1782"/>
      <c r="BQ1782"/>
      <c r="BR1782"/>
      <c r="BS1782"/>
      <c r="BT1782"/>
      <c r="BU1782"/>
      <c r="BV1782"/>
      <c r="BW1782"/>
      <c r="BX1782"/>
      <c r="BY1782"/>
      <c r="BZ1782"/>
      <c r="CA1782"/>
      <c r="CB1782"/>
      <c r="CC1782"/>
      <c r="CD1782"/>
      <c r="CE1782"/>
      <c r="CF1782"/>
      <c r="CG1782"/>
      <c r="CH1782"/>
    </row>
    <row r="1783" spans="1:86" x14ac:dyDescent="0.2">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c r="AR1783"/>
      <c r="AS1783"/>
      <c r="AT1783"/>
      <c r="AU1783"/>
      <c r="AV1783"/>
      <c r="AW1783"/>
      <c r="AX1783"/>
      <c r="AY1783"/>
      <c r="AZ1783"/>
      <c r="BA1783"/>
      <c r="BB1783"/>
      <c r="BC1783"/>
      <c r="BD1783"/>
      <c r="BE1783"/>
      <c r="BF1783"/>
      <c r="BG1783"/>
      <c r="BH1783"/>
      <c r="BI1783"/>
      <c r="BJ1783"/>
      <c r="BK1783"/>
      <c r="BL1783"/>
      <c r="BM1783"/>
      <c r="BN1783"/>
      <c r="BO1783"/>
      <c r="BP1783"/>
      <c r="BQ1783"/>
      <c r="BR1783"/>
      <c r="BS1783"/>
      <c r="BT1783"/>
      <c r="BU1783"/>
      <c r="BV1783"/>
      <c r="BW1783"/>
      <c r="BX1783"/>
      <c r="BY1783"/>
      <c r="BZ1783"/>
      <c r="CA1783"/>
      <c r="CB1783"/>
      <c r="CC1783"/>
      <c r="CD1783"/>
      <c r="CE1783"/>
      <c r="CF1783"/>
      <c r="CG1783"/>
      <c r="CH1783"/>
    </row>
    <row r="1784" spans="1:86" x14ac:dyDescent="0.2">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c r="AR1784"/>
      <c r="AS1784"/>
      <c r="AT1784"/>
      <c r="AU1784"/>
      <c r="AV1784"/>
      <c r="AW1784"/>
      <c r="AX1784"/>
      <c r="AY1784"/>
      <c r="AZ1784"/>
      <c r="BA1784"/>
      <c r="BB1784"/>
      <c r="BC1784"/>
      <c r="BD1784"/>
      <c r="BE1784"/>
      <c r="BF1784"/>
      <c r="BG1784"/>
      <c r="BH1784"/>
      <c r="BI1784"/>
      <c r="BJ1784"/>
      <c r="BK1784"/>
      <c r="BL1784"/>
      <c r="BM1784"/>
      <c r="BN1784"/>
      <c r="BO1784"/>
      <c r="BP1784"/>
      <c r="BQ1784"/>
      <c r="BR1784"/>
      <c r="BS1784"/>
      <c r="BT1784"/>
      <c r="BU1784"/>
      <c r="BV1784"/>
      <c r="BW1784"/>
      <c r="BX1784"/>
      <c r="BY1784"/>
      <c r="BZ1784"/>
      <c r="CA1784"/>
      <c r="CB1784"/>
      <c r="CC1784"/>
      <c r="CD1784"/>
      <c r="CE1784"/>
      <c r="CF1784"/>
      <c r="CG1784"/>
      <c r="CH1784"/>
    </row>
    <row r="1785" spans="1:86" x14ac:dyDescent="0.2">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c r="AR1785"/>
      <c r="AS1785"/>
      <c r="AT1785"/>
      <c r="AU1785"/>
      <c r="AV1785"/>
      <c r="AW1785"/>
      <c r="AX1785"/>
      <c r="AY1785"/>
      <c r="AZ1785"/>
      <c r="BA1785"/>
      <c r="BB1785"/>
      <c r="BC1785"/>
      <c r="BD1785"/>
      <c r="BE1785"/>
      <c r="BF1785"/>
      <c r="BG1785"/>
      <c r="BH1785"/>
      <c r="BI1785"/>
      <c r="BJ1785"/>
      <c r="BK1785"/>
      <c r="BL1785"/>
      <c r="BM1785"/>
      <c r="BN1785"/>
      <c r="BO1785"/>
      <c r="BP1785"/>
      <c r="BQ1785"/>
      <c r="BR1785"/>
      <c r="BS1785"/>
      <c r="BT1785"/>
      <c r="BU1785"/>
      <c r="BV1785"/>
      <c r="BW1785"/>
      <c r="BX1785"/>
      <c r="BY1785"/>
      <c r="BZ1785"/>
      <c r="CA1785"/>
      <c r="CB1785"/>
      <c r="CC1785"/>
      <c r="CD1785"/>
      <c r="CE1785"/>
      <c r="CF1785"/>
      <c r="CG1785"/>
      <c r="CH1785"/>
    </row>
    <row r="1786" spans="1:86" x14ac:dyDescent="0.2">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c r="AR1786"/>
      <c r="AS1786"/>
      <c r="AT1786"/>
      <c r="AU1786"/>
      <c r="AV1786"/>
      <c r="AW1786"/>
      <c r="AX1786"/>
      <c r="AY1786"/>
      <c r="AZ1786"/>
      <c r="BA1786"/>
      <c r="BB1786"/>
      <c r="BC1786"/>
      <c r="BD1786"/>
      <c r="BE1786"/>
      <c r="BF1786"/>
      <c r="BG1786"/>
      <c r="BH1786"/>
      <c r="BI1786"/>
      <c r="BJ1786"/>
      <c r="BK1786"/>
      <c r="BL1786"/>
      <c r="BM1786"/>
      <c r="BN1786"/>
      <c r="BO1786"/>
      <c r="BP1786"/>
      <c r="BQ1786"/>
      <c r="BR1786"/>
      <c r="BS1786"/>
      <c r="BT1786"/>
      <c r="BU1786"/>
      <c r="BV1786"/>
      <c r="BW1786"/>
      <c r="BX1786"/>
      <c r="BY1786"/>
      <c r="BZ1786"/>
      <c r="CA1786"/>
      <c r="CB1786"/>
      <c r="CC1786"/>
      <c r="CD1786"/>
      <c r="CE1786"/>
      <c r="CF1786"/>
      <c r="CG1786"/>
      <c r="CH1786"/>
    </row>
    <row r="1787" spans="1:86" x14ac:dyDescent="0.2">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c r="AR1787"/>
      <c r="AS1787"/>
      <c r="AT1787"/>
      <c r="AU1787"/>
      <c r="AV1787"/>
      <c r="AW1787"/>
      <c r="AX1787"/>
      <c r="AY1787"/>
      <c r="AZ1787"/>
      <c r="BA1787"/>
      <c r="BB1787"/>
      <c r="BC1787"/>
      <c r="BD1787"/>
      <c r="BE1787"/>
      <c r="BF1787"/>
      <c r="BG1787"/>
      <c r="BH1787"/>
      <c r="BI1787"/>
      <c r="BJ1787"/>
      <c r="BK1787"/>
      <c r="BL1787"/>
      <c r="BM1787"/>
      <c r="BN1787"/>
      <c r="BO1787"/>
      <c r="BP1787"/>
      <c r="BQ1787"/>
      <c r="BR1787"/>
      <c r="BS1787"/>
      <c r="BT1787"/>
      <c r="BU1787"/>
      <c r="BV1787"/>
      <c r="BW1787"/>
      <c r="BX1787"/>
      <c r="BY1787"/>
      <c r="BZ1787"/>
      <c r="CA1787"/>
      <c r="CB1787"/>
      <c r="CC1787"/>
      <c r="CD1787"/>
      <c r="CE1787"/>
      <c r="CF1787"/>
      <c r="CG1787"/>
      <c r="CH1787"/>
    </row>
    <row r="1788" spans="1:86" x14ac:dyDescent="0.2">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c r="AR1788"/>
      <c r="AS1788"/>
      <c r="AT1788"/>
      <c r="AU1788"/>
      <c r="AV1788"/>
      <c r="AW1788"/>
      <c r="AX1788"/>
      <c r="AY1788"/>
      <c r="AZ1788"/>
      <c r="BA1788"/>
      <c r="BB1788"/>
      <c r="BC1788"/>
      <c r="BD1788"/>
      <c r="BE1788"/>
      <c r="BF1788"/>
      <c r="BG1788"/>
      <c r="BH1788"/>
      <c r="BI1788"/>
      <c r="BJ1788"/>
      <c r="BK1788"/>
      <c r="BL1788"/>
      <c r="BM1788"/>
      <c r="BN1788"/>
      <c r="BO1788"/>
      <c r="BP1788"/>
      <c r="BQ1788"/>
      <c r="BR1788"/>
      <c r="BS1788"/>
      <c r="BT1788"/>
      <c r="BU1788"/>
      <c r="BV1788"/>
      <c r="BW1788"/>
      <c r="BX1788"/>
      <c r="BY1788"/>
      <c r="BZ1788"/>
      <c r="CA1788"/>
      <c r="CB1788"/>
      <c r="CC1788"/>
      <c r="CD1788"/>
      <c r="CE1788"/>
      <c r="CF1788"/>
      <c r="CG1788"/>
      <c r="CH1788"/>
    </row>
    <row r="1789" spans="1:86" x14ac:dyDescent="0.2">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c r="AR1789"/>
      <c r="AS1789"/>
      <c r="AT1789"/>
      <c r="AU1789"/>
      <c r="AV1789"/>
      <c r="AW1789"/>
      <c r="AX1789"/>
      <c r="AY1789"/>
      <c r="AZ1789"/>
      <c r="BA1789"/>
      <c r="BB1789"/>
      <c r="BC1789"/>
      <c r="BD1789"/>
      <c r="BE1789"/>
      <c r="BF1789"/>
      <c r="BG1789"/>
      <c r="BH1789"/>
      <c r="BI1789"/>
      <c r="BJ1789"/>
      <c r="BK1789"/>
      <c r="BL1789"/>
      <c r="BM1789"/>
      <c r="BN1789"/>
      <c r="BO1789"/>
      <c r="BP1789"/>
      <c r="BQ1789"/>
      <c r="BR1789"/>
      <c r="BS1789"/>
      <c r="BT1789"/>
      <c r="BU1789"/>
      <c r="BV1789"/>
      <c r="BW1789"/>
      <c r="BX1789"/>
      <c r="BY1789"/>
      <c r="BZ1789"/>
      <c r="CA1789"/>
      <c r="CB1789"/>
      <c r="CC1789"/>
      <c r="CD1789"/>
      <c r="CE1789"/>
      <c r="CF1789"/>
      <c r="CG1789"/>
      <c r="CH1789"/>
    </row>
    <row r="1790" spans="1:86" x14ac:dyDescent="0.2">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c r="AU1790"/>
      <c r="AV1790"/>
      <c r="AW1790"/>
      <c r="AX1790"/>
      <c r="AY1790"/>
      <c r="AZ1790"/>
      <c r="BA1790"/>
      <c r="BB1790"/>
      <c r="BC1790"/>
      <c r="BD1790"/>
      <c r="BE1790"/>
      <c r="BF1790"/>
      <c r="BG1790"/>
      <c r="BH1790"/>
      <c r="BI1790"/>
      <c r="BJ1790"/>
      <c r="BK1790"/>
      <c r="BL1790"/>
      <c r="BM1790"/>
      <c r="BN1790"/>
      <c r="BO1790"/>
      <c r="BP1790"/>
      <c r="BQ1790"/>
      <c r="BR1790"/>
      <c r="BS1790"/>
      <c r="BT1790"/>
      <c r="BU1790"/>
      <c r="BV1790"/>
      <c r="BW1790"/>
      <c r="BX1790"/>
      <c r="BY1790"/>
      <c r="BZ1790"/>
      <c r="CA1790"/>
      <c r="CB1790"/>
      <c r="CC1790"/>
      <c r="CD1790"/>
      <c r="CE1790"/>
      <c r="CF1790"/>
      <c r="CG1790"/>
      <c r="CH1790"/>
    </row>
    <row r="1791" spans="1:86" x14ac:dyDescent="0.2">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c r="AR1791"/>
      <c r="AS1791"/>
      <c r="AT1791"/>
      <c r="AU1791"/>
      <c r="AV1791"/>
      <c r="AW1791"/>
      <c r="AX1791"/>
      <c r="AY1791"/>
      <c r="AZ1791"/>
      <c r="BA1791"/>
      <c r="BB1791"/>
      <c r="BC1791"/>
      <c r="BD1791"/>
      <c r="BE1791"/>
      <c r="BF1791"/>
      <c r="BG1791"/>
      <c r="BH1791"/>
      <c r="BI1791"/>
      <c r="BJ1791"/>
      <c r="BK1791"/>
      <c r="BL1791"/>
      <c r="BM1791"/>
      <c r="BN1791"/>
      <c r="BO1791"/>
      <c r="BP1791"/>
      <c r="BQ1791"/>
      <c r="BR1791"/>
      <c r="BS1791"/>
      <c r="BT1791"/>
      <c r="BU1791"/>
      <c r="BV1791"/>
      <c r="BW1791"/>
      <c r="BX1791"/>
      <c r="BY1791"/>
      <c r="BZ1791"/>
      <c r="CA1791"/>
      <c r="CB1791"/>
      <c r="CC1791"/>
      <c r="CD1791"/>
      <c r="CE1791"/>
      <c r="CF1791"/>
      <c r="CG1791"/>
      <c r="CH1791"/>
    </row>
    <row r="1792" spans="1:86" x14ac:dyDescent="0.2">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c r="AR1792"/>
      <c r="AS1792"/>
      <c r="AT1792"/>
      <c r="AU1792"/>
      <c r="AV1792"/>
      <c r="AW1792"/>
      <c r="AX1792"/>
      <c r="AY1792"/>
      <c r="AZ1792"/>
      <c r="BA1792"/>
      <c r="BB1792"/>
      <c r="BC1792"/>
      <c r="BD1792"/>
      <c r="BE1792"/>
      <c r="BF1792"/>
      <c r="BG1792"/>
      <c r="BH1792"/>
      <c r="BI1792"/>
      <c r="BJ1792"/>
      <c r="BK1792"/>
      <c r="BL1792"/>
      <c r="BM1792"/>
      <c r="BN1792"/>
      <c r="BO1792"/>
      <c r="BP1792"/>
      <c r="BQ1792"/>
      <c r="BR1792"/>
      <c r="BS1792"/>
      <c r="BT1792"/>
      <c r="BU1792"/>
      <c r="BV1792"/>
      <c r="BW1792"/>
      <c r="BX1792"/>
      <c r="BY1792"/>
      <c r="BZ1792"/>
      <c r="CA1792"/>
      <c r="CB1792"/>
      <c r="CC1792"/>
      <c r="CD1792"/>
      <c r="CE1792"/>
      <c r="CF1792"/>
      <c r="CG1792"/>
      <c r="CH1792"/>
    </row>
    <row r="1793" spans="1:86" x14ac:dyDescent="0.2">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c r="AR1793"/>
      <c r="AS1793"/>
      <c r="AT1793"/>
      <c r="AU1793"/>
      <c r="AV1793"/>
      <c r="AW1793"/>
      <c r="AX1793"/>
      <c r="AY1793"/>
      <c r="AZ1793"/>
      <c r="BA1793"/>
      <c r="BB1793"/>
      <c r="BC1793"/>
      <c r="BD1793"/>
      <c r="BE1793"/>
      <c r="BF1793"/>
      <c r="BG1793"/>
      <c r="BH1793"/>
      <c r="BI1793"/>
      <c r="BJ1793"/>
      <c r="BK1793"/>
      <c r="BL1793"/>
      <c r="BM1793"/>
      <c r="BN1793"/>
      <c r="BO1793"/>
      <c r="BP1793"/>
      <c r="BQ1793"/>
      <c r="BR1793"/>
      <c r="BS1793"/>
      <c r="BT1793"/>
      <c r="BU1793"/>
      <c r="BV1793"/>
      <c r="BW1793"/>
      <c r="BX1793"/>
      <c r="BY1793"/>
      <c r="BZ1793"/>
      <c r="CA1793"/>
      <c r="CB1793"/>
      <c r="CC1793"/>
      <c r="CD1793"/>
      <c r="CE1793"/>
      <c r="CF1793"/>
      <c r="CG1793"/>
      <c r="CH1793"/>
    </row>
    <row r="1794" spans="1:86" x14ac:dyDescent="0.2">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c r="AR1794"/>
      <c r="AS1794"/>
      <c r="AT1794"/>
      <c r="AU1794"/>
      <c r="AV1794"/>
      <c r="AW1794"/>
      <c r="AX1794"/>
      <c r="AY1794"/>
      <c r="AZ1794"/>
      <c r="BA1794"/>
      <c r="BB1794"/>
      <c r="BC1794"/>
      <c r="BD1794"/>
      <c r="BE1794"/>
      <c r="BF1794"/>
      <c r="BG1794"/>
      <c r="BH1794"/>
      <c r="BI1794"/>
      <c r="BJ1794"/>
      <c r="BK1794"/>
      <c r="BL1794"/>
      <c r="BM1794"/>
      <c r="BN1794"/>
      <c r="BO1794"/>
      <c r="BP1794"/>
      <c r="BQ1794"/>
      <c r="BR1794"/>
      <c r="BS1794"/>
      <c r="BT1794"/>
      <c r="BU1794"/>
      <c r="BV1794"/>
      <c r="BW1794"/>
      <c r="BX1794"/>
      <c r="BY1794"/>
      <c r="BZ1794"/>
      <c r="CA1794"/>
      <c r="CB1794"/>
      <c r="CC1794"/>
      <c r="CD1794"/>
      <c r="CE1794"/>
      <c r="CF1794"/>
      <c r="CG1794"/>
      <c r="CH1794"/>
    </row>
    <row r="1795" spans="1:86" x14ac:dyDescent="0.2">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c r="AR1795"/>
      <c r="AS1795"/>
      <c r="AT1795"/>
      <c r="AU1795"/>
      <c r="AV1795"/>
      <c r="AW1795"/>
      <c r="AX1795"/>
      <c r="AY1795"/>
      <c r="AZ1795"/>
      <c r="BA1795"/>
      <c r="BB1795"/>
      <c r="BC1795"/>
      <c r="BD1795"/>
      <c r="BE1795"/>
      <c r="BF1795"/>
      <c r="BG1795"/>
      <c r="BH1795"/>
      <c r="BI1795"/>
      <c r="BJ1795"/>
      <c r="BK1795"/>
      <c r="BL1795"/>
      <c r="BM1795"/>
      <c r="BN1795"/>
      <c r="BO1795"/>
      <c r="BP1795"/>
      <c r="BQ1795"/>
      <c r="BR1795"/>
      <c r="BS1795"/>
      <c r="BT1795"/>
      <c r="BU1795"/>
      <c r="BV1795"/>
      <c r="BW1795"/>
      <c r="BX1795"/>
      <c r="BY1795"/>
      <c r="BZ1795"/>
      <c r="CA1795"/>
      <c r="CB1795"/>
      <c r="CC1795"/>
      <c r="CD1795"/>
      <c r="CE1795"/>
      <c r="CF1795"/>
      <c r="CG1795"/>
      <c r="CH1795"/>
    </row>
    <row r="1796" spans="1:86" x14ac:dyDescent="0.2">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c r="AU1796"/>
      <c r="AV1796"/>
      <c r="AW1796"/>
      <c r="AX1796"/>
      <c r="AY1796"/>
      <c r="AZ1796"/>
      <c r="BA1796"/>
      <c r="BB1796"/>
      <c r="BC1796"/>
      <c r="BD1796"/>
      <c r="BE1796"/>
      <c r="BF1796"/>
      <c r="BG1796"/>
      <c r="BH1796"/>
      <c r="BI1796"/>
      <c r="BJ1796"/>
      <c r="BK1796"/>
      <c r="BL1796"/>
      <c r="BM1796"/>
      <c r="BN1796"/>
      <c r="BO1796"/>
      <c r="BP1796"/>
      <c r="BQ1796"/>
      <c r="BR1796"/>
      <c r="BS1796"/>
      <c r="BT1796"/>
      <c r="BU1796"/>
      <c r="BV1796"/>
      <c r="BW1796"/>
      <c r="BX1796"/>
      <c r="BY1796"/>
      <c r="BZ1796"/>
      <c r="CA1796"/>
      <c r="CB1796"/>
      <c r="CC1796"/>
      <c r="CD1796"/>
      <c r="CE1796"/>
      <c r="CF1796"/>
      <c r="CG1796"/>
      <c r="CH1796"/>
    </row>
    <row r="1797" spans="1:86" x14ac:dyDescent="0.2">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c r="AR1797"/>
      <c r="AS1797"/>
      <c r="AT1797"/>
      <c r="AU1797"/>
      <c r="AV1797"/>
      <c r="AW1797"/>
      <c r="AX1797"/>
      <c r="AY1797"/>
      <c r="AZ1797"/>
      <c r="BA1797"/>
      <c r="BB1797"/>
      <c r="BC1797"/>
      <c r="BD1797"/>
      <c r="BE1797"/>
      <c r="BF1797"/>
      <c r="BG1797"/>
      <c r="BH1797"/>
      <c r="BI1797"/>
      <c r="BJ1797"/>
      <c r="BK1797"/>
      <c r="BL1797"/>
      <c r="BM1797"/>
      <c r="BN1797"/>
      <c r="BO1797"/>
      <c r="BP1797"/>
      <c r="BQ1797"/>
      <c r="BR1797"/>
      <c r="BS1797"/>
      <c r="BT1797"/>
      <c r="BU1797"/>
      <c r="BV1797"/>
      <c r="BW1797"/>
      <c r="BX1797"/>
      <c r="BY1797"/>
      <c r="BZ1797"/>
      <c r="CA1797"/>
      <c r="CB1797"/>
      <c r="CC1797"/>
      <c r="CD1797"/>
      <c r="CE1797"/>
      <c r="CF1797"/>
      <c r="CG1797"/>
      <c r="CH1797"/>
    </row>
    <row r="1798" spans="1:86" x14ac:dyDescent="0.2">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c r="AR1798"/>
      <c r="AS1798"/>
      <c r="AT1798"/>
      <c r="AU1798"/>
      <c r="AV1798"/>
      <c r="AW1798"/>
      <c r="AX1798"/>
      <c r="AY1798"/>
      <c r="AZ1798"/>
      <c r="BA1798"/>
      <c r="BB1798"/>
      <c r="BC1798"/>
      <c r="BD1798"/>
      <c r="BE1798"/>
      <c r="BF1798"/>
      <c r="BG1798"/>
      <c r="BH1798"/>
      <c r="BI1798"/>
      <c r="BJ1798"/>
      <c r="BK1798"/>
      <c r="BL1798"/>
      <c r="BM1798"/>
      <c r="BN1798"/>
      <c r="BO1798"/>
      <c r="BP1798"/>
      <c r="BQ1798"/>
      <c r="BR1798"/>
      <c r="BS1798"/>
      <c r="BT1798"/>
      <c r="BU1798"/>
      <c r="BV1798"/>
      <c r="BW1798"/>
      <c r="BX1798"/>
      <c r="BY1798"/>
      <c r="BZ1798"/>
      <c r="CA1798"/>
      <c r="CB1798"/>
      <c r="CC1798"/>
      <c r="CD1798"/>
      <c r="CE1798"/>
      <c r="CF1798"/>
      <c r="CG1798"/>
      <c r="CH1798"/>
    </row>
    <row r="1799" spans="1:86" x14ac:dyDescent="0.2">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c r="AR1799"/>
      <c r="AS1799"/>
      <c r="AT1799"/>
      <c r="AU1799"/>
      <c r="AV1799"/>
      <c r="AW1799"/>
      <c r="AX1799"/>
      <c r="AY1799"/>
      <c r="AZ1799"/>
      <c r="BA1799"/>
      <c r="BB1799"/>
      <c r="BC1799"/>
      <c r="BD1799"/>
      <c r="BE1799"/>
      <c r="BF1799"/>
      <c r="BG1799"/>
      <c r="BH1799"/>
      <c r="BI1799"/>
      <c r="BJ1799"/>
      <c r="BK1799"/>
      <c r="BL1799"/>
      <c r="BM1799"/>
      <c r="BN1799"/>
      <c r="BO1799"/>
      <c r="BP1799"/>
      <c r="BQ1799"/>
      <c r="BR1799"/>
      <c r="BS1799"/>
      <c r="BT1799"/>
      <c r="BU1799"/>
      <c r="BV1799"/>
      <c r="BW1799"/>
      <c r="BX1799"/>
      <c r="BY1799"/>
      <c r="BZ1799"/>
      <c r="CA1799"/>
      <c r="CB1799"/>
      <c r="CC1799"/>
      <c r="CD1799"/>
      <c r="CE1799"/>
      <c r="CF1799"/>
      <c r="CG1799"/>
      <c r="CH1799"/>
    </row>
    <row r="1800" spans="1:86" x14ac:dyDescent="0.2">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c r="AR1800"/>
      <c r="AS1800"/>
      <c r="AT1800"/>
      <c r="AU1800"/>
      <c r="AV1800"/>
      <c r="AW1800"/>
      <c r="AX1800"/>
      <c r="AY1800"/>
      <c r="AZ1800"/>
      <c r="BA1800"/>
      <c r="BB1800"/>
      <c r="BC1800"/>
      <c r="BD1800"/>
      <c r="BE1800"/>
      <c r="BF1800"/>
      <c r="BG1800"/>
      <c r="BH1800"/>
      <c r="BI1800"/>
      <c r="BJ1800"/>
      <c r="BK1800"/>
      <c r="BL1800"/>
      <c r="BM1800"/>
      <c r="BN1800"/>
      <c r="BO1800"/>
      <c r="BP1800"/>
      <c r="BQ1800"/>
      <c r="BR1800"/>
      <c r="BS1800"/>
      <c r="BT1800"/>
      <c r="BU1800"/>
      <c r="BV1800"/>
      <c r="BW1800"/>
      <c r="BX1800"/>
      <c r="BY1800"/>
      <c r="BZ1800"/>
      <c r="CA1800"/>
      <c r="CB1800"/>
      <c r="CC1800"/>
      <c r="CD1800"/>
      <c r="CE1800"/>
      <c r="CF1800"/>
      <c r="CG1800"/>
      <c r="CH1800"/>
    </row>
    <row r="1801" spans="1:86" x14ac:dyDescent="0.2">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c r="AR1801"/>
      <c r="AS1801"/>
      <c r="AT1801"/>
      <c r="AU1801"/>
      <c r="AV1801"/>
      <c r="AW1801"/>
      <c r="AX1801"/>
      <c r="AY1801"/>
      <c r="AZ1801"/>
      <c r="BA1801"/>
      <c r="BB1801"/>
      <c r="BC1801"/>
      <c r="BD1801"/>
      <c r="BE1801"/>
      <c r="BF1801"/>
      <c r="BG1801"/>
      <c r="BH1801"/>
      <c r="BI1801"/>
      <c r="BJ1801"/>
      <c r="BK1801"/>
      <c r="BL1801"/>
      <c r="BM1801"/>
      <c r="BN1801"/>
      <c r="BO1801"/>
      <c r="BP1801"/>
      <c r="BQ1801"/>
      <c r="BR1801"/>
      <c r="BS1801"/>
      <c r="BT1801"/>
      <c r="BU1801"/>
      <c r="BV1801"/>
      <c r="BW1801"/>
      <c r="BX1801"/>
      <c r="BY1801"/>
      <c r="BZ1801"/>
      <c r="CA1801"/>
      <c r="CB1801"/>
      <c r="CC1801"/>
      <c r="CD1801"/>
      <c r="CE1801"/>
      <c r="CF1801"/>
      <c r="CG1801"/>
      <c r="CH1801"/>
    </row>
    <row r="1802" spans="1:86" x14ac:dyDescent="0.2">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c r="AR1802"/>
      <c r="AS1802"/>
      <c r="AT1802"/>
      <c r="AU1802"/>
      <c r="AV1802"/>
      <c r="AW1802"/>
      <c r="AX1802"/>
      <c r="AY1802"/>
      <c r="AZ1802"/>
      <c r="BA1802"/>
      <c r="BB1802"/>
      <c r="BC1802"/>
      <c r="BD1802"/>
      <c r="BE1802"/>
      <c r="BF1802"/>
      <c r="BG1802"/>
      <c r="BH1802"/>
      <c r="BI1802"/>
      <c r="BJ1802"/>
      <c r="BK1802"/>
      <c r="BL1802"/>
      <c r="BM1802"/>
      <c r="BN1802"/>
      <c r="BO1802"/>
      <c r="BP1802"/>
      <c r="BQ1802"/>
      <c r="BR1802"/>
      <c r="BS1802"/>
      <c r="BT1802"/>
      <c r="BU1802"/>
      <c r="BV1802"/>
      <c r="BW1802"/>
      <c r="BX1802"/>
      <c r="BY1802"/>
      <c r="BZ1802"/>
      <c r="CA1802"/>
      <c r="CB1802"/>
      <c r="CC1802"/>
      <c r="CD1802"/>
      <c r="CE1802"/>
      <c r="CF1802"/>
      <c r="CG1802"/>
      <c r="CH1802"/>
    </row>
    <row r="1803" spans="1:86" x14ac:dyDescent="0.2">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c r="AR1803"/>
      <c r="AS1803"/>
      <c r="AT1803"/>
      <c r="AU1803"/>
      <c r="AV1803"/>
      <c r="AW1803"/>
      <c r="AX1803"/>
      <c r="AY1803"/>
      <c r="AZ1803"/>
      <c r="BA1803"/>
      <c r="BB1803"/>
      <c r="BC1803"/>
      <c r="BD1803"/>
      <c r="BE1803"/>
      <c r="BF1803"/>
      <c r="BG1803"/>
      <c r="BH1803"/>
      <c r="BI1803"/>
      <c r="BJ1803"/>
      <c r="BK1803"/>
      <c r="BL1803"/>
      <c r="BM1803"/>
      <c r="BN1803"/>
      <c r="BO1803"/>
      <c r="BP1803"/>
      <c r="BQ1803"/>
      <c r="BR1803"/>
      <c r="BS1803"/>
      <c r="BT1803"/>
      <c r="BU1803"/>
      <c r="BV1803"/>
      <c r="BW1803"/>
      <c r="BX1803"/>
      <c r="BY1803"/>
      <c r="BZ1803"/>
      <c r="CA1803"/>
      <c r="CB1803"/>
      <c r="CC1803"/>
      <c r="CD1803"/>
      <c r="CE1803"/>
      <c r="CF1803"/>
      <c r="CG1803"/>
      <c r="CH1803"/>
    </row>
    <row r="1804" spans="1:86" x14ac:dyDescent="0.2">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c r="AU1804"/>
      <c r="AV1804"/>
      <c r="AW1804"/>
      <c r="AX1804"/>
      <c r="AY1804"/>
      <c r="AZ1804"/>
      <c r="BA1804"/>
      <c r="BB1804"/>
      <c r="BC1804"/>
      <c r="BD1804"/>
      <c r="BE1804"/>
      <c r="BF1804"/>
      <c r="BG1804"/>
      <c r="BH1804"/>
      <c r="BI1804"/>
      <c r="BJ1804"/>
      <c r="BK1804"/>
      <c r="BL1804"/>
      <c r="BM1804"/>
      <c r="BN1804"/>
      <c r="BO1804"/>
      <c r="BP1804"/>
      <c r="BQ1804"/>
      <c r="BR1804"/>
      <c r="BS1804"/>
      <c r="BT1804"/>
      <c r="BU1804"/>
      <c r="BV1804"/>
      <c r="BW1804"/>
      <c r="BX1804"/>
      <c r="BY1804"/>
      <c r="BZ1804"/>
      <c r="CA1804"/>
      <c r="CB1804"/>
      <c r="CC1804"/>
      <c r="CD1804"/>
      <c r="CE1804"/>
      <c r="CF1804"/>
      <c r="CG1804"/>
      <c r="CH1804"/>
    </row>
    <row r="1805" spans="1:86" x14ac:dyDescent="0.2">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c r="AQ1805"/>
      <c r="AR1805"/>
      <c r="AS1805"/>
      <c r="AT1805"/>
      <c r="AU1805"/>
      <c r="AV1805"/>
      <c r="AW1805"/>
      <c r="AX1805"/>
      <c r="AY1805"/>
      <c r="AZ1805"/>
      <c r="BA1805"/>
      <c r="BB1805"/>
      <c r="BC1805"/>
      <c r="BD1805"/>
      <c r="BE1805"/>
      <c r="BF1805"/>
      <c r="BG1805"/>
      <c r="BH1805"/>
      <c r="BI1805"/>
      <c r="BJ1805"/>
      <c r="BK1805"/>
      <c r="BL1805"/>
      <c r="BM1805"/>
      <c r="BN1805"/>
      <c r="BO1805"/>
      <c r="BP1805"/>
      <c r="BQ1805"/>
      <c r="BR1805"/>
      <c r="BS1805"/>
      <c r="BT1805"/>
      <c r="BU1805"/>
      <c r="BV1805"/>
      <c r="BW1805"/>
      <c r="BX1805"/>
      <c r="BY1805"/>
      <c r="BZ1805"/>
      <c r="CA1805"/>
      <c r="CB1805"/>
      <c r="CC1805"/>
      <c r="CD1805"/>
      <c r="CE1805"/>
      <c r="CF1805"/>
      <c r="CG1805"/>
      <c r="CH1805"/>
    </row>
    <row r="1806" spans="1:86" x14ac:dyDescent="0.2">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c r="AQ1806"/>
      <c r="AR1806"/>
      <c r="AS1806"/>
      <c r="AT1806"/>
      <c r="AU1806"/>
      <c r="AV1806"/>
      <c r="AW1806"/>
      <c r="AX1806"/>
      <c r="AY1806"/>
      <c r="AZ1806"/>
      <c r="BA1806"/>
      <c r="BB1806"/>
      <c r="BC1806"/>
      <c r="BD1806"/>
      <c r="BE1806"/>
      <c r="BF1806"/>
      <c r="BG1806"/>
      <c r="BH1806"/>
      <c r="BI1806"/>
      <c r="BJ1806"/>
      <c r="BK1806"/>
      <c r="BL1806"/>
      <c r="BM1806"/>
      <c r="BN1806"/>
      <c r="BO1806"/>
      <c r="BP1806"/>
      <c r="BQ1806"/>
      <c r="BR1806"/>
      <c r="BS1806"/>
      <c r="BT1806"/>
      <c r="BU1806"/>
      <c r="BV1806"/>
      <c r="BW1806"/>
      <c r="BX1806"/>
      <c r="BY1806"/>
      <c r="BZ1806"/>
      <c r="CA1806"/>
      <c r="CB1806"/>
      <c r="CC1806"/>
      <c r="CD1806"/>
      <c r="CE1806"/>
      <c r="CF1806"/>
      <c r="CG1806"/>
      <c r="CH1806"/>
    </row>
    <row r="1807" spans="1:86" x14ac:dyDescent="0.2">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c r="AQ1807"/>
      <c r="AR1807"/>
      <c r="AS1807"/>
      <c r="AT1807"/>
      <c r="AU1807"/>
      <c r="AV1807"/>
      <c r="AW1807"/>
      <c r="AX1807"/>
      <c r="AY1807"/>
      <c r="AZ1807"/>
      <c r="BA1807"/>
      <c r="BB1807"/>
      <c r="BC1807"/>
      <c r="BD1807"/>
      <c r="BE1807"/>
      <c r="BF1807"/>
      <c r="BG1807"/>
      <c r="BH1807"/>
      <c r="BI1807"/>
      <c r="BJ1807"/>
      <c r="BK1807"/>
      <c r="BL1807"/>
      <c r="BM1807"/>
      <c r="BN1807"/>
      <c r="BO1807"/>
      <c r="BP1807"/>
      <c r="BQ1807"/>
      <c r="BR1807"/>
      <c r="BS1807"/>
      <c r="BT1807"/>
      <c r="BU1807"/>
      <c r="BV1807"/>
      <c r="BW1807"/>
      <c r="BX1807"/>
      <c r="BY1807"/>
      <c r="BZ1807"/>
      <c r="CA1807"/>
      <c r="CB1807"/>
      <c r="CC1807"/>
      <c r="CD1807"/>
      <c r="CE1807"/>
      <c r="CF1807"/>
      <c r="CG1807"/>
      <c r="CH1807"/>
    </row>
    <row r="1808" spans="1:86" x14ac:dyDescent="0.2">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c r="AQ1808"/>
      <c r="AR1808"/>
      <c r="AS1808"/>
      <c r="AT1808"/>
      <c r="AU1808"/>
      <c r="AV1808"/>
      <c r="AW1808"/>
      <c r="AX1808"/>
      <c r="AY1808"/>
      <c r="AZ1808"/>
      <c r="BA1808"/>
      <c r="BB1808"/>
      <c r="BC1808"/>
      <c r="BD1808"/>
      <c r="BE1808"/>
      <c r="BF1808"/>
      <c r="BG1808"/>
      <c r="BH1808"/>
      <c r="BI1808"/>
      <c r="BJ1808"/>
      <c r="BK1808"/>
      <c r="BL1808"/>
      <c r="BM1808"/>
      <c r="BN1808"/>
      <c r="BO1808"/>
      <c r="BP1808"/>
      <c r="BQ1808"/>
      <c r="BR1808"/>
      <c r="BS1808"/>
      <c r="BT1808"/>
      <c r="BU1808"/>
      <c r="BV1808"/>
      <c r="BW1808"/>
      <c r="BX1808"/>
      <c r="BY1808"/>
      <c r="BZ1808"/>
      <c r="CA1808"/>
      <c r="CB1808"/>
      <c r="CC1808"/>
      <c r="CD1808"/>
      <c r="CE1808"/>
      <c r="CF1808"/>
      <c r="CG1808"/>
      <c r="CH1808"/>
    </row>
    <row r="1809" spans="1:86" x14ac:dyDescent="0.2">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c r="AQ1809"/>
      <c r="AR1809"/>
      <c r="AS1809"/>
      <c r="AT1809"/>
      <c r="AU1809"/>
      <c r="AV1809"/>
      <c r="AW1809"/>
      <c r="AX1809"/>
      <c r="AY1809"/>
      <c r="AZ1809"/>
      <c r="BA1809"/>
      <c r="BB1809"/>
      <c r="BC1809"/>
      <c r="BD1809"/>
      <c r="BE1809"/>
      <c r="BF1809"/>
      <c r="BG1809"/>
      <c r="BH1809"/>
      <c r="BI1809"/>
      <c r="BJ1809"/>
      <c r="BK1809"/>
      <c r="BL1809"/>
      <c r="BM1809"/>
      <c r="BN1809"/>
      <c r="BO1809"/>
      <c r="BP1809"/>
      <c r="BQ1809"/>
      <c r="BR1809"/>
      <c r="BS1809"/>
      <c r="BT1809"/>
      <c r="BU1809"/>
      <c r="BV1809"/>
      <c r="BW1809"/>
      <c r="BX1809"/>
      <c r="BY1809"/>
      <c r="BZ1809"/>
      <c r="CA1809"/>
      <c r="CB1809"/>
      <c r="CC1809"/>
      <c r="CD1809"/>
      <c r="CE1809"/>
      <c r="CF1809"/>
      <c r="CG1809"/>
      <c r="CH1809"/>
    </row>
    <row r="1810" spans="1:86" x14ac:dyDescent="0.2">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c r="AQ1810"/>
      <c r="AR1810"/>
      <c r="AS1810"/>
      <c r="AT1810"/>
      <c r="AU1810"/>
      <c r="AV1810"/>
      <c r="AW1810"/>
      <c r="AX1810"/>
      <c r="AY1810"/>
      <c r="AZ1810"/>
      <c r="BA1810"/>
      <c r="BB1810"/>
      <c r="BC1810"/>
      <c r="BD1810"/>
      <c r="BE1810"/>
      <c r="BF1810"/>
      <c r="BG1810"/>
      <c r="BH1810"/>
      <c r="BI1810"/>
      <c r="BJ1810"/>
      <c r="BK1810"/>
      <c r="BL1810"/>
      <c r="BM1810"/>
      <c r="BN1810"/>
      <c r="BO1810"/>
      <c r="BP1810"/>
      <c r="BQ1810"/>
      <c r="BR1810"/>
      <c r="BS1810"/>
      <c r="BT1810"/>
      <c r="BU1810"/>
      <c r="BV1810"/>
      <c r="BW1810"/>
      <c r="BX1810"/>
      <c r="BY1810"/>
      <c r="BZ1810"/>
      <c r="CA1810"/>
      <c r="CB1810"/>
      <c r="CC1810"/>
      <c r="CD1810"/>
      <c r="CE1810"/>
      <c r="CF1810"/>
      <c r="CG1810"/>
      <c r="CH1810"/>
    </row>
    <row r="1811" spans="1:86" x14ac:dyDescent="0.2">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c r="AQ1811"/>
      <c r="AR1811"/>
      <c r="AS1811"/>
      <c r="AT1811"/>
      <c r="AU1811"/>
      <c r="AV1811"/>
      <c r="AW1811"/>
      <c r="AX1811"/>
      <c r="AY1811"/>
      <c r="AZ1811"/>
      <c r="BA1811"/>
      <c r="BB1811"/>
      <c r="BC1811"/>
      <c r="BD1811"/>
      <c r="BE1811"/>
      <c r="BF1811"/>
      <c r="BG1811"/>
      <c r="BH1811"/>
      <c r="BI1811"/>
      <c r="BJ1811"/>
      <c r="BK1811"/>
      <c r="BL1811"/>
      <c r="BM1811"/>
      <c r="BN1811"/>
      <c r="BO1811"/>
      <c r="BP1811"/>
      <c r="BQ1811"/>
      <c r="BR1811"/>
      <c r="BS1811"/>
      <c r="BT1811"/>
      <c r="BU1811"/>
      <c r="BV1811"/>
      <c r="BW1811"/>
      <c r="BX1811"/>
      <c r="BY1811"/>
      <c r="BZ1811"/>
      <c r="CA1811"/>
      <c r="CB1811"/>
      <c r="CC1811"/>
      <c r="CD1811"/>
      <c r="CE1811"/>
      <c r="CF1811"/>
      <c r="CG1811"/>
      <c r="CH1811"/>
    </row>
    <row r="1812" spans="1:86" x14ac:dyDescent="0.2">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c r="AQ1812"/>
      <c r="AR1812"/>
      <c r="AS1812"/>
      <c r="AT1812"/>
      <c r="AU1812"/>
      <c r="AV1812"/>
      <c r="AW1812"/>
      <c r="AX1812"/>
      <c r="AY1812"/>
      <c r="AZ1812"/>
      <c r="BA1812"/>
      <c r="BB1812"/>
      <c r="BC1812"/>
      <c r="BD1812"/>
      <c r="BE1812"/>
      <c r="BF1812"/>
      <c r="BG1812"/>
      <c r="BH1812"/>
      <c r="BI1812"/>
      <c r="BJ1812"/>
      <c r="BK1812"/>
      <c r="BL1812"/>
      <c r="BM1812"/>
      <c r="BN1812"/>
      <c r="BO1812"/>
      <c r="BP1812"/>
      <c r="BQ1812"/>
      <c r="BR1812"/>
      <c r="BS1812"/>
      <c r="BT1812"/>
      <c r="BU1812"/>
      <c r="BV1812"/>
      <c r="BW1812"/>
      <c r="BX1812"/>
      <c r="BY1812"/>
      <c r="BZ1812"/>
      <c r="CA1812"/>
      <c r="CB1812"/>
      <c r="CC1812"/>
      <c r="CD1812"/>
      <c r="CE1812"/>
      <c r="CF1812"/>
      <c r="CG1812"/>
      <c r="CH1812"/>
    </row>
    <row r="1813" spans="1:86" x14ac:dyDescent="0.2">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c r="AU1813"/>
      <c r="AV1813"/>
      <c r="AW1813"/>
      <c r="AX1813"/>
      <c r="AY1813"/>
      <c r="AZ1813"/>
      <c r="BA1813"/>
      <c r="BB1813"/>
      <c r="BC1813"/>
      <c r="BD1813"/>
      <c r="BE1813"/>
      <c r="BF1813"/>
      <c r="BG1813"/>
      <c r="BH1813"/>
      <c r="BI1813"/>
      <c r="BJ1813"/>
      <c r="BK1813"/>
      <c r="BL1813"/>
      <c r="BM1813"/>
      <c r="BN1813"/>
      <c r="BO1813"/>
      <c r="BP1813"/>
      <c r="BQ1813"/>
      <c r="BR1813"/>
      <c r="BS1813"/>
      <c r="BT1813"/>
      <c r="BU1813"/>
      <c r="BV1813"/>
      <c r="BW1813"/>
      <c r="BX1813"/>
      <c r="BY1813"/>
      <c r="BZ1813"/>
      <c r="CA1813"/>
      <c r="CB1813"/>
      <c r="CC1813"/>
      <c r="CD1813"/>
      <c r="CE1813"/>
      <c r="CF1813"/>
      <c r="CG1813"/>
      <c r="CH1813"/>
    </row>
    <row r="1814" spans="1:86" x14ac:dyDescent="0.2">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c r="AR1814"/>
      <c r="AS1814"/>
      <c r="AT1814"/>
      <c r="AU1814"/>
      <c r="AV1814"/>
      <c r="AW1814"/>
      <c r="AX1814"/>
      <c r="AY1814"/>
      <c r="AZ1814"/>
      <c r="BA1814"/>
      <c r="BB1814"/>
      <c r="BC1814"/>
      <c r="BD1814"/>
      <c r="BE1814"/>
      <c r="BF1814"/>
      <c r="BG1814"/>
      <c r="BH1814"/>
      <c r="BI1814"/>
      <c r="BJ1814"/>
      <c r="BK1814"/>
      <c r="BL1814"/>
      <c r="BM1814"/>
      <c r="BN1814"/>
      <c r="BO1814"/>
      <c r="BP1814"/>
      <c r="BQ1814"/>
      <c r="BR1814"/>
      <c r="BS1814"/>
      <c r="BT1814"/>
      <c r="BU1814"/>
      <c r="BV1814"/>
      <c r="BW1814"/>
      <c r="BX1814"/>
      <c r="BY1814"/>
      <c r="BZ1814"/>
      <c r="CA1814"/>
      <c r="CB1814"/>
      <c r="CC1814"/>
      <c r="CD1814"/>
      <c r="CE1814"/>
      <c r="CF1814"/>
      <c r="CG1814"/>
      <c r="CH1814"/>
    </row>
    <row r="1815" spans="1:86" x14ac:dyDescent="0.2">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c r="AQ1815"/>
      <c r="AR1815"/>
      <c r="AS1815"/>
      <c r="AT1815"/>
      <c r="AU1815"/>
      <c r="AV1815"/>
      <c r="AW1815"/>
      <c r="AX1815"/>
      <c r="AY1815"/>
      <c r="AZ1815"/>
      <c r="BA1815"/>
      <c r="BB1815"/>
      <c r="BC1815"/>
      <c r="BD1815"/>
      <c r="BE1815"/>
      <c r="BF1815"/>
      <c r="BG1815"/>
      <c r="BH1815"/>
      <c r="BI1815"/>
      <c r="BJ1815"/>
      <c r="BK1815"/>
      <c r="BL1815"/>
      <c r="BM1815"/>
      <c r="BN1815"/>
      <c r="BO1815"/>
      <c r="BP1815"/>
      <c r="BQ1815"/>
      <c r="BR1815"/>
      <c r="BS1815"/>
      <c r="BT1815"/>
      <c r="BU1815"/>
      <c r="BV1815"/>
      <c r="BW1815"/>
      <c r="BX1815"/>
      <c r="BY1815"/>
      <c r="BZ1815"/>
      <c r="CA1815"/>
      <c r="CB1815"/>
      <c r="CC1815"/>
      <c r="CD1815"/>
      <c r="CE1815"/>
      <c r="CF1815"/>
      <c r="CG1815"/>
      <c r="CH1815"/>
    </row>
    <row r="1816" spans="1:86" x14ac:dyDescent="0.2">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c r="AQ1816"/>
      <c r="AR1816"/>
      <c r="AS1816"/>
      <c r="AT1816"/>
      <c r="AU1816"/>
      <c r="AV1816"/>
      <c r="AW1816"/>
      <c r="AX1816"/>
      <c r="AY1816"/>
      <c r="AZ1816"/>
      <c r="BA1816"/>
      <c r="BB1816"/>
      <c r="BC1816"/>
      <c r="BD1816"/>
      <c r="BE1816"/>
      <c r="BF1816"/>
      <c r="BG1816"/>
      <c r="BH1816"/>
      <c r="BI1816"/>
      <c r="BJ1816"/>
      <c r="BK1816"/>
      <c r="BL1816"/>
      <c r="BM1816"/>
      <c r="BN1816"/>
      <c r="BO1816"/>
      <c r="BP1816"/>
      <c r="BQ1816"/>
      <c r="BR1816"/>
      <c r="BS1816"/>
      <c r="BT1816"/>
      <c r="BU1816"/>
      <c r="BV1816"/>
      <c r="BW1816"/>
      <c r="BX1816"/>
      <c r="BY1816"/>
      <c r="BZ1816"/>
      <c r="CA1816"/>
      <c r="CB1816"/>
      <c r="CC1816"/>
      <c r="CD1816"/>
      <c r="CE1816"/>
      <c r="CF1816"/>
      <c r="CG1816"/>
      <c r="CH1816"/>
    </row>
    <row r="1817" spans="1:86" x14ac:dyDescent="0.2">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c r="AR1817"/>
      <c r="AS1817"/>
      <c r="AT1817"/>
      <c r="AU1817"/>
      <c r="AV1817"/>
      <c r="AW1817"/>
      <c r="AX1817"/>
      <c r="AY1817"/>
      <c r="AZ1817"/>
      <c r="BA1817"/>
      <c r="BB1817"/>
      <c r="BC1817"/>
      <c r="BD1817"/>
      <c r="BE1817"/>
      <c r="BF1817"/>
      <c r="BG1817"/>
      <c r="BH1817"/>
      <c r="BI1817"/>
      <c r="BJ1817"/>
      <c r="BK1817"/>
      <c r="BL1817"/>
      <c r="BM1817"/>
      <c r="BN1817"/>
      <c r="BO1817"/>
      <c r="BP1817"/>
      <c r="BQ1817"/>
      <c r="BR1817"/>
      <c r="BS1817"/>
      <c r="BT1817"/>
      <c r="BU1817"/>
      <c r="BV1817"/>
      <c r="BW1817"/>
      <c r="BX1817"/>
      <c r="BY1817"/>
      <c r="BZ1817"/>
      <c r="CA1817"/>
      <c r="CB1817"/>
      <c r="CC1817"/>
      <c r="CD1817"/>
      <c r="CE1817"/>
      <c r="CF1817"/>
      <c r="CG1817"/>
      <c r="CH1817"/>
    </row>
    <row r="1818" spans="1:86" x14ac:dyDescent="0.2">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c r="AR1818"/>
      <c r="AS1818"/>
      <c r="AT1818"/>
      <c r="AU1818"/>
      <c r="AV1818"/>
      <c r="AW1818"/>
      <c r="AX1818"/>
      <c r="AY1818"/>
      <c r="AZ1818"/>
      <c r="BA1818"/>
      <c r="BB1818"/>
      <c r="BC1818"/>
      <c r="BD1818"/>
      <c r="BE1818"/>
      <c r="BF1818"/>
      <c r="BG1818"/>
      <c r="BH1818"/>
      <c r="BI1818"/>
      <c r="BJ1818"/>
      <c r="BK1818"/>
      <c r="BL1818"/>
      <c r="BM1818"/>
      <c r="BN1818"/>
      <c r="BO1818"/>
      <c r="BP1818"/>
      <c r="BQ1818"/>
      <c r="BR1818"/>
      <c r="BS1818"/>
      <c r="BT1818"/>
      <c r="BU1818"/>
      <c r="BV1818"/>
      <c r="BW1818"/>
      <c r="BX1818"/>
      <c r="BY1818"/>
      <c r="BZ1818"/>
      <c r="CA1818"/>
      <c r="CB1818"/>
      <c r="CC1818"/>
      <c r="CD1818"/>
      <c r="CE1818"/>
      <c r="CF1818"/>
      <c r="CG1818"/>
      <c r="CH1818"/>
    </row>
    <row r="1819" spans="1:86" x14ac:dyDescent="0.2">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c r="AR1819"/>
      <c r="AS1819"/>
      <c r="AT1819"/>
      <c r="AU1819"/>
      <c r="AV1819"/>
      <c r="AW1819"/>
      <c r="AX1819"/>
      <c r="AY1819"/>
      <c r="AZ1819"/>
      <c r="BA1819"/>
      <c r="BB1819"/>
      <c r="BC1819"/>
      <c r="BD1819"/>
      <c r="BE1819"/>
      <c r="BF1819"/>
      <c r="BG1819"/>
      <c r="BH1819"/>
      <c r="BI1819"/>
      <c r="BJ1819"/>
      <c r="BK1819"/>
      <c r="BL1819"/>
      <c r="BM1819"/>
      <c r="BN1819"/>
      <c r="BO1819"/>
      <c r="BP1819"/>
      <c r="BQ1819"/>
      <c r="BR1819"/>
      <c r="BS1819"/>
      <c r="BT1819"/>
      <c r="BU1819"/>
      <c r="BV1819"/>
      <c r="BW1819"/>
      <c r="BX1819"/>
      <c r="BY1819"/>
      <c r="BZ1819"/>
      <c r="CA1819"/>
      <c r="CB1819"/>
      <c r="CC1819"/>
      <c r="CD1819"/>
      <c r="CE1819"/>
      <c r="CF1819"/>
      <c r="CG1819"/>
      <c r="CH1819"/>
    </row>
    <row r="1820" spans="1:86" x14ac:dyDescent="0.2">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c r="AQ1820"/>
      <c r="AR1820"/>
      <c r="AS1820"/>
      <c r="AT1820"/>
      <c r="AU1820"/>
      <c r="AV1820"/>
      <c r="AW1820"/>
      <c r="AX1820"/>
      <c r="AY1820"/>
      <c r="AZ1820"/>
      <c r="BA1820"/>
      <c r="BB1820"/>
      <c r="BC1820"/>
      <c r="BD1820"/>
      <c r="BE1820"/>
      <c r="BF1820"/>
      <c r="BG1820"/>
      <c r="BH1820"/>
      <c r="BI1820"/>
      <c r="BJ1820"/>
      <c r="BK1820"/>
      <c r="BL1820"/>
      <c r="BM1820"/>
      <c r="BN1820"/>
      <c r="BO1820"/>
      <c r="BP1820"/>
      <c r="BQ1820"/>
      <c r="BR1820"/>
      <c r="BS1820"/>
      <c r="BT1820"/>
      <c r="BU1820"/>
      <c r="BV1820"/>
      <c r="BW1820"/>
      <c r="BX1820"/>
      <c r="BY1820"/>
      <c r="BZ1820"/>
      <c r="CA1820"/>
      <c r="CB1820"/>
      <c r="CC1820"/>
      <c r="CD1820"/>
      <c r="CE1820"/>
      <c r="CF1820"/>
      <c r="CG1820"/>
      <c r="CH1820"/>
    </row>
    <row r="1821" spans="1:86" x14ac:dyDescent="0.2">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c r="AQ1821"/>
      <c r="AR1821"/>
      <c r="AS1821"/>
      <c r="AT1821"/>
      <c r="AU1821"/>
      <c r="AV1821"/>
      <c r="AW1821"/>
      <c r="AX1821"/>
      <c r="AY1821"/>
      <c r="AZ1821"/>
      <c r="BA1821"/>
      <c r="BB1821"/>
      <c r="BC1821"/>
      <c r="BD1821"/>
      <c r="BE1821"/>
      <c r="BF1821"/>
      <c r="BG1821"/>
      <c r="BH1821"/>
      <c r="BI1821"/>
      <c r="BJ1821"/>
      <c r="BK1821"/>
      <c r="BL1821"/>
      <c r="BM1821"/>
      <c r="BN1821"/>
      <c r="BO1821"/>
      <c r="BP1821"/>
      <c r="BQ1821"/>
      <c r="BR1821"/>
      <c r="BS1821"/>
      <c r="BT1821"/>
      <c r="BU1821"/>
      <c r="BV1821"/>
      <c r="BW1821"/>
      <c r="BX1821"/>
      <c r="BY1821"/>
      <c r="BZ1821"/>
      <c r="CA1821"/>
      <c r="CB1821"/>
      <c r="CC1821"/>
      <c r="CD1821"/>
      <c r="CE1821"/>
      <c r="CF1821"/>
      <c r="CG1821"/>
      <c r="CH1821"/>
    </row>
    <row r="1822" spans="1:86" x14ac:dyDescent="0.2">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c r="AQ1822"/>
      <c r="AR1822"/>
      <c r="AS1822"/>
      <c r="AT1822"/>
      <c r="AU1822"/>
      <c r="AV1822"/>
      <c r="AW1822"/>
      <c r="AX1822"/>
      <c r="AY1822"/>
      <c r="AZ1822"/>
      <c r="BA1822"/>
      <c r="BB1822"/>
      <c r="BC1822"/>
      <c r="BD1822"/>
      <c r="BE1822"/>
      <c r="BF1822"/>
      <c r="BG1822"/>
      <c r="BH1822"/>
      <c r="BI1822"/>
      <c r="BJ1822"/>
      <c r="BK1822"/>
      <c r="BL1822"/>
      <c r="BM1822"/>
      <c r="BN1822"/>
      <c r="BO1822"/>
      <c r="BP1822"/>
      <c r="BQ1822"/>
      <c r="BR1822"/>
      <c r="BS1822"/>
      <c r="BT1822"/>
      <c r="BU1822"/>
      <c r="BV1822"/>
      <c r="BW1822"/>
      <c r="BX1822"/>
      <c r="BY1822"/>
      <c r="BZ1822"/>
      <c r="CA1822"/>
      <c r="CB1822"/>
      <c r="CC1822"/>
      <c r="CD1822"/>
      <c r="CE1822"/>
      <c r="CF1822"/>
      <c r="CG1822"/>
      <c r="CH1822"/>
    </row>
    <row r="1823" spans="1:86" x14ac:dyDescent="0.2">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c r="AQ1823"/>
      <c r="AR1823"/>
      <c r="AS1823"/>
      <c r="AT1823"/>
      <c r="AU1823"/>
      <c r="AV1823"/>
      <c r="AW1823"/>
      <c r="AX1823"/>
      <c r="AY1823"/>
      <c r="AZ1823"/>
      <c r="BA1823"/>
      <c r="BB1823"/>
      <c r="BC1823"/>
      <c r="BD1823"/>
      <c r="BE1823"/>
      <c r="BF1823"/>
      <c r="BG1823"/>
      <c r="BH1823"/>
      <c r="BI1823"/>
      <c r="BJ1823"/>
      <c r="BK1823"/>
      <c r="BL1823"/>
      <c r="BM1823"/>
      <c r="BN1823"/>
      <c r="BO1823"/>
      <c r="BP1823"/>
      <c r="BQ1823"/>
      <c r="BR1823"/>
      <c r="BS1823"/>
      <c r="BT1823"/>
      <c r="BU1823"/>
      <c r="BV1823"/>
      <c r="BW1823"/>
      <c r="BX1823"/>
      <c r="BY1823"/>
      <c r="BZ1823"/>
      <c r="CA1823"/>
      <c r="CB1823"/>
      <c r="CC1823"/>
      <c r="CD1823"/>
      <c r="CE1823"/>
      <c r="CF1823"/>
      <c r="CG1823"/>
      <c r="CH1823"/>
    </row>
    <row r="1824" spans="1:86" x14ac:dyDescent="0.2">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c r="AQ1824"/>
      <c r="AR1824"/>
      <c r="AS1824"/>
      <c r="AT1824"/>
      <c r="AU1824"/>
      <c r="AV1824"/>
      <c r="AW1824"/>
      <c r="AX1824"/>
      <c r="AY1824"/>
      <c r="AZ1824"/>
      <c r="BA1824"/>
      <c r="BB1824"/>
      <c r="BC1824"/>
      <c r="BD1824"/>
      <c r="BE1824"/>
      <c r="BF1824"/>
      <c r="BG1824"/>
      <c r="BH1824"/>
      <c r="BI1824"/>
      <c r="BJ1824"/>
      <c r="BK1824"/>
      <c r="BL1824"/>
      <c r="BM1824"/>
      <c r="BN1824"/>
      <c r="BO1824"/>
      <c r="BP1824"/>
      <c r="BQ1824"/>
      <c r="BR1824"/>
      <c r="BS1824"/>
      <c r="BT1824"/>
      <c r="BU1824"/>
      <c r="BV1824"/>
      <c r="BW1824"/>
      <c r="BX1824"/>
      <c r="BY1824"/>
      <c r="BZ1824"/>
      <c r="CA1824"/>
      <c r="CB1824"/>
      <c r="CC1824"/>
      <c r="CD1824"/>
      <c r="CE1824"/>
      <c r="CF1824"/>
      <c r="CG1824"/>
      <c r="CH1824"/>
    </row>
    <row r="1825" spans="1:86" x14ac:dyDescent="0.2">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c r="AQ1825"/>
      <c r="AR1825"/>
      <c r="AS1825"/>
      <c r="AT1825"/>
      <c r="AU1825"/>
      <c r="AV1825"/>
      <c r="AW1825"/>
      <c r="AX1825"/>
      <c r="AY1825"/>
      <c r="AZ1825"/>
      <c r="BA1825"/>
      <c r="BB1825"/>
      <c r="BC1825"/>
      <c r="BD1825"/>
      <c r="BE1825"/>
      <c r="BF1825"/>
      <c r="BG1825"/>
      <c r="BH1825"/>
      <c r="BI1825"/>
      <c r="BJ1825"/>
      <c r="BK1825"/>
      <c r="BL1825"/>
      <c r="BM1825"/>
      <c r="BN1825"/>
      <c r="BO1825"/>
      <c r="BP1825"/>
      <c r="BQ1825"/>
      <c r="BR1825"/>
      <c r="BS1825"/>
      <c r="BT1825"/>
      <c r="BU1825"/>
      <c r="BV1825"/>
      <c r="BW1825"/>
      <c r="BX1825"/>
      <c r="BY1825"/>
      <c r="BZ1825"/>
      <c r="CA1825"/>
      <c r="CB1825"/>
      <c r="CC1825"/>
      <c r="CD1825"/>
      <c r="CE1825"/>
      <c r="CF1825"/>
      <c r="CG1825"/>
      <c r="CH1825"/>
    </row>
    <row r="1826" spans="1:86" x14ac:dyDescent="0.2">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c r="AQ1826"/>
      <c r="AR1826"/>
      <c r="AS1826"/>
      <c r="AT1826"/>
      <c r="AU1826"/>
      <c r="AV1826"/>
      <c r="AW1826"/>
      <c r="AX1826"/>
      <c r="AY1826"/>
      <c r="AZ1826"/>
      <c r="BA1826"/>
      <c r="BB1826"/>
      <c r="BC1826"/>
      <c r="BD1826"/>
      <c r="BE1826"/>
      <c r="BF1826"/>
      <c r="BG1826"/>
      <c r="BH1826"/>
      <c r="BI1826"/>
      <c r="BJ1826"/>
      <c r="BK1826"/>
      <c r="BL1826"/>
      <c r="BM1826"/>
      <c r="BN1826"/>
      <c r="BO1826"/>
      <c r="BP1826"/>
      <c r="BQ1826"/>
      <c r="BR1826"/>
      <c r="BS1826"/>
      <c r="BT1826"/>
      <c r="BU1826"/>
      <c r="BV1826"/>
      <c r="BW1826"/>
      <c r="BX1826"/>
      <c r="BY1826"/>
      <c r="BZ1826"/>
      <c r="CA1826"/>
      <c r="CB1826"/>
      <c r="CC1826"/>
      <c r="CD1826"/>
      <c r="CE1826"/>
      <c r="CF1826"/>
      <c r="CG1826"/>
      <c r="CH1826"/>
    </row>
    <row r="1827" spans="1:86" x14ac:dyDescent="0.2">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c r="AR1827"/>
      <c r="AS1827"/>
      <c r="AT1827"/>
      <c r="AU1827"/>
      <c r="AV1827"/>
      <c r="AW1827"/>
      <c r="AX1827"/>
      <c r="AY1827"/>
      <c r="AZ1827"/>
      <c r="BA1827"/>
      <c r="BB1827"/>
      <c r="BC1827"/>
      <c r="BD1827"/>
      <c r="BE1827"/>
      <c r="BF1827"/>
      <c r="BG1827"/>
      <c r="BH1827"/>
      <c r="BI1827"/>
      <c r="BJ1827"/>
      <c r="BK1827"/>
      <c r="BL1827"/>
      <c r="BM1827"/>
      <c r="BN1827"/>
      <c r="BO1827"/>
      <c r="BP1827"/>
      <c r="BQ1827"/>
      <c r="BR1827"/>
      <c r="BS1827"/>
      <c r="BT1827"/>
      <c r="BU1827"/>
      <c r="BV1827"/>
      <c r="BW1827"/>
      <c r="BX1827"/>
      <c r="BY1827"/>
      <c r="BZ1827"/>
      <c r="CA1827"/>
      <c r="CB1827"/>
      <c r="CC1827"/>
      <c r="CD1827"/>
      <c r="CE1827"/>
      <c r="CF1827"/>
      <c r="CG1827"/>
      <c r="CH1827"/>
    </row>
    <row r="1828" spans="1:86" x14ac:dyDescent="0.2">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c r="AQ1828"/>
      <c r="AR1828"/>
      <c r="AS1828"/>
      <c r="AT1828"/>
      <c r="AU1828"/>
      <c r="AV1828"/>
      <c r="AW1828"/>
      <c r="AX1828"/>
      <c r="AY1828"/>
      <c r="AZ1828"/>
      <c r="BA1828"/>
      <c r="BB1828"/>
      <c r="BC1828"/>
      <c r="BD1828"/>
      <c r="BE1828"/>
      <c r="BF1828"/>
      <c r="BG1828"/>
      <c r="BH1828"/>
      <c r="BI1828"/>
      <c r="BJ1828"/>
      <c r="BK1828"/>
      <c r="BL1828"/>
      <c r="BM1828"/>
      <c r="BN1828"/>
      <c r="BO1828"/>
      <c r="BP1828"/>
      <c r="BQ1828"/>
      <c r="BR1828"/>
      <c r="BS1828"/>
      <c r="BT1828"/>
      <c r="BU1828"/>
      <c r="BV1828"/>
      <c r="BW1828"/>
      <c r="BX1828"/>
      <c r="BY1828"/>
      <c r="BZ1828"/>
      <c r="CA1828"/>
      <c r="CB1828"/>
      <c r="CC1828"/>
      <c r="CD1828"/>
      <c r="CE1828"/>
      <c r="CF1828"/>
      <c r="CG1828"/>
      <c r="CH1828"/>
    </row>
    <row r="1829" spans="1:86" x14ac:dyDescent="0.2">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c r="AQ1829"/>
      <c r="AR1829"/>
      <c r="AS1829"/>
      <c r="AT1829"/>
      <c r="AU1829"/>
      <c r="AV1829"/>
      <c r="AW1829"/>
      <c r="AX1829"/>
      <c r="AY1829"/>
      <c r="AZ1829"/>
      <c r="BA1829"/>
      <c r="BB1829"/>
      <c r="BC1829"/>
      <c r="BD1829"/>
      <c r="BE1829"/>
      <c r="BF1829"/>
      <c r="BG1829"/>
      <c r="BH1829"/>
      <c r="BI1829"/>
      <c r="BJ1829"/>
      <c r="BK1829"/>
      <c r="BL1829"/>
      <c r="BM1829"/>
      <c r="BN1829"/>
      <c r="BO1829"/>
      <c r="BP1829"/>
      <c r="BQ1829"/>
      <c r="BR1829"/>
      <c r="BS1829"/>
      <c r="BT1829"/>
      <c r="BU1829"/>
      <c r="BV1829"/>
      <c r="BW1829"/>
      <c r="BX1829"/>
      <c r="BY1829"/>
      <c r="BZ1829"/>
      <c r="CA1829"/>
      <c r="CB1829"/>
      <c r="CC1829"/>
      <c r="CD1829"/>
      <c r="CE1829"/>
      <c r="CF1829"/>
      <c r="CG1829"/>
      <c r="CH1829"/>
    </row>
    <row r="1830" spans="1:86" x14ac:dyDescent="0.2">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c r="AQ1830"/>
      <c r="AR1830"/>
      <c r="AS1830"/>
      <c r="AT1830"/>
      <c r="AU1830"/>
      <c r="AV1830"/>
      <c r="AW1830"/>
      <c r="AX1830"/>
      <c r="AY1830"/>
      <c r="AZ1830"/>
      <c r="BA1830"/>
      <c r="BB1830"/>
      <c r="BC1830"/>
      <c r="BD1830"/>
      <c r="BE1830"/>
      <c r="BF1830"/>
      <c r="BG1830"/>
      <c r="BH1830"/>
      <c r="BI1830"/>
      <c r="BJ1830"/>
      <c r="BK1830"/>
      <c r="BL1830"/>
      <c r="BM1830"/>
      <c r="BN1830"/>
      <c r="BO1830"/>
      <c r="BP1830"/>
      <c r="BQ1830"/>
      <c r="BR1830"/>
      <c r="BS1830"/>
      <c r="BT1830"/>
      <c r="BU1830"/>
      <c r="BV1830"/>
      <c r="BW1830"/>
      <c r="BX1830"/>
      <c r="BY1830"/>
      <c r="BZ1830"/>
      <c r="CA1830"/>
      <c r="CB1830"/>
      <c r="CC1830"/>
      <c r="CD1830"/>
      <c r="CE1830"/>
      <c r="CF1830"/>
      <c r="CG1830"/>
      <c r="CH1830"/>
    </row>
    <row r="1831" spans="1:86" x14ac:dyDescent="0.2">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c r="AQ1831"/>
      <c r="AR1831"/>
      <c r="AS1831"/>
      <c r="AT1831"/>
      <c r="AU1831"/>
      <c r="AV1831"/>
      <c r="AW1831"/>
      <c r="AX1831"/>
      <c r="AY1831"/>
      <c r="AZ1831"/>
      <c r="BA1831"/>
      <c r="BB1831"/>
      <c r="BC1831"/>
      <c r="BD1831"/>
      <c r="BE1831"/>
      <c r="BF1831"/>
      <c r="BG1831"/>
      <c r="BH1831"/>
      <c r="BI1831"/>
      <c r="BJ1831"/>
      <c r="BK1831"/>
      <c r="BL1831"/>
      <c r="BM1831"/>
      <c r="BN1831"/>
      <c r="BO1831"/>
      <c r="BP1831"/>
      <c r="BQ1831"/>
      <c r="BR1831"/>
      <c r="BS1831"/>
      <c r="BT1831"/>
      <c r="BU1831"/>
      <c r="BV1831"/>
      <c r="BW1831"/>
      <c r="BX1831"/>
      <c r="BY1831"/>
      <c r="BZ1831"/>
      <c r="CA1831"/>
      <c r="CB1831"/>
      <c r="CC1831"/>
      <c r="CD1831"/>
      <c r="CE1831"/>
      <c r="CF1831"/>
      <c r="CG1831"/>
      <c r="CH1831"/>
    </row>
    <row r="1832" spans="1:86" x14ac:dyDescent="0.2">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c r="AQ1832"/>
      <c r="AR1832"/>
      <c r="AS1832"/>
      <c r="AT1832"/>
      <c r="AU1832"/>
      <c r="AV1832"/>
      <c r="AW1832"/>
      <c r="AX1832"/>
      <c r="AY1832"/>
      <c r="AZ1832"/>
      <c r="BA1832"/>
      <c r="BB1832"/>
      <c r="BC1832"/>
      <c r="BD1832"/>
      <c r="BE1832"/>
      <c r="BF1832"/>
      <c r="BG1832"/>
      <c r="BH1832"/>
      <c r="BI1832"/>
      <c r="BJ1832"/>
      <c r="BK1832"/>
      <c r="BL1832"/>
      <c r="BM1832"/>
      <c r="BN1832"/>
      <c r="BO1832"/>
      <c r="BP1832"/>
      <c r="BQ1832"/>
      <c r="BR1832"/>
      <c r="BS1832"/>
      <c r="BT1832"/>
      <c r="BU1832"/>
      <c r="BV1832"/>
      <c r="BW1832"/>
      <c r="BX1832"/>
      <c r="BY1832"/>
      <c r="BZ1832"/>
      <c r="CA1832"/>
      <c r="CB1832"/>
      <c r="CC1832"/>
      <c r="CD1832"/>
      <c r="CE1832"/>
      <c r="CF1832"/>
      <c r="CG1832"/>
      <c r="CH1832"/>
    </row>
    <row r="1833" spans="1:86" x14ac:dyDescent="0.2">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c r="AQ1833"/>
      <c r="AR1833"/>
      <c r="AS1833"/>
      <c r="AT1833"/>
      <c r="AU1833"/>
      <c r="AV1833"/>
      <c r="AW1833"/>
      <c r="AX1833"/>
      <c r="AY1833"/>
      <c r="AZ1833"/>
      <c r="BA1833"/>
      <c r="BB1833"/>
      <c r="BC1833"/>
      <c r="BD1833"/>
      <c r="BE1833"/>
      <c r="BF1833"/>
      <c r="BG1833"/>
      <c r="BH1833"/>
      <c r="BI1833"/>
      <c r="BJ1833"/>
      <c r="BK1833"/>
      <c r="BL1833"/>
      <c r="BM1833"/>
      <c r="BN1833"/>
      <c r="BO1833"/>
      <c r="BP1833"/>
      <c r="BQ1833"/>
      <c r="BR1833"/>
      <c r="BS1833"/>
      <c r="BT1833"/>
      <c r="BU1833"/>
      <c r="BV1833"/>
      <c r="BW1833"/>
      <c r="BX1833"/>
      <c r="BY1833"/>
      <c r="BZ1833"/>
      <c r="CA1833"/>
      <c r="CB1833"/>
      <c r="CC1833"/>
      <c r="CD1833"/>
      <c r="CE1833"/>
      <c r="CF1833"/>
      <c r="CG1833"/>
      <c r="CH1833"/>
    </row>
    <row r="1834" spans="1:86" x14ac:dyDescent="0.2">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c r="AQ1834"/>
      <c r="AR1834"/>
      <c r="AS1834"/>
      <c r="AT1834"/>
      <c r="AU1834"/>
      <c r="AV1834"/>
      <c r="AW1834"/>
      <c r="AX1834"/>
      <c r="AY1834"/>
      <c r="AZ1834"/>
      <c r="BA1834"/>
      <c r="BB1834"/>
      <c r="BC1834"/>
      <c r="BD1834"/>
      <c r="BE1834"/>
      <c r="BF1834"/>
      <c r="BG1834"/>
      <c r="BH1834"/>
      <c r="BI1834"/>
      <c r="BJ1834"/>
      <c r="BK1834"/>
      <c r="BL1834"/>
      <c r="BM1834"/>
      <c r="BN1834"/>
      <c r="BO1834"/>
      <c r="BP1834"/>
      <c r="BQ1834"/>
      <c r="BR1834"/>
      <c r="BS1834"/>
      <c r="BT1834"/>
      <c r="BU1834"/>
      <c r="BV1834"/>
      <c r="BW1834"/>
      <c r="BX1834"/>
      <c r="BY1834"/>
      <c r="BZ1834"/>
      <c r="CA1834"/>
      <c r="CB1834"/>
      <c r="CC1834"/>
      <c r="CD1834"/>
      <c r="CE1834"/>
      <c r="CF1834"/>
      <c r="CG1834"/>
      <c r="CH1834"/>
    </row>
    <row r="1835" spans="1:86" x14ac:dyDescent="0.2">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c r="AQ1835"/>
      <c r="AR1835"/>
      <c r="AS1835"/>
      <c r="AT1835"/>
      <c r="AU1835"/>
      <c r="AV1835"/>
      <c r="AW1835"/>
      <c r="AX1835"/>
      <c r="AY1835"/>
      <c r="AZ1835"/>
      <c r="BA1835"/>
      <c r="BB1835"/>
      <c r="BC1835"/>
      <c r="BD1835"/>
      <c r="BE1835"/>
      <c r="BF1835"/>
      <c r="BG1835"/>
      <c r="BH1835"/>
      <c r="BI1835"/>
      <c r="BJ1835"/>
      <c r="BK1835"/>
      <c r="BL1835"/>
      <c r="BM1835"/>
      <c r="BN1835"/>
      <c r="BO1835"/>
      <c r="BP1835"/>
      <c r="BQ1835"/>
      <c r="BR1835"/>
      <c r="BS1835"/>
      <c r="BT1835"/>
      <c r="BU1835"/>
      <c r="BV1835"/>
      <c r="BW1835"/>
      <c r="BX1835"/>
      <c r="BY1835"/>
      <c r="BZ1835"/>
      <c r="CA1835"/>
      <c r="CB1835"/>
      <c r="CC1835"/>
      <c r="CD1835"/>
      <c r="CE1835"/>
      <c r="CF1835"/>
      <c r="CG1835"/>
      <c r="CH1835"/>
    </row>
    <row r="1836" spans="1:86" x14ac:dyDescent="0.2">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c r="AQ1836"/>
      <c r="AR1836"/>
      <c r="AS1836"/>
      <c r="AT1836"/>
      <c r="AU1836"/>
      <c r="AV1836"/>
      <c r="AW1836"/>
      <c r="AX1836"/>
      <c r="AY1836"/>
      <c r="AZ1836"/>
      <c r="BA1836"/>
      <c r="BB1836"/>
      <c r="BC1836"/>
      <c r="BD1836"/>
      <c r="BE1836"/>
      <c r="BF1836"/>
      <c r="BG1836"/>
      <c r="BH1836"/>
      <c r="BI1836"/>
      <c r="BJ1836"/>
      <c r="BK1836"/>
      <c r="BL1836"/>
      <c r="BM1836"/>
      <c r="BN1836"/>
      <c r="BO1836"/>
      <c r="BP1836"/>
      <c r="BQ1836"/>
      <c r="BR1836"/>
      <c r="BS1836"/>
      <c r="BT1836"/>
      <c r="BU1836"/>
      <c r="BV1836"/>
      <c r="BW1836"/>
      <c r="BX1836"/>
      <c r="BY1836"/>
      <c r="BZ1836"/>
      <c r="CA1836"/>
      <c r="CB1836"/>
      <c r="CC1836"/>
      <c r="CD1836"/>
      <c r="CE1836"/>
      <c r="CF1836"/>
      <c r="CG1836"/>
      <c r="CH1836"/>
    </row>
    <row r="1837" spans="1:86" x14ac:dyDescent="0.2">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c r="AQ1837"/>
      <c r="AR1837"/>
      <c r="AS1837"/>
      <c r="AT1837"/>
      <c r="AU1837"/>
      <c r="AV1837"/>
      <c r="AW1837"/>
      <c r="AX1837"/>
      <c r="AY1837"/>
      <c r="AZ1837"/>
      <c r="BA1837"/>
      <c r="BB1837"/>
      <c r="BC1837"/>
      <c r="BD1837"/>
      <c r="BE1837"/>
      <c r="BF1837"/>
      <c r="BG1837"/>
      <c r="BH1837"/>
      <c r="BI1837"/>
      <c r="BJ1837"/>
      <c r="BK1837"/>
      <c r="BL1837"/>
      <c r="BM1837"/>
      <c r="BN1837"/>
      <c r="BO1837"/>
      <c r="BP1837"/>
      <c r="BQ1837"/>
      <c r="BR1837"/>
      <c r="BS1837"/>
      <c r="BT1837"/>
      <c r="BU1837"/>
      <c r="BV1837"/>
      <c r="BW1837"/>
      <c r="BX1837"/>
      <c r="BY1837"/>
      <c r="BZ1837"/>
      <c r="CA1837"/>
      <c r="CB1837"/>
      <c r="CC1837"/>
      <c r="CD1837"/>
      <c r="CE1837"/>
      <c r="CF1837"/>
      <c r="CG1837"/>
      <c r="CH1837"/>
    </row>
    <row r="1838" spans="1:86" x14ac:dyDescent="0.2">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c r="AQ1838"/>
      <c r="AR1838"/>
      <c r="AS1838"/>
      <c r="AT1838"/>
      <c r="AU1838"/>
      <c r="AV1838"/>
      <c r="AW1838"/>
      <c r="AX1838"/>
      <c r="AY1838"/>
      <c r="AZ1838"/>
      <c r="BA1838"/>
      <c r="BB1838"/>
      <c r="BC1838"/>
      <c r="BD1838"/>
      <c r="BE1838"/>
      <c r="BF1838"/>
      <c r="BG1838"/>
      <c r="BH1838"/>
      <c r="BI1838"/>
      <c r="BJ1838"/>
      <c r="BK1838"/>
      <c r="BL1838"/>
      <c r="BM1838"/>
      <c r="BN1838"/>
      <c r="BO1838"/>
      <c r="BP1838"/>
      <c r="BQ1838"/>
      <c r="BR1838"/>
      <c r="BS1838"/>
      <c r="BT1838"/>
      <c r="BU1838"/>
      <c r="BV1838"/>
      <c r="BW1838"/>
      <c r="BX1838"/>
      <c r="BY1838"/>
      <c r="BZ1838"/>
      <c r="CA1838"/>
      <c r="CB1838"/>
      <c r="CC1838"/>
      <c r="CD1838"/>
      <c r="CE1838"/>
      <c r="CF1838"/>
      <c r="CG1838"/>
      <c r="CH1838"/>
    </row>
    <row r="1839" spans="1:86" x14ac:dyDescent="0.2">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c r="AQ1839"/>
      <c r="AR1839"/>
      <c r="AS1839"/>
      <c r="AT1839"/>
      <c r="AU1839"/>
      <c r="AV1839"/>
      <c r="AW1839"/>
      <c r="AX1839"/>
      <c r="AY1839"/>
      <c r="AZ1839"/>
      <c r="BA1839"/>
      <c r="BB1839"/>
      <c r="BC1839"/>
      <c r="BD1839"/>
      <c r="BE1839"/>
      <c r="BF1839"/>
      <c r="BG1839"/>
      <c r="BH1839"/>
      <c r="BI1839"/>
      <c r="BJ1839"/>
      <c r="BK1839"/>
      <c r="BL1839"/>
      <c r="BM1839"/>
      <c r="BN1839"/>
      <c r="BO1839"/>
      <c r="BP1839"/>
      <c r="BQ1839"/>
      <c r="BR1839"/>
      <c r="BS1839"/>
      <c r="BT1839"/>
      <c r="BU1839"/>
      <c r="BV1839"/>
      <c r="BW1839"/>
      <c r="BX1839"/>
      <c r="BY1839"/>
      <c r="BZ1839"/>
      <c r="CA1839"/>
      <c r="CB1839"/>
      <c r="CC1839"/>
      <c r="CD1839"/>
      <c r="CE1839"/>
      <c r="CF1839"/>
      <c r="CG1839"/>
      <c r="CH1839"/>
    </row>
    <row r="1840" spans="1:86" x14ac:dyDescent="0.2">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c r="AQ1840"/>
      <c r="AR1840"/>
      <c r="AS1840"/>
      <c r="AT1840"/>
      <c r="AU1840"/>
      <c r="AV1840"/>
      <c r="AW1840"/>
      <c r="AX1840"/>
      <c r="AY1840"/>
      <c r="AZ1840"/>
      <c r="BA1840"/>
      <c r="BB1840"/>
      <c r="BC1840"/>
      <c r="BD1840"/>
      <c r="BE1840"/>
      <c r="BF1840"/>
      <c r="BG1840"/>
      <c r="BH1840"/>
      <c r="BI1840"/>
      <c r="BJ1840"/>
      <c r="BK1840"/>
      <c r="BL1840"/>
      <c r="BM1840"/>
      <c r="BN1840"/>
      <c r="BO1840"/>
      <c r="BP1840"/>
      <c r="BQ1840"/>
      <c r="BR1840"/>
      <c r="BS1840"/>
      <c r="BT1840"/>
      <c r="BU1840"/>
      <c r="BV1840"/>
      <c r="BW1840"/>
      <c r="BX1840"/>
      <c r="BY1840"/>
      <c r="BZ1840"/>
      <c r="CA1840"/>
      <c r="CB1840"/>
      <c r="CC1840"/>
      <c r="CD1840"/>
      <c r="CE1840"/>
      <c r="CF1840"/>
      <c r="CG1840"/>
      <c r="CH1840"/>
    </row>
    <row r="1841" spans="1:86" x14ac:dyDescent="0.2">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c r="AQ1841"/>
      <c r="AR1841"/>
      <c r="AS1841"/>
      <c r="AT1841"/>
      <c r="AU1841"/>
      <c r="AV1841"/>
      <c r="AW1841"/>
      <c r="AX1841"/>
      <c r="AY1841"/>
      <c r="AZ1841"/>
      <c r="BA1841"/>
      <c r="BB1841"/>
      <c r="BC1841"/>
      <c r="BD1841"/>
      <c r="BE1841"/>
      <c r="BF1841"/>
      <c r="BG1841"/>
      <c r="BH1841"/>
      <c r="BI1841"/>
      <c r="BJ1841"/>
      <c r="BK1841"/>
      <c r="BL1841"/>
      <c r="BM1841"/>
      <c r="BN1841"/>
      <c r="BO1841"/>
      <c r="BP1841"/>
      <c r="BQ1841"/>
      <c r="BR1841"/>
      <c r="BS1841"/>
      <c r="BT1841"/>
      <c r="BU1841"/>
      <c r="BV1841"/>
      <c r="BW1841"/>
      <c r="BX1841"/>
      <c r="BY1841"/>
      <c r="BZ1841"/>
      <c r="CA1841"/>
      <c r="CB1841"/>
      <c r="CC1841"/>
      <c r="CD1841"/>
      <c r="CE1841"/>
      <c r="CF1841"/>
      <c r="CG1841"/>
      <c r="CH1841"/>
    </row>
    <row r="1842" spans="1:86" x14ac:dyDescent="0.2">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c r="AQ1842"/>
      <c r="AR1842"/>
      <c r="AS1842"/>
      <c r="AT1842"/>
      <c r="AU1842"/>
      <c r="AV1842"/>
      <c r="AW1842"/>
      <c r="AX1842"/>
      <c r="AY1842"/>
      <c r="AZ1842"/>
      <c r="BA1842"/>
      <c r="BB1842"/>
      <c r="BC1842"/>
      <c r="BD1842"/>
      <c r="BE1842"/>
      <c r="BF1842"/>
      <c r="BG1842"/>
      <c r="BH1842"/>
      <c r="BI1842"/>
      <c r="BJ1842"/>
      <c r="BK1842"/>
      <c r="BL1842"/>
      <c r="BM1842"/>
      <c r="BN1842"/>
      <c r="BO1842"/>
      <c r="BP1842"/>
      <c r="BQ1842"/>
      <c r="BR1842"/>
      <c r="BS1842"/>
      <c r="BT1842"/>
      <c r="BU1842"/>
      <c r="BV1842"/>
      <c r="BW1842"/>
      <c r="BX1842"/>
      <c r="BY1842"/>
      <c r="BZ1842"/>
      <c r="CA1842"/>
      <c r="CB1842"/>
      <c r="CC1842"/>
      <c r="CD1842"/>
      <c r="CE1842"/>
      <c r="CF1842"/>
      <c r="CG1842"/>
      <c r="CH1842"/>
    </row>
    <row r="1843" spans="1:86" x14ac:dyDescent="0.2">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c r="AQ1843"/>
      <c r="AR1843"/>
      <c r="AS1843"/>
      <c r="AT1843"/>
      <c r="AU1843"/>
      <c r="AV1843"/>
      <c r="AW1843"/>
      <c r="AX1843"/>
      <c r="AY1843"/>
      <c r="AZ1843"/>
      <c r="BA1843"/>
      <c r="BB1843"/>
      <c r="BC1843"/>
      <c r="BD1843"/>
      <c r="BE1843"/>
      <c r="BF1843"/>
      <c r="BG1843"/>
      <c r="BH1843"/>
      <c r="BI1843"/>
      <c r="BJ1843"/>
      <c r="BK1843"/>
      <c r="BL1843"/>
      <c r="BM1843"/>
      <c r="BN1843"/>
      <c r="BO1843"/>
      <c r="BP1843"/>
      <c r="BQ1843"/>
      <c r="BR1843"/>
      <c r="BS1843"/>
      <c r="BT1843"/>
      <c r="BU1843"/>
      <c r="BV1843"/>
      <c r="BW1843"/>
      <c r="BX1843"/>
      <c r="BY1843"/>
      <c r="BZ1843"/>
      <c r="CA1843"/>
      <c r="CB1843"/>
      <c r="CC1843"/>
      <c r="CD1843"/>
      <c r="CE1843"/>
      <c r="CF1843"/>
      <c r="CG1843"/>
      <c r="CH1843"/>
    </row>
    <row r="1844" spans="1:86" x14ac:dyDescent="0.2">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c r="AQ1844"/>
      <c r="AR1844"/>
      <c r="AS1844"/>
      <c r="AT1844"/>
      <c r="AU1844"/>
      <c r="AV1844"/>
      <c r="AW1844"/>
      <c r="AX1844"/>
      <c r="AY1844"/>
      <c r="AZ1844"/>
      <c r="BA1844"/>
      <c r="BB1844"/>
      <c r="BC1844"/>
      <c r="BD1844"/>
      <c r="BE1844"/>
      <c r="BF1844"/>
      <c r="BG1844"/>
      <c r="BH1844"/>
      <c r="BI1844"/>
      <c r="BJ1844"/>
      <c r="BK1844"/>
      <c r="BL1844"/>
      <c r="BM1844"/>
      <c r="BN1844"/>
      <c r="BO1844"/>
      <c r="BP1844"/>
      <c r="BQ1844"/>
      <c r="BR1844"/>
      <c r="BS1844"/>
      <c r="BT1844"/>
      <c r="BU1844"/>
      <c r="BV1844"/>
      <c r="BW1844"/>
      <c r="BX1844"/>
      <c r="BY1844"/>
      <c r="BZ1844"/>
      <c r="CA1844"/>
      <c r="CB1844"/>
      <c r="CC1844"/>
      <c r="CD1844"/>
      <c r="CE1844"/>
      <c r="CF1844"/>
      <c r="CG1844"/>
      <c r="CH1844"/>
    </row>
    <row r="1845" spans="1:86" x14ac:dyDescent="0.2">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c r="AQ1845"/>
      <c r="AR1845"/>
      <c r="AS1845"/>
      <c r="AT1845"/>
      <c r="AU1845"/>
      <c r="AV1845"/>
      <c r="AW1845"/>
      <c r="AX1845"/>
      <c r="AY1845"/>
      <c r="AZ1845"/>
      <c r="BA1845"/>
      <c r="BB1845"/>
      <c r="BC1845"/>
      <c r="BD1845"/>
      <c r="BE1845"/>
      <c r="BF1845"/>
      <c r="BG1845"/>
      <c r="BH1845"/>
      <c r="BI1845"/>
      <c r="BJ1845"/>
      <c r="BK1845"/>
      <c r="BL1845"/>
      <c r="BM1845"/>
      <c r="BN1845"/>
      <c r="BO1845"/>
      <c r="BP1845"/>
      <c r="BQ1845"/>
      <c r="BR1845"/>
      <c r="BS1845"/>
      <c r="BT1845"/>
      <c r="BU1845"/>
      <c r="BV1845"/>
      <c r="BW1845"/>
      <c r="BX1845"/>
      <c r="BY1845"/>
      <c r="BZ1845"/>
      <c r="CA1845"/>
      <c r="CB1845"/>
      <c r="CC1845"/>
      <c r="CD1845"/>
      <c r="CE1845"/>
      <c r="CF1845"/>
      <c r="CG1845"/>
      <c r="CH1845"/>
    </row>
    <row r="1846" spans="1:86" x14ac:dyDescent="0.2">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c r="AQ1846"/>
      <c r="AR1846"/>
      <c r="AS1846"/>
      <c r="AT1846"/>
      <c r="AU1846"/>
      <c r="AV1846"/>
      <c r="AW1846"/>
      <c r="AX1846"/>
      <c r="AY1846"/>
      <c r="AZ1846"/>
      <c r="BA1846"/>
      <c r="BB1846"/>
      <c r="BC1846"/>
      <c r="BD1846"/>
      <c r="BE1846"/>
      <c r="BF1846"/>
      <c r="BG1846"/>
      <c r="BH1846"/>
      <c r="BI1846"/>
      <c r="BJ1846"/>
      <c r="BK1846"/>
      <c r="BL1846"/>
      <c r="BM1846"/>
      <c r="BN1846"/>
      <c r="BO1846"/>
      <c r="BP1846"/>
      <c r="BQ1846"/>
      <c r="BR1846"/>
      <c r="BS1846"/>
      <c r="BT1846"/>
      <c r="BU1846"/>
      <c r="BV1846"/>
      <c r="BW1846"/>
      <c r="BX1846"/>
      <c r="BY1846"/>
      <c r="BZ1846"/>
      <c r="CA1846"/>
      <c r="CB1846"/>
      <c r="CC1846"/>
      <c r="CD1846"/>
      <c r="CE1846"/>
      <c r="CF1846"/>
      <c r="CG1846"/>
      <c r="CH1846"/>
    </row>
    <row r="1847" spans="1:86" x14ac:dyDescent="0.2">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c r="AQ1847"/>
      <c r="AR1847"/>
      <c r="AS1847"/>
      <c r="AT1847"/>
      <c r="AU1847"/>
      <c r="AV1847"/>
      <c r="AW1847"/>
      <c r="AX1847"/>
      <c r="AY1847"/>
      <c r="AZ1847"/>
      <c r="BA1847"/>
      <c r="BB1847"/>
      <c r="BC1847"/>
      <c r="BD1847"/>
      <c r="BE1847"/>
      <c r="BF1847"/>
      <c r="BG1847"/>
      <c r="BH1847"/>
      <c r="BI1847"/>
      <c r="BJ1847"/>
      <c r="BK1847"/>
      <c r="BL1847"/>
      <c r="BM1847"/>
      <c r="BN1847"/>
      <c r="BO1847"/>
      <c r="BP1847"/>
      <c r="BQ1847"/>
      <c r="BR1847"/>
      <c r="BS1847"/>
      <c r="BT1847"/>
      <c r="BU1847"/>
      <c r="BV1847"/>
      <c r="BW1847"/>
      <c r="BX1847"/>
      <c r="BY1847"/>
      <c r="BZ1847"/>
      <c r="CA1847"/>
      <c r="CB1847"/>
      <c r="CC1847"/>
      <c r="CD1847"/>
      <c r="CE1847"/>
      <c r="CF1847"/>
      <c r="CG1847"/>
      <c r="CH1847"/>
    </row>
    <row r="1848" spans="1:86" x14ac:dyDescent="0.2">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c r="AQ1848"/>
      <c r="AR1848"/>
      <c r="AS1848"/>
      <c r="AT1848"/>
      <c r="AU1848"/>
      <c r="AV1848"/>
      <c r="AW1848"/>
      <c r="AX1848"/>
      <c r="AY1848"/>
      <c r="AZ1848"/>
      <c r="BA1848"/>
      <c r="BB1848"/>
      <c r="BC1848"/>
      <c r="BD1848"/>
      <c r="BE1848"/>
      <c r="BF1848"/>
      <c r="BG1848"/>
      <c r="BH1848"/>
      <c r="BI1848"/>
      <c r="BJ1848"/>
      <c r="BK1848"/>
      <c r="BL1848"/>
      <c r="BM1848"/>
      <c r="BN1848"/>
      <c r="BO1848"/>
      <c r="BP1848"/>
      <c r="BQ1848"/>
      <c r="BR1848"/>
      <c r="BS1848"/>
      <c r="BT1848"/>
      <c r="BU1848"/>
      <c r="BV1848"/>
      <c r="BW1848"/>
      <c r="BX1848"/>
      <c r="BY1848"/>
      <c r="BZ1848"/>
      <c r="CA1848"/>
      <c r="CB1848"/>
      <c r="CC1848"/>
      <c r="CD1848"/>
      <c r="CE1848"/>
      <c r="CF1848"/>
      <c r="CG1848"/>
      <c r="CH1848"/>
    </row>
    <row r="1849" spans="1:86" x14ac:dyDescent="0.2">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c r="AQ1849"/>
      <c r="AR1849"/>
      <c r="AS1849"/>
      <c r="AT1849"/>
      <c r="AU1849"/>
      <c r="AV1849"/>
      <c r="AW1849"/>
      <c r="AX1849"/>
      <c r="AY1849"/>
      <c r="AZ1849"/>
      <c r="BA1849"/>
      <c r="BB1849"/>
      <c r="BC1849"/>
      <c r="BD1849"/>
      <c r="BE1849"/>
      <c r="BF1849"/>
      <c r="BG1849"/>
      <c r="BH1849"/>
      <c r="BI1849"/>
      <c r="BJ1849"/>
      <c r="BK1849"/>
      <c r="BL1849"/>
      <c r="BM1849"/>
      <c r="BN1849"/>
      <c r="BO1849"/>
      <c r="BP1849"/>
      <c r="BQ1849"/>
      <c r="BR1849"/>
      <c r="BS1849"/>
      <c r="BT1849"/>
      <c r="BU1849"/>
      <c r="BV1849"/>
      <c r="BW1849"/>
      <c r="BX1849"/>
      <c r="BY1849"/>
      <c r="BZ1849"/>
      <c r="CA1849"/>
      <c r="CB1849"/>
      <c r="CC1849"/>
      <c r="CD1849"/>
      <c r="CE1849"/>
      <c r="CF1849"/>
      <c r="CG1849"/>
      <c r="CH1849"/>
    </row>
    <row r="1850" spans="1:86" x14ac:dyDescent="0.2">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c r="AQ1850"/>
      <c r="AR1850"/>
      <c r="AS1850"/>
      <c r="AT1850"/>
      <c r="AU1850"/>
      <c r="AV1850"/>
      <c r="AW1850"/>
      <c r="AX1850"/>
      <c r="AY1850"/>
      <c r="AZ1850"/>
      <c r="BA1850"/>
      <c r="BB1850"/>
      <c r="BC1850"/>
      <c r="BD1850"/>
      <c r="BE1850"/>
      <c r="BF1850"/>
      <c r="BG1850"/>
      <c r="BH1850"/>
      <c r="BI1850"/>
      <c r="BJ1850"/>
      <c r="BK1850"/>
      <c r="BL1850"/>
      <c r="BM1850"/>
      <c r="BN1850"/>
      <c r="BO1850"/>
      <c r="BP1850"/>
      <c r="BQ1850"/>
      <c r="BR1850"/>
      <c r="BS1850"/>
      <c r="BT1850"/>
      <c r="BU1850"/>
      <c r="BV1850"/>
      <c r="BW1850"/>
      <c r="BX1850"/>
      <c r="BY1850"/>
      <c r="BZ1850"/>
      <c r="CA1850"/>
      <c r="CB1850"/>
      <c r="CC1850"/>
      <c r="CD1850"/>
      <c r="CE1850"/>
      <c r="CF1850"/>
      <c r="CG1850"/>
      <c r="CH1850"/>
    </row>
    <row r="1851" spans="1:86" x14ac:dyDescent="0.2">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c r="AQ1851"/>
      <c r="AR1851"/>
      <c r="AS1851"/>
      <c r="AT1851"/>
      <c r="AU1851"/>
      <c r="AV1851"/>
      <c r="AW1851"/>
      <c r="AX1851"/>
      <c r="AY1851"/>
      <c r="AZ1851"/>
      <c r="BA1851"/>
      <c r="BB1851"/>
      <c r="BC1851"/>
      <c r="BD1851"/>
      <c r="BE1851"/>
      <c r="BF1851"/>
      <c r="BG1851"/>
      <c r="BH1851"/>
      <c r="BI1851"/>
      <c r="BJ1851"/>
      <c r="BK1851"/>
      <c r="BL1851"/>
      <c r="BM1851"/>
      <c r="BN1851"/>
      <c r="BO1851"/>
      <c r="BP1851"/>
      <c r="BQ1851"/>
      <c r="BR1851"/>
      <c r="BS1851"/>
      <c r="BT1851"/>
      <c r="BU1851"/>
      <c r="BV1851"/>
      <c r="BW1851"/>
      <c r="BX1851"/>
      <c r="BY1851"/>
      <c r="BZ1851"/>
      <c r="CA1851"/>
      <c r="CB1851"/>
      <c r="CC1851"/>
      <c r="CD1851"/>
      <c r="CE1851"/>
      <c r="CF1851"/>
      <c r="CG1851"/>
      <c r="CH1851"/>
    </row>
    <row r="1852" spans="1:86" x14ac:dyDescent="0.2">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c r="AQ1852"/>
      <c r="AR1852"/>
      <c r="AS1852"/>
      <c r="AT1852"/>
      <c r="AU1852"/>
      <c r="AV1852"/>
      <c r="AW1852"/>
      <c r="AX1852"/>
      <c r="AY1852"/>
      <c r="AZ1852"/>
      <c r="BA1852"/>
      <c r="BB1852"/>
      <c r="BC1852"/>
      <c r="BD1852"/>
      <c r="BE1852"/>
      <c r="BF1852"/>
      <c r="BG1852"/>
      <c r="BH1852"/>
      <c r="BI1852"/>
      <c r="BJ1852"/>
      <c r="BK1852"/>
      <c r="BL1852"/>
      <c r="BM1852"/>
      <c r="BN1852"/>
      <c r="BO1852"/>
      <c r="BP1852"/>
      <c r="BQ1852"/>
      <c r="BR1852"/>
      <c r="BS1852"/>
      <c r="BT1852"/>
      <c r="BU1852"/>
      <c r="BV1852"/>
      <c r="BW1852"/>
      <c r="BX1852"/>
      <c r="BY1852"/>
      <c r="BZ1852"/>
      <c r="CA1852"/>
      <c r="CB1852"/>
      <c r="CC1852"/>
      <c r="CD1852"/>
      <c r="CE1852"/>
      <c r="CF1852"/>
      <c r="CG1852"/>
      <c r="CH1852"/>
    </row>
    <row r="1853" spans="1:86" x14ac:dyDescent="0.2">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c r="AR1853"/>
      <c r="AS1853"/>
      <c r="AT1853"/>
      <c r="AU1853"/>
      <c r="AV1853"/>
      <c r="AW1853"/>
      <c r="AX1853"/>
      <c r="AY1853"/>
      <c r="AZ1853"/>
      <c r="BA1853"/>
      <c r="BB1853"/>
      <c r="BC1853"/>
      <c r="BD1853"/>
      <c r="BE1853"/>
      <c r="BF1853"/>
      <c r="BG1853"/>
      <c r="BH1853"/>
      <c r="BI1853"/>
      <c r="BJ1853"/>
      <c r="BK1853"/>
      <c r="BL1853"/>
      <c r="BM1853"/>
      <c r="BN1853"/>
      <c r="BO1853"/>
      <c r="BP1853"/>
      <c r="BQ1853"/>
      <c r="BR1853"/>
      <c r="BS1853"/>
      <c r="BT1853"/>
      <c r="BU1853"/>
      <c r="BV1853"/>
      <c r="BW1853"/>
      <c r="BX1853"/>
      <c r="BY1853"/>
      <c r="BZ1853"/>
      <c r="CA1853"/>
      <c r="CB1853"/>
      <c r="CC1853"/>
      <c r="CD1853"/>
      <c r="CE1853"/>
      <c r="CF1853"/>
      <c r="CG1853"/>
      <c r="CH1853"/>
    </row>
    <row r="1854" spans="1:86" x14ac:dyDescent="0.2">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c r="AQ1854"/>
      <c r="AR1854"/>
      <c r="AS1854"/>
      <c r="AT1854"/>
      <c r="AU1854"/>
      <c r="AV1854"/>
      <c r="AW1854"/>
      <c r="AX1854"/>
      <c r="AY1854"/>
      <c r="AZ1854"/>
      <c r="BA1854"/>
      <c r="BB1854"/>
      <c r="BC1854"/>
      <c r="BD1854"/>
      <c r="BE1854"/>
      <c r="BF1854"/>
      <c r="BG1854"/>
      <c r="BH1854"/>
      <c r="BI1854"/>
      <c r="BJ1854"/>
      <c r="BK1854"/>
      <c r="BL1854"/>
      <c r="BM1854"/>
      <c r="BN1854"/>
      <c r="BO1854"/>
      <c r="BP1854"/>
      <c r="BQ1854"/>
      <c r="BR1854"/>
      <c r="BS1854"/>
      <c r="BT1854"/>
      <c r="BU1854"/>
      <c r="BV1854"/>
      <c r="BW1854"/>
      <c r="BX1854"/>
      <c r="BY1854"/>
      <c r="BZ1854"/>
      <c r="CA1854"/>
      <c r="CB1854"/>
      <c r="CC1854"/>
      <c r="CD1854"/>
      <c r="CE1854"/>
      <c r="CF1854"/>
      <c r="CG1854"/>
      <c r="CH1854"/>
    </row>
    <row r="1855" spans="1:86" x14ac:dyDescent="0.2">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c r="AQ1855"/>
      <c r="AR1855"/>
      <c r="AS1855"/>
      <c r="AT1855"/>
      <c r="AU1855"/>
      <c r="AV1855"/>
      <c r="AW1855"/>
      <c r="AX1855"/>
      <c r="AY1855"/>
      <c r="AZ1855"/>
      <c r="BA1855"/>
      <c r="BB1855"/>
      <c r="BC1855"/>
      <c r="BD1855"/>
      <c r="BE1855"/>
      <c r="BF1855"/>
      <c r="BG1855"/>
      <c r="BH1855"/>
      <c r="BI1855"/>
      <c r="BJ1855"/>
      <c r="BK1855"/>
      <c r="BL1855"/>
      <c r="BM1855"/>
      <c r="BN1855"/>
      <c r="BO1855"/>
      <c r="BP1855"/>
      <c r="BQ1855"/>
      <c r="BR1855"/>
      <c r="BS1855"/>
      <c r="BT1855"/>
      <c r="BU1855"/>
      <c r="BV1855"/>
      <c r="BW1855"/>
      <c r="BX1855"/>
      <c r="BY1855"/>
      <c r="BZ1855"/>
      <c r="CA1855"/>
      <c r="CB1855"/>
      <c r="CC1855"/>
      <c r="CD1855"/>
      <c r="CE1855"/>
      <c r="CF1855"/>
      <c r="CG1855"/>
      <c r="CH1855"/>
    </row>
    <row r="1856" spans="1:86" x14ac:dyDescent="0.2">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c r="AQ1856"/>
      <c r="AR1856"/>
      <c r="AS1856"/>
      <c r="AT1856"/>
      <c r="AU1856"/>
      <c r="AV1856"/>
      <c r="AW1856"/>
      <c r="AX1856"/>
      <c r="AY1856"/>
      <c r="AZ1856"/>
      <c r="BA1856"/>
      <c r="BB1856"/>
      <c r="BC1856"/>
      <c r="BD1856"/>
      <c r="BE1856"/>
      <c r="BF1856"/>
      <c r="BG1856"/>
      <c r="BH1856"/>
      <c r="BI1856"/>
      <c r="BJ1856"/>
      <c r="BK1856"/>
      <c r="BL1856"/>
      <c r="BM1856"/>
      <c r="BN1856"/>
      <c r="BO1856"/>
      <c r="BP1856"/>
      <c r="BQ1856"/>
      <c r="BR1856"/>
      <c r="BS1856"/>
      <c r="BT1856"/>
      <c r="BU1856"/>
      <c r="BV1856"/>
      <c r="BW1856"/>
      <c r="BX1856"/>
      <c r="BY1856"/>
      <c r="BZ1856"/>
      <c r="CA1856"/>
      <c r="CB1856"/>
      <c r="CC1856"/>
      <c r="CD1856"/>
      <c r="CE1856"/>
      <c r="CF1856"/>
      <c r="CG1856"/>
      <c r="CH1856"/>
    </row>
    <row r="1857" spans="1:86" x14ac:dyDescent="0.2">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c r="AR1857"/>
      <c r="AS1857"/>
      <c r="AT1857"/>
      <c r="AU1857"/>
      <c r="AV1857"/>
      <c r="AW1857"/>
      <c r="AX1857"/>
      <c r="AY1857"/>
      <c r="AZ1857"/>
      <c r="BA1857"/>
      <c r="BB1857"/>
      <c r="BC1857"/>
      <c r="BD1857"/>
      <c r="BE1857"/>
      <c r="BF1857"/>
      <c r="BG1857"/>
      <c r="BH1857"/>
      <c r="BI1857"/>
      <c r="BJ1857"/>
      <c r="BK1857"/>
      <c r="BL1857"/>
      <c r="BM1857"/>
      <c r="BN1857"/>
      <c r="BO1857"/>
      <c r="BP1857"/>
      <c r="BQ1857"/>
      <c r="BR1857"/>
      <c r="BS1857"/>
      <c r="BT1857"/>
      <c r="BU1857"/>
      <c r="BV1857"/>
      <c r="BW1857"/>
      <c r="BX1857"/>
      <c r="BY1857"/>
      <c r="BZ1857"/>
      <c r="CA1857"/>
      <c r="CB1857"/>
      <c r="CC1857"/>
      <c r="CD1857"/>
      <c r="CE1857"/>
      <c r="CF1857"/>
      <c r="CG1857"/>
      <c r="CH1857"/>
    </row>
    <row r="1858" spans="1:86" x14ac:dyDescent="0.2">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c r="AQ1858"/>
      <c r="AR1858"/>
      <c r="AS1858"/>
      <c r="AT1858"/>
      <c r="AU1858"/>
      <c r="AV1858"/>
      <c r="AW1858"/>
      <c r="AX1858"/>
      <c r="AY1858"/>
      <c r="AZ1858"/>
      <c r="BA1858"/>
      <c r="BB1858"/>
      <c r="BC1858"/>
      <c r="BD1858"/>
      <c r="BE1858"/>
      <c r="BF1858"/>
      <c r="BG1858"/>
      <c r="BH1858"/>
      <c r="BI1858"/>
      <c r="BJ1858"/>
      <c r="BK1858"/>
      <c r="BL1858"/>
      <c r="BM1858"/>
      <c r="BN1858"/>
      <c r="BO1858"/>
      <c r="BP1858"/>
      <c r="BQ1858"/>
      <c r="BR1858"/>
      <c r="BS1858"/>
      <c r="BT1858"/>
      <c r="BU1858"/>
      <c r="BV1858"/>
      <c r="BW1858"/>
      <c r="BX1858"/>
      <c r="BY1858"/>
      <c r="BZ1858"/>
      <c r="CA1858"/>
      <c r="CB1858"/>
      <c r="CC1858"/>
      <c r="CD1858"/>
      <c r="CE1858"/>
      <c r="CF1858"/>
      <c r="CG1858"/>
      <c r="CH1858"/>
    </row>
    <row r="1859" spans="1:86" x14ac:dyDescent="0.2">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c r="AQ1859"/>
      <c r="AR1859"/>
      <c r="AS1859"/>
      <c r="AT1859"/>
      <c r="AU1859"/>
      <c r="AV1859"/>
      <c r="AW1859"/>
      <c r="AX1859"/>
      <c r="AY1859"/>
      <c r="AZ1859"/>
      <c r="BA1859"/>
      <c r="BB1859"/>
      <c r="BC1859"/>
      <c r="BD1859"/>
      <c r="BE1859"/>
      <c r="BF1859"/>
      <c r="BG1859"/>
      <c r="BH1859"/>
      <c r="BI1859"/>
      <c r="BJ1859"/>
      <c r="BK1859"/>
      <c r="BL1859"/>
      <c r="BM1859"/>
      <c r="BN1859"/>
      <c r="BO1859"/>
      <c r="BP1859"/>
      <c r="BQ1859"/>
      <c r="BR1859"/>
      <c r="BS1859"/>
      <c r="BT1859"/>
      <c r="BU1859"/>
      <c r="BV1859"/>
      <c r="BW1859"/>
      <c r="BX1859"/>
      <c r="BY1859"/>
      <c r="BZ1859"/>
      <c r="CA1859"/>
      <c r="CB1859"/>
      <c r="CC1859"/>
      <c r="CD1859"/>
      <c r="CE1859"/>
      <c r="CF1859"/>
      <c r="CG1859"/>
      <c r="CH1859"/>
    </row>
    <row r="1860" spans="1:86" x14ac:dyDescent="0.2">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c r="AQ1860"/>
      <c r="AR1860"/>
      <c r="AS1860"/>
      <c r="AT1860"/>
      <c r="AU1860"/>
      <c r="AV1860"/>
      <c r="AW1860"/>
      <c r="AX1860"/>
      <c r="AY1860"/>
      <c r="AZ1860"/>
      <c r="BA1860"/>
      <c r="BB1860"/>
      <c r="BC1860"/>
      <c r="BD1860"/>
      <c r="BE1860"/>
      <c r="BF1860"/>
      <c r="BG1860"/>
      <c r="BH1860"/>
      <c r="BI1860"/>
      <c r="BJ1860"/>
      <c r="BK1860"/>
      <c r="BL1860"/>
      <c r="BM1860"/>
      <c r="BN1860"/>
      <c r="BO1860"/>
      <c r="BP1860"/>
      <c r="BQ1860"/>
      <c r="BR1860"/>
      <c r="BS1860"/>
      <c r="BT1860"/>
      <c r="BU1860"/>
      <c r="BV1860"/>
      <c r="BW1860"/>
      <c r="BX1860"/>
      <c r="BY1860"/>
      <c r="BZ1860"/>
      <c r="CA1860"/>
      <c r="CB1860"/>
      <c r="CC1860"/>
      <c r="CD1860"/>
      <c r="CE1860"/>
      <c r="CF1860"/>
      <c r="CG1860"/>
      <c r="CH1860"/>
    </row>
    <row r="1861" spans="1:86" x14ac:dyDescent="0.2">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c r="AQ1861"/>
      <c r="AR1861"/>
      <c r="AS1861"/>
      <c r="AT1861"/>
      <c r="AU1861"/>
      <c r="AV1861"/>
      <c r="AW1861"/>
      <c r="AX1861"/>
      <c r="AY1861"/>
      <c r="AZ1861"/>
      <c r="BA1861"/>
      <c r="BB1861"/>
      <c r="BC1861"/>
      <c r="BD1861"/>
      <c r="BE1861"/>
      <c r="BF1861"/>
      <c r="BG1861"/>
      <c r="BH1861"/>
      <c r="BI1861"/>
      <c r="BJ1861"/>
      <c r="BK1861"/>
      <c r="BL1861"/>
      <c r="BM1861"/>
      <c r="BN1861"/>
      <c r="BO1861"/>
      <c r="BP1861"/>
      <c r="BQ1861"/>
      <c r="BR1861"/>
      <c r="BS1861"/>
      <c r="BT1861"/>
      <c r="BU1861"/>
      <c r="BV1861"/>
      <c r="BW1861"/>
      <c r="BX1861"/>
      <c r="BY1861"/>
      <c r="BZ1861"/>
      <c r="CA1861"/>
      <c r="CB1861"/>
      <c r="CC1861"/>
      <c r="CD1861"/>
      <c r="CE1861"/>
      <c r="CF1861"/>
      <c r="CG1861"/>
      <c r="CH1861"/>
    </row>
    <row r="1862" spans="1:86" x14ac:dyDescent="0.2">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c r="AQ1862"/>
      <c r="AR1862"/>
      <c r="AS1862"/>
      <c r="AT1862"/>
      <c r="AU1862"/>
      <c r="AV1862"/>
      <c r="AW1862"/>
      <c r="AX1862"/>
      <c r="AY1862"/>
      <c r="AZ1862"/>
      <c r="BA1862"/>
      <c r="BB1862"/>
      <c r="BC1862"/>
      <c r="BD1862"/>
      <c r="BE1862"/>
      <c r="BF1862"/>
      <c r="BG1862"/>
      <c r="BH1862"/>
      <c r="BI1862"/>
      <c r="BJ1862"/>
      <c r="BK1862"/>
      <c r="BL1862"/>
      <c r="BM1862"/>
      <c r="BN1862"/>
      <c r="BO1862"/>
      <c r="BP1862"/>
      <c r="BQ1862"/>
      <c r="BR1862"/>
      <c r="BS1862"/>
      <c r="BT1862"/>
      <c r="BU1862"/>
      <c r="BV1862"/>
      <c r="BW1862"/>
      <c r="BX1862"/>
      <c r="BY1862"/>
      <c r="BZ1862"/>
      <c r="CA1862"/>
      <c r="CB1862"/>
      <c r="CC1862"/>
      <c r="CD1862"/>
      <c r="CE1862"/>
      <c r="CF1862"/>
      <c r="CG1862"/>
      <c r="CH1862"/>
    </row>
    <row r="1863" spans="1:86" x14ac:dyDescent="0.2">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c r="AQ1863"/>
      <c r="AR1863"/>
      <c r="AS1863"/>
      <c r="AT1863"/>
      <c r="AU1863"/>
      <c r="AV1863"/>
      <c r="AW1863"/>
      <c r="AX1863"/>
      <c r="AY1863"/>
      <c r="AZ1863"/>
      <c r="BA1863"/>
      <c r="BB1863"/>
      <c r="BC1863"/>
      <c r="BD1863"/>
      <c r="BE1863"/>
      <c r="BF1863"/>
      <c r="BG1863"/>
      <c r="BH1863"/>
      <c r="BI1863"/>
      <c r="BJ1863"/>
      <c r="BK1863"/>
      <c r="BL1863"/>
      <c r="BM1863"/>
      <c r="BN1863"/>
      <c r="BO1863"/>
      <c r="BP1863"/>
      <c r="BQ1863"/>
      <c r="BR1863"/>
      <c r="BS1863"/>
      <c r="BT1863"/>
      <c r="BU1863"/>
      <c r="BV1863"/>
      <c r="BW1863"/>
      <c r="BX1863"/>
      <c r="BY1863"/>
      <c r="BZ1863"/>
      <c r="CA1863"/>
      <c r="CB1863"/>
      <c r="CC1863"/>
      <c r="CD1863"/>
      <c r="CE1863"/>
      <c r="CF1863"/>
      <c r="CG1863"/>
      <c r="CH1863"/>
    </row>
    <row r="1864" spans="1:86" x14ac:dyDescent="0.2">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c r="AQ1864"/>
      <c r="AR1864"/>
      <c r="AS1864"/>
      <c r="AT1864"/>
      <c r="AU1864"/>
      <c r="AV1864"/>
      <c r="AW1864"/>
      <c r="AX1864"/>
      <c r="AY1864"/>
      <c r="AZ1864"/>
      <c r="BA1864"/>
      <c r="BB1864"/>
      <c r="BC1864"/>
      <c r="BD1864"/>
      <c r="BE1864"/>
      <c r="BF1864"/>
      <c r="BG1864"/>
      <c r="BH1864"/>
      <c r="BI1864"/>
      <c r="BJ1864"/>
      <c r="BK1864"/>
      <c r="BL1864"/>
      <c r="BM1864"/>
      <c r="BN1864"/>
      <c r="BO1864"/>
      <c r="BP1864"/>
      <c r="BQ1864"/>
      <c r="BR1864"/>
      <c r="BS1864"/>
      <c r="BT1864"/>
      <c r="BU1864"/>
      <c r="BV1864"/>
      <c r="BW1864"/>
      <c r="BX1864"/>
      <c r="BY1864"/>
      <c r="BZ1864"/>
      <c r="CA1864"/>
      <c r="CB1864"/>
      <c r="CC1864"/>
      <c r="CD1864"/>
      <c r="CE1864"/>
      <c r="CF1864"/>
      <c r="CG1864"/>
      <c r="CH1864"/>
    </row>
    <row r="1865" spans="1:86" x14ac:dyDescent="0.2">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c r="AQ1865"/>
      <c r="AR1865"/>
      <c r="AS1865"/>
      <c r="AT1865"/>
      <c r="AU1865"/>
      <c r="AV1865"/>
      <c r="AW1865"/>
      <c r="AX1865"/>
      <c r="AY1865"/>
      <c r="AZ1865"/>
      <c r="BA1865"/>
      <c r="BB1865"/>
      <c r="BC1865"/>
      <c r="BD1865"/>
      <c r="BE1865"/>
      <c r="BF1865"/>
      <c r="BG1865"/>
      <c r="BH1865"/>
      <c r="BI1865"/>
      <c r="BJ1865"/>
      <c r="BK1865"/>
      <c r="BL1865"/>
      <c r="BM1865"/>
      <c r="BN1865"/>
      <c r="BO1865"/>
      <c r="BP1865"/>
      <c r="BQ1865"/>
      <c r="BR1865"/>
      <c r="BS1865"/>
      <c r="BT1865"/>
      <c r="BU1865"/>
      <c r="BV1865"/>
      <c r="BW1865"/>
      <c r="BX1865"/>
      <c r="BY1865"/>
      <c r="BZ1865"/>
      <c r="CA1865"/>
      <c r="CB1865"/>
      <c r="CC1865"/>
      <c r="CD1865"/>
      <c r="CE1865"/>
      <c r="CF1865"/>
      <c r="CG1865"/>
      <c r="CH1865"/>
    </row>
    <row r="1866" spans="1:86" x14ac:dyDescent="0.2">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c r="AQ1866"/>
      <c r="AR1866"/>
      <c r="AS1866"/>
      <c r="AT1866"/>
      <c r="AU1866"/>
      <c r="AV1866"/>
      <c r="AW1866"/>
      <c r="AX1866"/>
      <c r="AY1866"/>
      <c r="AZ1866"/>
      <c r="BA1866"/>
      <c r="BB1866"/>
      <c r="BC1866"/>
      <c r="BD1866"/>
      <c r="BE1866"/>
      <c r="BF1866"/>
      <c r="BG1866"/>
      <c r="BH1866"/>
      <c r="BI1866"/>
      <c r="BJ1866"/>
      <c r="BK1866"/>
      <c r="BL1866"/>
      <c r="BM1866"/>
      <c r="BN1866"/>
      <c r="BO1866"/>
      <c r="BP1866"/>
      <c r="BQ1866"/>
      <c r="BR1866"/>
      <c r="BS1866"/>
      <c r="BT1866"/>
      <c r="BU1866"/>
      <c r="BV1866"/>
      <c r="BW1866"/>
      <c r="BX1866"/>
      <c r="BY1866"/>
      <c r="BZ1866"/>
      <c r="CA1866"/>
      <c r="CB1866"/>
      <c r="CC1866"/>
      <c r="CD1866"/>
      <c r="CE1866"/>
      <c r="CF1866"/>
      <c r="CG1866"/>
      <c r="CH1866"/>
    </row>
    <row r="1867" spans="1:86" x14ac:dyDescent="0.2">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c r="AQ1867"/>
      <c r="AR1867"/>
      <c r="AS1867"/>
      <c r="AT1867"/>
      <c r="AU1867"/>
      <c r="AV1867"/>
      <c r="AW1867"/>
      <c r="AX1867"/>
      <c r="AY1867"/>
      <c r="AZ1867"/>
      <c r="BA1867"/>
      <c r="BB1867"/>
      <c r="BC1867"/>
      <c r="BD1867"/>
      <c r="BE1867"/>
      <c r="BF1867"/>
      <c r="BG1867"/>
      <c r="BH1867"/>
      <c r="BI1867"/>
      <c r="BJ1867"/>
      <c r="BK1867"/>
      <c r="BL1867"/>
      <c r="BM1867"/>
      <c r="BN1867"/>
      <c r="BO1867"/>
      <c r="BP1867"/>
      <c r="BQ1867"/>
      <c r="BR1867"/>
      <c r="BS1867"/>
      <c r="BT1867"/>
      <c r="BU1867"/>
      <c r="BV1867"/>
      <c r="BW1867"/>
      <c r="BX1867"/>
      <c r="BY1867"/>
      <c r="BZ1867"/>
      <c r="CA1867"/>
      <c r="CB1867"/>
      <c r="CC1867"/>
      <c r="CD1867"/>
      <c r="CE1867"/>
      <c r="CF1867"/>
      <c r="CG1867"/>
      <c r="CH1867"/>
    </row>
    <row r="1868" spans="1:86" x14ac:dyDescent="0.2">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c r="AQ1868"/>
      <c r="AR1868"/>
      <c r="AS1868"/>
      <c r="AT1868"/>
      <c r="AU1868"/>
      <c r="AV1868"/>
      <c r="AW1868"/>
      <c r="AX1868"/>
      <c r="AY1868"/>
      <c r="AZ1868"/>
      <c r="BA1868"/>
      <c r="BB1868"/>
      <c r="BC1868"/>
      <c r="BD1868"/>
      <c r="BE1868"/>
      <c r="BF1868"/>
      <c r="BG1868"/>
      <c r="BH1868"/>
      <c r="BI1868"/>
      <c r="BJ1868"/>
      <c r="BK1868"/>
      <c r="BL1868"/>
      <c r="BM1868"/>
      <c r="BN1868"/>
      <c r="BO1868"/>
      <c r="BP1868"/>
      <c r="BQ1868"/>
      <c r="BR1868"/>
      <c r="BS1868"/>
      <c r="BT1868"/>
      <c r="BU1868"/>
      <c r="BV1868"/>
      <c r="BW1868"/>
      <c r="BX1868"/>
      <c r="BY1868"/>
      <c r="BZ1868"/>
      <c r="CA1868"/>
      <c r="CB1868"/>
      <c r="CC1868"/>
      <c r="CD1868"/>
      <c r="CE1868"/>
      <c r="CF1868"/>
      <c r="CG1868"/>
      <c r="CH1868"/>
    </row>
    <row r="1869" spans="1:86" x14ac:dyDescent="0.2">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c r="AQ1869"/>
      <c r="AR1869"/>
      <c r="AS1869"/>
      <c r="AT1869"/>
      <c r="AU1869"/>
      <c r="AV1869"/>
      <c r="AW1869"/>
      <c r="AX1869"/>
      <c r="AY1869"/>
      <c r="AZ1869"/>
      <c r="BA1869"/>
      <c r="BB1869"/>
      <c r="BC1869"/>
      <c r="BD1869"/>
      <c r="BE1869"/>
      <c r="BF1869"/>
      <c r="BG1869"/>
      <c r="BH1869"/>
      <c r="BI1869"/>
      <c r="BJ1869"/>
      <c r="BK1869"/>
      <c r="BL1869"/>
      <c r="BM1869"/>
      <c r="BN1869"/>
      <c r="BO1869"/>
      <c r="BP1869"/>
      <c r="BQ1869"/>
      <c r="BR1869"/>
      <c r="BS1869"/>
      <c r="BT1869"/>
      <c r="BU1869"/>
      <c r="BV1869"/>
      <c r="BW1869"/>
      <c r="BX1869"/>
      <c r="BY1869"/>
      <c r="BZ1869"/>
      <c r="CA1869"/>
      <c r="CB1869"/>
      <c r="CC1869"/>
      <c r="CD1869"/>
      <c r="CE1869"/>
      <c r="CF1869"/>
      <c r="CG1869"/>
      <c r="CH1869"/>
    </row>
    <row r="1870" spans="1:86" x14ac:dyDescent="0.2">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c r="AQ1870"/>
      <c r="AR1870"/>
      <c r="AS1870"/>
      <c r="AT1870"/>
      <c r="AU1870"/>
      <c r="AV1870"/>
      <c r="AW1870"/>
      <c r="AX1870"/>
      <c r="AY1870"/>
      <c r="AZ1870"/>
      <c r="BA1870"/>
      <c r="BB1870"/>
      <c r="BC1870"/>
      <c r="BD1870"/>
      <c r="BE1870"/>
      <c r="BF1870"/>
      <c r="BG1870"/>
      <c r="BH1870"/>
      <c r="BI1870"/>
      <c r="BJ1870"/>
      <c r="BK1870"/>
      <c r="BL1870"/>
      <c r="BM1870"/>
      <c r="BN1870"/>
      <c r="BO1870"/>
      <c r="BP1870"/>
      <c r="BQ1870"/>
      <c r="BR1870"/>
      <c r="BS1870"/>
      <c r="BT1870"/>
      <c r="BU1870"/>
      <c r="BV1870"/>
      <c r="BW1870"/>
      <c r="BX1870"/>
      <c r="BY1870"/>
      <c r="BZ1870"/>
      <c r="CA1870"/>
      <c r="CB1870"/>
      <c r="CC1870"/>
      <c r="CD1870"/>
      <c r="CE1870"/>
      <c r="CF1870"/>
      <c r="CG1870"/>
      <c r="CH1870"/>
    </row>
    <row r="1871" spans="1:86" x14ac:dyDescent="0.2">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c r="AQ1871"/>
      <c r="AR1871"/>
      <c r="AS1871"/>
      <c r="AT1871"/>
      <c r="AU1871"/>
      <c r="AV1871"/>
      <c r="AW1871"/>
      <c r="AX1871"/>
      <c r="AY1871"/>
      <c r="AZ1871"/>
      <c r="BA1871"/>
      <c r="BB1871"/>
      <c r="BC1871"/>
      <c r="BD1871"/>
      <c r="BE1871"/>
      <c r="BF1871"/>
      <c r="BG1871"/>
      <c r="BH1871"/>
      <c r="BI1871"/>
      <c r="BJ1871"/>
      <c r="BK1871"/>
      <c r="BL1871"/>
      <c r="BM1871"/>
      <c r="BN1871"/>
      <c r="BO1871"/>
      <c r="BP1871"/>
      <c r="BQ1871"/>
      <c r="BR1871"/>
      <c r="BS1871"/>
      <c r="BT1871"/>
      <c r="BU1871"/>
      <c r="BV1871"/>
      <c r="BW1871"/>
      <c r="BX1871"/>
      <c r="BY1871"/>
      <c r="BZ1871"/>
      <c r="CA1871"/>
      <c r="CB1871"/>
      <c r="CC1871"/>
      <c r="CD1871"/>
      <c r="CE1871"/>
      <c r="CF1871"/>
      <c r="CG1871"/>
      <c r="CH1871"/>
    </row>
    <row r="1872" spans="1:86" x14ac:dyDescent="0.2">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c r="AQ1872"/>
      <c r="AR1872"/>
      <c r="AS1872"/>
      <c r="AT1872"/>
      <c r="AU1872"/>
      <c r="AV1872"/>
      <c r="AW1872"/>
      <c r="AX1872"/>
      <c r="AY1872"/>
      <c r="AZ1872"/>
      <c r="BA1872"/>
      <c r="BB1872"/>
      <c r="BC1872"/>
      <c r="BD1872"/>
      <c r="BE1872"/>
      <c r="BF1872"/>
      <c r="BG1872"/>
      <c r="BH1872"/>
      <c r="BI1872"/>
      <c r="BJ1872"/>
      <c r="BK1872"/>
      <c r="BL1872"/>
      <c r="BM1872"/>
      <c r="BN1872"/>
      <c r="BO1872"/>
      <c r="BP1872"/>
      <c r="BQ1872"/>
      <c r="BR1872"/>
      <c r="BS1872"/>
      <c r="BT1872"/>
      <c r="BU1872"/>
      <c r="BV1872"/>
      <c r="BW1872"/>
      <c r="BX1872"/>
      <c r="BY1872"/>
      <c r="BZ1872"/>
      <c r="CA1872"/>
      <c r="CB1872"/>
      <c r="CC1872"/>
      <c r="CD1872"/>
      <c r="CE1872"/>
      <c r="CF1872"/>
      <c r="CG1872"/>
      <c r="CH1872"/>
    </row>
    <row r="1873" spans="1:86" x14ac:dyDescent="0.2">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c r="AQ1873"/>
      <c r="AR1873"/>
      <c r="AS1873"/>
      <c r="AT1873"/>
      <c r="AU1873"/>
      <c r="AV1873"/>
      <c r="AW1873"/>
      <c r="AX1873"/>
      <c r="AY1873"/>
      <c r="AZ1873"/>
      <c r="BA1873"/>
      <c r="BB1873"/>
      <c r="BC1873"/>
      <c r="BD1873"/>
      <c r="BE1873"/>
      <c r="BF1873"/>
      <c r="BG1873"/>
      <c r="BH1873"/>
      <c r="BI1873"/>
      <c r="BJ1873"/>
      <c r="BK1873"/>
      <c r="BL1873"/>
      <c r="BM1873"/>
      <c r="BN1873"/>
      <c r="BO1873"/>
      <c r="BP1873"/>
      <c r="BQ1873"/>
      <c r="BR1873"/>
      <c r="BS1873"/>
      <c r="BT1873"/>
      <c r="BU1873"/>
      <c r="BV1873"/>
      <c r="BW1873"/>
      <c r="BX1873"/>
      <c r="BY1873"/>
      <c r="BZ1873"/>
      <c r="CA1873"/>
      <c r="CB1873"/>
      <c r="CC1873"/>
      <c r="CD1873"/>
      <c r="CE1873"/>
      <c r="CF1873"/>
      <c r="CG1873"/>
      <c r="CH1873"/>
    </row>
    <row r="1874" spans="1:86" x14ac:dyDescent="0.2">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c r="AQ1874"/>
      <c r="AR1874"/>
      <c r="AS1874"/>
      <c r="AT1874"/>
      <c r="AU1874"/>
      <c r="AV1874"/>
      <c r="AW1874"/>
      <c r="AX1874"/>
      <c r="AY1874"/>
      <c r="AZ1874"/>
      <c r="BA1874"/>
      <c r="BB1874"/>
      <c r="BC1874"/>
      <c r="BD1874"/>
      <c r="BE1874"/>
      <c r="BF1874"/>
      <c r="BG1874"/>
      <c r="BH1874"/>
      <c r="BI1874"/>
      <c r="BJ1874"/>
      <c r="BK1874"/>
      <c r="BL1874"/>
      <c r="BM1874"/>
      <c r="BN1874"/>
      <c r="BO1874"/>
      <c r="BP1874"/>
      <c r="BQ1874"/>
      <c r="BR1874"/>
      <c r="BS1874"/>
      <c r="BT1874"/>
      <c r="BU1874"/>
      <c r="BV1874"/>
      <c r="BW1874"/>
      <c r="BX1874"/>
      <c r="BY1874"/>
      <c r="BZ1874"/>
      <c r="CA1874"/>
      <c r="CB1874"/>
      <c r="CC1874"/>
      <c r="CD1874"/>
      <c r="CE1874"/>
      <c r="CF1874"/>
      <c r="CG1874"/>
      <c r="CH1874"/>
    </row>
    <row r="1875" spans="1:86" x14ac:dyDescent="0.2">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c r="AR1875"/>
      <c r="AS1875"/>
      <c r="AT1875"/>
      <c r="AU1875"/>
      <c r="AV1875"/>
      <c r="AW1875"/>
      <c r="AX1875"/>
      <c r="AY1875"/>
      <c r="AZ1875"/>
      <c r="BA1875"/>
      <c r="BB1875"/>
      <c r="BC1875"/>
      <c r="BD1875"/>
      <c r="BE1875"/>
      <c r="BF1875"/>
      <c r="BG1875"/>
      <c r="BH1875"/>
      <c r="BI1875"/>
      <c r="BJ1875"/>
      <c r="BK1875"/>
      <c r="BL1875"/>
      <c r="BM1875"/>
      <c r="BN1875"/>
      <c r="BO1875"/>
      <c r="BP1875"/>
      <c r="BQ1875"/>
      <c r="BR1875"/>
      <c r="BS1875"/>
      <c r="BT1875"/>
      <c r="BU1875"/>
      <c r="BV1875"/>
      <c r="BW1875"/>
      <c r="BX1875"/>
      <c r="BY1875"/>
      <c r="BZ1875"/>
      <c r="CA1875"/>
      <c r="CB1875"/>
      <c r="CC1875"/>
      <c r="CD1875"/>
      <c r="CE1875"/>
      <c r="CF1875"/>
      <c r="CG1875"/>
      <c r="CH1875"/>
    </row>
    <row r="1876" spans="1:86" x14ac:dyDescent="0.2">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c r="AQ1876"/>
      <c r="AR1876"/>
      <c r="AS1876"/>
      <c r="AT1876"/>
      <c r="AU1876"/>
      <c r="AV1876"/>
      <c r="AW1876"/>
      <c r="AX1876"/>
      <c r="AY1876"/>
      <c r="AZ1876"/>
      <c r="BA1876"/>
      <c r="BB1876"/>
      <c r="BC1876"/>
      <c r="BD1876"/>
      <c r="BE1876"/>
      <c r="BF1876"/>
      <c r="BG1876"/>
      <c r="BH1876"/>
      <c r="BI1876"/>
      <c r="BJ1876"/>
      <c r="BK1876"/>
      <c r="BL1876"/>
      <c r="BM1876"/>
      <c r="BN1876"/>
      <c r="BO1876"/>
      <c r="BP1876"/>
      <c r="BQ1876"/>
      <c r="BR1876"/>
      <c r="BS1876"/>
      <c r="BT1876"/>
      <c r="BU1876"/>
      <c r="BV1876"/>
      <c r="BW1876"/>
      <c r="BX1876"/>
      <c r="BY1876"/>
      <c r="BZ1876"/>
      <c r="CA1876"/>
      <c r="CB1876"/>
      <c r="CC1876"/>
      <c r="CD1876"/>
      <c r="CE1876"/>
      <c r="CF1876"/>
      <c r="CG1876"/>
      <c r="CH1876"/>
    </row>
    <row r="1877" spans="1:86" x14ac:dyDescent="0.2">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c r="AQ1877"/>
      <c r="AR1877"/>
      <c r="AS1877"/>
      <c r="AT1877"/>
      <c r="AU1877"/>
      <c r="AV1877"/>
      <c r="AW1877"/>
      <c r="AX1877"/>
      <c r="AY1877"/>
      <c r="AZ1877"/>
      <c r="BA1877"/>
      <c r="BB1877"/>
      <c r="BC1877"/>
      <c r="BD1877"/>
      <c r="BE1877"/>
      <c r="BF1877"/>
      <c r="BG1877"/>
      <c r="BH1877"/>
      <c r="BI1877"/>
      <c r="BJ1877"/>
      <c r="BK1877"/>
      <c r="BL1877"/>
      <c r="BM1877"/>
      <c r="BN1877"/>
      <c r="BO1877"/>
      <c r="BP1877"/>
      <c r="BQ1877"/>
      <c r="BR1877"/>
      <c r="BS1877"/>
      <c r="BT1877"/>
      <c r="BU1877"/>
      <c r="BV1877"/>
      <c r="BW1877"/>
      <c r="BX1877"/>
      <c r="BY1877"/>
      <c r="BZ1877"/>
      <c r="CA1877"/>
      <c r="CB1877"/>
      <c r="CC1877"/>
      <c r="CD1877"/>
      <c r="CE1877"/>
      <c r="CF1877"/>
      <c r="CG1877"/>
      <c r="CH1877"/>
    </row>
    <row r="1878" spans="1:86" x14ac:dyDescent="0.2">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c r="AQ1878"/>
      <c r="AR1878"/>
      <c r="AS1878"/>
      <c r="AT1878"/>
      <c r="AU1878"/>
      <c r="AV1878"/>
      <c r="AW1878"/>
      <c r="AX1878"/>
      <c r="AY1878"/>
      <c r="AZ1878"/>
      <c r="BA1878"/>
      <c r="BB1878"/>
      <c r="BC1878"/>
      <c r="BD1878"/>
      <c r="BE1878"/>
      <c r="BF1878"/>
      <c r="BG1878"/>
      <c r="BH1878"/>
      <c r="BI1878"/>
      <c r="BJ1878"/>
      <c r="BK1878"/>
      <c r="BL1878"/>
      <c r="BM1878"/>
      <c r="BN1878"/>
      <c r="BO1878"/>
      <c r="BP1878"/>
      <c r="BQ1878"/>
      <c r="BR1878"/>
      <c r="BS1878"/>
      <c r="BT1878"/>
      <c r="BU1878"/>
      <c r="BV1878"/>
      <c r="BW1878"/>
      <c r="BX1878"/>
      <c r="BY1878"/>
      <c r="BZ1878"/>
      <c r="CA1878"/>
      <c r="CB1878"/>
      <c r="CC1878"/>
      <c r="CD1878"/>
      <c r="CE1878"/>
      <c r="CF1878"/>
      <c r="CG1878"/>
      <c r="CH1878"/>
    </row>
    <row r="1879" spans="1:86" x14ac:dyDescent="0.2">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c r="AR1879"/>
      <c r="AS1879"/>
      <c r="AT1879"/>
      <c r="AU1879"/>
      <c r="AV1879"/>
      <c r="AW1879"/>
      <c r="AX1879"/>
      <c r="AY1879"/>
      <c r="AZ1879"/>
      <c r="BA1879"/>
      <c r="BB1879"/>
      <c r="BC1879"/>
      <c r="BD1879"/>
      <c r="BE1879"/>
      <c r="BF1879"/>
      <c r="BG1879"/>
      <c r="BH1879"/>
      <c r="BI1879"/>
      <c r="BJ1879"/>
      <c r="BK1879"/>
      <c r="BL1879"/>
      <c r="BM1879"/>
      <c r="BN1879"/>
      <c r="BO1879"/>
      <c r="BP1879"/>
      <c r="BQ1879"/>
      <c r="BR1879"/>
      <c r="BS1879"/>
      <c r="BT1879"/>
      <c r="BU1879"/>
      <c r="BV1879"/>
      <c r="BW1879"/>
      <c r="BX1879"/>
      <c r="BY1879"/>
      <c r="BZ1879"/>
      <c r="CA1879"/>
      <c r="CB1879"/>
      <c r="CC1879"/>
      <c r="CD1879"/>
      <c r="CE1879"/>
      <c r="CF1879"/>
      <c r="CG1879"/>
      <c r="CH1879"/>
    </row>
    <row r="1880" spans="1:86" x14ac:dyDescent="0.2">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c r="AQ1880"/>
      <c r="AR1880"/>
      <c r="AS1880"/>
      <c r="AT1880"/>
      <c r="AU1880"/>
      <c r="AV1880"/>
      <c r="AW1880"/>
      <c r="AX1880"/>
      <c r="AY1880"/>
      <c r="AZ1880"/>
      <c r="BA1880"/>
      <c r="BB1880"/>
      <c r="BC1880"/>
      <c r="BD1880"/>
      <c r="BE1880"/>
      <c r="BF1880"/>
      <c r="BG1880"/>
      <c r="BH1880"/>
      <c r="BI1880"/>
      <c r="BJ1880"/>
      <c r="BK1880"/>
      <c r="BL1880"/>
      <c r="BM1880"/>
      <c r="BN1880"/>
      <c r="BO1880"/>
      <c r="BP1880"/>
      <c r="BQ1880"/>
      <c r="BR1880"/>
      <c r="BS1880"/>
      <c r="BT1880"/>
      <c r="BU1880"/>
      <c r="BV1880"/>
      <c r="BW1880"/>
      <c r="BX1880"/>
      <c r="BY1880"/>
      <c r="BZ1880"/>
      <c r="CA1880"/>
      <c r="CB1880"/>
      <c r="CC1880"/>
      <c r="CD1880"/>
      <c r="CE1880"/>
      <c r="CF1880"/>
      <c r="CG1880"/>
      <c r="CH1880"/>
    </row>
    <row r="1881" spans="1:86" x14ac:dyDescent="0.2">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c r="AQ1881"/>
      <c r="AR1881"/>
      <c r="AS1881"/>
      <c r="AT1881"/>
      <c r="AU1881"/>
      <c r="AV1881"/>
      <c r="AW1881"/>
      <c r="AX1881"/>
      <c r="AY1881"/>
      <c r="AZ1881"/>
      <c r="BA1881"/>
      <c r="BB1881"/>
      <c r="BC1881"/>
      <c r="BD1881"/>
      <c r="BE1881"/>
      <c r="BF1881"/>
      <c r="BG1881"/>
      <c r="BH1881"/>
      <c r="BI1881"/>
      <c r="BJ1881"/>
      <c r="BK1881"/>
      <c r="BL1881"/>
      <c r="BM1881"/>
      <c r="BN1881"/>
      <c r="BO1881"/>
      <c r="BP1881"/>
      <c r="BQ1881"/>
      <c r="BR1881"/>
      <c r="BS1881"/>
      <c r="BT1881"/>
      <c r="BU1881"/>
      <c r="BV1881"/>
      <c r="BW1881"/>
      <c r="BX1881"/>
      <c r="BY1881"/>
      <c r="BZ1881"/>
      <c r="CA1881"/>
      <c r="CB1881"/>
      <c r="CC1881"/>
      <c r="CD1881"/>
      <c r="CE1881"/>
      <c r="CF1881"/>
      <c r="CG1881"/>
      <c r="CH1881"/>
    </row>
    <row r="1882" spans="1:86" x14ac:dyDescent="0.2">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c r="AQ1882"/>
      <c r="AR1882"/>
      <c r="AS1882"/>
      <c r="AT1882"/>
      <c r="AU1882"/>
      <c r="AV1882"/>
      <c r="AW1882"/>
      <c r="AX1882"/>
      <c r="AY1882"/>
      <c r="AZ1882"/>
      <c r="BA1882"/>
      <c r="BB1882"/>
      <c r="BC1882"/>
      <c r="BD1882"/>
      <c r="BE1882"/>
      <c r="BF1882"/>
      <c r="BG1882"/>
      <c r="BH1882"/>
      <c r="BI1882"/>
      <c r="BJ1882"/>
      <c r="BK1882"/>
      <c r="BL1882"/>
      <c r="BM1882"/>
      <c r="BN1882"/>
      <c r="BO1882"/>
      <c r="BP1882"/>
      <c r="BQ1882"/>
      <c r="BR1882"/>
      <c r="BS1882"/>
      <c r="BT1882"/>
      <c r="BU1882"/>
      <c r="BV1882"/>
      <c r="BW1882"/>
      <c r="BX1882"/>
      <c r="BY1882"/>
      <c r="BZ1882"/>
      <c r="CA1882"/>
      <c r="CB1882"/>
      <c r="CC1882"/>
      <c r="CD1882"/>
      <c r="CE1882"/>
      <c r="CF1882"/>
      <c r="CG1882"/>
      <c r="CH1882"/>
    </row>
    <row r="1883" spans="1:86" x14ac:dyDescent="0.2">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c r="AQ1883"/>
      <c r="AR1883"/>
      <c r="AS1883"/>
      <c r="AT1883"/>
      <c r="AU1883"/>
      <c r="AV1883"/>
      <c r="AW1883"/>
      <c r="AX1883"/>
      <c r="AY1883"/>
      <c r="AZ1883"/>
      <c r="BA1883"/>
      <c r="BB1883"/>
      <c r="BC1883"/>
      <c r="BD1883"/>
      <c r="BE1883"/>
      <c r="BF1883"/>
      <c r="BG1883"/>
      <c r="BH1883"/>
      <c r="BI1883"/>
      <c r="BJ1883"/>
      <c r="BK1883"/>
      <c r="BL1883"/>
      <c r="BM1883"/>
      <c r="BN1883"/>
      <c r="BO1883"/>
      <c r="BP1883"/>
      <c r="BQ1883"/>
      <c r="BR1883"/>
      <c r="BS1883"/>
      <c r="BT1883"/>
      <c r="BU1883"/>
      <c r="BV1883"/>
      <c r="BW1883"/>
      <c r="BX1883"/>
      <c r="BY1883"/>
      <c r="BZ1883"/>
      <c r="CA1883"/>
      <c r="CB1883"/>
      <c r="CC1883"/>
      <c r="CD1883"/>
      <c r="CE1883"/>
      <c r="CF1883"/>
      <c r="CG1883"/>
      <c r="CH1883"/>
    </row>
    <row r="1884" spans="1:86" x14ac:dyDescent="0.2">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c r="AQ1884"/>
      <c r="AR1884"/>
      <c r="AS1884"/>
      <c r="AT1884"/>
      <c r="AU1884"/>
      <c r="AV1884"/>
      <c r="AW1884"/>
      <c r="AX1884"/>
      <c r="AY1884"/>
      <c r="AZ1884"/>
      <c r="BA1884"/>
      <c r="BB1884"/>
      <c r="BC1884"/>
      <c r="BD1884"/>
      <c r="BE1884"/>
      <c r="BF1884"/>
      <c r="BG1884"/>
      <c r="BH1884"/>
      <c r="BI1884"/>
      <c r="BJ1884"/>
      <c r="BK1884"/>
      <c r="BL1884"/>
      <c r="BM1884"/>
      <c r="BN1884"/>
      <c r="BO1884"/>
      <c r="BP1884"/>
      <c r="BQ1884"/>
      <c r="BR1884"/>
      <c r="BS1884"/>
      <c r="BT1884"/>
      <c r="BU1884"/>
      <c r="BV1884"/>
      <c r="BW1884"/>
      <c r="BX1884"/>
      <c r="BY1884"/>
      <c r="BZ1884"/>
      <c r="CA1884"/>
      <c r="CB1884"/>
      <c r="CC1884"/>
      <c r="CD1884"/>
      <c r="CE1884"/>
      <c r="CF1884"/>
      <c r="CG1884"/>
      <c r="CH1884"/>
    </row>
    <row r="1885" spans="1:86" x14ac:dyDescent="0.2">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c r="AQ1885"/>
      <c r="AR1885"/>
      <c r="AS1885"/>
      <c r="AT1885"/>
      <c r="AU1885"/>
      <c r="AV1885"/>
      <c r="AW1885"/>
      <c r="AX1885"/>
      <c r="AY1885"/>
      <c r="AZ1885"/>
      <c r="BA1885"/>
      <c r="BB1885"/>
      <c r="BC1885"/>
      <c r="BD1885"/>
      <c r="BE1885"/>
      <c r="BF1885"/>
      <c r="BG1885"/>
      <c r="BH1885"/>
      <c r="BI1885"/>
      <c r="BJ1885"/>
      <c r="BK1885"/>
      <c r="BL1885"/>
      <c r="BM1885"/>
      <c r="BN1885"/>
      <c r="BO1885"/>
      <c r="BP1885"/>
      <c r="BQ1885"/>
      <c r="BR1885"/>
      <c r="BS1885"/>
      <c r="BT1885"/>
      <c r="BU1885"/>
      <c r="BV1885"/>
      <c r="BW1885"/>
      <c r="BX1885"/>
      <c r="BY1885"/>
      <c r="BZ1885"/>
      <c r="CA1885"/>
      <c r="CB1885"/>
      <c r="CC1885"/>
      <c r="CD1885"/>
      <c r="CE1885"/>
      <c r="CF1885"/>
      <c r="CG1885"/>
      <c r="CH1885"/>
    </row>
    <row r="1886" spans="1:86" x14ac:dyDescent="0.2">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c r="AQ1886"/>
      <c r="AR1886"/>
      <c r="AS1886"/>
      <c r="AT1886"/>
      <c r="AU1886"/>
      <c r="AV1886"/>
      <c r="AW1886"/>
      <c r="AX1886"/>
      <c r="AY1886"/>
      <c r="AZ1886"/>
      <c r="BA1886"/>
      <c r="BB1886"/>
      <c r="BC1886"/>
      <c r="BD1886"/>
      <c r="BE1886"/>
      <c r="BF1886"/>
      <c r="BG1886"/>
      <c r="BH1886"/>
      <c r="BI1886"/>
      <c r="BJ1886"/>
      <c r="BK1886"/>
      <c r="BL1886"/>
      <c r="BM1886"/>
      <c r="BN1886"/>
      <c r="BO1886"/>
      <c r="BP1886"/>
      <c r="BQ1886"/>
      <c r="BR1886"/>
      <c r="BS1886"/>
      <c r="BT1886"/>
      <c r="BU1886"/>
      <c r="BV1886"/>
      <c r="BW1886"/>
      <c r="BX1886"/>
      <c r="BY1886"/>
      <c r="BZ1886"/>
      <c r="CA1886"/>
      <c r="CB1886"/>
      <c r="CC1886"/>
      <c r="CD1886"/>
      <c r="CE1886"/>
      <c r="CF1886"/>
      <c r="CG1886"/>
      <c r="CH1886"/>
    </row>
    <row r="1887" spans="1:86" x14ac:dyDescent="0.2">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c r="AQ1887"/>
      <c r="AR1887"/>
      <c r="AS1887"/>
      <c r="AT1887"/>
      <c r="AU1887"/>
      <c r="AV1887"/>
      <c r="AW1887"/>
      <c r="AX1887"/>
      <c r="AY1887"/>
      <c r="AZ1887"/>
      <c r="BA1887"/>
      <c r="BB1887"/>
      <c r="BC1887"/>
      <c r="BD1887"/>
      <c r="BE1887"/>
      <c r="BF1887"/>
      <c r="BG1887"/>
      <c r="BH1887"/>
      <c r="BI1887"/>
      <c r="BJ1887"/>
      <c r="BK1887"/>
      <c r="BL1887"/>
      <c r="BM1887"/>
      <c r="BN1887"/>
      <c r="BO1887"/>
      <c r="BP1887"/>
      <c r="BQ1887"/>
      <c r="BR1887"/>
      <c r="BS1887"/>
      <c r="BT1887"/>
      <c r="BU1887"/>
      <c r="BV1887"/>
      <c r="BW1887"/>
      <c r="BX1887"/>
      <c r="BY1887"/>
      <c r="BZ1887"/>
      <c r="CA1887"/>
      <c r="CB1887"/>
      <c r="CC1887"/>
      <c r="CD1887"/>
      <c r="CE1887"/>
      <c r="CF1887"/>
      <c r="CG1887"/>
      <c r="CH1887"/>
    </row>
    <row r="1888" spans="1:86"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sheetData>
  <sortState ref="C25:BW62">
    <sortCondition ref="C94:C106"/>
  </sortState>
  <mergeCells count="224">
    <mergeCell ref="C368:C369"/>
    <mergeCell ref="C209:C216"/>
    <mergeCell ref="C217:C219"/>
    <mergeCell ref="AJ19:AM19"/>
    <mergeCell ref="AN19:CB19"/>
    <mergeCell ref="AJ22:AM22"/>
    <mergeCell ref="AN22:CB22"/>
    <mergeCell ref="AJ26:AM26"/>
    <mergeCell ref="AN26:CB26"/>
    <mergeCell ref="AJ43:AM43"/>
    <mergeCell ref="AN43:CB43"/>
    <mergeCell ref="AJ44:AM44"/>
    <mergeCell ref="C206:C208"/>
    <mergeCell ref="D206:D208"/>
    <mergeCell ref="E206:E208"/>
    <mergeCell ref="F206:K206"/>
    <mergeCell ref="F207:G207"/>
    <mergeCell ref="H207:I207"/>
    <mergeCell ref="J207:K207"/>
    <mergeCell ref="C189:C191"/>
    <mergeCell ref="D189:D191"/>
    <mergeCell ref="E189:E191"/>
    <mergeCell ref="F189:K189"/>
    <mergeCell ref="F190:G190"/>
    <mergeCell ref="L178:Q178"/>
    <mergeCell ref="L179:M179"/>
    <mergeCell ref="N179:O179"/>
    <mergeCell ref="P179:Q179"/>
    <mergeCell ref="D357:J357"/>
    <mergeCell ref="F235:F268"/>
    <mergeCell ref="H190:I190"/>
    <mergeCell ref="C117:C132"/>
    <mergeCell ref="C133:C145"/>
    <mergeCell ref="C146:C149"/>
    <mergeCell ref="C150:C163"/>
    <mergeCell ref="C164:C173"/>
    <mergeCell ref="J190:K190"/>
    <mergeCell ref="C193:C201"/>
    <mergeCell ref="C178:C180"/>
    <mergeCell ref="D178:D180"/>
    <mergeCell ref="E178:E180"/>
    <mergeCell ref="F178:K178"/>
    <mergeCell ref="F179:G179"/>
    <mergeCell ref="H179:I179"/>
    <mergeCell ref="J179:K179"/>
    <mergeCell ref="D238:D256"/>
    <mergeCell ref="D259:D268"/>
    <mergeCell ref="C225:C226"/>
    <mergeCell ref="F111:K111"/>
    <mergeCell ref="D111:D113"/>
    <mergeCell ref="D358:J358"/>
    <mergeCell ref="H227:I227"/>
    <mergeCell ref="H229:I229"/>
    <mergeCell ref="C111:C113"/>
    <mergeCell ref="C105:F105"/>
    <mergeCell ref="C365:C366"/>
    <mergeCell ref="F112:G112"/>
    <mergeCell ref="H112:I112"/>
    <mergeCell ref="D361:J361"/>
    <mergeCell ref="D269:D350"/>
    <mergeCell ref="F269:F350"/>
    <mergeCell ref="C359:C360"/>
    <mergeCell ref="D359:J359"/>
    <mergeCell ref="D360:J360"/>
    <mergeCell ref="C361:C362"/>
    <mergeCell ref="D365:J365"/>
    <mergeCell ref="C357:C358"/>
    <mergeCell ref="D356:J356"/>
    <mergeCell ref="D225:D226"/>
    <mergeCell ref="H225:I226"/>
    <mergeCell ref="H228:I228"/>
    <mergeCell ref="L59:L60"/>
    <mergeCell ref="L17:L18"/>
    <mergeCell ref="B16:B18"/>
    <mergeCell ref="C16:C18"/>
    <mergeCell ref="E16:E18"/>
    <mergeCell ref="B58:B60"/>
    <mergeCell ref="D100:D101"/>
    <mergeCell ref="C80:C81"/>
    <mergeCell ref="C100:C101"/>
    <mergeCell ref="H80:J80"/>
    <mergeCell ref="G100:G101"/>
    <mergeCell ref="H100:J100"/>
    <mergeCell ref="D58:D60"/>
    <mergeCell ref="G58:G60"/>
    <mergeCell ref="H58:I58"/>
    <mergeCell ref="I59:I60"/>
    <mergeCell ref="H17:H18"/>
    <mergeCell ref="H59:H60"/>
    <mergeCell ref="G16:G18"/>
    <mergeCell ref="E58:E60"/>
    <mergeCell ref="F58:F59"/>
    <mergeCell ref="C58:C60"/>
    <mergeCell ref="G80:G81"/>
    <mergeCell ref="H16:I16"/>
    <mergeCell ref="X70:AA70"/>
    <mergeCell ref="X63:AA63"/>
    <mergeCell ref="AB68:BP68"/>
    <mergeCell ref="AB61:BP61"/>
    <mergeCell ref="AB70:BP70"/>
    <mergeCell ref="AB63:BP63"/>
    <mergeCell ref="AJ25:AM25"/>
    <mergeCell ref="AJ41:AM41"/>
    <mergeCell ref="AN39:CB39"/>
    <mergeCell ref="AN45:CB45"/>
    <mergeCell ref="AJ30:AM30"/>
    <mergeCell ref="AJ48:AM48"/>
    <mergeCell ref="AJ35:AM35"/>
    <mergeCell ref="AJ28:AM28"/>
    <mergeCell ref="AJ29:AM29"/>
    <mergeCell ref="AJ32:AM32"/>
    <mergeCell ref="AJ36:AM36"/>
    <mergeCell ref="AJ27:AM27"/>
    <mergeCell ref="X69:AA69"/>
    <mergeCell ref="X65:AA65"/>
    <mergeCell ref="AN55:CB55"/>
    <mergeCell ref="AB58:BP60"/>
    <mergeCell ref="AB69:BP69"/>
    <mergeCell ref="AB65:BP65"/>
    <mergeCell ref="AJ55:AM55"/>
    <mergeCell ref="X58:AA60"/>
    <mergeCell ref="AJ46:AM46"/>
    <mergeCell ref="AN47:CB47"/>
    <mergeCell ref="AN48:CB48"/>
    <mergeCell ref="AJ51:AM51"/>
    <mergeCell ref="X68:AA68"/>
    <mergeCell ref="X61:AA61"/>
    <mergeCell ref="AN20:CB20"/>
    <mergeCell ref="AN21:CB21"/>
    <mergeCell ref="AN23:CB23"/>
    <mergeCell ref="AN51:CB51"/>
    <mergeCell ref="AN27:CB27"/>
    <mergeCell ref="AN41:CB41"/>
    <mergeCell ref="AN42:CB42"/>
    <mergeCell ref="AN50:CB50"/>
    <mergeCell ref="AN46:CB46"/>
    <mergeCell ref="AJ45:AM45"/>
    <mergeCell ref="AJ47:AM47"/>
    <mergeCell ref="AJ49:AM49"/>
    <mergeCell ref="D16:D18"/>
    <mergeCell ref="F16:F17"/>
    <mergeCell ref="AN28:CB28"/>
    <mergeCell ref="AN29:CB29"/>
    <mergeCell ref="AN32:CB32"/>
    <mergeCell ref="AN36:CB36"/>
    <mergeCell ref="AN35:CB35"/>
    <mergeCell ref="AN38:CB38"/>
    <mergeCell ref="AN25:CB25"/>
    <mergeCell ref="AJ20:AM20"/>
    <mergeCell ref="AJ21:AM21"/>
    <mergeCell ref="AJ23:AM23"/>
    <mergeCell ref="I17:I18"/>
    <mergeCell ref="D372:J372"/>
    <mergeCell ref="C373:C374"/>
    <mergeCell ref="D374:J374"/>
    <mergeCell ref="D363:J363"/>
    <mergeCell ref="D80:D81"/>
    <mergeCell ref="C379:C380"/>
    <mergeCell ref="C375:C376"/>
    <mergeCell ref="D362:J362"/>
    <mergeCell ref="C363:C364"/>
    <mergeCell ref="C181:C183"/>
    <mergeCell ref="D373:J373"/>
    <mergeCell ref="D380:J380"/>
    <mergeCell ref="D379:J379"/>
    <mergeCell ref="D378:J378"/>
    <mergeCell ref="D376:J376"/>
    <mergeCell ref="C377:C378"/>
    <mergeCell ref="D375:J375"/>
    <mergeCell ref="D366:J366"/>
    <mergeCell ref="D371:J371"/>
    <mergeCell ref="D370:J370"/>
    <mergeCell ref="C370:C372"/>
    <mergeCell ref="D377:J377"/>
    <mergeCell ref="J112:K112"/>
    <mergeCell ref="E111:E113"/>
    <mergeCell ref="X72:AA72"/>
    <mergeCell ref="AB72:BP72"/>
    <mergeCell ref="AN44:CB44"/>
    <mergeCell ref="K16:K18"/>
    <mergeCell ref="K58:K60"/>
    <mergeCell ref="M17:Q17"/>
    <mergeCell ref="AJ31:AM31"/>
    <mergeCell ref="AN31:CB31"/>
    <mergeCell ref="AJ33:AM33"/>
    <mergeCell ref="AN33:CB33"/>
    <mergeCell ref="AJ37:AM37"/>
    <mergeCell ref="AN37:CB37"/>
    <mergeCell ref="AJ34:AM34"/>
    <mergeCell ref="AN34:CB34"/>
    <mergeCell ref="X62:AA62"/>
    <mergeCell ref="AB62:BP62"/>
    <mergeCell ref="X66:AA66"/>
    <mergeCell ref="X71:AA71"/>
    <mergeCell ref="X67:AA67"/>
    <mergeCell ref="AB67:BP67"/>
    <mergeCell ref="AB66:BP66"/>
    <mergeCell ref="AB71:BP71"/>
    <mergeCell ref="AJ54:AM54"/>
    <mergeCell ref="AJ53:AM53"/>
    <mergeCell ref="CC16:CC18"/>
    <mergeCell ref="AN16:CB18"/>
    <mergeCell ref="AJ16:AM18"/>
    <mergeCell ref="M59:Q59"/>
    <mergeCell ref="L16:V16"/>
    <mergeCell ref="R17:V17"/>
    <mergeCell ref="R59:V59"/>
    <mergeCell ref="X64:AA64"/>
    <mergeCell ref="AB64:BP64"/>
    <mergeCell ref="AN53:CB53"/>
    <mergeCell ref="AN52:CB52"/>
    <mergeCell ref="AN54:CB54"/>
    <mergeCell ref="AJ24:AM24"/>
    <mergeCell ref="AJ52:AM52"/>
    <mergeCell ref="AJ40:AM40"/>
    <mergeCell ref="AN40:CB40"/>
    <mergeCell ref="AN49:CB49"/>
    <mergeCell ref="AN24:CB24"/>
    <mergeCell ref="AJ42:AM42"/>
    <mergeCell ref="AJ50:AM50"/>
    <mergeCell ref="BQ58:BQ60"/>
    <mergeCell ref="AJ39:AM39"/>
    <mergeCell ref="AN30:CB30"/>
    <mergeCell ref="AJ38:AM38"/>
  </mergeCells>
  <phoneticPr fontId="17" type="noConversion"/>
  <hyperlinks>
    <hyperlink ref="D358" r:id="rId1"/>
    <hyperlink ref="D374" r:id="rId2"/>
    <hyperlink ref="D362" r:id="rId3"/>
    <hyperlink ref="D366" r:id="rId4"/>
    <hyperlink ref="D364" r:id="rId5"/>
    <hyperlink ref="D369" r:id="rId6"/>
    <hyperlink ref="D376" r:id="rId7"/>
  </hyperlinks>
  <pageMargins left="0.511811024" right="0.511811024" top="0.78740157499999996" bottom="0.78740157499999996" header="0.31496062000000002" footer="0.31496062000000002"/>
  <pageSetup paperSize="9" orientation="portrait" r:id="rId8"/>
  <drawing r:id="rId9"/>
  <legacyDrawing r:id="rId1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6"/>
  </sheetPr>
  <dimension ref="A1:H47"/>
  <sheetViews>
    <sheetView showGridLines="0" showRowColHeaders="0" zoomScale="90" zoomScaleNormal="90" workbookViewId="0">
      <selection activeCell="G17" sqref="G17"/>
    </sheetView>
  </sheetViews>
  <sheetFormatPr defaultColWidth="0" defaultRowHeight="12.75" zeroHeight="1" x14ac:dyDescent="0.2"/>
  <cols>
    <col min="1" max="1" width="3.5703125" customWidth="1"/>
    <col min="2" max="5" width="33.7109375" customWidth="1"/>
    <col min="6" max="7" width="9.140625" customWidth="1"/>
    <col min="8" max="8" width="6.7109375" customWidth="1"/>
    <col min="9" max="16384" width="9.140625" hidden="1"/>
  </cols>
  <sheetData>
    <row r="1" spans="1:6" ht="14.1" customHeight="1" x14ac:dyDescent="0.2">
      <c r="A1" s="4"/>
      <c r="B1" s="1"/>
      <c r="C1" s="1"/>
      <c r="D1" s="1"/>
      <c r="E1" s="1"/>
    </row>
    <row r="2" spans="1:6" ht="15.75" customHeight="1" x14ac:dyDescent="0.2">
      <c r="A2" s="1"/>
      <c r="B2" s="1"/>
      <c r="C2" s="1"/>
      <c r="D2" s="1"/>
      <c r="E2" s="1"/>
    </row>
    <row r="3" spans="1:6" ht="15.75" customHeight="1" x14ac:dyDescent="0.2">
      <c r="A3" s="1"/>
      <c r="B3" s="1"/>
      <c r="C3" s="1"/>
      <c r="D3" s="1"/>
      <c r="E3" s="1"/>
    </row>
    <row r="4" spans="1:6" ht="15.75" customHeight="1" x14ac:dyDescent="0.2">
      <c r="A4" s="1"/>
      <c r="B4" s="1"/>
      <c r="C4" s="1"/>
      <c r="D4" s="1"/>
      <c r="E4" s="1"/>
    </row>
    <row r="5" spans="1:6" ht="15.75" customHeight="1" x14ac:dyDescent="0.2">
      <c r="A5" s="1"/>
      <c r="B5" s="1"/>
      <c r="C5" s="1"/>
      <c r="D5" s="1"/>
      <c r="E5" s="1"/>
    </row>
    <row r="6" spans="1:6" ht="15.75" customHeight="1" x14ac:dyDescent="0.2">
      <c r="A6" s="1"/>
      <c r="B6" s="1"/>
      <c r="C6" s="1"/>
      <c r="D6" s="1"/>
      <c r="E6" s="1"/>
    </row>
    <row r="7" spans="1:6" ht="15.75" customHeight="1" x14ac:dyDescent="0.2">
      <c r="A7" s="1"/>
      <c r="B7" s="1"/>
      <c r="C7" s="1"/>
      <c r="D7" s="1"/>
      <c r="E7" s="1"/>
    </row>
    <row r="8" spans="1:6" ht="15.75" customHeight="1" x14ac:dyDescent="0.2">
      <c r="A8" s="1"/>
      <c r="B8" s="1"/>
      <c r="C8" s="1"/>
      <c r="D8" s="1"/>
      <c r="E8" s="1"/>
    </row>
    <row r="9" spans="1:6" ht="15.75" customHeight="1" x14ac:dyDescent="0.2">
      <c r="A9" s="1"/>
      <c r="C9" s="1"/>
      <c r="D9" s="1"/>
      <c r="E9" s="1"/>
    </row>
    <row r="10" spans="1:6" s="94" customFormat="1" ht="15" customHeight="1" x14ac:dyDescent="0.25">
      <c r="A10" s="1"/>
      <c r="B10" s="908" t="s">
        <v>1522</v>
      </c>
      <c r="C10" s="909"/>
      <c r="D10" s="909"/>
      <c r="E10" s="909"/>
      <c r="F10" s="212"/>
    </row>
    <row r="11" spans="1:6" s="94" customFormat="1" ht="15" customHeight="1" x14ac:dyDescent="0.25">
      <c r="A11" s="1"/>
      <c r="B11" s="910" t="s">
        <v>1523</v>
      </c>
      <c r="C11" s="909"/>
      <c r="D11" s="909"/>
      <c r="E11" s="909"/>
      <c r="F11" s="212"/>
    </row>
    <row r="12" spans="1:6" ht="15" customHeight="1" x14ac:dyDescent="0.25">
      <c r="A12" s="1"/>
      <c r="B12" s="909"/>
      <c r="C12" s="909"/>
      <c r="D12" s="909"/>
      <c r="E12" s="909"/>
      <c r="F12" s="212"/>
    </row>
    <row r="13" spans="1:6" ht="18" customHeight="1" x14ac:dyDescent="0.25">
      <c r="A13" s="1"/>
      <c r="B13" s="1572" t="s">
        <v>141</v>
      </c>
      <c r="C13" s="1572"/>
      <c r="D13" s="1572"/>
      <c r="E13" s="1572"/>
      <c r="F13" s="212"/>
    </row>
    <row r="14" spans="1:6" ht="18" customHeight="1" x14ac:dyDescent="0.25">
      <c r="A14" s="1"/>
      <c r="B14" s="911" t="s">
        <v>230</v>
      </c>
      <c r="C14" s="912" t="s">
        <v>231</v>
      </c>
      <c r="D14" s="912" t="s">
        <v>240</v>
      </c>
      <c r="E14" s="912" t="s">
        <v>1507</v>
      </c>
      <c r="F14" s="212"/>
    </row>
    <row r="15" spans="1:6" ht="18" customHeight="1" x14ac:dyDescent="0.25">
      <c r="A15" s="1"/>
      <c r="B15" s="911" t="s">
        <v>260</v>
      </c>
      <c r="C15" s="912" t="s">
        <v>1508</v>
      </c>
      <c r="D15" s="912"/>
      <c r="E15" s="912"/>
      <c r="F15" s="212"/>
    </row>
    <row r="16" spans="1:6" ht="18" customHeight="1" x14ac:dyDescent="0.25">
      <c r="A16" s="1"/>
      <c r="B16" s="911" t="s">
        <v>1511</v>
      </c>
      <c r="C16" s="912" t="s">
        <v>1509</v>
      </c>
      <c r="D16" s="912" t="s">
        <v>238</v>
      </c>
      <c r="E16" s="912"/>
      <c r="F16" s="212"/>
    </row>
    <row r="17" spans="1:6" ht="18" customHeight="1" x14ac:dyDescent="0.25">
      <c r="A17" s="1"/>
      <c r="B17" s="911" t="s">
        <v>1510</v>
      </c>
      <c r="C17" s="912" t="s">
        <v>1508</v>
      </c>
      <c r="D17" s="912" t="s">
        <v>1512</v>
      </c>
      <c r="E17" s="912" t="s">
        <v>1513</v>
      </c>
      <c r="F17" s="212"/>
    </row>
    <row r="18" spans="1:6" ht="15.75" x14ac:dyDescent="0.25">
      <c r="A18" s="1"/>
      <c r="B18" s="909"/>
      <c r="C18" s="913"/>
      <c r="D18" s="913"/>
      <c r="E18" s="913"/>
      <c r="F18" s="212"/>
    </row>
    <row r="19" spans="1:6" ht="18" customHeight="1" x14ac:dyDescent="0.25">
      <c r="A19" s="1"/>
      <c r="B19" s="1572" t="s">
        <v>111</v>
      </c>
      <c r="C19" s="1572"/>
      <c r="D19" s="1572"/>
      <c r="E19" s="1572"/>
      <c r="F19" s="212"/>
    </row>
    <row r="20" spans="1:6" ht="18" customHeight="1" x14ac:dyDescent="0.25">
      <c r="A20" s="1"/>
      <c r="B20" s="911" t="s">
        <v>1477</v>
      </c>
      <c r="C20" s="912" t="s">
        <v>243</v>
      </c>
      <c r="D20" s="912" t="s">
        <v>275</v>
      </c>
      <c r="E20" s="912"/>
      <c r="F20" s="212"/>
    </row>
    <row r="21" spans="1:6" ht="18" customHeight="1" x14ac:dyDescent="0.25">
      <c r="A21" s="1"/>
      <c r="B21" s="911" t="s">
        <v>1477</v>
      </c>
      <c r="C21" s="912" t="s">
        <v>241</v>
      </c>
      <c r="D21" s="912" t="s">
        <v>1478</v>
      </c>
      <c r="E21" s="912"/>
      <c r="F21" s="212"/>
    </row>
    <row r="22" spans="1:6" ht="18" customHeight="1" x14ac:dyDescent="0.25">
      <c r="A22" s="1"/>
      <c r="B22" s="911" t="s">
        <v>244</v>
      </c>
      <c r="C22" s="912" t="s">
        <v>239</v>
      </c>
      <c r="D22" s="912" t="s">
        <v>242</v>
      </c>
      <c r="E22" s="912" t="s">
        <v>1479</v>
      </c>
      <c r="F22" s="212"/>
    </row>
    <row r="23" spans="1:6" ht="18" customHeight="1" x14ac:dyDescent="0.25">
      <c r="A23" s="1"/>
      <c r="B23" s="911" t="s">
        <v>134</v>
      </c>
      <c r="C23" s="912" t="s">
        <v>140</v>
      </c>
      <c r="D23" s="912" t="s">
        <v>245</v>
      </c>
      <c r="E23" s="912" t="s">
        <v>1480</v>
      </c>
      <c r="F23" s="212"/>
    </row>
    <row r="24" spans="1:6" ht="18" customHeight="1" x14ac:dyDescent="0.25">
      <c r="A24" s="1"/>
      <c r="B24" s="911" t="s">
        <v>246</v>
      </c>
      <c r="C24" s="912" t="s">
        <v>1481</v>
      </c>
      <c r="D24" s="912" t="s">
        <v>274</v>
      </c>
      <c r="E24" s="912"/>
      <c r="F24" s="212"/>
    </row>
    <row r="25" spans="1:6" ht="18" customHeight="1" x14ac:dyDescent="0.25">
      <c r="A25" s="1"/>
      <c r="B25" s="911" t="s">
        <v>1482</v>
      </c>
      <c r="C25" s="912" t="s">
        <v>273</v>
      </c>
      <c r="D25" s="912" t="s">
        <v>272</v>
      </c>
      <c r="E25" s="912" t="s">
        <v>1514</v>
      </c>
      <c r="F25" s="212"/>
    </row>
    <row r="26" spans="1:6" ht="15.75" x14ac:dyDescent="0.25">
      <c r="A26" s="1"/>
      <c r="B26" s="909"/>
      <c r="C26" s="913"/>
      <c r="D26" s="913"/>
      <c r="E26" s="913"/>
      <c r="F26" s="212"/>
    </row>
    <row r="27" spans="1:6" ht="18" customHeight="1" x14ac:dyDescent="0.25">
      <c r="A27" s="1"/>
      <c r="B27" s="1572" t="s">
        <v>139</v>
      </c>
      <c r="C27" s="1572"/>
      <c r="D27" s="1572"/>
      <c r="E27" s="1572"/>
      <c r="F27" s="212"/>
    </row>
    <row r="28" spans="1:6" ht="18" customHeight="1" x14ac:dyDescent="0.25">
      <c r="A28" s="1"/>
      <c r="B28" s="911" t="s">
        <v>247</v>
      </c>
      <c r="C28" s="912" t="s">
        <v>1525</v>
      </c>
      <c r="D28" s="912" t="s">
        <v>1526</v>
      </c>
      <c r="E28" s="912"/>
      <c r="F28" s="212"/>
    </row>
    <row r="29" spans="1:6" ht="18" customHeight="1" x14ac:dyDescent="0.25">
      <c r="A29" s="1"/>
      <c r="B29" s="911" t="s">
        <v>112</v>
      </c>
      <c r="C29" s="912" t="s">
        <v>250</v>
      </c>
      <c r="D29" s="912"/>
      <c r="E29" s="912"/>
      <c r="F29" s="212"/>
    </row>
    <row r="30" spans="1:6" ht="18" customHeight="1" x14ac:dyDescent="0.25">
      <c r="A30" s="1"/>
      <c r="B30" s="911" t="s">
        <v>113</v>
      </c>
      <c r="C30" s="912" t="s">
        <v>251</v>
      </c>
      <c r="D30" s="912" t="s">
        <v>249</v>
      </c>
      <c r="E30" s="912"/>
      <c r="F30" s="212"/>
    </row>
    <row r="31" spans="1:6" ht="18" customHeight="1" x14ac:dyDescent="0.25">
      <c r="A31" s="1"/>
      <c r="B31" s="911" t="s">
        <v>114</v>
      </c>
      <c r="C31" s="912" t="s">
        <v>1524</v>
      </c>
      <c r="D31" s="912"/>
      <c r="E31" s="912"/>
      <c r="F31" s="212"/>
    </row>
    <row r="32" spans="1:6" ht="18" customHeight="1" x14ac:dyDescent="0.25">
      <c r="A32" s="1"/>
      <c r="B32" s="911" t="s">
        <v>1515</v>
      </c>
      <c r="C32" s="912" t="s">
        <v>1516</v>
      </c>
      <c r="D32" s="912" t="s">
        <v>248</v>
      </c>
      <c r="E32" s="912"/>
      <c r="F32" s="212"/>
    </row>
    <row r="33" spans="1:6" ht="18" customHeight="1" x14ac:dyDescent="0.25">
      <c r="A33" s="1"/>
      <c r="B33" s="911" t="s">
        <v>232</v>
      </c>
      <c r="C33" s="912" t="s">
        <v>1527</v>
      </c>
      <c r="D33" s="912"/>
      <c r="E33" s="912"/>
      <c r="F33" s="212"/>
    </row>
    <row r="34" spans="1:6" ht="15.75" x14ac:dyDescent="0.25">
      <c r="A34" s="1"/>
      <c r="B34" s="909"/>
      <c r="C34" s="913"/>
      <c r="D34" s="913"/>
      <c r="E34" s="913"/>
      <c r="F34" s="212"/>
    </row>
    <row r="35" spans="1:6" ht="18" customHeight="1" x14ac:dyDescent="0.25">
      <c r="A35" s="1"/>
      <c r="B35" s="1572" t="s">
        <v>138</v>
      </c>
      <c r="C35" s="1572"/>
      <c r="D35" s="913"/>
      <c r="E35" s="913"/>
      <c r="F35" s="212"/>
    </row>
    <row r="36" spans="1:6" ht="18" customHeight="1" x14ac:dyDescent="0.25">
      <c r="A36" s="1"/>
      <c r="B36" s="911" t="s">
        <v>135</v>
      </c>
      <c r="C36" s="912" t="s">
        <v>1517</v>
      </c>
      <c r="D36" s="913"/>
      <c r="E36" s="913"/>
      <c r="F36" s="212"/>
    </row>
    <row r="37" spans="1:6" ht="18" customHeight="1" x14ac:dyDescent="0.25">
      <c r="A37" s="1"/>
      <c r="B37" s="911" t="s">
        <v>136</v>
      </c>
      <c r="C37" s="912" t="s">
        <v>252</v>
      </c>
      <c r="D37" s="913"/>
      <c r="E37" s="913"/>
      <c r="F37" s="212"/>
    </row>
    <row r="38" spans="1:6" ht="15.75" x14ac:dyDescent="0.25">
      <c r="A38" s="1"/>
      <c r="B38" s="909"/>
      <c r="C38" s="909"/>
      <c r="D38" s="913"/>
      <c r="E38" s="913"/>
      <c r="F38" s="212"/>
    </row>
    <row r="39" spans="1:6" ht="18" customHeight="1" x14ac:dyDescent="0.25">
      <c r="A39" s="1"/>
      <c r="B39" s="1572" t="s">
        <v>137</v>
      </c>
      <c r="C39" s="1572"/>
      <c r="D39" s="913"/>
      <c r="E39" s="913"/>
      <c r="F39" s="212"/>
    </row>
    <row r="40" spans="1:6" ht="18" customHeight="1" x14ac:dyDescent="0.25">
      <c r="A40" s="1"/>
      <c r="B40" s="911" t="s">
        <v>234</v>
      </c>
      <c r="C40" s="914" t="s">
        <v>1518</v>
      </c>
      <c r="D40" s="913"/>
      <c r="E40" s="913"/>
      <c r="F40" s="212"/>
    </row>
    <row r="41" spans="1:6" ht="18" customHeight="1" x14ac:dyDescent="0.25">
      <c r="A41" s="1"/>
      <c r="B41" s="911" t="s">
        <v>235</v>
      </c>
      <c r="C41" s="914" t="s">
        <v>1519</v>
      </c>
      <c r="D41" s="913"/>
      <c r="E41" s="913"/>
      <c r="F41" s="212"/>
    </row>
    <row r="42" spans="1:6" ht="18" customHeight="1" x14ac:dyDescent="0.25">
      <c r="A42" s="1"/>
      <c r="B42" s="911" t="s">
        <v>236</v>
      </c>
      <c r="C42" s="914" t="s">
        <v>1520</v>
      </c>
      <c r="D42" s="913"/>
      <c r="E42" s="913"/>
      <c r="F42" s="212"/>
    </row>
    <row r="43" spans="1:6" ht="18" customHeight="1" x14ac:dyDescent="0.25">
      <c r="A43" s="1"/>
      <c r="B43" s="911" t="s">
        <v>237</v>
      </c>
      <c r="C43" s="914" t="s">
        <v>1521</v>
      </c>
      <c r="D43" s="913"/>
      <c r="E43" s="913"/>
      <c r="F43" s="212"/>
    </row>
    <row r="44" spans="1:6" ht="18" customHeight="1" x14ac:dyDescent="0.25">
      <c r="A44" s="1"/>
      <c r="B44" s="911" t="s">
        <v>233</v>
      </c>
      <c r="C44" s="912">
        <v>12</v>
      </c>
      <c r="D44" s="913"/>
      <c r="E44" s="913"/>
      <c r="F44" s="212"/>
    </row>
    <row r="45" spans="1:6" ht="18" customHeight="1" x14ac:dyDescent="0.25">
      <c r="A45" s="1"/>
      <c r="B45" s="911" t="s">
        <v>1483</v>
      </c>
      <c r="C45" s="912">
        <v>44</v>
      </c>
      <c r="D45" s="913"/>
      <c r="E45" s="913"/>
      <c r="F45" s="212"/>
    </row>
    <row r="46" spans="1:6" ht="24.95" customHeight="1" x14ac:dyDescent="0.25">
      <c r="A46" s="1"/>
      <c r="B46" s="909"/>
      <c r="C46" s="909"/>
      <c r="D46" s="909"/>
      <c r="E46" s="909"/>
      <c r="F46" s="212"/>
    </row>
    <row r="47" spans="1:6" x14ac:dyDescent="0.2"/>
  </sheetData>
  <mergeCells count="5">
    <mergeCell ref="B39:C39"/>
    <mergeCell ref="B13:E13"/>
    <mergeCell ref="B19:E19"/>
    <mergeCell ref="B27:E27"/>
    <mergeCell ref="B35:C35"/>
  </mergeCells>
  <phoneticPr fontId="8" type="noConversion"/>
  <pageMargins left="0.25" right="0.25" top="0.25" bottom="0.5" header="0.5" footer="0.25"/>
  <pageSetup orientation="portrait" r:id="rId1"/>
  <headerFooter alignWithMargins="0">
    <oddFooter>&amp;L&amp;"Arial,Italic"&amp;9EPA Climate Leaders Simplified GHG Emissions Calculator (Conversion Factors)&amp;R&amp;"Arial,Italic"&amp;9&amp;P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V687"/>
  <sheetViews>
    <sheetView zoomScaleNormal="100" workbookViewId="0">
      <selection activeCell="I13" sqref="I13:I15"/>
    </sheetView>
  </sheetViews>
  <sheetFormatPr defaultRowHeight="12.75" x14ac:dyDescent="0.2"/>
  <cols>
    <col min="1" max="1" width="2.7109375" customWidth="1"/>
    <col min="2" max="2" width="10.140625" bestFit="1" customWidth="1"/>
    <col min="3" max="3" width="2.7109375" customWidth="1"/>
    <col min="4" max="4" width="38.28515625" bestFit="1" customWidth="1"/>
    <col min="5" max="5" width="2.7109375" customWidth="1"/>
    <col min="6" max="6" width="38" bestFit="1" customWidth="1"/>
    <col min="7" max="7" width="10.42578125" customWidth="1"/>
    <col min="8" max="8" width="2.7109375" customWidth="1"/>
    <col min="9" max="9" width="31.42578125" bestFit="1" customWidth="1"/>
    <col min="10" max="10" width="28.85546875" bestFit="1" customWidth="1"/>
    <col min="11" max="11" width="17.85546875" customWidth="1"/>
    <col min="12" max="12" width="2.7109375" style="94" customWidth="1"/>
    <col min="13" max="14" width="28.85546875" style="94" bestFit="1" customWidth="1"/>
    <col min="15" max="15" width="26.42578125" style="94" bestFit="1" customWidth="1"/>
    <col min="16" max="16" width="2.7109375" style="94" customWidth="1"/>
    <col min="17" max="17" width="24.7109375" style="94" bestFit="1" customWidth="1"/>
    <col min="18" max="18" width="29.140625" style="94" bestFit="1" customWidth="1"/>
    <col min="19" max="19" width="26.85546875" style="94" bestFit="1" customWidth="1"/>
    <col min="20" max="20" width="2.7109375" customWidth="1"/>
    <col min="21" max="21" width="20" style="94" bestFit="1" customWidth="1"/>
    <col min="22" max="22" width="24.42578125" style="94" bestFit="1" customWidth="1"/>
    <col min="23" max="23" width="22.140625" style="94" bestFit="1" customWidth="1"/>
    <col min="24" max="24" width="2.7109375" style="94" customWidth="1"/>
    <col min="31" max="31" width="11.28515625" customWidth="1"/>
    <col min="61" max="61" width="23.42578125" bestFit="1" customWidth="1"/>
    <col min="63" max="63" width="12.28515625" bestFit="1" customWidth="1"/>
    <col min="64" max="64" width="19" bestFit="1" customWidth="1"/>
    <col min="66" max="66" width="32.140625" customWidth="1"/>
    <col min="68" max="68" width="11.42578125" bestFit="1" customWidth="1"/>
    <col min="69" max="69" width="25.42578125" customWidth="1"/>
    <col min="70" max="70" width="38.85546875" customWidth="1"/>
    <col min="71" max="71" width="9.140625" customWidth="1"/>
    <col min="72" max="72" width="24.28515625" bestFit="1" customWidth="1"/>
    <col min="74" max="74" width="43.5703125" bestFit="1" customWidth="1"/>
  </cols>
  <sheetData>
    <row r="1" spans="2:74" ht="15" x14ac:dyDescent="0.25">
      <c r="B1" t="s">
        <v>598</v>
      </c>
      <c r="D1" t="s">
        <v>597</v>
      </c>
      <c r="F1" t="s">
        <v>599</v>
      </c>
      <c r="I1" t="s">
        <v>600</v>
      </c>
      <c r="J1" s="1574" t="s">
        <v>608</v>
      </c>
      <c r="K1" s="1574"/>
      <c r="L1" s="138"/>
      <c r="M1" s="25" t="s">
        <v>1352</v>
      </c>
      <c r="N1" s="1574" t="s">
        <v>1353</v>
      </c>
      <c r="O1" s="1574"/>
      <c r="P1" s="138"/>
      <c r="Q1" s="138" t="s">
        <v>1362</v>
      </c>
      <c r="R1" s="1574" t="s">
        <v>1364</v>
      </c>
      <c r="S1" s="1574"/>
      <c r="U1" s="132" t="s">
        <v>1363</v>
      </c>
      <c r="V1" s="1574" t="s">
        <v>1367</v>
      </c>
      <c r="W1" s="1575"/>
      <c r="X1" s="138"/>
      <c r="Y1" s="1029" t="s">
        <v>601</v>
      </c>
      <c r="Z1" s="1029" t="s">
        <v>602</v>
      </c>
      <c r="AA1" s="1029" t="s">
        <v>603</v>
      </c>
      <c r="AB1" s="1029" t="s">
        <v>604</v>
      </c>
      <c r="AC1" s="1029" t="s">
        <v>605</v>
      </c>
      <c r="AE1" s="25" t="s">
        <v>924</v>
      </c>
      <c r="AF1" s="94"/>
      <c r="AG1" s="6" t="s">
        <v>1983</v>
      </c>
      <c r="AH1" s="6" t="s">
        <v>1984</v>
      </c>
      <c r="AI1" s="6" t="s">
        <v>1985</v>
      </c>
      <c r="AJ1" s="6" t="s">
        <v>1986</v>
      </c>
      <c r="AK1" s="6" t="s">
        <v>1987</v>
      </c>
      <c r="AL1" s="6" t="s">
        <v>1988</v>
      </c>
      <c r="AM1" s="6" t="s">
        <v>1989</v>
      </c>
      <c r="AN1" s="1117" t="s">
        <v>628</v>
      </c>
      <c r="AO1" s="1117" t="s">
        <v>629</v>
      </c>
      <c r="AP1" s="1117" t="s">
        <v>630</v>
      </c>
      <c r="AQ1" s="1117" t="s">
        <v>631</v>
      </c>
      <c r="AR1" s="1117" t="s">
        <v>632</v>
      </c>
      <c r="AS1" s="1117" t="s">
        <v>633</v>
      </c>
      <c r="AT1" s="1117" t="s">
        <v>634</v>
      </c>
      <c r="AU1" s="1117" t="s">
        <v>635</v>
      </c>
      <c r="AV1" s="1117" t="s">
        <v>636</v>
      </c>
      <c r="AW1" s="1117" t="s">
        <v>637</v>
      </c>
      <c r="AX1" s="1117" t="s">
        <v>638</v>
      </c>
      <c r="AY1" s="1117" t="s">
        <v>639</v>
      </c>
      <c r="AZ1" s="1117" t="s">
        <v>640</v>
      </c>
      <c r="BA1" s="1117" t="s">
        <v>641</v>
      </c>
      <c r="BB1" s="1117" t="s">
        <v>642</v>
      </c>
      <c r="BC1" s="1117" t="s">
        <v>643</v>
      </c>
      <c r="BD1" s="1117" t="s">
        <v>644</v>
      </c>
      <c r="BE1" s="1117" t="s">
        <v>645</v>
      </c>
      <c r="BF1" s="1117" t="s">
        <v>646</v>
      </c>
      <c r="BG1" s="1117" t="s">
        <v>647</v>
      </c>
      <c r="BH1" s="94"/>
      <c r="BI1" s="92" t="s">
        <v>925</v>
      </c>
      <c r="BJ1" s="94"/>
      <c r="BK1" s="92" t="s">
        <v>927</v>
      </c>
      <c r="BL1" s="92" t="s">
        <v>926</v>
      </c>
      <c r="BN1" s="92" t="s">
        <v>1337</v>
      </c>
      <c r="BP1" s="833" t="s">
        <v>226</v>
      </c>
      <c r="BQ1" s="729"/>
      <c r="BR1" s="729"/>
      <c r="BS1" s="221"/>
      <c r="BT1" s="729"/>
      <c r="BV1" s="92" t="s">
        <v>1499</v>
      </c>
    </row>
    <row r="2" spans="2:74" ht="15" x14ac:dyDescent="0.25">
      <c r="B2" s="121" t="s">
        <v>338</v>
      </c>
      <c r="D2" s="3" t="s">
        <v>339</v>
      </c>
      <c r="F2" s="3" t="s">
        <v>95</v>
      </c>
      <c r="G2" s="3" t="s">
        <v>143</v>
      </c>
      <c r="I2" s="3" t="s">
        <v>589</v>
      </c>
      <c r="J2" s="92" t="s">
        <v>583</v>
      </c>
      <c r="K2" s="92" t="s">
        <v>584</v>
      </c>
      <c r="L2" s="92"/>
      <c r="M2" s="92" t="s">
        <v>1358</v>
      </c>
      <c r="N2" s="3" t="s">
        <v>1355</v>
      </c>
      <c r="O2" s="92" t="s">
        <v>1356</v>
      </c>
      <c r="P2" s="92"/>
      <c r="Q2" s="92" t="s">
        <v>1357</v>
      </c>
      <c r="R2" s="92" t="s">
        <v>1360</v>
      </c>
      <c r="S2" s="92" t="s">
        <v>1365</v>
      </c>
      <c r="U2" s="92" t="s">
        <v>1359</v>
      </c>
      <c r="V2" s="92" t="s">
        <v>1361</v>
      </c>
      <c r="W2" s="92" t="s">
        <v>1366</v>
      </c>
      <c r="X2" s="92"/>
      <c r="Y2" s="1573" t="s">
        <v>591</v>
      </c>
      <c r="Z2" s="1573"/>
      <c r="AA2" s="1573"/>
      <c r="AB2" s="1573"/>
      <c r="AC2" s="1573"/>
      <c r="AE2" s="92" t="s">
        <v>338</v>
      </c>
      <c r="AF2" s="94"/>
      <c r="AG2" s="25" t="s">
        <v>1974</v>
      </c>
      <c r="AH2" s="25" t="s">
        <v>1990</v>
      </c>
      <c r="AI2" s="25" t="s">
        <v>1978</v>
      </c>
      <c r="AJ2" s="25" t="s">
        <v>1979</v>
      </c>
      <c r="AK2" s="25" t="s">
        <v>1980</v>
      </c>
      <c r="AL2" s="25" t="s">
        <v>1981</v>
      </c>
      <c r="AM2" s="25" t="s">
        <v>1991</v>
      </c>
      <c r="AN2" s="94" t="s">
        <v>652</v>
      </c>
      <c r="AO2" s="94" t="s">
        <v>653</v>
      </c>
      <c r="AP2" s="94" t="s">
        <v>654</v>
      </c>
      <c r="AQ2" s="94" t="s">
        <v>945</v>
      </c>
      <c r="AR2" s="94" t="s">
        <v>656</v>
      </c>
      <c r="AS2" s="94" t="s">
        <v>657</v>
      </c>
      <c r="AT2" s="94" t="s">
        <v>658</v>
      </c>
      <c r="AU2" s="94" t="s">
        <v>960</v>
      </c>
      <c r="AV2" s="94" t="s">
        <v>660</v>
      </c>
      <c r="AW2" s="94" t="s">
        <v>661</v>
      </c>
      <c r="AX2" s="94" t="s">
        <v>1058</v>
      </c>
      <c r="AY2" s="94" t="s">
        <v>663</v>
      </c>
      <c r="AZ2" s="94" t="s">
        <v>664</v>
      </c>
      <c r="BA2" s="25" t="s">
        <v>665</v>
      </c>
      <c r="BB2" s="25" t="s">
        <v>666</v>
      </c>
      <c r="BC2" s="94" t="s">
        <v>667</v>
      </c>
      <c r="BD2" s="25" t="s">
        <v>668</v>
      </c>
      <c r="BE2" s="94" t="s">
        <v>669</v>
      </c>
      <c r="BF2" s="94" t="s">
        <v>1088</v>
      </c>
      <c r="BG2" s="94" t="s">
        <v>671</v>
      </c>
      <c r="BH2" s="94"/>
      <c r="BI2" s="25" t="s">
        <v>1974</v>
      </c>
      <c r="BJ2" s="25" t="s">
        <v>1983</v>
      </c>
      <c r="BK2" s="94">
        <v>14.7</v>
      </c>
      <c r="BL2" s="94">
        <v>1416.8</v>
      </c>
      <c r="BN2" t="s">
        <v>620</v>
      </c>
      <c r="BP2" s="737" t="s">
        <v>143</v>
      </c>
      <c r="BQ2" s="869" t="s">
        <v>23</v>
      </c>
      <c r="BR2" s="737" t="s">
        <v>47</v>
      </c>
      <c r="BS2" s="1003" t="s">
        <v>48</v>
      </c>
      <c r="BT2" s="869" t="s">
        <v>214</v>
      </c>
      <c r="BV2" s="94" t="s">
        <v>120</v>
      </c>
    </row>
    <row r="3" spans="2:74" ht="17.25" x14ac:dyDescent="0.25">
      <c r="B3" s="122">
        <v>2030</v>
      </c>
      <c r="D3" s="65" t="s">
        <v>139</v>
      </c>
      <c r="F3" s="85" t="s">
        <v>354</v>
      </c>
      <c r="G3" s="42" t="s">
        <v>10</v>
      </c>
      <c r="I3" s="85" t="s">
        <v>1728</v>
      </c>
      <c r="J3" s="25" t="s">
        <v>92</v>
      </c>
      <c r="K3" s="41" t="s">
        <v>429</v>
      </c>
      <c r="L3" s="131"/>
      <c r="M3" s="25" t="s">
        <v>429</v>
      </c>
      <c r="N3" s="3" t="s">
        <v>92</v>
      </c>
      <c r="O3" s="25" t="s">
        <v>429</v>
      </c>
      <c r="P3" s="25"/>
      <c r="Q3" s="85" t="s">
        <v>436</v>
      </c>
      <c r="R3" s="41" t="s">
        <v>433</v>
      </c>
      <c r="S3" s="41" t="s">
        <v>12</v>
      </c>
      <c r="U3" s="94" t="s">
        <v>83</v>
      </c>
      <c r="V3" s="94" t="s">
        <v>83</v>
      </c>
      <c r="W3" s="131" t="s">
        <v>92</v>
      </c>
      <c r="X3" s="131"/>
      <c r="Y3" s="1029" t="s">
        <v>592</v>
      </c>
      <c r="Z3" s="1029" t="s">
        <v>593</v>
      </c>
      <c r="AA3" s="1029" t="s">
        <v>594</v>
      </c>
      <c r="AB3" s="1029" t="s">
        <v>595</v>
      </c>
      <c r="AC3" s="1029" t="s">
        <v>596</v>
      </c>
      <c r="AE3" s="6" t="s">
        <v>1983</v>
      </c>
      <c r="AF3" s="94"/>
      <c r="AG3" s="25" t="s">
        <v>1975</v>
      </c>
      <c r="AH3" s="1029" t="s">
        <v>672</v>
      </c>
      <c r="AI3" s="1029" t="s">
        <v>673</v>
      </c>
      <c r="AJ3" s="1029" t="s">
        <v>674</v>
      </c>
      <c r="AK3" s="1029" t="s">
        <v>929</v>
      </c>
      <c r="AL3" s="1029" t="s">
        <v>676</v>
      </c>
      <c r="AM3" s="94"/>
      <c r="AN3" s="25" t="s">
        <v>940</v>
      </c>
      <c r="AO3" s="94" t="s">
        <v>678</v>
      </c>
      <c r="AP3" s="94" t="s">
        <v>679</v>
      </c>
      <c r="AQ3" s="94" t="s">
        <v>655</v>
      </c>
      <c r="AR3" s="25" t="s">
        <v>681</v>
      </c>
      <c r="AS3" s="94" t="s">
        <v>950</v>
      </c>
      <c r="AT3" s="94" t="s">
        <v>683</v>
      </c>
      <c r="AU3" s="94" t="s">
        <v>954</v>
      </c>
      <c r="AV3" s="94" t="s">
        <v>685</v>
      </c>
      <c r="AW3" s="94" t="s">
        <v>686</v>
      </c>
      <c r="AX3" s="94" t="s">
        <v>1059</v>
      </c>
      <c r="AY3" s="94" t="s">
        <v>688</v>
      </c>
      <c r="AZ3" s="94" t="s">
        <v>689</v>
      </c>
      <c r="BA3" s="94"/>
      <c r="BB3" s="94"/>
      <c r="BC3" s="94" t="s">
        <v>690</v>
      </c>
      <c r="BD3" s="94" t="s">
        <v>691</v>
      </c>
      <c r="BE3" s="94" t="s">
        <v>692</v>
      </c>
      <c r="BF3" s="94" t="s">
        <v>1089</v>
      </c>
      <c r="BG3" s="94" t="s">
        <v>694</v>
      </c>
      <c r="BH3" s="94"/>
      <c r="BI3" s="25" t="s">
        <v>1975</v>
      </c>
      <c r="BJ3" s="25" t="s">
        <v>1983</v>
      </c>
      <c r="BK3" s="94">
        <v>13.1</v>
      </c>
      <c r="BL3" s="94">
        <v>971</v>
      </c>
      <c r="BN3" t="s">
        <v>1336</v>
      </c>
      <c r="BP3" s="870" t="s">
        <v>2027</v>
      </c>
      <c r="BQ3" s="1129" t="s">
        <v>1427</v>
      </c>
      <c r="BR3" s="1132" t="s">
        <v>2032</v>
      </c>
      <c r="BS3" s="1133">
        <v>0.8</v>
      </c>
      <c r="BT3" s="1131" t="s">
        <v>338</v>
      </c>
      <c r="BV3" s="94" t="s">
        <v>121</v>
      </c>
    </row>
    <row r="4" spans="2:74" ht="17.25" x14ac:dyDescent="0.25">
      <c r="B4" s="122">
        <v>2029</v>
      </c>
      <c r="D4" s="65" t="s">
        <v>438</v>
      </c>
      <c r="F4" s="85" t="s">
        <v>393</v>
      </c>
      <c r="G4" s="42" t="s">
        <v>10</v>
      </c>
      <c r="I4" s="85" t="s">
        <v>1729</v>
      </c>
      <c r="J4" s="25" t="s">
        <v>92</v>
      </c>
      <c r="K4" s="41" t="s">
        <v>437</v>
      </c>
      <c r="L4" s="131"/>
      <c r="M4" s="25" t="s">
        <v>435</v>
      </c>
      <c r="N4" s="94" t="s">
        <v>432</v>
      </c>
      <c r="O4" s="41" t="s">
        <v>429</v>
      </c>
      <c r="Q4" s="94" t="s">
        <v>360</v>
      </c>
      <c r="R4" s="94" t="s">
        <v>360</v>
      </c>
      <c r="S4" s="131" t="s">
        <v>92</v>
      </c>
      <c r="U4" s="94" t="s">
        <v>358</v>
      </c>
      <c r="V4" s="94" t="s">
        <v>358</v>
      </c>
      <c r="W4" s="131" t="s">
        <v>92</v>
      </c>
      <c r="X4" s="131"/>
      <c r="Y4" s="1029">
        <v>2015</v>
      </c>
      <c r="Z4" s="1029">
        <v>2015</v>
      </c>
      <c r="AA4" s="1029">
        <v>2015</v>
      </c>
      <c r="AB4" s="1029" t="s">
        <v>585</v>
      </c>
      <c r="AC4" s="1118">
        <v>2008</v>
      </c>
      <c r="AE4" s="6" t="s">
        <v>1984</v>
      </c>
      <c r="AF4" s="94"/>
      <c r="AG4" s="25" t="s">
        <v>1976</v>
      </c>
      <c r="AH4" s="1029" t="s">
        <v>928</v>
      </c>
      <c r="AI4" s="1029" t="s">
        <v>695</v>
      </c>
      <c r="AJ4" s="1029" t="s">
        <v>696</v>
      </c>
      <c r="AK4" s="1029" t="s">
        <v>675</v>
      </c>
      <c r="AL4" s="1029" t="s">
        <v>698</v>
      </c>
      <c r="AM4" s="94"/>
      <c r="AN4" s="94" t="s">
        <v>677</v>
      </c>
      <c r="AO4" s="94" t="s">
        <v>700</v>
      </c>
      <c r="AP4" s="94" t="s">
        <v>701</v>
      </c>
      <c r="AQ4" s="94" t="s">
        <v>680</v>
      </c>
      <c r="AR4" s="94" t="s">
        <v>703</v>
      </c>
      <c r="AS4" s="94" t="s">
        <v>951</v>
      </c>
      <c r="AT4" s="94" t="s">
        <v>705</v>
      </c>
      <c r="AU4" s="94" t="s">
        <v>955</v>
      </c>
      <c r="AV4" s="132" t="s">
        <v>1055</v>
      </c>
      <c r="AW4" s="132" t="s">
        <v>1056</v>
      </c>
      <c r="AX4" s="94" t="s">
        <v>1060</v>
      </c>
      <c r="AY4" s="94" t="s">
        <v>710</v>
      </c>
      <c r="AZ4" s="94" t="s">
        <v>711</v>
      </c>
      <c r="BA4" s="94"/>
      <c r="BB4" s="94"/>
      <c r="BC4" s="94" t="s">
        <v>712</v>
      </c>
      <c r="BD4" s="94" t="s">
        <v>713</v>
      </c>
      <c r="BE4" s="94" t="s">
        <v>714</v>
      </c>
      <c r="BF4" s="94" t="s">
        <v>1090</v>
      </c>
      <c r="BG4" s="94" t="s">
        <v>716</v>
      </c>
      <c r="BH4" s="94"/>
      <c r="BI4" s="25" t="s">
        <v>1976</v>
      </c>
      <c r="BJ4" s="25" t="s">
        <v>1983</v>
      </c>
      <c r="BK4" s="94">
        <v>15.5</v>
      </c>
      <c r="BL4" s="94">
        <v>1529.1</v>
      </c>
      <c r="BN4" t="s">
        <v>1335</v>
      </c>
      <c r="BP4" s="750" t="s">
        <v>2028</v>
      </c>
      <c r="BQ4" s="1130" t="s">
        <v>57</v>
      </c>
      <c r="BR4" s="1134" t="s">
        <v>49</v>
      </c>
      <c r="BS4" s="1135">
        <v>0.5</v>
      </c>
      <c r="BT4" s="1131" t="s">
        <v>215</v>
      </c>
      <c r="BV4" s="94" t="s">
        <v>534</v>
      </c>
    </row>
    <row r="5" spans="2:74" ht="15" x14ac:dyDescent="0.25">
      <c r="B5" s="122">
        <v>2028</v>
      </c>
      <c r="D5" s="65" t="s">
        <v>439</v>
      </c>
      <c r="F5" s="85" t="s">
        <v>372</v>
      </c>
      <c r="G5" s="42" t="s">
        <v>16</v>
      </c>
      <c r="I5" s="85" t="s">
        <v>1765</v>
      </c>
      <c r="J5" s="85" t="s">
        <v>79</v>
      </c>
      <c r="K5" s="85" t="s">
        <v>92</v>
      </c>
      <c r="L5" s="85"/>
      <c r="M5" s="94" t="s">
        <v>382</v>
      </c>
      <c r="N5" s="94" t="s">
        <v>382</v>
      </c>
      <c r="O5" s="131" t="s">
        <v>92</v>
      </c>
      <c r="P5" s="41"/>
      <c r="Q5" s="132" t="s">
        <v>432</v>
      </c>
      <c r="R5" s="25" t="s">
        <v>432</v>
      </c>
      <c r="S5" s="131" t="s">
        <v>92</v>
      </c>
      <c r="X5" s="41"/>
      <c r="Y5" s="1118">
        <v>2014</v>
      </c>
      <c r="Z5" s="1118">
        <v>2014</v>
      </c>
      <c r="AA5" s="1118">
        <v>2014</v>
      </c>
      <c r="AB5" s="1029"/>
      <c r="AC5" s="1118">
        <v>2007</v>
      </c>
      <c r="AE5" s="6" t="s">
        <v>1985</v>
      </c>
      <c r="AF5" s="94"/>
      <c r="AG5" s="94"/>
      <c r="AH5" s="94"/>
      <c r="AI5" s="1029" t="s">
        <v>717</v>
      </c>
      <c r="AJ5" s="94"/>
      <c r="AK5" s="1029" t="s">
        <v>697</v>
      </c>
      <c r="AL5" s="1029" t="s">
        <v>719</v>
      </c>
      <c r="AM5" s="94"/>
      <c r="AN5" s="25" t="s">
        <v>941</v>
      </c>
      <c r="AO5" s="94" t="s">
        <v>720</v>
      </c>
      <c r="AP5" s="94" t="s">
        <v>721</v>
      </c>
      <c r="AQ5" s="94" t="s">
        <v>702</v>
      </c>
      <c r="AR5" s="94" t="s">
        <v>723</v>
      </c>
      <c r="AS5" s="94" t="s">
        <v>682</v>
      </c>
      <c r="AT5" s="94" t="s">
        <v>725</v>
      </c>
      <c r="AU5" s="94" t="s">
        <v>956</v>
      </c>
      <c r="AV5" s="94" t="s">
        <v>707</v>
      </c>
      <c r="AW5" s="132" t="s">
        <v>1057</v>
      </c>
      <c r="AX5" s="94" t="s">
        <v>1061</v>
      </c>
      <c r="AY5" s="94" t="s">
        <v>730</v>
      </c>
      <c r="AZ5" s="94" t="s">
        <v>731</v>
      </c>
      <c r="BA5" s="94"/>
      <c r="BB5" s="94"/>
      <c r="BC5" s="94" t="s">
        <v>732</v>
      </c>
      <c r="BD5" s="94" t="s">
        <v>733</v>
      </c>
      <c r="BE5" s="94"/>
      <c r="BF5" s="25" t="s">
        <v>1091</v>
      </c>
      <c r="BG5" s="94" t="s">
        <v>735</v>
      </c>
      <c r="BH5" s="94"/>
      <c r="BI5" s="25" t="s">
        <v>1977</v>
      </c>
      <c r="BJ5" s="25" t="s">
        <v>1984</v>
      </c>
      <c r="BK5" s="94">
        <v>16.600000000000001</v>
      </c>
      <c r="BL5" s="94">
        <v>840.5</v>
      </c>
      <c r="BP5" s="729"/>
      <c r="BQ5" s="729"/>
      <c r="BR5" s="1134" t="s">
        <v>2033</v>
      </c>
      <c r="BS5" s="1135">
        <v>0.8</v>
      </c>
      <c r="BT5" s="1131" t="s">
        <v>216</v>
      </c>
      <c r="BV5" s="25" t="s">
        <v>1929</v>
      </c>
    </row>
    <row r="6" spans="2:74" ht="15" x14ac:dyDescent="0.25">
      <c r="B6" s="122">
        <v>2027</v>
      </c>
      <c r="D6" s="65" t="s">
        <v>440</v>
      </c>
      <c r="F6" s="85" t="s">
        <v>429</v>
      </c>
      <c r="G6" s="42" t="s">
        <v>11</v>
      </c>
      <c r="I6" t="s">
        <v>1727</v>
      </c>
      <c r="J6" s="25" t="s">
        <v>67</v>
      </c>
      <c r="K6" s="25" t="s">
        <v>92</v>
      </c>
      <c r="L6" s="132"/>
      <c r="M6" s="94" t="s">
        <v>383</v>
      </c>
      <c r="N6" s="94" t="s">
        <v>383</v>
      </c>
      <c r="O6" s="94" t="s">
        <v>92</v>
      </c>
      <c r="P6" s="131"/>
      <c r="Q6" s="41"/>
      <c r="R6" s="41"/>
      <c r="S6" s="41"/>
      <c r="X6" s="131"/>
      <c r="Y6" s="1118">
        <v>2013</v>
      </c>
      <c r="Z6" s="1118">
        <v>2013</v>
      </c>
      <c r="AA6" s="1118">
        <v>2013</v>
      </c>
      <c r="AB6" s="1029"/>
      <c r="AC6" s="1118">
        <v>2006</v>
      </c>
      <c r="AE6" s="6" t="s">
        <v>1986</v>
      </c>
      <c r="AF6" s="94"/>
      <c r="AG6" s="94"/>
      <c r="AH6" s="94"/>
      <c r="AI6" s="1029" t="s">
        <v>736</v>
      </c>
      <c r="AJ6" s="94"/>
      <c r="AK6" s="1029" t="s">
        <v>718</v>
      </c>
      <c r="AL6" s="1029" t="s">
        <v>738</v>
      </c>
      <c r="AM6" s="94"/>
      <c r="AN6" s="94" t="s">
        <v>699</v>
      </c>
      <c r="AO6" s="94" t="s">
        <v>739</v>
      </c>
      <c r="AP6" s="94" t="s">
        <v>740</v>
      </c>
      <c r="AQ6" s="94" t="s">
        <v>722</v>
      </c>
      <c r="AR6" s="94" t="s">
        <v>742</v>
      </c>
      <c r="AS6" s="94" t="s">
        <v>704</v>
      </c>
      <c r="AT6" s="94" t="s">
        <v>744</v>
      </c>
      <c r="AU6" s="94" t="s">
        <v>957</v>
      </c>
      <c r="AV6" s="94" t="s">
        <v>727</v>
      </c>
      <c r="AW6" s="94" t="s">
        <v>708</v>
      </c>
      <c r="AX6" s="94" t="s">
        <v>1062</v>
      </c>
      <c r="AY6" s="94" t="s">
        <v>747</v>
      </c>
      <c r="AZ6" s="94" t="s">
        <v>748</v>
      </c>
      <c r="BA6" s="94"/>
      <c r="BB6" s="94"/>
      <c r="BC6" s="94" t="s">
        <v>749</v>
      </c>
      <c r="BD6" s="94" t="s">
        <v>750</v>
      </c>
      <c r="BE6" s="94"/>
      <c r="BF6" s="94" t="s">
        <v>1092</v>
      </c>
      <c r="BG6" s="94" t="s">
        <v>752</v>
      </c>
      <c r="BH6" s="94"/>
      <c r="BI6" s="25" t="s">
        <v>1978</v>
      </c>
      <c r="BJ6" s="25" t="s">
        <v>1985</v>
      </c>
      <c r="BK6" s="94">
        <v>18.100000000000001</v>
      </c>
      <c r="BL6" s="94">
        <v>894.8</v>
      </c>
      <c r="BP6" s="729"/>
      <c r="BQ6" s="729"/>
      <c r="BR6" s="1134" t="s">
        <v>2041</v>
      </c>
      <c r="BS6" s="1135">
        <v>0.8</v>
      </c>
      <c r="BT6" s="729"/>
      <c r="BV6" s="94" t="s">
        <v>127</v>
      </c>
    </row>
    <row r="7" spans="2:74" ht="15" x14ac:dyDescent="0.25">
      <c r="B7" s="122">
        <v>2026</v>
      </c>
      <c r="F7" s="85" t="s">
        <v>376</v>
      </c>
      <c r="G7" s="42" t="s">
        <v>16</v>
      </c>
      <c r="I7" t="s">
        <v>1733</v>
      </c>
      <c r="J7" s="41" t="s">
        <v>433</v>
      </c>
      <c r="K7" s="41" t="s">
        <v>12</v>
      </c>
      <c r="L7" s="131"/>
      <c r="M7" s="94" t="s">
        <v>384</v>
      </c>
      <c r="N7" s="94" t="s">
        <v>384</v>
      </c>
      <c r="O7" s="94" t="s">
        <v>92</v>
      </c>
      <c r="Q7" s="131"/>
      <c r="R7" s="131"/>
      <c r="S7" s="131"/>
      <c r="Y7" s="1118">
        <v>2012</v>
      </c>
      <c r="Z7" s="1118">
        <v>2012</v>
      </c>
      <c r="AA7" s="1118">
        <v>2012</v>
      </c>
      <c r="AB7" s="1029"/>
      <c r="AC7" s="1118">
        <v>2005</v>
      </c>
      <c r="AE7" s="6" t="s">
        <v>1987</v>
      </c>
      <c r="AF7" s="94"/>
      <c r="AG7" s="94"/>
      <c r="AH7" s="94"/>
      <c r="AI7" s="1029" t="s">
        <v>753</v>
      </c>
      <c r="AJ7" s="94"/>
      <c r="AK7" s="1029" t="s">
        <v>930</v>
      </c>
      <c r="AL7" s="1029" t="s">
        <v>755</v>
      </c>
      <c r="AM7" s="94"/>
      <c r="AN7" s="94"/>
      <c r="AO7" s="132" t="s">
        <v>942</v>
      </c>
      <c r="AP7" s="94" t="s">
        <v>757</v>
      </c>
      <c r="AQ7" s="94" t="s">
        <v>741</v>
      </c>
      <c r="AR7" s="94" t="s">
        <v>759</v>
      </c>
      <c r="AS7" s="94" t="s">
        <v>724</v>
      </c>
      <c r="AT7" s="94" t="s">
        <v>760</v>
      </c>
      <c r="AU7" s="94" t="s">
        <v>958</v>
      </c>
      <c r="AV7" s="132" t="s">
        <v>1054</v>
      </c>
      <c r="AW7" s="94" t="s">
        <v>728</v>
      </c>
      <c r="AX7" s="94" t="s">
        <v>662</v>
      </c>
      <c r="AY7" s="94" t="s">
        <v>763</v>
      </c>
      <c r="AZ7" s="132" t="s">
        <v>1086</v>
      </c>
      <c r="BA7" s="94"/>
      <c r="BB7" s="94"/>
      <c r="BC7" s="94" t="s">
        <v>765</v>
      </c>
      <c r="BD7" s="132" t="s">
        <v>1087</v>
      </c>
      <c r="BE7" s="94"/>
      <c r="BF7" s="94" t="s">
        <v>1093</v>
      </c>
      <c r="BG7" s="94" t="s">
        <v>768</v>
      </c>
      <c r="BH7" s="94"/>
      <c r="BI7" s="25" t="s">
        <v>1979</v>
      </c>
      <c r="BJ7" s="25" t="s">
        <v>1986</v>
      </c>
      <c r="BK7" s="94">
        <v>17.399999999999999</v>
      </c>
      <c r="BL7" s="94">
        <v>728</v>
      </c>
      <c r="BP7" s="729"/>
      <c r="BQ7" s="729"/>
      <c r="BR7" s="1134" t="s">
        <v>2042</v>
      </c>
      <c r="BS7" s="1135">
        <v>0.2</v>
      </c>
      <c r="BT7" s="729"/>
      <c r="BV7" s="94" t="s">
        <v>128</v>
      </c>
    </row>
    <row r="8" spans="2:74" ht="15" x14ac:dyDescent="0.25">
      <c r="B8" s="122">
        <v>2025</v>
      </c>
      <c r="F8" s="85" t="s">
        <v>373</v>
      </c>
      <c r="G8" s="42" t="s">
        <v>16</v>
      </c>
      <c r="I8" t="s">
        <v>1726</v>
      </c>
      <c r="J8" s="85" t="s">
        <v>432</v>
      </c>
      <c r="K8" s="41" t="s">
        <v>429</v>
      </c>
      <c r="L8" s="131"/>
      <c r="M8" s="94" t="s">
        <v>385</v>
      </c>
      <c r="N8" s="94" t="s">
        <v>385</v>
      </c>
      <c r="O8" s="94" t="s">
        <v>92</v>
      </c>
      <c r="Y8" s="1118">
        <v>2011</v>
      </c>
      <c r="Z8" s="1118">
        <v>2011</v>
      </c>
      <c r="AA8" s="1118">
        <v>2011</v>
      </c>
      <c r="AB8" s="1029"/>
      <c r="AC8" s="1118">
        <v>2004</v>
      </c>
      <c r="AE8" s="6" t="s">
        <v>1988</v>
      </c>
      <c r="AF8" s="94"/>
      <c r="AG8" s="94"/>
      <c r="AH8" s="94"/>
      <c r="AI8" s="1029" t="s">
        <v>769</v>
      </c>
      <c r="AJ8" s="94"/>
      <c r="AK8" s="1029" t="s">
        <v>931</v>
      </c>
      <c r="AL8" s="1029" t="s">
        <v>939</v>
      </c>
      <c r="AM8" s="94"/>
      <c r="AN8" s="94"/>
      <c r="AO8" s="94" t="s">
        <v>756</v>
      </c>
      <c r="AP8" s="132" t="s">
        <v>944</v>
      </c>
      <c r="AQ8" s="94" t="s">
        <v>774</v>
      </c>
      <c r="AR8" s="94" t="s">
        <v>775</v>
      </c>
      <c r="AS8" s="94" t="s">
        <v>952</v>
      </c>
      <c r="AT8" s="94" t="s">
        <v>776</v>
      </c>
      <c r="AU8" s="94" t="s">
        <v>959</v>
      </c>
      <c r="AV8" s="94" t="s">
        <v>745</v>
      </c>
      <c r="AW8" s="94"/>
      <c r="AX8" s="94" t="s">
        <v>1063</v>
      </c>
      <c r="AY8" s="94" t="s">
        <v>779</v>
      </c>
      <c r="AZ8" s="94" t="s">
        <v>764</v>
      </c>
      <c r="BA8" s="94"/>
      <c r="BB8" s="94"/>
      <c r="BC8" s="94" t="s">
        <v>780</v>
      </c>
      <c r="BD8" s="94" t="s">
        <v>766</v>
      </c>
      <c r="BE8" s="94"/>
      <c r="BF8" s="94" t="s">
        <v>1095</v>
      </c>
      <c r="BG8" s="94"/>
      <c r="BH8" s="94"/>
      <c r="BI8" s="25" t="s">
        <v>1980</v>
      </c>
      <c r="BJ8" s="25" t="s">
        <v>1987</v>
      </c>
      <c r="BK8" s="94">
        <v>18.899999999999999</v>
      </c>
      <c r="BL8" s="94">
        <v>475.7</v>
      </c>
      <c r="BP8" s="729"/>
      <c r="BQ8" s="729"/>
      <c r="BR8" s="1134" t="s">
        <v>2038</v>
      </c>
      <c r="BS8" s="1135">
        <v>0.1</v>
      </c>
      <c r="BT8" s="729"/>
      <c r="BV8" s="94" t="s">
        <v>571</v>
      </c>
    </row>
    <row r="9" spans="2:74" ht="15" x14ac:dyDescent="0.25">
      <c r="B9" s="122">
        <v>2024</v>
      </c>
      <c r="F9" s="85" t="s">
        <v>381</v>
      </c>
      <c r="G9" s="42" t="s">
        <v>16</v>
      </c>
      <c r="I9" t="s">
        <v>1739</v>
      </c>
      <c r="L9" s="131"/>
      <c r="M9" s="94" t="s">
        <v>386</v>
      </c>
      <c r="N9" s="94" t="s">
        <v>386</v>
      </c>
      <c r="O9" s="94" t="s">
        <v>92</v>
      </c>
      <c r="Q9" s="132"/>
      <c r="R9" s="132"/>
      <c r="Y9" s="1118">
        <v>2010</v>
      </c>
      <c r="Z9" s="1118">
        <v>2010</v>
      </c>
      <c r="AA9" s="1118">
        <v>2010</v>
      </c>
      <c r="AB9" s="1029"/>
      <c r="AC9" s="1118">
        <v>2003</v>
      </c>
      <c r="AE9" s="6" t="s">
        <v>1989</v>
      </c>
      <c r="AF9" s="94"/>
      <c r="AG9" s="94"/>
      <c r="AH9" s="94"/>
      <c r="AI9" s="1029" t="s">
        <v>783</v>
      </c>
      <c r="AJ9" s="94"/>
      <c r="AK9" s="1029" t="s">
        <v>737</v>
      </c>
      <c r="AL9" s="1029" t="s">
        <v>771</v>
      </c>
      <c r="AM9" s="94"/>
      <c r="AN9" s="94"/>
      <c r="AO9" s="94" t="s">
        <v>772</v>
      </c>
      <c r="AP9" s="94" t="s">
        <v>773</v>
      </c>
      <c r="AQ9" s="94" t="s">
        <v>946</v>
      </c>
      <c r="AR9" s="25" t="s">
        <v>949</v>
      </c>
      <c r="AS9" s="94" t="s">
        <v>743</v>
      </c>
      <c r="AT9" s="94" t="s">
        <v>788</v>
      </c>
      <c r="AU9" s="94" t="s">
        <v>961</v>
      </c>
      <c r="AV9" s="94" t="s">
        <v>761</v>
      </c>
      <c r="AW9" s="94"/>
      <c r="AX9" s="94" t="s">
        <v>1064</v>
      </c>
      <c r="AY9" s="132" t="s">
        <v>1085</v>
      </c>
      <c r="AZ9" s="94"/>
      <c r="BA9" s="94"/>
      <c r="BB9" s="94"/>
      <c r="BC9" s="94" t="s">
        <v>792</v>
      </c>
      <c r="BD9" s="94" t="s">
        <v>781</v>
      </c>
      <c r="BE9" s="94"/>
      <c r="BF9" s="94" t="s">
        <v>1096</v>
      </c>
      <c r="BG9" s="94"/>
      <c r="BH9" s="94"/>
      <c r="BI9" s="25" t="s">
        <v>1981</v>
      </c>
      <c r="BJ9" s="25" t="s">
        <v>1988</v>
      </c>
      <c r="BK9" s="94">
        <v>20.2</v>
      </c>
      <c r="BL9" s="94">
        <v>647.1</v>
      </c>
      <c r="BP9" s="729"/>
      <c r="BQ9" s="729"/>
      <c r="BR9" s="1134" t="s">
        <v>2039</v>
      </c>
      <c r="BS9" s="1135">
        <v>0.05</v>
      </c>
      <c r="BT9" s="729"/>
      <c r="BV9" s="94" t="s">
        <v>129</v>
      </c>
    </row>
    <row r="10" spans="2:74" ht="15" x14ac:dyDescent="0.25">
      <c r="B10" s="122">
        <v>2023</v>
      </c>
      <c r="F10" s="85" t="s">
        <v>380</v>
      </c>
      <c r="G10" s="42" t="s">
        <v>16</v>
      </c>
      <c r="I10" t="s">
        <v>1856</v>
      </c>
      <c r="L10" s="131"/>
      <c r="M10" s="94" t="s">
        <v>387</v>
      </c>
      <c r="N10" s="94" t="s">
        <v>387</v>
      </c>
      <c r="O10" s="94" t="s">
        <v>92</v>
      </c>
      <c r="Q10" s="92"/>
      <c r="R10" s="92"/>
      <c r="X10" s="131"/>
      <c r="Y10" s="1118">
        <v>2009</v>
      </c>
      <c r="Z10" s="1118">
        <v>2009</v>
      </c>
      <c r="AA10" s="1118">
        <v>2009</v>
      </c>
      <c r="AB10" s="1029"/>
      <c r="AC10" s="1118">
        <v>2002</v>
      </c>
      <c r="AE10" s="1117" t="s">
        <v>628</v>
      </c>
      <c r="AF10" s="94"/>
      <c r="AG10" s="94"/>
      <c r="AH10" s="94"/>
      <c r="AI10" s="1029" t="s">
        <v>795</v>
      </c>
      <c r="AJ10" s="94"/>
      <c r="AK10" s="1029" t="s">
        <v>932</v>
      </c>
      <c r="AL10" s="1029" t="s">
        <v>785</v>
      </c>
      <c r="AM10" s="94"/>
      <c r="AN10" s="94"/>
      <c r="AO10" s="94" t="s">
        <v>786</v>
      </c>
      <c r="AP10" s="94"/>
      <c r="AQ10" s="94" t="s">
        <v>787</v>
      </c>
      <c r="AR10" s="94"/>
      <c r="AS10" s="94"/>
      <c r="AT10" s="94" t="s">
        <v>800</v>
      </c>
      <c r="AU10" s="94" t="s">
        <v>962</v>
      </c>
      <c r="AV10" s="94" t="s">
        <v>777</v>
      </c>
      <c r="AW10" s="94"/>
      <c r="AX10" s="94" t="s">
        <v>687</v>
      </c>
      <c r="AY10" s="25" t="s">
        <v>791</v>
      </c>
      <c r="AZ10" s="94"/>
      <c r="BA10" s="94"/>
      <c r="BB10" s="94"/>
      <c r="BC10" s="94" t="s">
        <v>804</v>
      </c>
      <c r="BD10" s="94" t="s">
        <v>793</v>
      </c>
      <c r="BE10" s="94"/>
      <c r="BF10" s="94" t="s">
        <v>1094</v>
      </c>
      <c r="BG10" s="94"/>
      <c r="BH10" s="94"/>
      <c r="BI10" s="25" t="s">
        <v>1982</v>
      </c>
      <c r="BJ10" s="25" t="s">
        <v>1989</v>
      </c>
      <c r="BK10" s="94">
        <v>18.399999999999999</v>
      </c>
      <c r="BL10" s="94">
        <v>762.3</v>
      </c>
      <c r="BP10" s="729"/>
      <c r="BQ10" s="729"/>
      <c r="BR10" s="1136" t="s">
        <v>2040</v>
      </c>
      <c r="BS10" s="1137">
        <v>0.3</v>
      </c>
      <c r="BT10" s="729"/>
      <c r="BV10" s="25" t="s">
        <v>1930</v>
      </c>
    </row>
    <row r="11" spans="2:74" ht="15" x14ac:dyDescent="0.25">
      <c r="B11" s="122">
        <v>2022</v>
      </c>
      <c r="F11" s="85" t="s">
        <v>382</v>
      </c>
      <c r="G11" s="42" t="s">
        <v>16</v>
      </c>
      <c r="I11" t="s">
        <v>429</v>
      </c>
      <c r="L11" s="131"/>
      <c r="M11" s="94" t="s">
        <v>388</v>
      </c>
      <c r="N11" s="94" t="s">
        <v>388</v>
      </c>
      <c r="O11" s="94" t="s">
        <v>92</v>
      </c>
      <c r="S11" s="131"/>
      <c r="X11" s="131"/>
      <c r="Y11" s="1118">
        <v>2008</v>
      </c>
      <c r="Z11" s="1118">
        <v>2008</v>
      </c>
      <c r="AA11" s="1029"/>
      <c r="AB11" s="1029"/>
      <c r="AC11" s="1118">
        <v>2001</v>
      </c>
      <c r="AE11" s="1117" t="s">
        <v>629</v>
      </c>
      <c r="AF11" s="94"/>
      <c r="AG11" s="94"/>
      <c r="AH11" s="94"/>
      <c r="AI11" s="1029" t="s">
        <v>807</v>
      </c>
      <c r="AJ11" s="94"/>
      <c r="AK11" s="1029" t="s">
        <v>754</v>
      </c>
      <c r="AL11" s="1029" t="s">
        <v>797</v>
      </c>
      <c r="AM11" s="94"/>
      <c r="AN11" s="94"/>
      <c r="AO11" s="132" t="s">
        <v>943</v>
      </c>
      <c r="AP11" s="94"/>
      <c r="AQ11" s="94" t="s">
        <v>799</v>
      </c>
      <c r="AR11" s="94"/>
      <c r="AS11" s="94"/>
      <c r="AT11" s="94" t="s">
        <v>811</v>
      </c>
      <c r="AU11" s="94" t="s">
        <v>963</v>
      </c>
      <c r="AV11" s="94" t="s">
        <v>789</v>
      </c>
      <c r="AW11" s="94"/>
      <c r="AX11" s="94" t="s">
        <v>1065</v>
      </c>
      <c r="AY11" s="94" t="s">
        <v>803</v>
      </c>
      <c r="AZ11" s="94"/>
      <c r="BA11" s="94"/>
      <c r="BB11" s="94"/>
      <c r="BC11" s="94" t="s">
        <v>814</v>
      </c>
      <c r="BD11" s="94" t="s">
        <v>805</v>
      </c>
      <c r="BE11" s="94"/>
      <c r="BF11" s="94" t="s">
        <v>1097</v>
      </c>
      <c r="BG11" s="94"/>
      <c r="BH11" s="94"/>
      <c r="BI11" s="1029" t="s">
        <v>717</v>
      </c>
      <c r="BJ11" s="94" t="s">
        <v>623</v>
      </c>
      <c r="BK11" s="94">
        <v>26.2</v>
      </c>
      <c r="BL11" s="94">
        <v>2069</v>
      </c>
      <c r="BP11" s="729"/>
      <c r="BQ11" s="729"/>
      <c r="BT11" s="729"/>
    </row>
    <row r="12" spans="2:74" ht="15" x14ac:dyDescent="0.25">
      <c r="B12" s="122">
        <v>2021</v>
      </c>
      <c r="F12" s="85" t="s">
        <v>383</v>
      </c>
      <c r="G12" s="42" t="s">
        <v>16</v>
      </c>
      <c r="I12" t="s">
        <v>12</v>
      </c>
      <c r="L12" s="131"/>
      <c r="M12" s="94" t="s">
        <v>389</v>
      </c>
      <c r="N12" s="94" t="s">
        <v>389</v>
      </c>
      <c r="O12" s="94" t="s">
        <v>92</v>
      </c>
      <c r="S12" s="131"/>
      <c r="Y12" s="1118">
        <v>2007</v>
      </c>
      <c r="Z12" s="1118">
        <v>2007</v>
      </c>
      <c r="AA12" s="1029"/>
      <c r="AB12" s="1029"/>
      <c r="AC12" s="1118" t="s">
        <v>579</v>
      </c>
      <c r="AE12" s="1117" t="s">
        <v>630</v>
      </c>
      <c r="AF12" s="94"/>
      <c r="AG12" s="94"/>
      <c r="AH12" s="94"/>
      <c r="AI12" s="1029" t="s">
        <v>817</v>
      </c>
      <c r="AJ12" s="94"/>
      <c r="AK12" s="1029" t="s">
        <v>933</v>
      </c>
      <c r="AL12" s="1029" t="s">
        <v>809</v>
      </c>
      <c r="AM12" s="94"/>
      <c r="AN12" s="94"/>
      <c r="AO12" s="94" t="s">
        <v>798</v>
      </c>
      <c r="AP12" s="94"/>
      <c r="AQ12" s="94" t="s">
        <v>810</v>
      </c>
      <c r="AR12" s="94"/>
      <c r="AS12" s="94"/>
      <c r="AT12" s="94" t="s">
        <v>820</v>
      </c>
      <c r="AU12" s="94" t="s">
        <v>964</v>
      </c>
      <c r="AV12" s="94" t="s">
        <v>801</v>
      </c>
      <c r="AW12" s="94"/>
      <c r="AX12" s="94" t="s">
        <v>1066</v>
      </c>
      <c r="AY12" s="94" t="s">
        <v>813</v>
      </c>
      <c r="AZ12" s="94"/>
      <c r="BA12" s="94"/>
      <c r="BB12" s="94"/>
      <c r="BC12" s="94" t="s">
        <v>823</v>
      </c>
      <c r="BD12" s="94" t="s">
        <v>815</v>
      </c>
      <c r="BE12" s="94"/>
      <c r="BF12" s="94" t="s">
        <v>1098</v>
      </c>
      <c r="BG12" s="94"/>
      <c r="BH12" s="94"/>
      <c r="BI12" s="1029" t="s">
        <v>736</v>
      </c>
      <c r="BJ12" s="94" t="s">
        <v>623</v>
      </c>
      <c r="BK12" s="94">
        <v>25.6</v>
      </c>
      <c r="BL12" s="94">
        <v>2562.9</v>
      </c>
      <c r="BP12" s="729"/>
      <c r="BQ12" s="729"/>
      <c r="BT12" s="729"/>
    </row>
    <row r="13" spans="2:74" ht="15" x14ac:dyDescent="0.25">
      <c r="B13" s="122">
        <v>2020</v>
      </c>
      <c r="F13" s="85" t="s">
        <v>384</v>
      </c>
      <c r="G13" s="42" t="s">
        <v>16</v>
      </c>
      <c r="L13" s="131"/>
      <c r="M13" s="94" t="s">
        <v>390</v>
      </c>
      <c r="N13" s="94" t="s">
        <v>390</v>
      </c>
      <c r="O13" s="94" t="s">
        <v>92</v>
      </c>
      <c r="Y13" s="1118">
        <v>2006</v>
      </c>
      <c r="Z13" s="1118">
        <v>2006</v>
      </c>
      <c r="AA13" s="1029"/>
      <c r="AB13" s="1029"/>
      <c r="AC13" s="1029"/>
      <c r="AE13" s="1117" t="s">
        <v>631</v>
      </c>
      <c r="AF13" s="94"/>
      <c r="AG13" s="94"/>
      <c r="AH13" s="94"/>
      <c r="AI13" s="1029" t="s">
        <v>835</v>
      </c>
      <c r="AJ13" s="94"/>
      <c r="AK13" s="1029" t="s">
        <v>934</v>
      </c>
      <c r="AL13" s="94"/>
      <c r="AM13" s="94"/>
      <c r="AN13" s="94"/>
      <c r="AO13" s="94"/>
      <c r="AP13" s="94"/>
      <c r="AQ13" s="94" t="s">
        <v>819</v>
      </c>
      <c r="AR13" s="94"/>
      <c r="AS13" s="94"/>
      <c r="AT13" s="94" t="s">
        <v>829</v>
      </c>
      <c r="AU13" s="94" t="s">
        <v>965</v>
      </c>
      <c r="AV13" s="94"/>
      <c r="AW13" s="94"/>
      <c r="AX13" s="25" t="s">
        <v>1067</v>
      </c>
      <c r="AY13" s="94" t="s">
        <v>822</v>
      </c>
      <c r="AZ13" s="94"/>
      <c r="BA13" s="94"/>
      <c r="BB13" s="94"/>
      <c r="BC13" s="94" t="s">
        <v>832</v>
      </c>
      <c r="BD13" s="94" t="s">
        <v>824</v>
      </c>
      <c r="BE13" s="94"/>
      <c r="BF13" s="94" t="s">
        <v>1099</v>
      </c>
      <c r="BG13" s="94"/>
      <c r="BH13" s="94"/>
      <c r="BI13" s="1029" t="s">
        <v>753</v>
      </c>
      <c r="BJ13" s="94" t="s">
        <v>623</v>
      </c>
      <c r="BK13" s="94">
        <v>25.5</v>
      </c>
      <c r="BL13" s="94">
        <v>3555.7</v>
      </c>
      <c r="BP13" s="729"/>
      <c r="BQ13" s="729"/>
      <c r="BT13" s="729"/>
    </row>
    <row r="14" spans="2:74" ht="15" x14ac:dyDescent="0.25">
      <c r="B14" s="122">
        <v>2019</v>
      </c>
      <c r="F14" s="85" t="s">
        <v>385</v>
      </c>
      <c r="G14" s="42" t="s">
        <v>16</v>
      </c>
      <c r="M14" s="94" t="s">
        <v>391</v>
      </c>
      <c r="N14" s="94" t="s">
        <v>391</v>
      </c>
      <c r="O14" s="94" t="s">
        <v>92</v>
      </c>
      <c r="Y14" s="1118">
        <v>2005</v>
      </c>
      <c r="Z14" s="1118">
        <v>2005</v>
      </c>
      <c r="AA14" s="1029"/>
      <c r="AB14" s="1029"/>
      <c r="AC14" s="1029"/>
      <c r="AE14" s="1117" t="s">
        <v>632</v>
      </c>
      <c r="AF14" s="94"/>
      <c r="AG14" s="94"/>
      <c r="AH14" s="94"/>
      <c r="AI14" s="1029" t="s">
        <v>826</v>
      </c>
      <c r="AJ14" s="94"/>
      <c r="AK14" s="1029" t="s">
        <v>770</v>
      </c>
      <c r="AL14" s="94"/>
      <c r="AM14" s="94"/>
      <c r="AN14" s="94"/>
      <c r="AO14" s="94"/>
      <c r="AP14" s="94"/>
      <c r="AQ14" s="94" t="s">
        <v>828</v>
      </c>
      <c r="AR14" s="94"/>
      <c r="AS14" s="94"/>
      <c r="AT14" s="94" t="s">
        <v>838</v>
      </c>
      <c r="AU14" s="94" t="s">
        <v>966</v>
      </c>
      <c r="AV14" s="94"/>
      <c r="AW14" s="94"/>
      <c r="AX14" s="94" t="s">
        <v>709</v>
      </c>
      <c r="AY14" s="94" t="s">
        <v>831</v>
      </c>
      <c r="AZ14" s="94"/>
      <c r="BA14" s="94"/>
      <c r="BB14" s="94"/>
      <c r="BC14" s="94" t="s">
        <v>841</v>
      </c>
      <c r="BD14" s="94" t="s">
        <v>833</v>
      </c>
      <c r="BE14" s="94"/>
      <c r="BF14" s="94" t="s">
        <v>1100</v>
      </c>
      <c r="BG14" s="94"/>
      <c r="BH14" s="94"/>
      <c r="BI14" s="1029" t="s">
        <v>769</v>
      </c>
      <c r="BJ14" s="94" t="s">
        <v>623</v>
      </c>
      <c r="BK14" s="94">
        <v>26.4</v>
      </c>
      <c r="BL14" s="94">
        <v>2539.6</v>
      </c>
      <c r="BP14" s="729"/>
      <c r="BQ14" s="729"/>
      <c r="BR14" s="729"/>
      <c r="BS14" s="1138"/>
      <c r="BT14" s="729"/>
    </row>
    <row r="15" spans="2:74" ht="15" x14ac:dyDescent="0.25">
      <c r="B15" s="122">
        <v>2018</v>
      </c>
      <c r="F15" s="85" t="s">
        <v>386</v>
      </c>
      <c r="G15" s="42" t="s">
        <v>16</v>
      </c>
      <c r="M15" s="94" t="s">
        <v>81</v>
      </c>
      <c r="N15" s="94" t="s">
        <v>81</v>
      </c>
      <c r="O15" s="94" t="s">
        <v>92</v>
      </c>
      <c r="Y15" s="1118">
        <v>2004</v>
      </c>
      <c r="Z15" s="1118">
        <v>2004</v>
      </c>
      <c r="AA15" s="1029"/>
      <c r="AB15" s="1029"/>
      <c r="AC15" s="1029"/>
      <c r="AE15" s="1117" t="s">
        <v>633</v>
      </c>
      <c r="AF15" s="94"/>
      <c r="AG15" s="94"/>
      <c r="AH15" s="94"/>
      <c r="AI15" s="1029" t="s">
        <v>844</v>
      </c>
      <c r="AJ15" s="94"/>
      <c r="AK15" s="1029" t="s">
        <v>935</v>
      </c>
      <c r="AL15" s="94"/>
      <c r="AM15" s="94"/>
      <c r="AN15" s="94"/>
      <c r="AO15" s="94"/>
      <c r="AP15" s="94"/>
      <c r="AQ15" s="94" t="s">
        <v>837</v>
      </c>
      <c r="AR15" s="94"/>
      <c r="AS15" s="94"/>
      <c r="AT15" s="94" t="s">
        <v>847</v>
      </c>
      <c r="AU15" s="94" t="s">
        <v>967</v>
      </c>
      <c r="AV15" s="94"/>
      <c r="AW15" s="94"/>
      <c r="AX15" s="94" t="s">
        <v>729</v>
      </c>
      <c r="AY15" s="94" t="s">
        <v>840</v>
      </c>
      <c r="AZ15" s="94"/>
      <c r="BA15" s="94"/>
      <c r="BB15" s="94"/>
      <c r="BC15" s="94" t="s">
        <v>850</v>
      </c>
      <c r="BD15" s="94" t="s">
        <v>842</v>
      </c>
      <c r="BE15" s="94"/>
      <c r="BF15" s="94" t="s">
        <v>1101</v>
      </c>
      <c r="BG15" s="94"/>
      <c r="BH15" s="94"/>
      <c r="BI15" s="1029" t="s">
        <v>783</v>
      </c>
      <c r="BJ15" s="94" t="s">
        <v>623</v>
      </c>
      <c r="BK15" s="94">
        <v>25.6</v>
      </c>
      <c r="BL15" s="94">
        <v>2644.2</v>
      </c>
      <c r="BP15" s="865"/>
      <c r="BQ15" s="865"/>
      <c r="BR15" s="729"/>
      <c r="BS15" s="865"/>
      <c r="BT15" s="252"/>
    </row>
    <row r="16" spans="2:74" ht="15" x14ac:dyDescent="0.25">
      <c r="B16" s="122">
        <v>2017</v>
      </c>
      <c r="F16" s="85" t="s">
        <v>387</v>
      </c>
      <c r="G16" s="42" t="s">
        <v>16</v>
      </c>
      <c r="Y16" s="1118">
        <v>2003</v>
      </c>
      <c r="Z16" s="1118">
        <v>2003</v>
      </c>
      <c r="AA16" s="1029"/>
      <c r="AB16" s="1029"/>
      <c r="AC16" s="1029"/>
      <c r="AE16" s="1117" t="s">
        <v>634</v>
      </c>
      <c r="AF16" s="94"/>
      <c r="AG16" s="94"/>
      <c r="AH16" s="94"/>
      <c r="AI16" s="1029" t="s">
        <v>852</v>
      </c>
      <c r="AJ16" s="94"/>
      <c r="AK16" s="1029" t="s">
        <v>784</v>
      </c>
      <c r="AL16" s="94"/>
      <c r="AM16" s="94"/>
      <c r="AN16" s="94"/>
      <c r="AO16" s="94"/>
      <c r="AP16" s="94"/>
      <c r="AQ16" s="94" t="s">
        <v>846</v>
      </c>
      <c r="AR16" s="94"/>
      <c r="AS16" s="94"/>
      <c r="AT16" s="94" t="s">
        <v>855</v>
      </c>
      <c r="AU16" s="94" t="s">
        <v>968</v>
      </c>
      <c r="AV16" s="94"/>
      <c r="AW16" s="94"/>
      <c r="AX16" s="94" t="s">
        <v>1068</v>
      </c>
      <c r="AY16" s="94" t="s">
        <v>849</v>
      </c>
      <c r="AZ16" s="94"/>
      <c r="BA16" s="94"/>
      <c r="BB16" s="94"/>
      <c r="BC16" s="94" t="s">
        <v>858</v>
      </c>
      <c r="BD16" s="94"/>
      <c r="BE16" s="94"/>
      <c r="BF16" s="25" t="s">
        <v>1102</v>
      </c>
      <c r="BG16" s="94"/>
      <c r="BH16" s="94"/>
      <c r="BI16" s="1029" t="s">
        <v>795</v>
      </c>
      <c r="BJ16" s="94" t="s">
        <v>623</v>
      </c>
      <c r="BK16" s="94">
        <v>26.7</v>
      </c>
      <c r="BL16" s="94">
        <v>2307.4</v>
      </c>
      <c r="BP16" s="865"/>
      <c r="BQ16" s="865"/>
      <c r="BR16" s="729"/>
      <c r="BS16" s="865"/>
      <c r="BT16" s="252"/>
    </row>
    <row r="17" spans="2:71" ht="15" x14ac:dyDescent="0.25">
      <c r="B17" s="122">
        <v>2016</v>
      </c>
      <c r="F17" s="85" t="s">
        <v>388</v>
      </c>
      <c r="G17" s="42" t="s">
        <v>16</v>
      </c>
      <c r="Y17" s="1118">
        <v>2002</v>
      </c>
      <c r="Z17" s="1119"/>
      <c r="AA17" s="1029"/>
      <c r="AB17" s="1029"/>
      <c r="AC17" s="1029"/>
      <c r="AE17" s="1117" t="s">
        <v>635</v>
      </c>
      <c r="AF17" s="94"/>
      <c r="AG17" s="94"/>
      <c r="AH17" s="94"/>
      <c r="AI17" s="94"/>
      <c r="AJ17" s="94"/>
      <c r="AK17" s="1029" t="s">
        <v>796</v>
      </c>
      <c r="AL17" s="94"/>
      <c r="AM17" s="94"/>
      <c r="AN17" s="94"/>
      <c r="AO17" s="94"/>
      <c r="AP17" s="94"/>
      <c r="AQ17" s="94" t="s">
        <v>854</v>
      </c>
      <c r="AR17" s="94"/>
      <c r="AS17" s="94"/>
      <c r="AT17" s="132" t="s">
        <v>953</v>
      </c>
      <c r="AU17" s="94" t="s">
        <v>969</v>
      </c>
      <c r="AV17" s="94"/>
      <c r="AW17" s="94"/>
      <c r="AX17" s="94" t="s">
        <v>746</v>
      </c>
      <c r="AY17" s="94" t="s">
        <v>857</v>
      </c>
      <c r="AZ17" s="94"/>
      <c r="BA17" s="94"/>
      <c r="BB17" s="94"/>
      <c r="BC17" s="94" t="s">
        <v>865</v>
      </c>
      <c r="BD17" s="94"/>
      <c r="BE17" s="94"/>
      <c r="BF17" s="94" t="s">
        <v>670</v>
      </c>
      <c r="BG17" s="94"/>
      <c r="BH17" s="94"/>
      <c r="BI17" s="1029" t="s">
        <v>807</v>
      </c>
      <c r="BJ17" s="94" t="s">
        <v>623</v>
      </c>
      <c r="BK17" s="94">
        <v>26.2</v>
      </c>
      <c r="BL17" s="94">
        <v>2699.2</v>
      </c>
      <c r="BR17" s="729"/>
      <c r="BS17" s="729"/>
    </row>
    <row r="18" spans="2:71" x14ac:dyDescent="0.2">
      <c r="B18" s="122">
        <v>2015</v>
      </c>
      <c r="F18" s="85" t="s">
        <v>389</v>
      </c>
      <c r="G18" s="42" t="s">
        <v>16</v>
      </c>
      <c r="Y18" s="1118">
        <v>2001</v>
      </c>
      <c r="Z18" s="1029"/>
      <c r="AA18" s="1029"/>
      <c r="AB18" s="1029"/>
      <c r="AC18" s="1029"/>
      <c r="AE18" s="1117" t="s">
        <v>636</v>
      </c>
      <c r="AF18" s="94"/>
      <c r="AG18" s="94"/>
      <c r="AH18" s="94"/>
      <c r="AI18" s="94"/>
      <c r="AJ18" s="94"/>
      <c r="AK18" s="1029" t="s">
        <v>936</v>
      </c>
      <c r="AL18" s="94"/>
      <c r="AM18" s="94"/>
      <c r="AN18" s="94"/>
      <c r="AO18" s="94"/>
      <c r="AP18" s="94"/>
      <c r="AQ18" s="94" t="s">
        <v>861</v>
      </c>
      <c r="AR18" s="94"/>
      <c r="AS18" s="94"/>
      <c r="AT18" s="94" t="s">
        <v>862</v>
      </c>
      <c r="AU18" s="94" t="s">
        <v>970</v>
      </c>
      <c r="AV18" s="94"/>
      <c r="AW18" s="94"/>
      <c r="AX18" s="94" t="s">
        <v>762</v>
      </c>
      <c r="AY18" s="94" t="s">
        <v>864</v>
      </c>
      <c r="AZ18" s="94"/>
      <c r="BA18" s="94"/>
      <c r="BB18" s="94"/>
      <c r="BC18" s="94" t="s">
        <v>871</v>
      </c>
      <c r="BD18" s="94"/>
      <c r="BE18" s="94"/>
      <c r="BF18" s="94" t="s">
        <v>1105</v>
      </c>
      <c r="BG18" s="94"/>
      <c r="BH18" s="94"/>
      <c r="BI18" s="1029" t="s">
        <v>817</v>
      </c>
      <c r="BJ18" s="94" t="s">
        <v>623</v>
      </c>
      <c r="BK18" s="94">
        <v>27.2</v>
      </c>
      <c r="BL18" s="94">
        <v>2302.1999999999998</v>
      </c>
    </row>
    <row r="19" spans="2:71" x14ac:dyDescent="0.2">
      <c r="B19" s="120">
        <v>2014</v>
      </c>
      <c r="F19" s="85" t="s">
        <v>390</v>
      </c>
      <c r="G19" s="42" t="s">
        <v>16</v>
      </c>
      <c r="Y19" s="1118" t="s">
        <v>579</v>
      </c>
      <c r="Z19" s="1029"/>
      <c r="AA19" s="1029"/>
      <c r="AB19" s="1029"/>
      <c r="AC19" s="1029"/>
      <c r="AE19" s="1117" t="s">
        <v>637</v>
      </c>
      <c r="AF19" s="94"/>
      <c r="AG19" s="94"/>
      <c r="AH19" s="94"/>
      <c r="AI19" s="94"/>
      <c r="AJ19" s="94"/>
      <c r="AK19" s="1029" t="s">
        <v>808</v>
      </c>
      <c r="AL19" s="94"/>
      <c r="AM19" s="94"/>
      <c r="AN19" s="94"/>
      <c r="AO19" s="94"/>
      <c r="AP19" s="94"/>
      <c r="AQ19" s="94" t="s">
        <v>868</v>
      </c>
      <c r="AR19" s="94"/>
      <c r="AS19" s="94"/>
      <c r="AT19" s="94" t="s">
        <v>869</v>
      </c>
      <c r="AU19" s="94" t="s">
        <v>971</v>
      </c>
      <c r="AV19" s="94"/>
      <c r="AW19" s="94"/>
      <c r="AX19" s="94" t="s">
        <v>1069</v>
      </c>
      <c r="AY19" s="94" t="s">
        <v>870</v>
      </c>
      <c r="AZ19" s="94"/>
      <c r="BA19" s="94"/>
      <c r="BB19" s="94"/>
      <c r="BC19" s="94" t="s">
        <v>876</v>
      </c>
      <c r="BD19" s="94"/>
      <c r="BE19" s="94"/>
      <c r="BF19" s="94" t="s">
        <v>1103</v>
      </c>
      <c r="BG19" s="94"/>
      <c r="BH19" s="94"/>
      <c r="BI19" s="1029" t="s">
        <v>826</v>
      </c>
      <c r="BJ19" s="94" t="s">
        <v>623</v>
      </c>
      <c r="BK19" s="94">
        <v>25.6</v>
      </c>
      <c r="BL19" s="94">
        <v>2934</v>
      </c>
    </row>
    <row r="20" spans="2:71" x14ac:dyDescent="0.2">
      <c r="B20" s="120">
        <v>2013</v>
      </c>
      <c r="F20" s="85" t="s">
        <v>391</v>
      </c>
      <c r="G20" s="42" t="s">
        <v>16</v>
      </c>
      <c r="Y20" s="94"/>
      <c r="AE20" s="1117" t="s">
        <v>638</v>
      </c>
      <c r="AF20" s="94"/>
      <c r="AG20" s="94"/>
      <c r="AH20" s="94"/>
      <c r="AI20" s="94"/>
      <c r="AJ20" s="94"/>
      <c r="AK20" s="1029" t="s">
        <v>818</v>
      </c>
      <c r="AL20" s="94"/>
      <c r="AM20" s="94"/>
      <c r="AN20" s="94"/>
      <c r="AO20" s="94"/>
      <c r="AP20" s="94"/>
      <c r="AQ20" s="94" t="s">
        <v>874</v>
      </c>
      <c r="AR20" s="94"/>
      <c r="AS20" s="94"/>
      <c r="AT20" s="94"/>
      <c r="AU20" s="94" t="s">
        <v>972</v>
      </c>
      <c r="AV20" s="94"/>
      <c r="AW20" s="94"/>
      <c r="AX20" s="94" t="s">
        <v>1070</v>
      </c>
      <c r="AY20" s="94" t="s">
        <v>875</v>
      </c>
      <c r="AZ20" s="94"/>
      <c r="BA20" s="94"/>
      <c r="BB20" s="94"/>
      <c r="BC20" s="94" t="s">
        <v>880</v>
      </c>
      <c r="BD20" s="94"/>
      <c r="BE20" s="94"/>
      <c r="BF20" s="94" t="s">
        <v>1104</v>
      </c>
      <c r="BG20" s="94"/>
      <c r="BH20" s="94"/>
      <c r="BI20" s="1029" t="s">
        <v>835</v>
      </c>
      <c r="BJ20" s="94" t="s">
        <v>623</v>
      </c>
      <c r="BK20" s="94">
        <v>25.6</v>
      </c>
      <c r="BL20" s="94">
        <v>2562.9</v>
      </c>
    </row>
    <row r="21" spans="2:71" x14ac:dyDescent="0.2">
      <c r="B21" s="119">
        <v>2012</v>
      </c>
      <c r="F21" s="85" t="s">
        <v>81</v>
      </c>
      <c r="G21" s="42" t="s">
        <v>16</v>
      </c>
      <c r="AE21" s="1117" t="s">
        <v>639</v>
      </c>
      <c r="AF21" s="94"/>
      <c r="AG21" s="94"/>
      <c r="AH21" s="94"/>
      <c r="AI21" s="94"/>
      <c r="AJ21" s="94"/>
      <c r="AK21" s="1029" t="s">
        <v>827</v>
      </c>
      <c r="AL21" s="94"/>
      <c r="AM21" s="94"/>
      <c r="AN21" s="94"/>
      <c r="AO21" s="94"/>
      <c r="AP21" s="94"/>
      <c r="AQ21" s="94" t="s">
        <v>879</v>
      </c>
      <c r="AR21" s="94"/>
      <c r="AS21" s="94"/>
      <c r="AT21" s="94"/>
      <c r="AU21" s="94" t="s">
        <v>973</v>
      </c>
      <c r="AV21" s="94"/>
      <c r="AW21" s="94"/>
      <c r="AX21" s="94" t="s">
        <v>778</v>
      </c>
      <c r="AY21" s="94"/>
      <c r="AZ21" s="94"/>
      <c r="BA21" s="94"/>
      <c r="BB21" s="94"/>
      <c r="BC21" s="94" t="s">
        <v>883</v>
      </c>
      <c r="BD21" s="94"/>
      <c r="BE21" s="94"/>
      <c r="BF21" s="94" t="s">
        <v>1106</v>
      </c>
      <c r="BG21" s="94"/>
      <c r="BH21" s="94"/>
      <c r="BI21" s="1029" t="s">
        <v>844</v>
      </c>
      <c r="BJ21" s="94" t="s">
        <v>623</v>
      </c>
      <c r="BK21" s="94">
        <v>25.6</v>
      </c>
      <c r="BL21" s="94">
        <v>3637.6</v>
      </c>
    </row>
    <row r="22" spans="2:71" x14ac:dyDescent="0.2">
      <c r="B22" s="119">
        <v>2011</v>
      </c>
      <c r="F22" s="85" t="s">
        <v>364</v>
      </c>
      <c r="G22" s="42" t="s">
        <v>16</v>
      </c>
      <c r="AE22" s="1117" t="s">
        <v>640</v>
      </c>
      <c r="AF22" s="94"/>
      <c r="AG22" s="94"/>
      <c r="AH22" s="94"/>
      <c r="AI22" s="94"/>
      <c r="AJ22" s="94"/>
      <c r="AK22" s="1029" t="s">
        <v>836</v>
      </c>
      <c r="AL22" s="94"/>
      <c r="AM22" s="94"/>
      <c r="AN22" s="94"/>
      <c r="AO22" s="94"/>
      <c r="AP22" s="94"/>
      <c r="AQ22" s="94" t="s">
        <v>882</v>
      </c>
      <c r="AR22" s="94"/>
      <c r="AS22" s="94"/>
      <c r="AT22" s="94"/>
      <c r="AU22" s="94" t="s">
        <v>974</v>
      </c>
      <c r="AV22" s="94"/>
      <c r="AW22" s="94"/>
      <c r="AX22" s="94" t="s">
        <v>790</v>
      </c>
      <c r="AY22" s="94"/>
      <c r="AZ22" s="94"/>
      <c r="BA22" s="94"/>
      <c r="BB22" s="94"/>
      <c r="BC22" s="94" t="s">
        <v>886</v>
      </c>
      <c r="BD22" s="94"/>
      <c r="BE22" s="94"/>
      <c r="BF22" s="94" t="s">
        <v>1107</v>
      </c>
      <c r="BG22" s="94"/>
      <c r="BH22" s="94"/>
      <c r="BI22" s="1029" t="s">
        <v>852</v>
      </c>
      <c r="BJ22" s="94" t="s">
        <v>623</v>
      </c>
      <c r="BK22" s="94">
        <v>26.2</v>
      </c>
      <c r="BL22" s="94">
        <v>2527.4</v>
      </c>
    </row>
    <row r="23" spans="2:71" x14ac:dyDescent="0.2">
      <c r="B23" s="119">
        <v>2010</v>
      </c>
      <c r="F23" s="85" t="s">
        <v>362</v>
      </c>
      <c r="G23" s="42" t="s">
        <v>10</v>
      </c>
      <c r="I23" s="85"/>
      <c r="J23" s="25"/>
      <c r="K23" s="131"/>
      <c r="AE23" s="1117" t="s">
        <v>641</v>
      </c>
      <c r="AF23" s="94"/>
      <c r="AG23" s="94"/>
      <c r="AH23" s="94"/>
      <c r="AI23" s="94"/>
      <c r="AJ23" s="94"/>
      <c r="AK23" s="1029" t="s">
        <v>845</v>
      </c>
      <c r="AL23" s="94"/>
      <c r="AM23" s="94"/>
      <c r="AN23" s="94"/>
      <c r="AO23" s="94"/>
      <c r="AP23" s="94"/>
      <c r="AQ23" s="94" t="s">
        <v>885</v>
      </c>
      <c r="AR23" s="94"/>
      <c r="AS23" s="94"/>
      <c r="AT23" s="94"/>
      <c r="AU23" s="94" t="s">
        <v>975</v>
      </c>
      <c r="AV23" s="94"/>
      <c r="AW23" s="94"/>
      <c r="AX23" s="94" t="s">
        <v>802</v>
      </c>
      <c r="AY23" s="94"/>
      <c r="AZ23" s="94"/>
      <c r="BA23" s="94"/>
      <c r="BB23" s="94"/>
      <c r="BC23" s="94" t="s">
        <v>889</v>
      </c>
      <c r="BD23" s="94"/>
      <c r="BE23" s="94"/>
      <c r="BF23" s="94" t="s">
        <v>693</v>
      </c>
      <c r="BG23" s="94"/>
      <c r="BH23" s="94"/>
      <c r="BI23" s="1029" t="s">
        <v>648</v>
      </c>
      <c r="BJ23" s="94" t="s">
        <v>624</v>
      </c>
      <c r="BK23" s="94">
        <v>25.4</v>
      </c>
      <c r="BL23" s="94">
        <v>2245.5</v>
      </c>
    </row>
    <row r="24" spans="2:71" x14ac:dyDescent="0.2">
      <c r="B24" s="119">
        <v>2009</v>
      </c>
      <c r="F24" s="85" t="s">
        <v>70</v>
      </c>
      <c r="G24" s="42" t="s">
        <v>16</v>
      </c>
      <c r="I24" s="85"/>
      <c r="J24" s="85"/>
      <c r="K24" s="85"/>
      <c r="AE24" s="1117" t="s">
        <v>642</v>
      </c>
      <c r="AF24" s="94"/>
      <c r="AG24" s="94"/>
      <c r="AH24" s="94"/>
      <c r="AI24" s="94"/>
      <c r="AJ24" s="94"/>
      <c r="AK24" s="1029" t="s">
        <v>853</v>
      </c>
      <c r="AL24" s="94"/>
      <c r="AM24" s="94"/>
      <c r="AN24" s="94"/>
      <c r="AO24" s="94"/>
      <c r="AP24" s="94"/>
      <c r="AQ24" s="94" t="s">
        <v>888</v>
      </c>
      <c r="AR24" s="94"/>
      <c r="AS24" s="94"/>
      <c r="AT24" s="94"/>
      <c r="AU24" s="94" t="s">
        <v>976</v>
      </c>
      <c r="AV24" s="94"/>
      <c r="AW24" s="94"/>
      <c r="AX24" s="94" t="s">
        <v>1071</v>
      </c>
      <c r="AY24" s="94"/>
      <c r="AZ24" s="94"/>
      <c r="BA24" s="94"/>
      <c r="BB24" s="94"/>
      <c r="BC24" s="94" t="s">
        <v>892</v>
      </c>
      <c r="BD24" s="94"/>
      <c r="BE24" s="94"/>
      <c r="BF24" s="94" t="s">
        <v>1122</v>
      </c>
      <c r="BG24" s="94"/>
      <c r="BH24" s="94"/>
      <c r="BI24" s="1029" t="s">
        <v>674</v>
      </c>
      <c r="BJ24" s="94" t="s">
        <v>624</v>
      </c>
      <c r="BK24" s="94">
        <v>26.6</v>
      </c>
      <c r="BL24" s="94">
        <v>2561.3000000000002</v>
      </c>
    </row>
    <row r="25" spans="2:71" x14ac:dyDescent="0.2">
      <c r="B25" s="119">
        <v>2008</v>
      </c>
      <c r="F25" s="85" t="s">
        <v>144</v>
      </c>
      <c r="G25" s="42" t="s">
        <v>11</v>
      </c>
      <c r="I25" s="94"/>
      <c r="J25" s="94"/>
      <c r="K25" s="132"/>
      <c r="AE25" s="1117" t="s">
        <v>643</v>
      </c>
      <c r="AF25" s="94"/>
      <c r="AG25" s="94"/>
      <c r="AH25" s="94"/>
      <c r="AI25" s="94"/>
      <c r="AJ25" s="94"/>
      <c r="AK25" s="1029" t="s">
        <v>860</v>
      </c>
      <c r="AL25" s="94"/>
      <c r="AM25" s="94"/>
      <c r="AN25" s="94"/>
      <c r="AO25" s="94"/>
      <c r="AP25" s="94"/>
      <c r="AQ25" s="94" t="s">
        <v>891</v>
      </c>
      <c r="AR25" s="94"/>
      <c r="AS25" s="94"/>
      <c r="AT25" s="94"/>
      <c r="AU25" s="94" t="s">
        <v>977</v>
      </c>
      <c r="AV25" s="94"/>
      <c r="AX25" s="94" t="s">
        <v>1072</v>
      </c>
      <c r="AY25" s="94"/>
      <c r="AZ25" s="94"/>
      <c r="BA25" s="94"/>
      <c r="BB25" s="94"/>
      <c r="BC25" s="94" t="s">
        <v>895</v>
      </c>
      <c r="BD25" s="94"/>
      <c r="BE25" s="94"/>
      <c r="BF25" s="94" t="s">
        <v>715</v>
      </c>
      <c r="BG25" s="94"/>
      <c r="BH25" s="94"/>
      <c r="BI25" s="1029" t="s">
        <v>696</v>
      </c>
      <c r="BJ25" s="94" t="s">
        <v>624</v>
      </c>
      <c r="BK25" s="94">
        <v>25.8</v>
      </c>
      <c r="BL25" s="94">
        <v>2222.4</v>
      </c>
    </row>
    <row r="26" spans="2:71" x14ac:dyDescent="0.2">
      <c r="B26" s="119">
        <v>2007</v>
      </c>
      <c r="F26" s="85" t="s">
        <v>355</v>
      </c>
      <c r="G26" s="42" t="s">
        <v>16</v>
      </c>
      <c r="I26" s="85"/>
      <c r="J26" s="131"/>
      <c r="K26" s="131"/>
      <c r="AE26" s="1117" t="s">
        <v>644</v>
      </c>
      <c r="AF26" s="94"/>
      <c r="AG26" s="94"/>
      <c r="AH26" s="94"/>
      <c r="AI26" s="94"/>
      <c r="AJ26" s="94"/>
      <c r="AK26" s="1029" t="s">
        <v>867</v>
      </c>
      <c r="AL26" s="94"/>
      <c r="AM26" s="94"/>
      <c r="AN26" s="94"/>
      <c r="AO26" s="94"/>
      <c r="AP26" s="94"/>
      <c r="AQ26" s="94" t="s">
        <v>894</v>
      </c>
      <c r="AR26" s="94"/>
      <c r="AS26" s="94"/>
      <c r="AT26" s="94"/>
      <c r="AU26" s="94" t="s">
        <v>978</v>
      </c>
      <c r="AV26" s="94"/>
      <c r="AX26" s="94" t="s">
        <v>1073</v>
      </c>
      <c r="AY26" s="94"/>
      <c r="AZ26" s="94"/>
      <c r="BA26" s="94"/>
      <c r="BB26" s="94"/>
      <c r="BC26" s="94"/>
      <c r="BD26" s="94"/>
      <c r="BE26" s="94"/>
      <c r="BF26" s="94" t="s">
        <v>1111</v>
      </c>
      <c r="BG26" s="94"/>
      <c r="BH26" s="94"/>
      <c r="BI26" s="1029" t="s">
        <v>649</v>
      </c>
      <c r="BJ26" s="94" t="s">
        <v>625</v>
      </c>
      <c r="BK26" s="94">
        <v>24.1</v>
      </c>
      <c r="BL26" s="94">
        <v>1251.5999999999999</v>
      </c>
    </row>
    <row r="27" spans="2:71" x14ac:dyDescent="0.2">
      <c r="B27" s="119">
        <v>2006</v>
      </c>
      <c r="F27" s="85" t="s">
        <v>73</v>
      </c>
      <c r="G27" s="42" t="s">
        <v>16</v>
      </c>
      <c r="L27" s="131"/>
      <c r="AE27" s="1117" t="s">
        <v>645</v>
      </c>
      <c r="AF27" s="94"/>
      <c r="AG27" s="94"/>
      <c r="AH27" s="94"/>
      <c r="AI27" s="94"/>
      <c r="AJ27" s="94"/>
      <c r="AK27" s="1029" t="s">
        <v>873</v>
      </c>
      <c r="AL27" s="94"/>
      <c r="AM27" s="94"/>
      <c r="AN27" s="94"/>
      <c r="AO27" s="94"/>
      <c r="AP27" s="94"/>
      <c r="AQ27" s="94" t="s">
        <v>897</v>
      </c>
      <c r="AR27" s="94"/>
      <c r="AS27" s="94"/>
      <c r="AT27" s="94"/>
      <c r="AU27" s="94" t="s">
        <v>979</v>
      </c>
      <c r="AV27" s="94"/>
      <c r="AX27" s="94" t="s">
        <v>812</v>
      </c>
      <c r="AY27" s="94"/>
      <c r="AZ27" s="94"/>
      <c r="BA27" s="94"/>
      <c r="BB27" s="94"/>
      <c r="BC27" s="94"/>
      <c r="BD27" s="94"/>
      <c r="BE27" s="94"/>
      <c r="BF27" s="94" t="s">
        <v>1108</v>
      </c>
      <c r="BG27" s="94"/>
      <c r="BH27" s="94"/>
      <c r="BI27" s="1029" t="s">
        <v>929</v>
      </c>
      <c r="BJ27" s="94" t="s">
        <v>625</v>
      </c>
      <c r="BK27" s="94">
        <v>25.5</v>
      </c>
      <c r="BL27" s="94">
        <v>661</v>
      </c>
    </row>
    <row r="28" spans="2:71" x14ac:dyDescent="0.2">
      <c r="F28" s="85" t="s">
        <v>79</v>
      </c>
      <c r="G28" s="42" t="s">
        <v>16</v>
      </c>
      <c r="I28" s="94"/>
      <c r="J28" s="94"/>
      <c r="K28" s="131"/>
      <c r="L28" s="131"/>
      <c r="AE28" s="1117" t="s">
        <v>646</v>
      </c>
      <c r="AF28" s="94"/>
      <c r="AG28" s="94"/>
      <c r="AH28" s="94"/>
      <c r="AI28" s="94"/>
      <c r="AJ28" s="94"/>
      <c r="AK28" s="1029" t="s">
        <v>937</v>
      </c>
      <c r="AL28" s="94"/>
      <c r="AM28" s="94"/>
      <c r="AN28" s="94"/>
      <c r="AO28" s="94"/>
      <c r="AP28" s="94"/>
      <c r="AQ28" s="94" t="s">
        <v>899</v>
      </c>
      <c r="AR28" s="94"/>
      <c r="AS28" s="94"/>
      <c r="AT28" s="94"/>
      <c r="AU28" s="94" t="s">
        <v>980</v>
      </c>
      <c r="AV28" s="94"/>
      <c r="AX28" s="94" t="s">
        <v>821</v>
      </c>
      <c r="AY28" s="94"/>
      <c r="AZ28" s="94"/>
      <c r="BA28" s="94"/>
      <c r="BB28" s="94"/>
      <c r="BC28" s="94"/>
      <c r="BD28" s="94"/>
      <c r="BE28" s="94"/>
      <c r="BF28" s="94" t="s">
        <v>1109</v>
      </c>
      <c r="BG28" s="94"/>
      <c r="BH28" s="94"/>
      <c r="BI28" s="1029" t="s">
        <v>675</v>
      </c>
      <c r="BJ28" s="94" t="s">
        <v>625</v>
      </c>
      <c r="BK28" s="94">
        <v>24.3</v>
      </c>
      <c r="BL28" s="94">
        <v>1140.0999999999999</v>
      </c>
    </row>
    <row r="29" spans="2:71" x14ac:dyDescent="0.2">
      <c r="F29" s="85" t="s">
        <v>365</v>
      </c>
      <c r="G29" s="42" t="s">
        <v>10</v>
      </c>
      <c r="L29" s="85"/>
      <c r="AE29" s="1117" t="s">
        <v>647</v>
      </c>
      <c r="AF29" s="94"/>
      <c r="AG29" s="94"/>
      <c r="AH29" s="94"/>
      <c r="AI29" s="94"/>
      <c r="AJ29" s="94"/>
      <c r="AK29" s="1029" t="s">
        <v>878</v>
      </c>
      <c r="AL29" s="94"/>
      <c r="AM29" s="94"/>
      <c r="AN29" s="94"/>
      <c r="AO29" s="94"/>
      <c r="AP29" s="94"/>
      <c r="AQ29" s="94" t="s">
        <v>901</v>
      </c>
      <c r="AR29" s="94"/>
      <c r="AS29" s="94"/>
      <c r="AT29" s="94"/>
      <c r="AU29" s="94" t="s">
        <v>981</v>
      </c>
      <c r="AV29" s="94"/>
      <c r="AX29" s="94" t="s">
        <v>1074</v>
      </c>
      <c r="AY29" s="94"/>
      <c r="AZ29" s="94"/>
      <c r="BA29" s="94"/>
      <c r="BB29" s="94"/>
      <c r="BC29" s="94"/>
      <c r="BD29" s="94"/>
      <c r="BE29" s="94"/>
      <c r="BF29" s="94" t="s">
        <v>734</v>
      </c>
      <c r="BG29" s="94"/>
      <c r="BH29" s="94"/>
      <c r="BI29" s="1029" t="s">
        <v>697</v>
      </c>
      <c r="BJ29" s="94" t="s">
        <v>625</v>
      </c>
      <c r="BK29" s="94">
        <v>24.9</v>
      </c>
      <c r="BL29" s="94">
        <v>890.5</v>
      </c>
    </row>
    <row r="30" spans="2:71" x14ac:dyDescent="0.2">
      <c r="F30" s="85" t="s">
        <v>392</v>
      </c>
      <c r="G30" s="42" t="s">
        <v>10</v>
      </c>
      <c r="L30" s="132"/>
      <c r="AE30" s="94"/>
      <c r="AF30" s="94"/>
      <c r="AG30" s="94"/>
      <c r="AH30" s="94"/>
      <c r="AI30" s="94"/>
      <c r="AJ30" s="94"/>
      <c r="AK30" s="1029" t="s">
        <v>938</v>
      </c>
      <c r="AL30" s="94"/>
      <c r="AM30" s="94"/>
      <c r="AN30" s="94"/>
      <c r="AO30" s="94"/>
      <c r="AP30" s="94"/>
      <c r="AQ30" s="94" t="s">
        <v>903</v>
      </c>
      <c r="AR30" s="94"/>
      <c r="AS30" s="94"/>
      <c r="AT30" s="94"/>
      <c r="AU30" s="94" t="s">
        <v>659</v>
      </c>
      <c r="AV30" s="94"/>
      <c r="AX30" s="94" t="s">
        <v>1075</v>
      </c>
      <c r="AY30" s="94"/>
      <c r="AZ30" s="94"/>
      <c r="BA30" s="94"/>
      <c r="BB30" s="94"/>
      <c r="BC30" s="94"/>
      <c r="BD30" s="94"/>
      <c r="BE30" s="94"/>
      <c r="BF30" s="94" t="s">
        <v>1110</v>
      </c>
      <c r="BG30" s="94"/>
      <c r="BH30" s="94"/>
      <c r="BI30" s="1029" t="s">
        <v>718</v>
      </c>
      <c r="BJ30" s="94" t="s">
        <v>625</v>
      </c>
      <c r="BK30" s="94">
        <v>21.3</v>
      </c>
      <c r="BL30" s="94">
        <v>922.5</v>
      </c>
    </row>
    <row r="31" spans="2:71" x14ac:dyDescent="0.2">
      <c r="F31" s="85" t="s">
        <v>436</v>
      </c>
      <c r="G31" s="42" t="s">
        <v>11</v>
      </c>
      <c r="L31" s="131"/>
      <c r="AE31" s="94"/>
      <c r="AF31" s="94"/>
      <c r="AG31" s="94"/>
      <c r="AH31" s="94"/>
      <c r="AI31" s="94"/>
      <c r="AJ31" s="94"/>
      <c r="AK31" s="94"/>
      <c r="AL31" s="94"/>
      <c r="AM31" s="94"/>
      <c r="AN31" s="94"/>
      <c r="AO31" s="94"/>
      <c r="AP31" s="94"/>
      <c r="AQ31" s="94" t="s">
        <v>905</v>
      </c>
      <c r="AR31" s="94"/>
      <c r="AS31" s="94"/>
      <c r="AT31" s="94"/>
      <c r="AU31" s="94" t="s">
        <v>982</v>
      </c>
      <c r="AV31" s="94"/>
      <c r="AW31" s="94"/>
      <c r="AX31" s="94" t="s">
        <v>830</v>
      </c>
      <c r="AY31" s="94"/>
      <c r="AZ31" s="94"/>
      <c r="BA31" s="94"/>
      <c r="BB31" s="94"/>
      <c r="BC31" s="94"/>
      <c r="BD31" s="94"/>
      <c r="BE31" s="94"/>
      <c r="BF31" s="94" t="s">
        <v>1112</v>
      </c>
      <c r="BG31" s="94"/>
      <c r="BH31" s="94"/>
      <c r="BI31" s="1029" t="s">
        <v>930</v>
      </c>
      <c r="BJ31" s="94" t="s">
        <v>625</v>
      </c>
      <c r="BK31" s="94">
        <v>24.5</v>
      </c>
      <c r="BL31" s="94">
        <v>1976</v>
      </c>
    </row>
    <row r="32" spans="2:71" x14ac:dyDescent="0.2">
      <c r="F32" s="85" t="s">
        <v>433</v>
      </c>
      <c r="G32" s="42" t="s">
        <v>11</v>
      </c>
      <c r="L32" s="131"/>
      <c r="AE32" s="94"/>
      <c r="AF32" s="94"/>
      <c r="AG32" s="94"/>
      <c r="AH32" s="94"/>
      <c r="AI32" s="94"/>
      <c r="AJ32" s="94"/>
      <c r="AK32" s="94"/>
      <c r="AL32" s="94"/>
      <c r="AM32" s="94"/>
      <c r="AN32" s="94"/>
      <c r="AO32" s="94"/>
      <c r="AP32" s="94"/>
      <c r="AQ32" s="94" t="s">
        <v>947</v>
      </c>
      <c r="AR32" s="94"/>
      <c r="AS32" s="94"/>
      <c r="AT32" s="94"/>
      <c r="AU32" s="94" t="s">
        <v>983</v>
      </c>
      <c r="AV32" s="94"/>
      <c r="AW32" s="94"/>
      <c r="AX32" s="94" t="s">
        <v>1076</v>
      </c>
      <c r="AY32" s="94"/>
      <c r="AZ32" s="94"/>
      <c r="BA32" s="94"/>
      <c r="BB32" s="94"/>
      <c r="BC32" s="94"/>
      <c r="BD32" s="94"/>
      <c r="BE32" s="94"/>
      <c r="BF32" s="94" t="s">
        <v>1113</v>
      </c>
      <c r="BG32" s="94"/>
      <c r="BH32" s="94"/>
      <c r="BI32" s="1029" t="s">
        <v>931</v>
      </c>
      <c r="BJ32" s="94" t="s">
        <v>625</v>
      </c>
      <c r="BK32" s="94">
        <v>24</v>
      </c>
      <c r="BL32" s="94">
        <v>1806</v>
      </c>
    </row>
    <row r="33" spans="6:64" x14ac:dyDescent="0.2">
      <c r="F33" s="85" t="s">
        <v>83</v>
      </c>
      <c r="G33" s="42" t="s">
        <v>11</v>
      </c>
      <c r="L33" s="131"/>
      <c r="AE33" s="94"/>
      <c r="AF33" s="94"/>
      <c r="AG33" s="94"/>
      <c r="AH33" s="94"/>
      <c r="AI33" s="94"/>
      <c r="AJ33" s="94"/>
      <c r="AK33" s="94"/>
      <c r="AL33" s="94"/>
      <c r="AM33" s="94"/>
      <c r="AN33" s="94"/>
      <c r="AO33" s="94"/>
      <c r="AP33" s="94"/>
      <c r="AQ33" s="94" t="s">
        <v>906</v>
      </c>
      <c r="AR33" s="94"/>
      <c r="AS33" s="94"/>
      <c r="AT33" s="94"/>
      <c r="AU33" s="94" t="s">
        <v>984</v>
      </c>
      <c r="AV33" s="94"/>
      <c r="AW33" s="94"/>
      <c r="AX33" s="94" t="s">
        <v>839</v>
      </c>
      <c r="AY33" s="94"/>
      <c r="AZ33" s="94"/>
      <c r="BA33" s="94"/>
      <c r="BB33" s="94"/>
      <c r="BC33" s="94"/>
      <c r="BD33" s="94"/>
      <c r="BE33" s="94"/>
      <c r="BF33" s="94" t="s">
        <v>1114</v>
      </c>
      <c r="BG33" s="94"/>
      <c r="BH33" s="94"/>
      <c r="BI33" s="1029" t="s">
        <v>737</v>
      </c>
      <c r="BJ33" s="94" t="s">
        <v>625</v>
      </c>
      <c r="BK33" s="94">
        <v>24.3</v>
      </c>
      <c r="BL33" s="94">
        <v>1273.7</v>
      </c>
    </row>
    <row r="34" spans="6:64" x14ac:dyDescent="0.2">
      <c r="F34" s="85" t="s">
        <v>370</v>
      </c>
      <c r="G34" s="42" t="s">
        <v>16</v>
      </c>
      <c r="I34" s="85"/>
      <c r="J34" s="85"/>
      <c r="K34" s="131"/>
      <c r="L34" s="131"/>
      <c r="AE34" s="94"/>
      <c r="AF34" s="94"/>
      <c r="AG34" s="94"/>
      <c r="AH34" s="94"/>
      <c r="AI34" s="94"/>
      <c r="AJ34" s="94"/>
      <c r="AK34" s="94"/>
      <c r="AL34" s="94"/>
      <c r="AM34" s="94"/>
      <c r="AN34" s="94"/>
      <c r="AO34" s="94"/>
      <c r="AP34" s="94"/>
      <c r="AQ34" s="94" t="s">
        <v>907</v>
      </c>
      <c r="AR34" s="94"/>
      <c r="AS34" s="94"/>
      <c r="AT34" s="94"/>
      <c r="AU34" s="94" t="s">
        <v>985</v>
      </c>
      <c r="AV34" s="94"/>
      <c r="AW34" s="94"/>
      <c r="AX34" s="94" t="s">
        <v>1077</v>
      </c>
      <c r="AY34" s="94"/>
      <c r="AZ34" s="94"/>
      <c r="BA34" s="94"/>
      <c r="BB34" s="94"/>
      <c r="BC34" s="94"/>
      <c r="BD34" s="94"/>
      <c r="BE34" s="94"/>
      <c r="BF34" s="94" t="s">
        <v>1115</v>
      </c>
      <c r="BG34" s="94"/>
      <c r="BH34" s="94"/>
      <c r="BI34" s="1029" t="s">
        <v>932</v>
      </c>
      <c r="BJ34" s="94" t="s">
        <v>625</v>
      </c>
      <c r="BK34" s="94">
        <v>25</v>
      </c>
      <c r="BL34" s="94">
        <v>813</v>
      </c>
    </row>
    <row r="35" spans="6:64" x14ac:dyDescent="0.2">
      <c r="F35" s="85" t="s">
        <v>369</v>
      </c>
      <c r="G35" s="42" t="s">
        <v>16</v>
      </c>
      <c r="L35" s="131"/>
      <c r="AE35" s="94"/>
      <c r="AF35" s="94"/>
      <c r="AG35" s="94"/>
      <c r="AH35" s="94"/>
      <c r="AI35" s="94"/>
      <c r="AJ35" s="94"/>
      <c r="AK35" s="94"/>
      <c r="AL35" s="94"/>
      <c r="AM35" s="94"/>
      <c r="AN35" s="94"/>
      <c r="AO35" s="94"/>
      <c r="AP35" s="94"/>
      <c r="AQ35" s="94" t="s">
        <v>948</v>
      </c>
      <c r="AR35" s="94"/>
      <c r="AS35" s="94"/>
      <c r="AT35" s="94"/>
      <c r="AU35" s="94" t="s">
        <v>986</v>
      </c>
      <c r="AV35" s="94"/>
      <c r="AW35" s="94"/>
      <c r="AX35" s="94" t="s">
        <v>1078</v>
      </c>
      <c r="AY35" s="94"/>
      <c r="AZ35" s="94"/>
      <c r="BA35" s="94"/>
      <c r="BB35" s="94"/>
      <c r="BC35" s="94"/>
      <c r="BD35" s="94"/>
      <c r="BE35" s="94"/>
      <c r="BF35" s="94" t="s">
        <v>1116</v>
      </c>
      <c r="BG35" s="94"/>
      <c r="BH35" s="94"/>
      <c r="BI35" s="1029" t="s">
        <v>754</v>
      </c>
      <c r="BJ35" s="94" t="s">
        <v>625</v>
      </c>
      <c r="BK35" s="94">
        <v>25</v>
      </c>
      <c r="BL35" s="94">
        <v>1235.5999999999999</v>
      </c>
    </row>
    <row r="36" spans="6:64" x14ac:dyDescent="0.2">
      <c r="F36" s="85" t="s">
        <v>356</v>
      </c>
      <c r="G36" s="42" t="s">
        <v>16</v>
      </c>
      <c r="L36" s="131"/>
      <c r="AE36" s="94"/>
      <c r="AF36" s="94"/>
      <c r="AG36" s="94"/>
      <c r="AH36" s="94"/>
      <c r="AI36" s="94"/>
      <c r="AJ36" s="94"/>
      <c r="AK36" s="94"/>
      <c r="AL36" s="94"/>
      <c r="AM36" s="94"/>
      <c r="AN36" s="94"/>
      <c r="AO36" s="94"/>
      <c r="AP36" s="94"/>
      <c r="AQ36" s="94" t="s">
        <v>908</v>
      </c>
      <c r="AR36" s="94"/>
      <c r="AS36" s="94"/>
      <c r="AT36" s="94"/>
      <c r="AU36" s="94" t="s">
        <v>987</v>
      </c>
      <c r="AV36" s="94"/>
      <c r="AW36" s="94"/>
      <c r="AX36" s="94" t="s">
        <v>1079</v>
      </c>
      <c r="AY36" s="94"/>
      <c r="AZ36" s="94"/>
      <c r="BA36" s="94"/>
      <c r="BB36" s="94"/>
      <c r="BC36" s="94"/>
      <c r="BD36" s="94"/>
      <c r="BE36" s="94"/>
      <c r="BF36" s="94" t="s">
        <v>1117</v>
      </c>
      <c r="BG36" s="94"/>
      <c r="BH36" s="94"/>
      <c r="BI36" s="1029" t="s">
        <v>933</v>
      </c>
      <c r="BJ36" s="94" t="s">
        <v>625</v>
      </c>
      <c r="BK36" s="94">
        <v>23.5</v>
      </c>
      <c r="BL36" s="94">
        <v>1085</v>
      </c>
    </row>
    <row r="37" spans="6:64" x14ac:dyDescent="0.2">
      <c r="F37" s="85" t="s">
        <v>352</v>
      </c>
      <c r="G37" s="42" t="s">
        <v>16</v>
      </c>
      <c r="L37" s="131"/>
      <c r="AE37" s="94"/>
      <c r="AF37" s="94"/>
      <c r="AG37" s="94"/>
      <c r="AH37" s="94"/>
      <c r="AI37" s="94"/>
      <c r="AJ37" s="94"/>
      <c r="AK37" s="94"/>
      <c r="AL37" s="94"/>
      <c r="AM37" s="94"/>
      <c r="AN37" s="94"/>
      <c r="AO37" s="94"/>
      <c r="AP37" s="94"/>
      <c r="AQ37" s="94" t="s">
        <v>909</v>
      </c>
      <c r="AR37" s="94"/>
      <c r="AS37" s="94"/>
      <c r="AT37" s="94"/>
      <c r="AU37" s="94" t="s">
        <v>988</v>
      </c>
      <c r="AV37" s="94"/>
      <c r="AW37" s="94"/>
      <c r="AX37" s="94" t="s">
        <v>1080</v>
      </c>
      <c r="AY37" s="94"/>
      <c r="AZ37" s="94"/>
      <c r="BA37" s="94"/>
      <c r="BB37" s="94"/>
      <c r="BC37" s="94"/>
      <c r="BD37" s="94"/>
      <c r="BE37" s="94"/>
      <c r="BF37" s="94" t="s">
        <v>1118</v>
      </c>
      <c r="BG37" s="94"/>
      <c r="BH37" s="94"/>
      <c r="BI37" s="1029" t="s">
        <v>934</v>
      </c>
      <c r="BJ37" s="94" t="s">
        <v>625</v>
      </c>
      <c r="BK37" s="94">
        <v>23.3</v>
      </c>
      <c r="BL37" s="94">
        <v>1247</v>
      </c>
    </row>
    <row r="38" spans="6:64" x14ac:dyDescent="0.2">
      <c r="F38" s="85" t="s">
        <v>72</v>
      </c>
      <c r="G38" s="42" t="s">
        <v>11</v>
      </c>
      <c r="AE38" s="94"/>
      <c r="AF38" s="94"/>
      <c r="AG38" s="94"/>
      <c r="AH38" s="94"/>
      <c r="AI38" s="94"/>
      <c r="AJ38" s="94"/>
      <c r="AK38" s="94"/>
      <c r="AL38" s="94"/>
      <c r="AM38" s="94"/>
      <c r="AN38" s="94"/>
      <c r="AO38" s="94"/>
      <c r="AP38" s="94"/>
      <c r="AQ38" s="94" t="s">
        <v>910</v>
      </c>
      <c r="AR38" s="94"/>
      <c r="AS38" s="94"/>
      <c r="AT38" s="94"/>
      <c r="AU38" s="94" t="s">
        <v>989</v>
      </c>
      <c r="AV38" s="94"/>
      <c r="AW38" s="94"/>
      <c r="AX38" s="94" t="s">
        <v>848</v>
      </c>
      <c r="AY38" s="94"/>
      <c r="AZ38" s="94"/>
      <c r="BA38" s="94"/>
      <c r="BB38" s="94"/>
      <c r="BC38" s="94"/>
      <c r="BD38" s="94"/>
      <c r="BE38" s="94"/>
      <c r="BF38" s="94" t="s">
        <v>1119</v>
      </c>
      <c r="BG38" s="94"/>
      <c r="BH38" s="94"/>
      <c r="BI38" s="1029" t="s">
        <v>770</v>
      </c>
      <c r="BJ38" s="94" t="s">
        <v>625</v>
      </c>
      <c r="BK38" s="94">
        <v>24.3</v>
      </c>
      <c r="BL38" s="94">
        <v>2035.5</v>
      </c>
    </row>
    <row r="39" spans="6:64" x14ac:dyDescent="0.2">
      <c r="F39" s="85" t="s">
        <v>374</v>
      </c>
      <c r="G39" s="42" t="s">
        <v>16</v>
      </c>
      <c r="AE39" s="94"/>
      <c r="AF39" s="94"/>
      <c r="AG39" s="94"/>
      <c r="AH39" s="94"/>
      <c r="AI39" s="94"/>
      <c r="AJ39" s="94"/>
      <c r="AK39" s="94"/>
      <c r="AL39" s="94"/>
      <c r="AM39" s="94"/>
      <c r="AN39" s="94"/>
      <c r="AO39" s="94"/>
      <c r="AP39" s="94"/>
      <c r="AQ39" s="94" t="s">
        <v>911</v>
      </c>
      <c r="AR39" s="94"/>
      <c r="AS39" s="94"/>
      <c r="AT39" s="94"/>
      <c r="AU39" s="94" t="s">
        <v>990</v>
      </c>
      <c r="AV39" s="94"/>
      <c r="AW39" s="94"/>
      <c r="AX39" s="94" t="s">
        <v>1081</v>
      </c>
      <c r="AY39" s="94"/>
      <c r="AZ39" s="94"/>
      <c r="BA39" s="94"/>
      <c r="BB39" s="94"/>
      <c r="BC39" s="94"/>
      <c r="BD39" s="94"/>
      <c r="BE39" s="94"/>
      <c r="BF39" s="94" t="s">
        <v>1120</v>
      </c>
      <c r="BG39" s="94"/>
      <c r="BH39" s="94"/>
      <c r="BI39" s="1029" t="s">
        <v>935</v>
      </c>
      <c r="BJ39" s="94" t="s">
        <v>625</v>
      </c>
      <c r="BK39" s="94">
        <v>23.1</v>
      </c>
      <c r="BL39" s="94">
        <v>653</v>
      </c>
    </row>
    <row r="40" spans="6:64" x14ac:dyDescent="0.2">
      <c r="F40" s="85" t="s">
        <v>71</v>
      </c>
      <c r="G40" s="42" t="s">
        <v>10</v>
      </c>
      <c r="AE40" s="94"/>
      <c r="AF40" s="94"/>
      <c r="AG40" s="94"/>
      <c r="AH40" s="94"/>
      <c r="AI40" s="94"/>
      <c r="AJ40" s="94"/>
      <c r="AK40" s="94"/>
      <c r="AL40" s="94"/>
      <c r="AM40" s="94"/>
      <c r="AN40" s="94"/>
      <c r="AO40" s="94"/>
      <c r="AP40" s="94"/>
      <c r="AQ40" s="94" t="s">
        <v>912</v>
      </c>
      <c r="AR40" s="94"/>
      <c r="AS40" s="94"/>
      <c r="AT40" s="94"/>
      <c r="AU40" s="94" t="s">
        <v>991</v>
      </c>
      <c r="AV40" s="94"/>
      <c r="AW40" s="94"/>
      <c r="AX40" s="94" t="s">
        <v>856</v>
      </c>
      <c r="AY40" s="94"/>
      <c r="AZ40" s="94"/>
      <c r="BA40" s="94"/>
      <c r="BB40" s="94"/>
      <c r="BC40" s="94"/>
      <c r="BD40" s="94"/>
      <c r="BE40" s="94"/>
      <c r="BF40" s="94" t="s">
        <v>1121</v>
      </c>
      <c r="BG40" s="94"/>
      <c r="BH40" s="94"/>
      <c r="BI40" s="1029" t="s">
        <v>784</v>
      </c>
      <c r="BJ40" s="94" t="s">
        <v>625</v>
      </c>
      <c r="BK40" s="94">
        <v>24.3</v>
      </c>
      <c r="BL40" s="94">
        <v>785.1</v>
      </c>
    </row>
    <row r="41" spans="6:64" x14ac:dyDescent="0.2">
      <c r="F41" s="85" t="s">
        <v>360</v>
      </c>
      <c r="G41" s="42" t="s">
        <v>11</v>
      </c>
      <c r="AE41" s="94"/>
      <c r="AF41" s="94"/>
      <c r="AG41" s="94"/>
      <c r="AH41" s="94"/>
      <c r="AI41" s="94"/>
      <c r="AJ41" s="94"/>
      <c r="AK41" s="94"/>
      <c r="AL41" s="94"/>
      <c r="AM41" s="94"/>
      <c r="AN41" s="94"/>
      <c r="AO41" s="94"/>
      <c r="AP41" s="94"/>
      <c r="AQ41" s="94" t="s">
        <v>758</v>
      </c>
      <c r="AR41" s="94"/>
      <c r="AS41" s="94"/>
      <c r="AT41" s="94"/>
      <c r="AU41" s="94" t="s">
        <v>992</v>
      </c>
      <c r="AV41" s="94"/>
      <c r="AW41" s="94"/>
      <c r="AX41" s="94" t="s">
        <v>863</v>
      </c>
      <c r="AY41" s="94"/>
      <c r="AZ41" s="94"/>
      <c r="BA41" s="94"/>
      <c r="BB41" s="94"/>
      <c r="BC41" s="94"/>
      <c r="BD41" s="94"/>
      <c r="BE41" s="94"/>
      <c r="BF41" s="94" t="s">
        <v>1131</v>
      </c>
      <c r="BG41" s="94"/>
      <c r="BH41" s="94"/>
      <c r="BI41" s="1029" t="s">
        <v>936</v>
      </c>
      <c r="BJ41" s="94" t="s">
        <v>625</v>
      </c>
      <c r="BK41" s="94">
        <v>23.4</v>
      </c>
      <c r="BL41" s="94">
        <v>708</v>
      </c>
    </row>
    <row r="42" spans="6:64" x14ac:dyDescent="0.2">
      <c r="F42" s="85" t="s">
        <v>69</v>
      </c>
      <c r="G42" s="42" t="s">
        <v>16</v>
      </c>
      <c r="AE42" s="94"/>
      <c r="AF42" s="94"/>
      <c r="AG42" s="94"/>
      <c r="AH42" s="94"/>
      <c r="AI42" s="94"/>
      <c r="AJ42" s="94"/>
      <c r="AK42" s="94"/>
      <c r="AL42" s="94"/>
      <c r="AM42" s="94"/>
      <c r="AN42" s="94"/>
      <c r="AO42" s="94"/>
      <c r="AP42" s="94"/>
      <c r="AQ42" s="94" t="s">
        <v>913</v>
      </c>
      <c r="AR42" s="94"/>
      <c r="AS42" s="94"/>
      <c r="AT42" s="94"/>
      <c r="AU42" s="94" t="s">
        <v>993</v>
      </c>
      <c r="AV42" s="94"/>
      <c r="AW42" s="94"/>
      <c r="AX42" s="94" t="s">
        <v>1082</v>
      </c>
      <c r="AY42" s="94"/>
      <c r="AZ42" s="94"/>
      <c r="BA42" s="94"/>
      <c r="BB42" s="94"/>
      <c r="BC42" s="94"/>
      <c r="BD42" s="94"/>
      <c r="BE42" s="94"/>
      <c r="BF42" s="94" t="s">
        <v>1123</v>
      </c>
      <c r="BG42" s="94"/>
      <c r="BH42" s="94"/>
      <c r="BI42" s="1029" t="s">
        <v>796</v>
      </c>
      <c r="BJ42" s="94" t="s">
        <v>625</v>
      </c>
      <c r="BK42" s="94">
        <v>20.5</v>
      </c>
      <c r="BL42" s="94">
        <v>913.2</v>
      </c>
    </row>
    <row r="43" spans="6:64" x14ac:dyDescent="0.2">
      <c r="F43" s="85" t="s">
        <v>435</v>
      </c>
      <c r="G43" s="42" t="s">
        <v>11</v>
      </c>
      <c r="AE43" s="94"/>
      <c r="AF43" s="94"/>
      <c r="AG43" s="94"/>
      <c r="AH43" s="94"/>
      <c r="AI43" s="94"/>
      <c r="AJ43" s="94"/>
      <c r="AK43" s="94"/>
      <c r="AL43" s="94"/>
      <c r="AM43" s="94"/>
      <c r="AN43" s="94"/>
      <c r="AO43" s="94"/>
      <c r="AP43" s="94"/>
      <c r="AQ43" s="94" t="s">
        <v>914</v>
      </c>
      <c r="AR43" s="94"/>
      <c r="AS43" s="94"/>
      <c r="AT43" s="94"/>
      <c r="AU43" s="94" t="s">
        <v>994</v>
      </c>
      <c r="AV43" s="94"/>
      <c r="AW43" s="94"/>
      <c r="AX43" s="94" t="s">
        <v>1083</v>
      </c>
      <c r="AY43" s="94"/>
      <c r="AZ43" s="94"/>
      <c r="BA43" s="94"/>
      <c r="BB43" s="94"/>
      <c r="BC43" s="94"/>
      <c r="BD43" s="94"/>
      <c r="BE43" s="94"/>
      <c r="BF43" s="94" t="s">
        <v>1124</v>
      </c>
      <c r="BG43" s="94"/>
      <c r="BH43" s="94"/>
      <c r="BI43" s="1029" t="s">
        <v>808</v>
      </c>
      <c r="BJ43" s="94" t="s">
        <v>625</v>
      </c>
      <c r="BK43" s="94">
        <v>23.7</v>
      </c>
      <c r="BL43" s="94">
        <v>898.5</v>
      </c>
    </row>
    <row r="44" spans="6:64" x14ac:dyDescent="0.2">
      <c r="F44" s="85" t="s">
        <v>432</v>
      </c>
      <c r="G44" s="42" t="s">
        <v>11</v>
      </c>
      <c r="AE44" s="94"/>
      <c r="AF44" s="94"/>
      <c r="AG44" s="94"/>
      <c r="AH44" s="94"/>
      <c r="AI44" s="94"/>
      <c r="AJ44" s="94"/>
      <c r="AK44" s="94"/>
      <c r="AL44" s="94"/>
      <c r="AM44" s="94"/>
      <c r="AN44" s="94"/>
      <c r="AO44" s="94"/>
      <c r="AP44" s="94"/>
      <c r="AQ44" s="94" t="s">
        <v>915</v>
      </c>
      <c r="AR44" s="94"/>
      <c r="AS44" s="94"/>
      <c r="AT44" s="94"/>
      <c r="AU44" s="94" t="s">
        <v>995</v>
      </c>
      <c r="AV44" s="94"/>
      <c r="AW44" s="94"/>
      <c r="AX44" s="94" t="s">
        <v>1084</v>
      </c>
      <c r="AY44" s="94"/>
      <c r="AZ44" s="94"/>
      <c r="BA44" s="94"/>
      <c r="BB44" s="94"/>
      <c r="BC44" s="94"/>
      <c r="BD44" s="94"/>
      <c r="BE44" s="94"/>
      <c r="BF44" s="94" t="s">
        <v>1125</v>
      </c>
      <c r="BG44" s="94"/>
      <c r="BH44" s="94"/>
      <c r="BI44" s="1029" t="s">
        <v>818</v>
      </c>
      <c r="BJ44" s="94" t="s">
        <v>625</v>
      </c>
      <c r="BK44" s="94">
        <v>23.1</v>
      </c>
      <c r="BL44" s="94">
        <v>1412.6</v>
      </c>
    </row>
    <row r="45" spans="6:64" x14ac:dyDescent="0.2">
      <c r="F45" s="85" t="s">
        <v>368</v>
      </c>
      <c r="G45" s="42" t="s">
        <v>16</v>
      </c>
      <c r="AE45" s="94"/>
      <c r="AF45" s="94"/>
      <c r="AG45" s="94"/>
      <c r="AH45" s="94"/>
      <c r="AI45" s="94"/>
      <c r="AJ45" s="94"/>
      <c r="AK45" s="94"/>
      <c r="AL45" s="94"/>
      <c r="AM45" s="94"/>
      <c r="AN45" s="94"/>
      <c r="AO45" s="94"/>
      <c r="AP45" s="94"/>
      <c r="AQ45" s="94" t="s">
        <v>916</v>
      </c>
      <c r="AR45" s="94"/>
      <c r="AS45" s="94"/>
      <c r="AT45" s="94"/>
      <c r="AU45" s="94" t="s">
        <v>996</v>
      </c>
      <c r="AV45" s="94"/>
      <c r="AW45" s="94"/>
      <c r="AX45" s="94"/>
      <c r="AY45" s="94"/>
      <c r="AZ45" s="94"/>
      <c r="BA45" s="94"/>
      <c r="BB45" s="94"/>
      <c r="BC45" s="94"/>
      <c r="BD45" s="94"/>
      <c r="BE45" s="94"/>
      <c r="BF45" s="94" t="s">
        <v>751</v>
      </c>
      <c r="BG45" s="94"/>
      <c r="BH45" s="94"/>
      <c r="BI45" s="1029" t="s">
        <v>827</v>
      </c>
      <c r="BJ45" s="94" t="s">
        <v>625</v>
      </c>
      <c r="BK45" s="94">
        <v>23.7</v>
      </c>
      <c r="BL45" s="94">
        <v>665.8</v>
      </c>
    </row>
    <row r="46" spans="6:64" x14ac:dyDescent="0.2">
      <c r="F46" s="85" t="s">
        <v>379</v>
      </c>
      <c r="G46" s="42" t="s">
        <v>16</v>
      </c>
      <c r="AE46" s="94"/>
      <c r="AF46" s="94"/>
      <c r="AG46" s="94"/>
      <c r="AH46" s="94"/>
      <c r="AI46" s="94"/>
      <c r="AJ46" s="94"/>
      <c r="AK46" s="94"/>
      <c r="AL46" s="94"/>
      <c r="AM46" s="94"/>
      <c r="AN46" s="94"/>
      <c r="AO46" s="94"/>
      <c r="AP46" s="94"/>
      <c r="AQ46" s="94" t="s">
        <v>917</v>
      </c>
      <c r="AR46" s="94"/>
      <c r="AS46" s="94"/>
      <c r="AT46" s="94"/>
      <c r="AU46" s="94" t="s">
        <v>997</v>
      </c>
      <c r="AV46" s="94"/>
      <c r="AW46" s="94"/>
      <c r="AX46" s="94"/>
      <c r="AY46" s="94"/>
      <c r="AZ46" s="94"/>
      <c r="BA46" s="94"/>
      <c r="BB46" s="94"/>
      <c r="BC46" s="94"/>
      <c r="BD46" s="94"/>
      <c r="BE46" s="94"/>
      <c r="BF46" s="94" t="s">
        <v>767</v>
      </c>
      <c r="BG46" s="94"/>
      <c r="BH46" s="94"/>
      <c r="BI46" s="1029" t="s">
        <v>836</v>
      </c>
      <c r="BJ46" s="94" t="s">
        <v>625</v>
      </c>
      <c r="BK46" s="94">
        <v>19.5</v>
      </c>
      <c r="BL46" s="94">
        <v>764.7</v>
      </c>
    </row>
    <row r="47" spans="6:64" x14ac:dyDescent="0.2">
      <c r="F47" s="85" t="s">
        <v>353</v>
      </c>
      <c r="G47" s="42" t="s">
        <v>16</v>
      </c>
      <c r="AE47" s="94"/>
      <c r="AF47" s="94"/>
      <c r="AG47" s="94"/>
      <c r="AH47" s="94"/>
      <c r="AI47" s="94"/>
      <c r="AJ47" s="94"/>
      <c r="AK47" s="94"/>
      <c r="AL47" s="94"/>
      <c r="AM47" s="94"/>
      <c r="AN47" s="94"/>
      <c r="AO47" s="94"/>
      <c r="AP47" s="94"/>
      <c r="AQ47" s="94" t="s">
        <v>918</v>
      </c>
      <c r="AR47" s="94"/>
      <c r="AS47" s="94"/>
      <c r="AT47" s="94"/>
      <c r="AU47" s="94" t="s">
        <v>998</v>
      </c>
      <c r="AV47" s="94"/>
      <c r="AW47" s="94"/>
      <c r="AX47" s="94"/>
      <c r="AY47" s="94"/>
      <c r="AZ47" s="94"/>
      <c r="BA47" s="94"/>
      <c r="BB47" s="94"/>
      <c r="BC47" s="94"/>
      <c r="BD47" s="94"/>
      <c r="BE47" s="94"/>
      <c r="BF47" s="94" t="s">
        <v>1126</v>
      </c>
      <c r="BG47" s="94"/>
      <c r="BH47" s="94"/>
      <c r="BI47" s="1029" t="s">
        <v>845</v>
      </c>
      <c r="BJ47" s="94" t="s">
        <v>625</v>
      </c>
      <c r="BK47" s="94">
        <v>25.6</v>
      </c>
      <c r="BL47" s="94">
        <v>609.6</v>
      </c>
    </row>
    <row r="48" spans="6:64" x14ac:dyDescent="0.2">
      <c r="F48" s="85" t="s">
        <v>357</v>
      </c>
      <c r="G48" s="42" t="s">
        <v>10</v>
      </c>
      <c r="AE48" s="94"/>
      <c r="AF48" s="94"/>
      <c r="AG48" s="94"/>
      <c r="AH48" s="94"/>
      <c r="AI48" s="94"/>
      <c r="AJ48" s="94"/>
      <c r="AK48" s="94"/>
      <c r="AL48" s="94"/>
      <c r="AM48" s="94"/>
      <c r="AN48" s="94"/>
      <c r="AO48" s="94"/>
      <c r="AP48" s="94"/>
      <c r="AQ48" s="94" t="s">
        <v>919</v>
      </c>
      <c r="AR48" s="94"/>
      <c r="AS48" s="94"/>
      <c r="AT48" s="94"/>
      <c r="AU48" s="94" t="s">
        <v>999</v>
      </c>
      <c r="AV48" s="94"/>
      <c r="AW48" s="94"/>
      <c r="AX48" s="94"/>
      <c r="AY48" s="94"/>
      <c r="AZ48" s="94"/>
      <c r="BA48" s="94"/>
      <c r="BB48" s="94"/>
      <c r="BC48" s="94"/>
      <c r="BD48" s="94"/>
      <c r="BE48" s="94"/>
      <c r="BF48" s="94" t="s">
        <v>1145</v>
      </c>
      <c r="BG48" s="94"/>
      <c r="BH48" s="94"/>
      <c r="BI48" s="1029" t="s">
        <v>853</v>
      </c>
      <c r="BJ48" s="94" t="s">
        <v>625</v>
      </c>
      <c r="BK48" s="94">
        <v>26.5</v>
      </c>
      <c r="BL48" s="94">
        <v>719</v>
      </c>
    </row>
    <row r="49" spans="6:64" x14ac:dyDescent="0.2">
      <c r="F49" s="85" t="s">
        <v>358</v>
      </c>
      <c r="G49" s="42" t="s">
        <v>16</v>
      </c>
      <c r="AE49" s="94"/>
      <c r="AF49" s="94"/>
      <c r="AG49" s="94"/>
      <c r="AH49" s="94"/>
      <c r="AI49" s="94"/>
      <c r="AJ49" s="94"/>
      <c r="AK49" s="94"/>
      <c r="AL49" s="94"/>
      <c r="AM49" s="94"/>
      <c r="AN49" s="94"/>
      <c r="AO49" s="94"/>
      <c r="AP49" s="94"/>
      <c r="AQ49" s="94" t="s">
        <v>920</v>
      </c>
      <c r="AR49" s="94"/>
      <c r="AS49" s="94"/>
      <c r="AT49" s="94"/>
      <c r="AU49" s="94" t="s">
        <v>1000</v>
      </c>
      <c r="AV49" s="94"/>
      <c r="AW49" s="94"/>
      <c r="AX49" s="94"/>
      <c r="AY49" s="94"/>
      <c r="AZ49" s="94"/>
      <c r="BA49" s="94"/>
      <c r="BB49" s="94"/>
      <c r="BC49" s="94"/>
      <c r="BD49" s="94"/>
      <c r="BE49" s="94"/>
      <c r="BF49" s="94" t="s">
        <v>1128</v>
      </c>
      <c r="BG49" s="94"/>
      <c r="BH49" s="94"/>
      <c r="BI49" s="1029" t="s">
        <v>860</v>
      </c>
      <c r="BJ49" s="94" t="s">
        <v>625</v>
      </c>
      <c r="BK49" s="94">
        <v>25.3</v>
      </c>
      <c r="BL49" s="94">
        <v>2144</v>
      </c>
    </row>
    <row r="50" spans="6:64" x14ac:dyDescent="0.2">
      <c r="F50" s="85" t="s">
        <v>359</v>
      </c>
      <c r="G50" s="42" t="s">
        <v>16</v>
      </c>
      <c r="AE50" s="94"/>
      <c r="AF50" s="94"/>
      <c r="AG50" s="94"/>
      <c r="AH50" s="94"/>
      <c r="AI50" s="94"/>
      <c r="AJ50" s="94"/>
      <c r="AK50" s="94"/>
      <c r="AL50" s="94"/>
      <c r="AM50" s="94"/>
      <c r="AN50" s="94"/>
      <c r="AO50" s="94"/>
      <c r="AP50" s="94"/>
      <c r="AQ50" s="94" t="s">
        <v>921</v>
      </c>
      <c r="AR50" s="94"/>
      <c r="AS50" s="94"/>
      <c r="AT50" s="94"/>
      <c r="AU50" s="94" t="s">
        <v>1001</v>
      </c>
      <c r="AV50" s="94"/>
      <c r="AW50" s="94"/>
      <c r="AX50" s="94"/>
      <c r="AY50" s="94"/>
      <c r="AZ50" s="94"/>
      <c r="BA50" s="94"/>
      <c r="BB50" s="94"/>
      <c r="BC50" s="94"/>
      <c r="BD50" s="94"/>
      <c r="BE50" s="94"/>
      <c r="BF50" s="94" t="s">
        <v>1127</v>
      </c>
      <c r="BG50" s="94"/>
      <c r="BH50" s="94"/>
      <c r="BI50" s="1029" t="s">
        <v>867</v>
      </c>
      <c r="BJ50" s="94" t="s">
        <v>625</v>
      </c>
      <c r="BK50" s="94">
        <v>24.1</v>
      </c>
      <c r="BL50" s="94">
        <v>1003.2</v>
      </c>
    </row>
    <row r="51" spans="6:64" x14ac:dyDescent="0.2">
      <c r="F51" s="85" t="s">
        <v>367</v>
      </c>
      <c r="G51" s="42" t="s">
        <v>80</v>
      </c>
      <c r="AE51" s="94"/>
      <c r="AF51" s="94"/>
      <c r="AG51" s="94"/>
      <c r="AH51" s="94"/>
      <c r="AI51" s="94"/>
      <c r="AJ51" s="94"/>
      <c r="AK51" s="94"/>
      <c r="AL51" s="94"/>
      <c r="AM51" s="94"/>
      <c r="AN51" s="94"/>
      <c r="AO51" s="94"/>
      <c r="AP51" s="94"/>
      <c r="AQ51" s="94" t="s">
        <v>922</v>
      </c>
      <c r="AR51" s="94"/>
      <c r="AS51" s="94"/>
      <c r="AT51" s="94"/>
      <c r="AU51" s="94" t="s">
        <v>1002</v>
      </c>
      <c r="AV51" s="94"/>
      <c r="AW51" s="94"/>
      <c r="AX51" s="94"/>
      <c r="AY51" s="94"/>
      <c r="AZ51" s="94"/>
      <c r="BA51" s="94"/>
      <c r="BB51" s="94"/>
      <c r="BC51" s="94"/>
      <c r="BD51" s="94"/>
      <c r="BE51" s="94"/>
      <c r="BF51" s="94" t="s">
        <v>1129</v>
      </c>
      <c r="BG51" s="94"/>
      <c r="BH51" s="94"/>
      <c r="BI51" s="1029" t="s">
        <v>937</v>
      </c>
      <c r="BJ51" s="94" t="s">
        <v>625</v>
      </c>
      <c r="BK51" s="94">
        <v>23.5</v>
      </c>
      <c r="BL51" s="94">
        <v>850</v>
      </c>
    </row>
    <row r="52" spans="6:64" x14ac:dyDescent="0.2">
      <c r="F52" s="85" t="s">
        <v>375</v>
      </c>
      <c r="G52" s="42" t="s">
        <v>16</v>
      </c>
      <c r="AE52" s="94"/>
      <c r="AF52" s="94"/>
      <c r="AG52" s="94"/>
      <c r="AH52" s="94"/>
      <c r="AI52" s="94"/>
      <c r="AJ52" s="94"/>
      <c r="AK52" s="94"/>
      <c r="AL52" s="94"/>
      <c r="AM52" s="94"/>
      <c r="AN52" s="94"/>
      <c r="AO52" s="94"/>
      <c r="AP52" s="94"/>
      <c r="AQ52" s="94"/>
      <c r="AR52" s="94"/>
      <c r="AS52" s="94"/>
      <c r="AT52" s="94"/>
      <c r="AU52" s="94" t="s">
        <v>684</v>
      </c>
      <c r="AV52" s="94"/>
      <c r="AW52" s="94"/>
      <c r="AX52" s="94"/>
      <c r="AY52" s="94"/>
      <c r="AZ52" s="94"/>
      <c r="BA52" s="94"/>
      <c r="BB52" s="94"/>
      <c r="BC52" s="94"/>
      <c r="BD52" s="94"/>
      <c r="BE52" s="94"/>
      <c r="BF52" s="94" t="s">
        <v>782</v>
      </c>
      <c r="BG52" s="94"/>
      <c r="BH52" s="94"/>
      <c r="BI52" s="1029" t="s">
        <v>873</v>
      </c>
      <c r="BJ52" s="94" t="s">
        <v>625</v>
      </c>
      <c r="BK52" s="94">
        <v>24.5</v>
      </c>
      <c r="BL52" s="94">
        <v>2036.1</v>
      </c>
    </row>
    <row r="53" spans="6:64" x14ac:dyDescent="0.2">
      <c r="F53" s="85" t="s">
        <v>366</v>
      </c>
      <c r="G53" s="42" t="s">
        <v>16</v>
      </c>
      <c r="AE53" s="94"/>
      <c r="AF53" s="94"/>
      <c r="AG53" s="94"/>
      <c r="AH53" s="94"/>
      <c r="AI53" s="94"/>
      <c r="AJ53" s="94"/>
      <c r="AK53" s="94"/>
      <c r="AL53" s="94"/>
      <c r="AM53" s="94"/>
      <c r="AN53" s="94"/>
      <c r="AO53" s="94"/>
      <c r="AP53" s="94"/>
      <c r="AQ53" s="94"/>
      <c r="AR53" s="94"/>
      <c r="AS53" s="94"/>
      <c r="AT53" s="94"/>
      <c r="AU53" s="94" t="s">
        <v>1003</v>
      </c>
      <c r="AV53" s="94"/>
      <c r="AW53" s="94"/>
      <c r="AX53" s="94"/>
      <c r="AY53" s="94"/>
      <c r="AZ53" s="94"/>
      <c r="BA53" s="94"/>
      <c r="BB53" s="94"/>
      <c r="BC53" s="94"/>
      <c r="BD53" s="94"/>
      <c r="BE53" s="94"/>
      <c r="BF53" s="94" t="s">
        <v>1130</v>
      </c>
      <c r="BG53" s="94"/>
      <c r="BH53" s="94"/>
      <c r="BI53" s="1029" t="s">
        <v>878</v>
      </c>
      <c r="BJ53" s="94" t="s">
        <v>625</v>
      </c>
      <c r="BK53" s="94">
        <v>23.3</v>
      </c>
      <c r="BL53" s="94">
        <v>990.8</v>
      </c>
    </row>
    <row r="54" spans="6:64" x14ac:dyDescent="0.2">
      <c r="F54" s="85" t="s">
        <v>371</v>
      </c>
      <c r="G54" s="42" t="s">
        <v>16</v>
      </c>
      <c r="AE54" s="94"/>
      <c r="AF54" s="94"/>
      <c r="AG54" s="94"/>
      <c r="AH54" s="94"/>
      <c r="AI54" s="94"/>
      <c r="AJ54" s="94"/>
      <c r="AK54" s="94"/>
      <c r="AL54" s="94"/>
      <c r="AM54" s="94"/>
      <c r="AN54" s="94"/>
      <c r="AO54" s="94"/>
      <c r="AP54" s="94"/>
      <c r="AQ54" s="94"/>
      <c r="AR54" s="94"/>
      <c r="AS54" s="94"/>
      <c r="AT54" s="94"/>
      <c r="AU54" s="94" t="s">
        <v>1004</v>
      </c>
      <c r="AV54" s="94"/>
      <c r="AW54" s="94"/>
      <c r="AX54" s="94"/>
      <c r="AY54" s="94"/>
      <c r="AZ54" s="94"/>
      <c r="BA54" s="94"/>
      <c r="BB54" s="94"/>
      <c r="BC54" s="94"/>
      <c r="BD54" s="94"/>
      <c r="BE54" s="94"/>
      <c r="BF54" s="94" t="s">
        <v>1132</v>
      </c>
      <c r="BG54" s="94"/>
      <c r="BH54" s="94"/>
      <c r="BI54" s="1029" t="s">
        <v>938</v>
      </c>
      <c r="BJ54" s="94" t="s">
        <v>625</v>
      </c>
      <c r="BK54" s="94">
        <v>20.2</v>
      </c>
      <c r="BL54" s="94">
        <v>732</v>
      </c>
    </row>
    <row r="55" spans="6:64" x14ac:dyDescent="0.2">
      <c r="F55" s="85" t="s">
        <v>361</v>
      </c>
      <c r="G55" s="42" t="s">
        <v>11</v>
      </c>
      <c r="AE55" s="94"/>
      <c r="AF55" s="94"/>
      <c r="AG55" s="94"/>
      <c r="AH55" s="94"/>
      <c r="AI55" s="94"/>
      <c r="AJ55" s="94"/>
      <c r="AK55" s="94"/>
      <c r="AL55" s="94"/>
      <c r="AM55" s="94"/>
      <c r="AN55" s="94"/>
      <c r="AO55" s="94"/>
      <c r="AP55" s="94"/>
      <c r="AQ55" s="94"/>
      <c r="AR55" s="94"/>
      <c r="AS55" s="94"/>
      <c r="AT55" s="94"/>
      <c r="AU55" s="94" t="s">
        <v>1010</v>
      </c>
      <c r="AV55" s="94"/>
      <c r="AW55" s="94"/>
      <c r="AX55" s="94"/>
      <c r="AY55" s="94"/>
      <c r="AZ55" s="94"/>
      <c r="BA55" s="94"/>
      <c r="BB55" s="94"/>
      <c r="BC55" s="94"/>
      <c r="BD55" s="94"/>
      <c r="BE55" s="94"/>
      <c r="BF55" s="94" t="s">
        <v>1133</v>
      </c>
      <c r="BG55" s="94"/>
      <c r="BH55" s="94"/>
      <c r="BI55" s="1029" t="s">
        <v>650</v>
      </c>
      <c r="BJ55" s="94" t="s">
        <v>626</v>
      </c>
      <c r="BK55" s="94">
        <v>24.9</v>
      </c>
      <c r="BL55" s="94">
        <v>1075.8</v>
      </c>
    </row>
    <row r="56" spans="6:64" x14ac:dyDescent="0.2">
      <c r="F56" s="85" t="s">
        <v>82</v>
      </c>
      <c r="G56" s="42" t="s">
        <v>16</v>
      </c>
      <c r="AE56" s="94"/>
      <c r="AF56" s="94"/>
      <c r="AG56" s="94"/>
      <c r="AH56" s="94"/>
      <c r="AI56" s="94"/>
      <c r="AJ56" s="94"/>
      <c r="AK56" s="94"/>
      <c r="AL56" s="94"/>
      <c r="AM56" s="94"/>
      <c r="AN56" s="94"/>
      <c r="AO56" s="94"/>
      <c r="AP56" s="94"/>
      <c r="AQ56" s="94"/>
      <c r="AR56" s="94"/>
      <c r="AS56" s="94"/>
      <c r="AT56" s="94"/>
      <c r="AU56" s="94" t="s">
        <v>1005</v>
      </c>
      <c r="AV56" s="94"/>
      <c r="AW56" s="94"/>
      <c r="AX56" s="94"/>
      <c r="AY56" s="94"/>
      <c r="AZ56" s="94"/>
      <c r="BA56" s="94"/>
      <c r="BB56" s="94"/>
      <c r="BC56" s="94"/>
      <c r="BD56" s="94"/>
      <c r="BE56" s="94"/>
      <c r="BF56" s="94" t="s">
        <v>1134</v>
      </c>
      <c r="BG56" s="94"/>
      <c r="BH56" s="94"/>
      <c r="BI56" s="1029" t="s">
        <v>676</v>
      </c>
      <c r="BJ56" s="94" t="s">
        <v>626</v>
      </c>
      <c r="BK56" s="94">
        <v>24.3</v>
      </c>
      <c r="BL56" s="94">
        <v>660.6</v>
      </c>
    </row>
    <row r="57" spans="6:64" x14ac:dyDescent="0.2">
      <c r="F57" s="85" t="s">
        <v>363</v>
      </c>
      <c r="G57" s="42" t="s">
        <v>16</v>
      </c>
      <c r="AE57" s="94"/>
      <c r="AF57" s="94"/>
      <c r="AG57" s="94"/>
      <c r="AH57" s="94"/>
      <c r="AI57" s="94"/>
      <c r="AJ57" s="94"/>
      <c r="AK57" s="94"/>
      <c r="AL57" s="94"/>
      <c r="AM57" s="94"/>
      <c r="AN57" s="94"/>
      <c r="AO57" s="94"/>
      <c r="AP57" s="94"/>
      <c r="AQ57" s="94"/>
      <c r="AR57" s="94"/>
      <c r="AS57" s="94"/>
      <c r="AT57" s="94"/>
      <c r="AU57" s="94" t="s">
        <v>1006</v>
      </c>
      <c r="AV57" s="94"/>
      <c r="AW57" s="94"/>
      <c r="AX57" s="94"/>
      <c r="AY57" s="94"/>
      <c r="AZ57" s="94"/>
      <c r="BA57" s="94"/>
      <c r="BB57" s="94"/>
      <c r="BC57" s="94"/>
      <c r="BD57" s="94"/>
      <c r="BE57" s="94"/>
      <c r="BF57" s="94" t="s">
        <v>1135</v>
      </c>
      <c r="BG57" s="94"/>
      <c r="BH57" s="94"/>
      <c r="BI57" s="1029" t="s">
        <v>698</v>
      </c>
      <c r="BJ57" s="94" t="s">
        <v>626</v>
      </c>
      <c r="BK57" s="94">
        <v>26.5</v>
      </c>
      <c r="BL57" s="94">
        <v>869.6</v>
      </c>
    </row>
    <row r="58" spans="6:64" x14ac:dyDescent="0.2">
      <c r="F58" s="2"/>
      <c r="G58" s="2"/>
      <c r="AE58" s="94"/>
      <c r="AF58" s="94"/>
      <c r="AG58" s="94"/>
      <c r="AH58" s="94"/>
      <c r="AI58" s="94"/>
      <c r="AJ58" s="94"/>
      <c r="AK58" s="94"/>
      <c r="AL58" s="94"/>
      <c r="AM58" s="94"/>
      <c r="AN58" s="94"/>
      <c r="AO58" s="94"/>
      <c r="AP58" s="94"/>
      <c r="AQ58" s="94"/>
      <c r="AR58" s="94"/>
      <c r="AS58" s="94"/>
      <c r="AT58" s="94"/>
      <c r="AU58" s="94" t="s">
        <v>1007</v>
      </c>
      <c r="AV58" s="94"/>
      <c r="AW58" s="94"/>
      <c r="AX58" s="94"/>
      <c r="AY58" s="94"/>
      <c r="AZ58" s="94"/>
      <c r="BA58" s="94"/>
      <c r="BB58" s="94"/>
      <c r="BC58" s="94"/>
      <c r="BD58" s="94"/>
      <c r="BE58" s="94"/>
      <c r="BF58" s="94" t="s">
        <v>1136</v>
      </c>
      <c r="BG58" s="94"/>
      <c r="BH58" s="94"/>
      <c r="BI58" s="1029" t="s">
        <v>719</v>
      </c>
      <c r="BJ58" s="94" t="s">
        <v>626</v>
      </c>
      <c r="BK58" s="94">
        <v>26.62</v>
      </c>
      <c r="BL58" s="94">
        <v>1608.4</v>
      </c>
    </row>
    <row r="59" spans="6:64" x14ac:dyDescent="0.2">
      <c r="AE59" s="94"/>
      <c r="AF59" s="94"/>
      <c r="AG59" s="94"/>
      <c r="AH59" s="94"/>
      <c r="AI59" s="94"/>
      <c r="AJ59" s="94"/>
      <c r="AK59" s="94"/>
      <c r="AL59" s="94"/>
      <c r="AM59" s="94"/>
      <c r="AN59" s="94"/>
      <c r="AO59" s="94"/>
      <c r="AP59" s="94"/>
      <c r="AQ59" s="94"/>
      <c r="AR59" s="94"/>
      <c r="AS59" s="94"/>
      <c r="AT59" s="94"/>
      <c r="AU59" s="94" t="s">
        <v>1008</v>
      </c>
      <c r="AV59" s="94"/>
      <c r="AW59" s="94"/>
      <c r="AX59" s="94"/>
      <c r="AY59" s="94"/>
      <c r="AZ59" s="94"/>
      <c r="BA59" s="94"/>
      <c r="BB59" s="94"/>
      <c r="BC59" s="94"/>
      <c r="BD59" s="94"/>
      <c r="BE59" s="94"/>
      <c r="BF59" s="94" t="s">
        <v>1137</v>
      </c>
      <c r="BG59" s="94"/>
      <c r="BH59" s="94"/>
      <c r="BI59" s="1029" t="s">
        <v>738</v>
      </c>
      <c r="BJ59" s="94" t="s">
        <v>626</v>
      </c>
      <c r="BK59" s="94">
        <v>20.5</v>
      </c>
      <c r="BL59" s="94">
        <v>1726.8</v>
      </c>
    </row>
    <row r="60" spans="6:64" x14ac:dyDescent="0.2">
      <c r="AE60" s="94"/>
      <c r="AF60" s="94"/>
      <c r="AG60" s="94"/>
      <c r="AH60" s="94"/>
      <c r="AI60" s="94"/>
      <c r="AJ60" s="94"/>
      <c r="AK60" s="94"/>
      <c r="AL60" s="94"/>
      <c r="AM60" s="94"/>
      <c r="AN60" s="94"/>
      <c r="AO60" s="94"/>
      <c r="AP60" s="94"/>
      <c r="AQ60" s="94"/>
      <c r="AR60" s="94"/>
      <c r="AS60" s="94"/>
      <c r="AT60" s="94"/>
      <c r="AU60" s="94" t="s">
        <v>706</v>
      </c>
      <c r="AV60" s="94"/>
      <c r="AW60" s="94"/>
      <c r="AX60" s="94"/>
      <c r="AY60" s="94"/>
      <c r="AZ60" s="94"/>
      <c r="BA60" s="94"/>
      <c r="BB60" s="94"/>
      <c r="BC60" s="94"/>
      <c r="BD60" s="94"/>
      <c r="BE60" s="94"/>
      <c r="BF60" s="94" t="s">
        <v>1138</v>
      </c>
      <c r="BG60" s="94"/>
      <c r="BH60" s="94"/>
      <c r="BI60" s="1029" t="s">
        <v>755</v>
      </c>
      <c r="BJ60" s="94" t="s">
        <v>626</v>
      </c>
      <c r="BK60" s="94">
        <v>26.8</v>
      </c>
      <c r="BL60" s="94">
        <v>1079.2</v>
      </c>
    </row>
    <row r="61" spans="6:64" x14ac:dyDescent="0.2">
      <c r="AE61" s="94"/>
      <c r="AF61" s="94"/>
      <c r="AG61" s="94"/>
      <c r="AH61" s="94"/>
      <c r="AI61" s="94"/>
      <c r="AJ61" s="94"/>
      <c r="AK61" s="94"/>
      <c r="AL61" s="94"/>
      <c r="AM61" s="94"/>
      <c r="AN61" s="94"/>
      <c r="AO61" s="94"/>
      <c r="AP61" s="94"/>
      <c r="AQ61" s="94"/>
      <c r="AR61" s="94"/>
      <c r="AS61" s="94"/>
      <c r="AT61" s="94"/>
      <c r="AU61" s="94" t="s">
        <v>1009</v>
      </c>
      <c r="AV61" s="94"/>
      <c r="AW61" s="94"/>
      <c r="AX61" s="94"/>
      <c r="AY61" s="94"/>
      <c r="AZ61" s="94"/>
      <c r="BA61" s="94"/>
      <c r="BB61" s="94"/>
      <c r="BC61" s="94"/>
      <c r="BD61" s="94"/>
      <c r="BE61" s="94"/>
      <c r="BF61" s="94" t="s">
        <v>1139</v>
      </c>
      <c r="BG61" s="94"/>
      <c r="BH61" s="94"/>
      <c r="BI61" s="1029" t="s">
        <v>939</v>
      </c>
      <c r="BJ61" s="94" t="s">
        <v>626</v>
      </c>
      <c r="BK61" s="94">
        <v>26.5</v>
      </c>
      <c r="BL61" s="94">
        <v>905</v>
      </c>
    </row>
    <row r="62" spans="6:64" x14ac:dyDescent="0.2">
      <c r="AE62" s="94"/>
      <c r="AF62" s="94"/>
      <c r="AG62" s="94"/>
      <c r="AH62" s="94"/>
      <c r="AI62" s="94"/>
      <c r="AJ62" s="94"/>
      <c r="AK62" s="94"/>
      <c r="AL62" s="94"/>
      <c r="AM62" s="94"/>
      <c r="AN62" s="94"/>
      <c r="AO62" s="94"/>
      <c r="AP62" s="94"/>
      <c r="AQ62" s="94"/>
      <c r="AR62" s="94"/>
      <c r="AS62" s="94"/>
      <c r="AT62" s="94"/>
      <c r="AU62" s="94" t="s">
        <v>1011</v>
      </c>
      <c r="AV62" s="94"/>
      <c r="AW62" s="94"/>
      <c r="AX62" s="94"/>
      <c r="AY62" s="94"/>
      <c r="AZ62" s="94"/>
      <c r="BA62" s="94"/>
      <c r="BB62" s="94"/>
      <c r="BC62" s="94"/>
      <c r="BD62" s="94"/>
      <c r="BE62" s="94"/>
      <c r="BF62" s="94" t="s">
        <v>1140</v>
      </c>
      <c r="BG62" s="94"/>
      <c r="BH62" s="94"/>
      <c r="BI62" s="1029" t="s">
        <v>771</v>
      </c>
      <c r="BJ62" s="94" t="s">
        <v>626</v>
      </c>
      <c r="BK62" s="94">
        <v>27.1</v>
      </c>
      <c r="BL62" s="94">
        <v>840.2</v>
      </c>
    </row>
    <row r="63" spans="6:64" x14ac:dyDescent="0.2">
      <c r="AE63" s="94"/>
      <c r="AF63" s="94"/>
      <c r="AG63" s="94"/>
      <c r="AH63" s="94"/>
      <c r="AI63" s="94"/>
      <c r="AJ63" s="94"/>
      <c r="AK63" s="94"/>
      <c r="AL63" s="94"/>
      <c r="AM63" s="94"/>
      <c r="AN63" s="94"/>
      <c r="AO63" s="94"/>
      <c r="AP63" s="94"/>
      <c r="AQ63" s="94"/>
      <c r="AR63" s="94"/>
      <c r="AS63" s="94"/>
      <c r="AT63" s="94"/>
      <c r="AU63" s="94" t="s">
        <v>1012</v>
      </c>
      <c r="AV63" s="94"/>
      <c r="AW63" s="94"/>
      <c r="AX63" s="94"/>
      <c r="AY63" s="94"/>
      <c r="AZ63" s="94"/>
      <c r="BA63" s="94"/>
      <c r="BB63" s="94"/>
      <c r="BC63" s="94"/>
      <c r="BD63" s="94"/>
      <c r="BE63" s="94"/>
      <c r="BF63" s="94" t="s">
        <v>794</v>
      </c>
      <c r="BG63" s="94"/>
      <c r="BH63" s="94"/>
      <c r="BI63" s="1029" t="s">
        <v>785</v>
      </c>
      <c r="BJ63" s="94" t="s">
        <v>626</v>
      </c>
      <c r="BK63" s="94">
        <v>26.5</v>
      </c>
      <c r="BL63" s="94">
        <v>857.7</v>
      </c>
    </row>
    <row r="64" spans="6:64" x14ac:dyDescent="0.2">
      <c r="AE64" s="94"/>
      <c r="AF64" s="94"/>
      <c r="AG64" s="94"/>
      <c r="AH64" s="94"/>
      <c r="AI64" s="94"/>
      <c r="AJ64" s="94"/>
      <c r="AK64" s="94"/>
      <c r="AL64" s="94"/>
      <c r="AM64" s="94"/>
      <c r="AN64" s="94"/>
      <c r="AO64" s="94"/>
      <c r="AP64" s="94"/>
      <c r="AQ64" s="94"/>
      <c r="AR64" s="94"/>
      <c r="AS64" s="94"/>
      <c r="AT64" s="94"/>
      <c r="AU64" s="94" t="s">
        <v>1013</v>
      </c>
      <c r="AV64" s="94"/>
      <c r="AW64" s="94"/>
      <c r="AX64" s="94"/>
      <c r="AY64" s="94"/>
      <c r="AZ64" s="94"/>
      <c r="BA64" s="94"/>
      <c r="BB64" s="94"/>
      <c r="BC64" s="94"/>
      <c r="BD64" s="94"/>
      <c r="BE64" s="94"/>
      <c r="BF64" s="94" t="s">
        <v>1141</v>
      </c>
      <c r="BG64" s="94"/>
      <c r="BH64" s="94"/>
      <c r="BI64" s="1029" t="s">
        <v>797</v>
      </c>
      <c r="BJ64" s="94" t="s">
        <v>626</v>
      </c>
      <c r="BK64" s="94">
        <v>26.9</v>
      </c>
      <c r="BL64" s="94">
        <v>995.6</v>
      </c>
    </row>
    <row r="65" spans="31:64" x14ac:dyDescent="0.2">
      <c r="AE65" s="94"/>
      <c r="AF65" s="94"/>
      <c r="AG65" s="94"/>
      <c r="AH65" s="94"/>
      <c r="AI65" s="94"/>
      <c r="AJ65" s="94"/>
      <c r="AK65" s="94"/>
      <c r="AL65" s="94"/>
      <c r="AM65" s="94"/>
      <c r="AN65" s="94"/>
      <c r="AO65" s="94"/>
      <c r="AP65" s="94"/>
      <c r="AQ65" s="94"/>
      <c r="AR65" s="94"/>
      <c r="AS65" s="94"/>
      <c r="AT65" s="94"/>
      <c r="AU65" s="94" t="s">
        <v>1014</v>
      </c>
      <c r="AV65" s="94"/>
      <c r="AW65" s="94"/>
      <c r="AX65" s="94"/>
      <c r="AY65" s="94"/>
      <c r="AZ65" s="94"/>
      <c r="BA65" s="94"/>
      <c r="BB65" s="94"/>
      <c r="BC65" s="94"/>
      <c r="BD65" s="94"/>
      <c r="BE65" s="94"/>
      <c r="BF65" s="94" t="s">
        <v>1142</v>
      </c>
      <c r="BG65" s="94"/>
      <c r="BH65" s="94"/>
      <c r="BI65" s="1029" t="s">
        <v>809</v>
      </c>
      <c r="BJ65" s="94" t="s">
        <v>626</v>
      </c>
      <c r="BK65" s="94">
        <v>25.3</v>
      </c>
      <c r="BL65" s="94">
        <v>715.8</v>
      </c>
    </row>
    <row r="66" spans="31:64" x14ac:dyDescent="0.2">
      <c r="AE66" s="94"/>
      <c r="AF66" s="94"/>
      <c r="AG66" s="94"/>
      <c r="AH66" s="94"/>
      <c r="AI66" s="94"/>
      <c r="AJ66" s="94"/>
      <c r="AK66" s="94"/>
      <c r="AL66" s="94"/>
      <c r="AM66" s="94"/>
      <c r="AN66" s="94"/>
      <c r="AO66" s="94"/>
      <c r="AP66" s="94"/>
      <c r="AQ66" s="94"/>
      <c r="AR66" s="94"/>
      <c r="AS66" s="94"/>
      <c r="AT66" s="94"/>
      <c r="AU66" s="94" t="s">
        <v>1015</v>
      </c>
      <c r="AV66" s="94"/>
      <c r="AW66" s="94"/>
      <c r="AX66" s="94"/>
      <c r="AY66" s="94"/>
      <c r="AZ66" s="94"/>
      <c r="BA66" s="94"/>
      <c r="BB66" s="94"/>
      <c r="BC66" s="94"/>
      <c r="BD66" s="94"/>
      <c r="BE66" s="94"/>
      <c r="BF66" s="94" t="s">
        <v>1143</v>
      </c>
      <c r="BG66" s="94"/>
      <c r="BH66" s="94"/>
      <c r="BI66" s="1029" t="s">
        <v>651</v>
      </c>
      <c r="BJ66" s="94" t="s">
        <v>627</v>
      </c>
      <c r="BK66" s="94">
        <v>20.6</v>
      </c>
      <c r="BL66" s="94">
        <v>1540.6</v>
      </c>
    </row>
    <row r="67" spans="31:64" x14ac:dyDescent="0.2">
      <c r="AE67" s="94"/>
      <c r="AF67" s="94"/>
      <c r="AG67" s="94"/>
      <c r="AH67" s="94"/>
      <c r="AI67" s="94"/>
      <c r="AJ67" s="94"/>
      <c r="AK67" s="94"/>
      <c r="AL67" s="94"/>
      <c r="AM67" s="94"/>
      <c r="AN67" s="94"/>
      <c r="AO67" s="94"/>
      <c r="AP67" s="94"/>
      <c r="AQ67" s="94"/>
      <c r="AR67" s="94"/>
      <c r="AS67" s="94"/>
      <c r="AT67" s="94"/>
      <c r="AU67" s="94" t="s">
        <v>1016</v>
      </c>
      <c r="AV67" s="94"/>
      <c r="AW67" s="94"/>
      <c r="AX67" s="94"/>
      <c r="AY67" s="94"/>
      <c r="AZ67" s="94"/>
      <c r="BA67" s="94"/>
      <c r="BB67" s="94"/>
      <c r="BC67" s="94"/>
      <c r="BD67" s="94"/>
      <c r="BE67" s="94"/>
      <c r="BF67" s="94" t="s">
        <v>1144</v>
      </c>
      <c r="BG67" s="94"/>
      <c r="BH67" s="94"/>
      <c r="BI67" s="1029" t="s">
        <v>652</v>
      </c>
      <c r="BJ67" s="94" t="s">
        <v>628</v>
      </c>
      <c r="BK67" s="94">
        <v>23.6</v>
      </c>
      <c r="BL67" s="94">
        <v>1086.3</v>
      </c>
    </row>
    <row r="68" spans="31:64" x14ac:dyDescent="0.2">
      <c r="AE68" s="94"/>
      <c r="AF68" s="94"/>
      <c r="AG68" s="94"/>
      <c r="AH68" s="94"/>
      <c r="AI68" s="94"/>
      <c r="AJ68" s="94"/>
      <c r="AK68" s="94"/>
      <c r="AL68" s="94"/>
      <c r="AM68" s="94"/>
      <c r="AN68" s="94"/>
      <c r="AO68" s="94"/>
      <c r="AP68" s="94"/>
      <c r="AQ68" s="94"/>
      <c r="AR68" s="94"/>
      <c r="AS68" s="94"/>
      <c r="AT68" s="94"/>
      <c r="AU68" s="94" t="s">
        <v>1017</v>
      </c>
      <c r="AV68" s="94"/>
      <c r="AW68" s="94"/>
      <c r="AX68" s="94"/>
      <c r="AY68" s="94"/>
      <c r="AZ68" s="94"/>
      <c r="BA68" s="94"/>
      <c r="BB68" s="94"/>
      <c r="BC68" s="94"/>
      <c r="BD68" s="94"/>
      <c r="BE68" s="94"/>
      <c r="BF68" s="94" t="s">
        <v>1146</v>
      </c>
      <c r="BG68" s="94"/>
      <c r="BH68" s="94"/>
      <c r="BI68" s="1029" t="s">
        <v>940</v>
      </c>
      <c r="BJ68" s="94" t="s">
        <v>628</v>
      </c>
      <c r="BK68" s="94">
        <v>21</v>
      </c>
      <c r="BL68" s="94">
        <v>1276</v>
      </c>
    </row>
    <row r="69" spans="31:64" x14ac:dyDescent="0.2">
      <c r="AE69" s="94"/>
      <c r="AF69" s="94"/>
      <c r="AG69" s="94"/>
      <c r="AH69" s="94"/>
      <c r="AI69" s="94"/>
      <c r="AJ69" s="94"/>
      <c r="AK69" s="94"/>
      <c r="AL69" s="94"/>
      <c r="AM69" s="94"/>
      <c r="AN69" s="94"/>
      <c r="AO69" s="94"/>
      <c r="AP69" s="94"/>
      <c r="AQ69" s="94"/>
      <c r="AR69" s="94"/>
      <c r="AS69" s="94"/>
      <c r="AT69" s="94"/>
      <c r="AU69" s="94" t="s">
        <v>1018</v>
      </c>
      <c r="AV69" s="94"/>
      <c r="AW69" s="94"/>
      <c r="AX69" s="94"/>
      <c r="AY69" s="94"/>
      <c r="AZ69" s="94"/>
      <c r="BA69" s="94"/>
      <c r="BB69" s="94"/>
      <c r="BC69" s="94"/>
      <c r="BD69" s="94"/>
      <c r="BE69" s="94"/>
      <c r="BF69" s="94" t="s">
        <v>1147</v>
      </c>
      <c r="BG69" s="94"/>
      <c r="BH69" s="94"/>
      <c r="BI69" s="1029" t="s">
        <v>677</v>
      </c>
      <c r="BJ69" s="94" t="s">
        <v>628</v>
      </c>
      <c r="BK69" s="94">
        <v>23.5</v>
      </c>
      <c r="BL69" s="94">
        <v>1157.4000000000001</v>
      </c>
    </row>
    <row r="70" spans="31:64" x14ac:dyDescent="0.2">
      <c r="AE70" s="94"/>
      <c r="AF70" s="94"/>
      <c r="AG70" s="94"/>
      <c r="AH70" s="94"/>
      <c r="AI70" s="94"/>
      <c r="AJ70" s="94"/>
      <c r="AK70" s="94"/>
      <c r="AL70" s="94"/>
      <c r="AM70" s="94"/>
      <c r="AN70" s="94"/>
      <c r="AO70" s="94"/>
      <c r="AP70" s="94"/>
      <c r="AQ70" s="94"/>
      <c r="AR70" s="94"/>
      <c r="AS70" s="94"/>
      <c r="AT70" s="94"/>
      <c r="AU70" s="94" t="s">
        <v>1019</v>
      </c>
      <c r="AV70" s="94"/>
      <c r="AW70" s="94"/>
      <c r="AX70" s="94"/>
      <c r="AY70" s="94"/>
      <c r="AZ70" s="94"/>
      <c r="BA70" s="94"/>
      <c r="BB70" s="94"/>
      <c r="BC70" s="94"/>
      <c r="BD70" s="94"/>
      <c r="BE70" s="94"/>
      <c r="BF70" s="94" t="s">
        <v>1148</v>
      </c>
      <c r="BG70" s="94"/>
      <c r="BH70" s="94"/>
      <c r="BI70" s="1029" t="s">
        <v>941</v>
      </c>
      <c r="BJ70" s="94" t="s">
        <v>628</v>
      </c>
      <c r="BK70" s="94">
        <v>23.8</v>
      </c>
      <c r="BL70" s="94">
        <v>1212</v>
      </c>
    </row>
    <row r="71" spans="31:64" x14ac:dyDescent="0.2">
      <c r="AE71" s="94"/>
      <c r="AF71" s="94"/>
      <c r="AG71" s="94"/>
      <c r="AH71" s="94"/>
      <c r="AI71" s="94"/>
      <c r="AJ71" s="94"/>
      <c r="AK71" s="94"/>
      <c r="AL71" s="94"/>
      <c r="AM71" s="94"/>
      <c r="AN71" s="94"/>
      <c r="AO71" s="94"/>
      <c r="AP71" s="94"/>
      <c r="AQ71" s="94"/>
      <c r="AR71" s="94"/>
      <c r="AS71" s="94"/>
      <c r="AT71" s="94"/>
      <c r="AU71" s="94" t="s">
        <v>1020</v>
      </c>
      <c r="AV71" s="94"/>
      <c r="AW71" s="94"/>
      <c r="AX71" s="94"/>
      <c r="AY71" s="94"/>
      <c r="AZ71" s="94"/>
      <c r="BA71" s="94"/>
      <c r="BB71" s="94"/>
      <c r="BC71" s="94"/>
      <c r="BD71" s="94"/>
      <c r="BE71" s="94"/>
      <c r="BF71" s="94" t="s">
        <v>1149</v>
      </c>
      <c r="BG71" s="94"/>
      <c r="BH71" s="94"/>
      <c r="BI71" s="1029" t="s">
        <v>699</v>
      </c>
      <c r="BJ71" s="94" t="s">
        <v>628</v>
      </c>
      <c r="BK71" s="94">
        <v>24.2</v>
      </c>
      <c r="BL71" s="94">
        <v>1252.3</v>
      </c>
    </row>
    <row r="72" spans="31:64" x14ac:dyDescent="0.2">
      <c r="AE72" s="94"/>
      <c r="AF72" s="94"/>
      <c r="AG72" s="94"/>
      <c r="AH72" s="94"/>
      <c r="AI72" s="94"/>
      <c r="AJ72" s="94"/>
      <c r="AK72" s="94"/>
      <c r="AL72" s="94"/>
      <c r="AM72" s="94"/>
      <c r="AN72" s="94"/>
      <c r="AO72" s="94"/>
      <c r="AP72" s="94"/>
      <c r="AQ72" s="94"/>
      <c r="AR72" s="94"/>
      <c r="AS72" s="94"/>
      <c r="AT72" s="94"/>
      <c r="AU72" s="94" t="s">
        <v>1021</v>
      </c>
      <c r="AV72" s="94"/>
      <c r="AW72" s="94"/>
      <c r="AX72" s="94"/>
      <c r="AY72" s="94"/>
      <c r="AZ72" s="94"/>
      <c r="BA72" s="94"/>
      <c r="BB72" s="94"/>
      <c r="BC72" s="94"/>
      <c r="BD72" s="94"/>
      <c r="BE72" s="94"/>
      <c r="BF72" s="94" t="s">
        <v>1150</v>
      </c>
      <c r="BG72" s="94"/>
      <c r="BH72" s="94"/>
      <c r="BI72" s="1029" t="s">
        <v>653</v>
      </c>
      <c r="BJ72" s="94" t="s">
        <v>629</v>
      </c>
      <c r="BK72" s="94">
        <v>24.9</v>
      </c>
      <c r="BL72" s="94">
        <v>1620.5</v>
      </c>
    </row>
    <row r="73" spans="31:64" x14ac:dyDescent="0.2">
      <c r="AE73" s="94"/>
      <c r="AF73" s="94"/>
      <c r="AG73" s="94"/>
      <c r="AH73" s="94"/>
      <c r="AI73" s="94"/>
      <c r="AJ73" s="94"/>
      <c r="AK73" s="94"/>
      <c r="AL73" s="94"/>
      <c r="AM73" s="94"/>
      <c r="AN73" s="94"/>
      <c r="AO73" s="94"/>
      <c r="AP73" s="94"/>
      <c r="AQ73" s="94"/>
      <c r="AR73" s="94"/>
      <c r="AS73" s="94"/>
      <c r="AT73" s="94"/>
      <c r="AU73" s="94" t="s">
        <v>1022</v>
      </c>
      <c r="AV73" s="94"/>
      <c r="AW73" s="94"/>
      <c r="AX73" s="94"/>
      <c r="AY73" s="94"/>
      <c r="AZ73" s="94"/>
      <c r="BA73" s="94"/>
      <c r="BB73" s="94"/>
      <c r="BC73" s="94"/>
      <c r="BD73" s="94"/>
      <c r="BE73" s="94"/>
      <c r="BF73" s="94" t="s">
        <v>1151</v>
      </c>
      <c r="BG73" s="94"/>
      <c r="BH73" s="94"/>
      <c r="BI73" s="1029" t="s">
        <v>678</v>
      </c>
      <c r="BJ73" s="94" t="s">
        <v>629</v>
      </c>
      <c r="BK73" s="94">
        <v>22</v>
      </c>
      <c r="BL73" s="94">
        <v>1484.8</v>
      </c>
    </row>
    <row r="74" spans="31:64" x14ac:dyDescent="0.2">
      <c r="AE74" s="94"/>
      <c r="AF74" s="94"/>
      <c r="AG74" s="94"/>
      <c r="AH74" s="94"/>
      <c r="AI74" s="94"/>
      <c r="AJ74" s="94"/>
      <c r="AK74" s="94"/>
      <c r="AL74" s="94"/>
      <c r="AM74" s="94"/>
      <c r="AN74" s="94"/>
      <c r="AO74" s="94"/>
      <c r="AP74" s="94"/>
      <c r="AQ74" s="94"/>
      <c r="AR74" s="94"/>
      <c r="AS74" s="94"/>
      <c r="AT74" s="94"/>
      <c r="AU74" s="94" t="s">
        <v>1023</v>
      </c>
      <c r="AV74" s="94"/>
      <c r="AW74" s="94"/>
      <c r="AX74" s="94"/>
      <c r="AY74" s="94"/>
      <c r="AZ74" s="94"/>
      <c r="BA74" s="94"/>
      <c r="BB74" s="94"/>
      <c r="BC74" s="94"/>
      <c r="BD74" s="94"/>
      <c r="BE74" s="94"/>
      <c r="BF74" s="94" t="s">
        <v>1152</v>
      </c>
      <c r="BG74" s="94"/>
      <c r="BH74" s="94"/>
      <c r="BI74" s="1029" t="s">
        <v>700</v>
      </c>
      <c r="BJ74" s="94" t="s">
        <v>629</v>
      </c>
      <c r="BK74" s="94">
        <v>21.7</v>
      </c>
      <c r="BL74" s="94">
        <v>1447.9</v>
      </c>
    </row>
    <row r="75" spans="31:64" x14ac:dyDescent="0.2">
      <c r="AE75" s="94"/>
      <c r="AF75" s="94"/>
      <c r="AG75" s="94"/>
      <c r="AH75" s="94"/>
      <c r="AI75" s="94"/>
      <c r="AJ75" s="94"/>
      <c r="AK75" s="94"/>
      <c r="AL75" s="94"/>
      <c r="AM75" s="94"/>
      <c r="AN75" s="94"/>
      <c r="AO75" s="94"/>
      <c r="AP75" s="94"/>
      <c r="AQ75" s="94"/>
      <c r="AR75" s="94"/>
      <c r="AS75" s="94"/>
      <c r="AT75" s="94"/>
      <c r="AU75" s="94" t="s">
        <v>1024</v>
      </c>
      <c r="AV75" s="94"/>
      <c r="AW75" s="94"/>
      <c r="AX75" s="94"/>
      <c r="AY75" s="94"/>
      <c r="AZ75" s="94"/>
      <c r="BA75" s="94"/>
      <c r="BB75" s="94"/>
      <c r="BC75" s="94"/>
      <c r="BD75" s="94"/>
      <c r="BE75" s="94"/>
      <c r="BF75" s="94" t="s">
        <v>1153</v>
      </c>
      <c r="BG75" s="94"/>
      <c r="BH75" s="94"/>
      <c r="BI75" s="1029" t="s">
        <v>720</v>
      </c>
      <c r="BJ75" s="94" t="s">
        <v>629</v>
      </c>
      <c r="BK75" s="94">
        <v>23.2</v>
      </c>
      <c r="BL75" s="94">
        <v>1571.4</v>
      </c>
    </row>
    <row r="76" spans="31:64" x14ac:dyDescent="0.2">
      <c r="AE76" s="94"/>
      <c r="AF76" s="94"/>
      <c r="AG76" s="94"/>
      <c r="AH76" s="94"/>
      <c r="AI76" s="94"/>
      <c r="AJ76" s="94"/>
      <c r="AK76" s="94"/>
      <c r="AL76" s="94"/>
      <c r="AM76" s="94"/>
      <c r="AN76" s="94"/>
      <c r="AO76" s="94"/>
      <c r="AP76" s="94"/>
      <c r="AQ76" s="94"/>
      <c r="AR76" s="94"/>
      <c r="AS76" s="94"/>
      <c r="AT76" s="94"/>
      <c r="AU76" s="94" t="s">
        <v>1025</v>
      </c>
      <c r="AV76" s="94"/>
      <c r="AW76" s="94"/>
      <c r="AX76" s="94"/>
      <c r="AY76" s="94"/>
      <c r="AZ76" s="94"/>
      <c r="BA76" s="94"/>
      <c r="BB76" s="94"/>
      <c r="BC76" s="94"/>
      <c r="BD76" s="94"/>
      <c r="BE76" s="94"/>
      <c r="BF76" s="94" t="s">
        <v>1154</v>
      </c>
      <c r="BG76" s="94"/>
      <c r="BH76" s="94"/>
      <c r="BI76" s="1029" t="s">
        <v>739</v>
      </c>
      <c r="BJ76" s="94" t="s">
        <v>629</v>
      </c>
      <c r="BK76" s="94">
        <v>24.7</v>
      </c>
      <c r="BL76" s="94">
        <v>1777.8</v>
      </c>
    </row>
    <row r="77" spans="31:64" x14ac:dyDescent="0.2">
      <c r="AE77" s="94"/>
      <c r="AF77" s="94"/>
      <c r="AG77" s="94"/>
      <c r="AH77" s="94"/>
      <c r="AI77" s="94"/>
      <c r="AJ77" s="94"/>
      <c r="AK77" s="94"/>
      <c r="AL77" s="94"/>
      <c r="AM77" s="94"/>
      <c r="AN77" s="94"/>
      <c r="AO77" s="94"/>
      <c r="AP77" s="94"/>
      <c r="AQ77" s="94"/>
      <c r="AR77" s="94"/>
      <c r="AS77" s="94"/>
      <c r="AT77" s="94"/>
      <c r="AU77" s="94" t="s">
        <v>1026</v>
      </c>
      <c r="AV77" s="94"/>
      <c r="AW77" s="94"/>
      <c r="AX77" s="94"/>
      <c r="AY77" s="94"/>
      <c r="AZ77" s="94"/>
      <c r="BA77" s="94"/>
      <c r="BB77" s="94"/>
      <c r="BC77" s="94"/>
      <c r="BD77" s="94"/>
      <c r="BE77" s="94"/>
      <c r="BF77" s="94" t="s">
        <v>1155</v>
      </c>
      <c r="BG77" s="94"/>
      <c r="BH77" s="94"/>
      <c r="BI77" s="1029" t="s">
        <v>942</v>
      </c>
      <c r="BJ77" s="94" t="s">
        <v>629</v>
      </c>
      <c r="BK77" s="94">
        <v>21.9</v>
      </c>
      <c r="BL77" s="94">
        <v>1447</v>
      </c>
    </row>
    <row r="78" spans="31:64" x14ac:dyDescent="0.2">
      <c r="AE78" s="94"/>
      <c r="AF78" s="94"/>
      <c r="AG78" s="94"/>
      <c r="AH78" s="94"/>
      <c r="AI78" s="94"/>
      <c r="AJ78" s="94"/>
      <c r="AK78" s="94"/>
      <c r="AL78" s="94"/>
      <c r="AM78" s="94"/>
      <c r="AN78" s="94"/>
      <c r="AO78" s="94"/>
      <c r="AP78" s="94"/>
      <c r="AQ78" s="94"/>
      <c r="AR78" s="94"/>
      <c r="AS78" s="94"/>
      <c r="AT78" s="94"/>
      <c r="AU78" s="94" t="s">
        <v>1040</v>
      </c>
      <c r="AV78" s="94"/>
      <c r="AW78" s="94"/>
      <c r="AX78" s="94"/>
      <c r="AY78" s="94"/>
      <c r="AZ78" s="94"/>
      <c r="BA78" s="94"/>
      <c r="BB78" s="94"/>
      <c r="BC78" s="94"/>
      <c r="BD78" s="94"/>
      <c r="BE78" s="94"/>
      <c r="BF78" s="94" t="s">
        <v>806</v>
      </c>
      <c r="BG78" s="94"/>
      <c r="BH78" s="94"/>
      <c r="BI78" s="1029" t="s">
        <v>756</v>
      </c>
      <c r="BJ78" s="94" t="s">
        <v>629</v>
      </c>
      <c r="BK78" s="94">
        <v>22.2</v>
      </c>
      <c r="BL78" s="94">
        <v>1649.5</v>
      </c>
    </row>
    <row r="79" spans="31:64" x14ac:dyDescent="0.2">
      <c r="AE79" s="94"/>
      <c r="AF79" s="94"/>
      <c r="AG79" s="94"/>
      <c r="AH79" s="94"/>
      <c r="AI79" s="94"/>
      <c r="AJ79" s="94"/>
      <c r="AK79" s="94"/>
      <c r="AL79" s="94"/>
      <c r="AM79" s="94"/>
      <c r="AN79" s="94"/>
      <c r="AO79" s="94"/>
      <c r="AP79" s="94"/>
      <c r="AQ79" s="94"/>
      <c r="AR79" s="94"/>
      <c r="AS79" s="94"/>
      <c r="AT79" s="94"/>
      <c r="AU79" s="94" t="s">
        <v>915</v>
      </c>
      <c r="AV79" s="94"/>
      <c r="AW79" s="94"/>
      <c r="AX79" s="94"/>
      <c r="AY79" s="94"/>
      <c r="AZ79" s="94"/>
      <c r="BA79" s="94"/>
      <c r="BB79" s="94"/>
      <c r="BC79" s="94"/>
      <c r="BD79" s="94"/>
      <c r="BE79" s="94"/>
      <c r="BF79" s="94" t="s">
        <v>1156</v>
      </c>
      <c r="BG79" s="94"/>
      <c r="BH79" s="94"/>
      <c r="BI79" s="1029" t="s">
        <v>772</v>
      </c>
      <c r="BJ79" s="94" t="s">
        <v>629</v>
      </c>
      <c r="BK79" s="94">
        <v>22.5</v>
      </c>
      <c r="BL79" s="94">
        <v>1576.2</v>
      </c>
    </row>
    <row r="80" spans="31:64" x14ac:dyDescent="0.2">
      <c r="AE80" s="94"/>
      <c r="AF80" s="94"/>
      <c r="AG80" s="94"/>
      <c r="AH80" s="94"/>
      <c r="AI80" s="94"/>
      <c r="AJ80" s="94"/>
      <c r="AK80" s="94"/>
      <c r="AL80" s="94"/>
      <c r="AM80" s="94"/>
      <c r="AN80" s="94"/>
      <c r="AO80" s="94"/>
      <c r="AP80" s="94"/>
      <c r="AQ80" s="94"/>
      <c r="AR80" s="94"/>
      <c r="AS80" s="94"/>
      <c r="AT80" s="94"/>
      <c r="AU80" s="94" t="s">
        <v>726</v>
      </c>
      <c r="AV80" s="94"/>
      <c r="AW80" s="94"/>
      <c r="AX80" s="94"/>
      <c r="AY80" s="94"/>
      <c r="AZ80" s="94"/>
      <c r="BA80" s="94"/>
      <c r="BB80" s="94"/>
      <c r="BC80" s="94"/>
      <c r="BD80" s="94"/>
      <c r="BE80" s="94"/>
      <c r="BF80" s="94" t="s">
        <v>1169</v>
      </c>
      <c r="BG80" s="94"/>
      <c r="BH80" s="94"/>
      <c r="BI80" s="1029" t="s">
        <v>786</v>
      </c>
      <c r="BJ80" s="94" t="s">
        <v>629</v>
      </c>
      <c r="BK80" s="94">
        <v>22.6</v>
      </c>
      <c r="BL80" s="94">
        <v>1772</v>
      </c>
    </row>
    <row r="81" spans="31:64" x14ac:dyDescent="0.2">
      <c r="AE81" s="94"/>
      <c r="AF81" s="94"/>
      <c r="AG81" s="94"/>
      <c r="AH81" s="94"/>
      <c r="AI81" s="94"/>
      <c r="AJ81" s="94"/>
      <c r="AK81" s="94"/>
      <c r="AL81" s="94"/>
      <c r="AM81" s="94"/>
      <c r="AN81" s="94"/>
      <c r="AO81" s="94"/>
      <c r="AP81" s="94"/>
      <c r="AQ81" s="94"/>
      <c r="AR81" s="94"/>
      <c r="AS81" s="94"/>
      <c r="AT81" s="94"/>
      <c r="AU81" s="94" t="s">
        <v>1045</v>
      </c>
      <c r="AV81" s="94"/>
      <c r="AW81" s="94"/>
      <c r="AX81" s="94"/>
      <c r="AY81" s="94"/>
      <c r="AZ81" s="94"/>
      <c r="BA81" s="94"/>
      <c r="BB81" s="94"/>
      <c r="BC81" s="94"/>
      <c r="BD81" s="94"/>
      <c r="BE81" s="94"/>
      <c r="BF81" s="94" t="s">
        <v>1157</v>
      </c>
      <c r="BG81" s="94"/>
      <c r="BH81" s="94"/>
      <c r="BI81" s="1029" t="s">
        <v>943</v>
      </c>
      <c r="BJ81" s="94" t="s">
        <v>629</v>
      </c>
      <c r="BK81" s="94">
        <v>23.4</v>
      </c>
      <c r="BL81" s="94">
        <v>1537</v>
      </c>
    </row>
    <row r="82" spans="31:64" x14ac:dyDescent="0.2">
      <c r="AE82" s="94"/>
      <c r="AF82" s="94"/>
      <c r="AG82" s="94"/>
      <c r="AH82" s="94"/>
      <c r="AI82" s="94"/>
      <c r="AJ82" s="94"/>
      <c r="AK82" s="94"/>
      <c r="AL82" s="94"/>
      <c r="AM82" s="94"/>
      <c r="AN82" s="94"/>
      <c r="AO82" s="94"/>
      <c r="AP82" s="94"/>
      <c r="AQ82" s="94"/>
      <c r="AR82" s="94"/>
      <c r="AS82" s="94"/>
      <c r="AT82" s="94"/>
      <c r="AU82" s="94" t="s">
        <v>1046</v>
      </c>
      <c r="AV82" s="94"/>
      <c r="AW82" s="94"/>
      <c r="AX82" s="94"/>
      <c r="AY82" s="94"/>
      <c r="AZ82" s="94"/>
      <c r="BA82" s="94"/>
      <c r="BB82" s="94"/>
      <c r="BC82" s="94"/>
      <c r="BD82" s="94"/>
      <c r="BE82" s="94"/>
      <c r="BF82" s="94" t="s">
        <v>1158</v>
      </c>
      <c r="BG82" s="94"/>
      <c r="BH82" s="94"/>
      <c r="BI82" s="1029" t="s">
        <v>798</v>
      </c>
      <c r="BJ82" s="94" t="s">
        <v>629</v>
      </c>
      <c r="BK82" s="94">
        <v>22.6</v>
      </c>
      <c r="BL82" s="94">
        <v>1663.3</v>
      </c>
    </row>
    <row r="83" spans="31:64" x14ac:dyDescent="0.2">
      <c r="AE83" s="94"/>
      <c r="AF83" s="94"/>
      <c r="AG83" s="94"/>
      <c r="AH83" s="94"/>
      <c r="AI83" s="94"/>
      <c r="AJ83" s="94"/>
      <c r="AK83" s="94"/>
      <c r="AL83" s="94"/>
      <c r="AM83" s="94"/>
      <c r="AN83" s="94"/>
      <c r="AO83" s="94"/>
      <c r="AP83" s="94"/>
      <c r="AQ83" s="94"/>
      <c r="AR83" s="94"/>
      <c r="AS83" s="94"/>
      <c r="AT83" s="94"/>
      <c r="AU83" s="94" t="s">
        <v>1042</v>
      </c>
      <c r="AV83" s="94"/>
      <c r="AW83" s="94"/>
      <c r="AX83" s="94"/>
      <c r="AY83" s="94"/>
      <c r="AZ83" s="94"/>
      <c r="BA83" s="94"/>
      <c r="BB83" s="94"/>
      <c r="BC83" s="94"/>
      <c r="BD83" s="94"/>
      <c r="BE83" s="94"/>
      <c r="BF83" s="94" t="s">
        <v>1161</v>
      </c>
      <c r="BG83" s="94"/>
      <c r="BH83" s="94"/>
      <c r="BI83" s="1029" t="s">
        <v>654</v>
      </c>
      <c r="BJ83" s="94" t="s">
        <v>630</v>
      </c>
      <c r="BK83" s="94">
        <v>25.5</v>
      </c>
      <c r="BL83" s="94">
        <v>1122.5</v>
      </c>
    </row>
    <row r="84" spans="31:64" x14ac:dyDescent="0.2">
      <c r="AE84" s="94"/>
      <c r="AF84" s="94"/>
      <c r="AG84" s="94"/>
      <c r="AH84" s="94"/>
      <c r="AI84" s="94"/>
      <c r="AJ84" s="94"/>
      <c r="AK84" s="94"/>
      <c r="AL84" s="94"/>
      <c r="AM84" s="94"/>
      <c r="AN84" s="94"/>
      <c r="AO84" s="94"/>
      <c r="AP84" s="94"/>
      <c r="AQ84" s="94"/>
      <c r="AR84" s="94"/>
      <c r="AS84" s="94"/>
      <c r="AT84" s="94"/>
      <c r="AU84" s="94" t="s">
        <v>1043</v>
      </c>
      <c r="AV84" s="94"/>
      <c r="AW84" s="94"/>
      <c r="AX84" s="94"/>
      <c r="AY84" s="94"/>
      <c r="AZ84" s="94"/>
      <c r="BA84" s="94"/>
      <c r="BB84" s="94"/>
      <c r="BC84" s="94"/>
      <c r="BD84" s="94"/>
      <c r="BE84" s="94"/>
      <c r="BF84" s="94" t="s">
        <v>1160</v>
      </c>
      <c r="BG84" s="94"/>
      <c r="BH84" s="94"/>
      <c r="BI84" s="1029" t="s">
        <v>679</v>
      </c>
      <c r="BJ84" s="94" t="s">
        <v>630</v>
      </c>
      <c r="BK84" s="94">
        <v>26.1</v>
      </c>
      <c r="BL84" s="94">
        <v>1724.4</v>
      </c>
    </row>
    <row r="85" spans="31:64" x14ac:dyDescent="0.2">
      <c r="AE85" s="94"/>
      <c r="AF85" s="94"/>
      <c r="AG85" s="94"/>
      <c r="AH85" s="94"/>
      <c r="AI85" s="94"/>
      <c r="AJ85" s="94"/>
      <c r="AK85" s="94"/>
      <c r="AL85" s="94"/>
      <c r="AM85" s="94"/>
      <c r="AN85" s="94"/>
      <c r="AO85" s="94"/>
      <c r="AP85" s="94"/>
      <c r="AQ85" s="94"/>
      <c r="AR85" s="94"/>
      <c r="AS85" s="94"/>
      <c r="AT85" s="94"/>
      <c r="AU85" s="94" t="s">
        <v>1041</v>
      </c>
      <c r="AV85" s="94"/>
      <c r="AW85" s="94"/>
      <c r="AX85" s="94"/>
      <c r="AY85" s="94"/>
      <c r="AZ85" s="94"/>
      <c r="BA85" s="94"/>
      <c r="BB85" s="94"/>
      <c r="BC85" s="94"/>
      <c r="BD85" s="94"/>
      <c r="BE85" s="94"/>
      <c r="BF85" s="94" t="s">
        <v>1159</v>
      </c>
      <c r="BG85" s="94"/>
      <c r="BH85" s="94"/>
      <c r="BI85" s="1029" t="s">
        <v>701</v>
      </c>
      <c r="BJ85" s="94" t="s">
        <v>630</v>
      </c>
      <c r="BK85" s="94">
        <v>26.8</v>
      </c>
      <c r="BL85" s="94">
        <v>1690.4</v>
      </c>
    </row>
    <row r="86" spans="31:64" x14ac:dyDescent="0.2">
      <c r="AE86" s="94"/>
      <c r="AF86" s="94"/>
      <c r="AG86" s="94"/>
      <c r="AH86" s="94"/>
      <c r="AI86" s="94"/>
      <c r="AJ86" s="94"/>
      <c r="AK86" s="94"/>
      <c r="AL86" s="94"/>
      <c r="AM86" s="94"/>
      <c r="AN86" s="94"/>
      <c r="AO86" s="94"/>
      <c r="AP86" s="94"/>
      <c r="AQ86" s="94"/>
      <c r="AR86" s="94"/>
      <c r="AS86" s="94"/>
      <c r="AT86" s="94"/>
      <c r="AU86" s="94" t="s">
        <v>1044</v>
      </c>
      <c r="AV86" s="94"/>
      <c r="AW86" s="94"/>
      <c r="AX86" s="94"/>
      <c r="AY86" s="94"/>
      <c r="AZ86" s="94"/>
      <c r="BA86" s="94"/>
      <c r="BB86" s="94"/>
      <c r="BC86" s="94"/>
      <c r="BD86" s="94"/>
      <c r="BE86" s="94"/>
      <c r="BF86" s="94" t="s">
        <v>1168</v>
      </c>
      <c r="BG86" s="94"/>
      <c r="BH86" s="94"/>
      <c r="BI86" s="1029" t="s">
        <v>721</v>
      </c>
      <c r="BJ86" s="94" t="s">
        <v>630</v>
      </c>
      <c r="BK86" s="94">
        <v>25.4</v>
      </c>
      <c r="BL86" s="94">
        <v>1238.5999999999999</v>
      </c>
    </row>
    <row r="87" spans="31:64" x14ac:dyDescent="0.2">
      <c r="AE87" s="94"/>
      <c r="AF87" s="94"/>
      <c r="AG87" s="94"/>
      <c r="AH87" s="94"/>
      <c r="AI87" s="94"/>
      <c r="AJ87" s="94"/>
      <c r="AK87" s="94"/>
      <c r="AL87" s="94"/>
      <c r="AM87" s="94"/>
      <c r="AN87" s="94"/>
      <c r="AO87" s="94"/>
      <c r="AP87" s="94"/>
      <c r="AQ87" s="94"/>
      <c r="AR87" s="94"/>
      <c r="AS87" s="94"/>
      <c r="AT87" s="94"/>
      <c r="AU87" s="94" t="s">
        <v>1047</v>
      </c>
      <c r="AV87" s="94"/>
      <c r="AW87" s="94"/>
      <c r="AX87" s="94"/>
      <c r="AY87" s="94"/>
      <c r="AZ87" s="94"/>
      <c r="BA87" s="94"/>
      <c r="BB87" s="94"/>
      <c r="BC87" s="94"/>
      <c r="BD87" s="94"/>
      <c r="BE87" s="94"/>
      <c r="BF87" s="94" t="s">
        <v>1162</v>
      </c>
      <c r="BG87" s="94"/>
      <c r="BH87" s="94"/>
      <c r="BI87" s="1029" t="s">
        <v>740</v>
      </c>
      <c r="BJ87" s="94" t="s">
        <v>630</v>
      </c>
      <c r="BK87" s="94">
        <v>26.3</v>
      </c>
      <c r="BL87" s="94">
        <v>1533.3</v>
      </c>
    </row>
    <row r="88" spans="31:64" x14ac:dyDescent="0.2">
      <c r="AE88" s="94"/>
      <c r="AF88" s="94"/>
      <c r="AG88" s="94"/>
      <c r="AH88" s="94"/>
      <c r="AI88" s="94"/>
      <c r="AJ88" s="94"/>
      <c r="AK88" s="94"/>
      <c r="AL88" s="94"/>
      <c r="AM88" s="94"/>
      <c r="AN88" s="94"/>
      <c r="AO88" s="94"/>
      <c r="AP88" s="94"/>
      <c r="AQ88" s="94"/>
      <c r="AR88" s="94"/>
      <c r="AS88" s="94"/>
      <c r="AT88" s="94"/>
      <c r="AU88" s="94" t="s">
        <v>1048</v>
      </c>
      <c r="AV88" s="94"/>
      <c r="AW88" s="94"/>
      <c r="AX88" s="94"/>
      <c r="AY88" s="94"/>
      <c r="AZ88" s="94"/>
      <c r="BA88" s="94"/>
      <c r="BB88" s="94"/>
      <c r="BC88" s="94"/>
      <c r="BD88" s="94"/>
      <c r="BE88" s="94"/>
      <c r="BF88" s="94" t="s">
        <v>1163</v>
      </c>
      <c r="BG88" s="94"/>
      <c r="BH88" s="94"/>
      <c r="BI88" s="1029" t="s">
        <v>757</v>
      </c>
      <c r="BJ88" s="94" t="s">
        <v>630</v>
      </c>
      <c r="BK88" s="94">
        <v>26.1</v>
      </c>
      <c r="BL88" s="94">
        <v>2290</v>
      </c>
    </row>
    <row r="89" spans="31:64" x14ac:dyDescent="0.2">
      <c r="AE89" s="94"/>
      <c r="AF89" s="94"/>
      <c r="AG89" s="94"/>
      <c r="AH89" s="94"/>
      <c r="AI89" s="94"/>
      <c r="AJ89" s="94"/>
      <c r="AK89" s="94"/>
      <c r="AL89" s="94"/>
      <c r="AM89" s="94"/>
      <c r="AN89" s="94"/>
      <c r="AO89" s="94"/>
      <c r="AP89" s="94"/>
      <c r="AQ89" s="94"/>
      <c r="AR89" s="94"/>
      <c r="AS89" s="94"/>
      <c r="AT89" s="94"/>
      <c r="AU89" s="94" t="s">
        <v>1027</v>
      </c>
      <c r="AV89" s="94"/>
      <c r="AW89" s="94"/>
      <c r="AX89" s="94"/>
      <c r="AY89" s="94"/>
      <c r="AZ89" s="94"/>
      <c r="BA89" s="94"/>
      <c r="BB89" s="94"/>
      <c r="BC89" s="94"/>
      <c r="BD89" s="94"/>
      <c r="BE89" s="94"/>
      <c r="BF89" s="94" t="s">
        <v>1164</v>
      </c>
      <c r="BG89" s="94"/>
      <c r="BH89" s="94"/>
      <c r="BI89" s="1029" t="s">
        <v>944</v>
      </c>
      <c r="BJ89" s="94" t="s">
        <v>630</v>
      </c>
      <c r="BK89" s="94">
        <v>26.4</v>
      </c>
      <c r="BL89" s="94">
        <v>2196</v>
      </c>
    </row>
    <row r="90" spans="31:64" x14ac:dyDescent="0.2">
      <c r="AE90" s="94"/>
      <c r="AF90" s="94"/>
      <c r="AG90" s="94"/>
      <c r="AH90" s="94"/>
      <c r="AI90" s="94"/>
      <c r="AJ90" s="94"/>
      <c r="AK90" s="94"/>
      <c r="AL90" s="94"/>
      <c r="AM90" s="94"/>
      <c r="AN90" s="94"/>
      <c r="AO90" s="94"/>
      <c r="AP90" s="94"/>
      <c r="AQ90" s="94"/>
      <c r="AR90" s="94"/>
      <c r="AS90" s="94"/>
      <c r="AT90" s="94"/>
      <c r="AU90" s="94" t="s">
        <v>1028</v>
      </c>
      <c r="AV90" s="94"/>
      <c r="AW90" s="94"/>
      <c r="AX90" s="94"/>
      <c r="AY90" s="94"/>
      <c r="AZ90" s="94"/>
      <c r="BA90" s="94"/>
      <c r="BB90" s="94"/>
      <c r="BC90" s="94"/>
      <c r="BD90" s="94"/>
      <c r="BE90" s="94"/>
      <c r="BF90" s="94" t="s">
        <v>1165</v>
      </c>
      <c r="BG90" s="94"/>
      <c r="BH90" s="94"/>
      <c r="BI90" s="1029" t="s">
        <v>773</v>
      </c>
      <c r="BJ90" s="94" t="s">
        <v>630</v>
      </c>
      <c r="BK90" s="94">
        <v>26.2</v>
      </c>
      <c r="BL90" s="94">
        <v>1744.1</v>
      </c>
    </row>
    <row r="91" spans="31:64" x14ac:dyDescent="0.2">
      <c r="AE91" s="94"/>
      <c r="AF91" s="94"/>
      <c r="AG91" s="94"/>
      <c r="AH91" s="94"/>
      <c r="AI91" s="94"/>
      <c r="AJ91" s="94"/>
      <c r="AK91" s="94"/>
      <c r="AL91" s="94"/>
      <c r="AM91" s="94"/>
      <c r="AN91" s="94"/>
      <c r="AO91" s="94"/>
      <c r="AP91" s="94"/>
      <c r="AQ91" s="94"/>
      <c r="AR91" s="94"/>
      <c r="AS91" s="94"/>
      <c r="AT91" s="94"/>
      <c r="AU91" s="94" t="s">
        <v>1029</v>
      </c>
      <c r="AV91" s="94"/>
      <c r="AW91" s="94"/>
      <c r="AX91" s="94"/>
      <c r="AY91" s="94"/>
      <c r="AZ91" s="94"/>
      <c r="BA91" s="94"/>
      <c r="BB91" s="94"/>
      <c r="BC91" s="94"/>
      <c r="BD91" s="94"/>
      <c r="BE91" s="94"/>
      <c r="BF91" s="94" t="s">
        <v>1166</v>
      </c>
      <c r="BG91" s="94"/>
      <c r="BH91" s="94"/>
      <c r="BI91" s="1029" t="s">
        <v>945</v>
      </c>
      <c r="BJ91" s="94" t="s">
        <v>631</v>
      </c>
      <c r="BK91" s="94">
        <v>24.6</v>
      </c>
      <c r="BL91" s="94">
        <v>1163</v>
      </c>
    </row>
    <row r="92" spans="31:64" x14ac:dyDescent="0.2">
      <c r="AE92" s="94"/>
      <c r="AF92" s="94"/>
      <c r="AG92" s="94"/>
      <c r="AH92" s="94"/>
      <c r="AI92" s="94"/>
      <c r="AJ92" s="94"/>
      <c r="AK92" s="94"/>
      <c r="AL92" s="94"/>
      <c r="AM92" s="94"/>
      <c r="AN92" s="94"/>
      <c r="AO92" s="94"/>
      <c r="AP92" s="94"/>
      <c r="AQ92" s="94"/>
      <c r="AR92" s="94"/>
      <c r="AS92" s="94"/>
      <c r="AT92" s="94"/>
      <c r="AU92" s="94" t="s">
        <v>1030</v>
      </c>
      <c r="AV92" s="94"/>
      <c r="AW92" s="94"/>
      <c r="AX92" s="94"/>
      <c r="AY92" s="94"/>
      <c r="AZ92" s="94"/>
      <c r="BA92" s="94"/>
      <c r="BB92" s="94"/>
      <c r="BC92" s="94"/>
      <c r="BD92" s="94"/>
      <c r="BE92" s="94"/>
      <c r="BF92" s="94" t="s">
        <v>1167</v>
      </c>
      <c r="BG92" s="94"/>
      <c r="BH92" s="94"/>
      <c r="BI92" s="1029" t="s">
        <v>655</v>
      </c>
      <c r="BJ92" s="94" t="s">
        <v>631</v>
      </c>
      <c r="BK92" s="94">
        <v>24.2</v>
      </c>
      <c r="BL92" s="94">
        <v>823.1</v>
      </c>
    </row>
    <row r="93" spans="31:64" x14ac:dyDescent="0.2">
      <c r="AE93" s="94"/>
      <c r="AF93" s="94"/>
      <c r="AG93" s="94"/>
      <c r="AH93" s="94"/>
      <c r="AI93" s="94"/>
      <c r="AJ93" s="94"/>
      <c r="AK93" s="94"/>
      <c r="AL93" s="94"/>
      <c r="AM93" s="94"/>
      <c r="AN93" s="94"/>
      <c r="AO93" s="94"/>
      <c r="AP93" s="94"/>
      <c r="AQ93" s="94"/>
      <c r="AR93" s="94"/>
      <c r="AS93" s="94"/>
      <c r="AT93" s="94"/>
      <c r="AU93" s="94" t="s">
        <v>1031</v>
      </c>
      <c r="AV93" s="94"/>
      <c r="AW93" s="94"/>
      <c r="AX93" s="94"/>
      <c r="AY93" s="94"/>
      <c r="AZ93" s="94"/>
      <c r="BA93" s="94"/>
      <c r="BB93" s="94"/>
      <c r="BC93" s="94"/>
      <c r="BD93" s="94"/>
      <c r="BE93" s="94"/>
      <c r="BF93" s="94" t="s">
        <v>1170</v>
      </c>
      <c r="BG93" s="94"/>
      <c r="BH93" s="94"/>
      <c r="BI93" s="1029" t="s">
        <v>680</v>
      </c>
      <c r="BJ93" s="94" t="s">
        <v>631</v>
      </c>
      <c r="BK93" s="94">
        <v>20.2</v>
      </c>
      <c r="BL93" s="94">
        <v>1525.7</v>
      </c>
    </row>
    <row r="94" spans="31:64" x14ac:dyDescent="0.2">
      <c r="AE94" s="94"/>
      <c r="AF94" s="94"/>
      <c r="AG94" s="94"/>
      <c r="AH94" s="94"/>
      <c r="AI94" s="94"/>
      <c r="AJ94" s="94"/>
      <c r="AK94" s="94"/>
      <c r="AL94" s="94"/>
      <c r="AM94" s="94"/>
      <c r="AN94" s="94"/>
      <c r="AO94" s="94"/>
      <c r="AP94" s="94"/>
      <c r="AQ94" s="94"/>
      <c r="AR94" s="94"/>
      <c r="AS94" s="94"/>
      <c r="AT94" s="94"/>
      <c r="AU94" s="94" t="s">
        <v>1032</v>
      </c>
      <c r="AV94" s="94"/>
      <c r="AW94" s="94"/>
      <c r="AX94" s="94"/>
      <c r="AY94" s="94"/>
      <c r="AZ94" s="94"/>
      <c r="BA94" s="94"/>
      <c r="BB94" s="94"/>
      <c r="BC94" s="94"/>
      <c r="BD94" s="94"/>
      <c r="BE94" s="94"/>
      <c r="BF94" s="94" t="s">
        <v>1171</v>
      </c>
      <c r="BG94" s="94"/>
      <c r="BH94" s="94"/>
      <c r="BI94" s="1029" t="s">
        <v>702</v>
      </c>
      <c r="BJ94" s="94" t="s">
        <v>631</v>
      </c>
      <c r="BK94" s="94">
        <v>20.6</v>
      </c>
      <c r="BL94" s="94">
        <v>1278.3949999999998</v>
      </c>
    </row>
    <row r="95" spans="31:64" x14ac:dyDescent="0.2">
      <c r="AE95" s="94"/>
      <c r="AF95" s="94"/>
      <c r="AG95" s="94"/>
      <c r="AH95" s="94"/>
      <c r="AI95" s="94"/>
      <c r="AJ95" s="94"/>
      <c r="AK95" s="94"/>
      <c r="AL95" s="94"/>
      <c r="AM95" s="94"/>
      <c r="AN95" s="94"/>
      <c r="AO95" s="94"/>
      <c r="AP95" s="94"/>
      <c r="AQ95" s="94"/>
      <c r="AR95" s="94"/>
      <c r="AS95" s="94"/>
      <c r="AT95" s="94"/>
      <c r="AU95" s="94" t="s">
        <v>1033</v>
      </c>
      <c r="AV95" s="94"/>
      <c r="AW95" s="94"/>
      <c r="AX95" s="94"/>
      <c r="AY95" s="94"/>
      <c r="AZ95" s="94"/>
      <c r="BA95" s="94"/>
      <c r="BB95" s="94"/>
      <c r="BC95" s="94"/>
      <c r="BD95" s="94"/>
      <c r="BE95" s="94"/>
      <c r="BF95" s="94" t="s">
        <v>1172</v>
      </c>
      <c r="BG95" s="94"/>
      <c r="BH95" s="94"/>
      <c r="BI95" s="1029" t="s">
        <v>722</v>
      </c>
      <c r="BJ95" s="94" t="s">
        <v>631</v>
      </c>
      <c r="BK95" s="94">
        <v>17.899999999999999</v>
      </c>
      <c r="BL95" s="94">
        <v>1400.5</v>
      </c>
    </row>
    <row r="96" spans="31:64" x14ac:dyDescent="0.2">
      <c r="AE96" s="94"/>
      <c r="AF96" s="94"/>
      <c r="AG96" s="94"/>
      <c r="AH96" s="94"/>
      <c r="AI96" s="94"/>
      <c r="AJ96" s="94"/>
      <c r="AK96" s="94"/>
      <c r="AL96" s="94"/>
      <c r="AM96" s="94"/>
      <c r="AN96" s="94"/>
      <c r="AO96" s="94"/>
      <c r="AP96" s="94"/>
      <c r="AQ96" s="94"/>
      <c r="AR96" s="94"/>
      <c r="AS96" s="94"/>
      <c r="AT96" s="94"/>
      <c r="AU96" s="94" t="s">
        <v>1034</v>
      </c>
      <c r="AV96" s="94"/>
      <c r="AW96" s="94"/>
      <c r="AX96" s="94"/>
      <c r="AY96" s="94"/>
      <c r="AZ96" s="94"/>
      <c r="BA96" s="94"/>
      <c r="BB96" s="94"/>
      <c r="BC96" s="94"/>
      <c r="BD96" s="94"/>
      <c r="BE96" s="94"/>
      <c r="BF96" s="94" t="s">
        <v>1173</v>
      </c>
      <c r="BG96" s="94"/>
      <c r="BH96" s="94"/>
      <c r="BI96" s="1029" t="s">
        <v>741</v>
      </c>
      <c r="BJ96" s="94" t="s">
        <v>631</v>
      </c>
      <c r="BK96" s="94">
        <v>21.1</v>
      </c>
      <c r="BL96" s="94">
        <v>1463.7</v>
      </c>
    </row>
    <row r="97" spans="31:64" x14ac:dyDescent="0.2">
      <c r="AE97" s="94"/>
      <c r="AF97" s="94"/>
      <c r="AG97" s="94"/>
      <c r="AH97" s="94"/>
      <c r="AI97" s="94"/>
      <c r="AJ97" s="94"/>
      <c r="AK97" s="94"/>
      <c r="AL97" s="94"/>
      <c r="AM97" s="94"/>
      <c r="AN97" s="94"/>
      <c r="AO97" s="94"/>
      <c r="AP97" s="94"/>
      <c r="AQ97" s="94"/>
      <c r="AR97" s="94"/>
      <c r="AS97" s="94"/>
      <c r="AT97" s="94"/>
      <c r="AU97" s="94" t="s">
        <v>1035</v>
      </c>
      <c r="AV97" s="94"/>
      <c r="AW97" s="94"/>
      <c r="AX97" s="94"/>
      <c r="AY97" s="94"/>
      <c r="AZ97" s="94"/>
      <c r="BA97" s="94"/>
      <c r="BB97" s="94"/>
      <c r="BC97" s="94"/>
      <c r="BD97" s="94"/>
      <c r="BE97" s="94"/>
      <c r="BF97" s="94" t="s">
        <v>1174</v>
      </c>
      <c r="BG97" s="94"/>
      <c r="BH97" s="94"/>
      <c r="BI97" s="1029" t="s">
        <v>774</v>
      </c>
      <c r="BJ97" s="94" t="s">
        <v>631</v>
      </c>
      <c r="BK97" s="94">
        <v>19.600000000000001</v>
      </c>
      <c r="BL97" s="94">
        <v>1397.6</v>
      </c>
    </row>
    <row r="98" spans="31:64" x14ac:dyDescent="0.2">
      <c r="AE98" s="94"/>
      <c r="AF98" s="94"/>
      <c r="AG98" s="94"/>
      <c r="AH98" s="94"/>
      <c r="AI98" s="94"/>
      <c r="AJ98" s="94"/>
      <c r="AK98" s="94"/>
      <c r="AL98" s="94"/>
      <c r="AM98" s="94"/>
      <c r="AN98" s="94"/>
      <c r="AO98" s="94"/>
      <c r="AP98" s="94"/>
      <c r="AQ98" s="94"/>
      <c r="AR98" s="94"/>
      <c r="AS98" s="94"/>
      <c r="AT98" s="94"/>
      <c r="AU98" s="94" t="s">
        <v>1036</v>
      </c>
      <c r="AV98" s="94"/>
      <c r="AW98" s="94"/>
      <c r="AX98" s="94"/>
      <c r="AY98" s="94"/>
      <c r="AZ98" s="94"/>
      <c r="BA98" s="94"/>
      <c r="BB98" s="94"/>
      <c r="BC98" s="94"/>
      <c r="BD98" s="94"/>
      <c r="BE98" s="94"/>
      <c r="BF98" s="94" t="s">
        <v>1175</v>
      </c>
      <c r="BG98" s="94"/>
      <c r="BH98" s="94"/>
      <c r="BI98" s="1029" t="s">
        <v>946</v>
      </c>
      <c r="BJ98" s="94" t="s">
        <v>631</v>
      </c>
      <c r="BK98" s="94">
        <v>18.8</v>
      </c>
      <c r="BL98" s="94">
        <v>1339</v>
      </c>
    </row>
    <row r="99" spans="31:64" x14ac:dyDescent="0.2">
      <c r="AE99" s="94"/>
      <c r="AF99" s="94"/>
      <c r="AG99" s="94"/>
      <c r="AH99" s="94"/>
      <c r="AI99" s="94"/>
      <c r="AJ99" s="94"/>
      <c r="AK99" s="94"/>
      <c r="AL99" s="94"/>
      <c r="AM99" s="94"/>
      <c r="AN99" s="94"/>
      <c r="AO99" s="94"/>
      <c r="AP99" s="94"/>
      <c r="AQ99" s="94"/>
      <c r="AR99" s="94"/>
      <c r="AS99" s="94"/>
      <c r="AT99" s="94"/>
      <c r="AU99" s="94" t="s">
        <v>1037</v>
      </c>
      <c r="AV99" s="94"/>
      <c r="AW99" s="94"/>
      <c r="AX99" s="94"/>
      <c r="AY99" s="94"/>
      <c r="AZ99" s="94"/>
      <c r="BA99" s="94"/>
      <c r="BB99" s="94"/>
      <c r="BC99" s="94"/>
      <c r="BD99" s="94"/>
      <c r="BE99" s="94"/>
      <c r="BF99" s="94" t="s">
        <v>816</v>
      </c>
      <c r="BG99" s="94"/>
      <c r="BH99" s="94"/>
      <c r="BI99" s="1029" t="s">
        <v>787</v>
      </c>
      <c r="BJ99" s="94" t="s">
        <v>631</v>
      </c>
      <c r="BK99" s="94">
        <v>23</v>
      </c>
      <c r="BL99" s="94">
        <v>1294.5999999999999</v>
      </c>
    </row>
    <row r="100" spans="31:64" x14ac:dyDescent="0.2">
      <c r="AE100" s="94"/>
      <c r="AF100" s="94"/>
      <c r="AG100" s="94"/>
      <c r="AH100" s="94"/>
      <c r="AI100" s="94"/>
      <c r="AJ100" s="94"/>
      <c r="AK100" s="94"/>
      <c r="AL100" s="94"/>
      <c r="AM100" s="94"/>
      <c r="AN100" s="94"/>
      <c r="AO100" s="94"/>
      <c r="AP100" s="94"/>
      <c r="AQ100" s="94"/>
      <c r="AR100" s="94"/>
      <c r="AS100" s="94"/>
      <c r="AT100" s="94"/>
      <c r="AU100" s="94" t="s">
        <v>1038</v>
      </c>
      <c r="AV100" s="94"/>
      <c r="AW100" s="94"/>
      <c r="AX100" s="94"/>
      <c r="AY100" s="94"/>
      <c r="AZ100" s="94"/>
      <c r="BA100" s="94"/>
      <c r="BB100" s="94"/>
      <c r="BC100" s="94"/>
      <c r="BD100" s="94"/>
      <c r="BE100" s="94"/>
      <c r="BF100" s="94" t="s">
        <v>1176</v>
      </c>
      <c r="BG100" s="94"/>
      <c r="BH100" s="94"/>
      <c r="BI100" s="1029" t="s">
        <v>799</v>
      </c>
      <c r="BJ100" s="94" t="s">
        <v>631</v>
      </c>
      <c r="BK100" s="94">
        <v>21.2</v>
      </c>
      <c r="BL100" s="94">
        <v>1046.4000000000001</v>
      </c>
    </row>
    <row r="101" spans="31:64" x14ac:dyDescent="0.2">
      <c r="AE101" s="94"/>
      <c r="AF101" s="94"/>
      <c r="AG101" s="94"/>
      <c r="AH101" s="94"/>
      <c r="AI101" s="94"/>
      <c r="AJ101" s="94"/>
      <c r="AK101" s="94"/>
      <c r="AL101" s="94"/>
      <c r="AM101" s="94"/>
      <c r="AN101" s="94"/>
      <c r="AO101" s="94"/>
      <c r="AP101" s="94"/>
      <c r="AQ101" s="94"/>
      <c r="AR101" s="94"/>
      <c r="AS101" s="94"/>
      <c r="AT101" s="94"/>
      <c r="AU101" s="94" t="s">
        <v>1039</v>
      </c>
      <c r="AV101" s="94"/>
      <c r="AW101" s="94"/>
      <c r="AX101" s="94"/>
      <c r="AY101" s="94"/>
      <c r="AZ101" s="94"/>
      <c r="BA101" s="94"/>
      <c r="BB101" s="94"/>
      <c r="BC101" s="94"/>
      <c r="BD101" s="94"/>
      <c r="BE101" s="94"/>
      <c r="BF101" s="94" t="s">
        <v>1177</v>
      </c>
      <c r="BG101" s="94"/>
      <c r="BH101" s="94"/>
      <c r="BI101" s="1029" t="s">
        <v>810</v>
      </c>
      <c r="BJ101" s="94" t="s">
        <v>631</v>
      </c>
      <c r="BK101" s="94">
        <v>23.1</v>
      </c>
      <c r="BL101" s="94">
        <v>1179.5</v>
      </c>
    </row>
    <row r="102" spans="31:64" x14ac:dyDescent="0.2">
      <c r="AE102" s="94"/>
      <c r="AF102" s="94"/>
      <c r="AG102" s="94"/>
      <c r="AH102" s="94"/>
      <c r="AI102" s="94"/>
      <c r="AJ102" s="94"/>
      <c r="AK102" s="94"/>
      <c r="AL102" s="94"/>
      <c r="AM102" s="94"/>
      <c r="AN102" s="94"/>
      <c r="AO102" s="94"/>
      <c r="AP102" s="94"/>
      <c r="AQ102" s="94"/>
      <c r="AR102" s="94"/>
      <c r="AS102" s="94"/>
      <c r="AT102" s="94"/>
      <c r="AU102" s="94" t="s">
        <v>1049</v>
      </c>
      <c r="AV102" s="94"/>
      <c r="AW102" s="94"/>
      <c r="AX102" s="94"/>
      <c r="AY102" s="94"/>
      <c r="AZ102" s="94"/>
      <c r="BA102" s="94"/>
      <c r="BB102" s="94"/>
      <c r="BC102" s="94"/>
      <c r="BD102" s="94"/>
      <c r="BE102" s="94"/>
      <c r="BF102" s="94" t="s">
        <v>1178</v>
      </c>
      <c r="BG102" s="94"/>
      <c r="BH102" s="94"/>
      <c r="BI102" s="1029" t="s">
        <v>819</v>
      </c>
      <c r="BJ102" s="94" t="s">
        <v>631</v>
      </c>
      <c r="BK102" s="94">
        <v>19.2</v>
      </c>
      <c r="BL102" s="94">
        <v>1565.4</v>
      </c>
    </row>
    <row r="103" spans="31:64" x14ac:dyDescent="0.2">
      <c r="AE103" s="94"/>
      <c r="AF103" s="94"/>
      <c r="AG103" s="94"/>
      <c r="AH103" s="94"/>
      <c r="AI103" s="94"/>
      <c r="AJ103" s="94"/>
      <c r="AK103" s="94"/>
      <c r="AL103" s="94"/>
      <c r="AM103" s="94"/>
      <c r="AN103" s="94"/>
      <c r="AO103" s="94"/>
      <c r="AP103" s="94"/>
      <c r="AQ103" s="94"/>
      <c r="AR103" s="94"/>
      <c r="AS103" s="94"/>
      <c r="AT103" s="94"/>
      <c r="AU103" s="94" t="s">
        <v>1050</v>
      </c>
      <c r="AV103" s="94"/>
      <c r="AW103" s="94"/>
      <c r="AX103" s="94"/>
      <c r="AY103" s="94"/>
      <c r="AZ103" s="94"/>
      <c r="BA103" s="94"/>
      <c r="BB103" s="94"/>
      <c r="BC103" s="94"/>
      <c r="BD103" s="94"/>
      <c r="BE103" s="94"/>
      <c r="BF103" s="94" t="s">
        <v>1179</v>
      </c>
      <c r="BG103" s="94"/>
      <c r="BH103" s="94"/>
      <c r="BI103" s="1029" t="s">
        <v>828</v>
      </c>
      <c r="BJ103" s="94" t="s">
        <v>631</v>
      </c>
      <c r="BK103" s="94">
        <v>20.6</v>
      </c>
      <c r="BL103" s="94">
        <v>1458.7</v>
      </c>
    </row>
    <row r="104" spans="31:64" x14ac:dyDescent="0.2">
      <c r="AE104" s="94"/>
      <c r="AF104" s="94"/>
      <c r="AG104" s="94"/>
      <c r="AH104" s="94"/>
      <c r="AI104" s="94"/>
      <c r="AJ104" s="94"/>
      <c r="AK104" s="94"/>
      <c r="AL104" s="94"/>
      <c r="AM104" s="94"/>
      <c r="AN104" s="94"/>
      <c r="AO104" s="94"/>
      <c r="AP104" s="94"/>
      <c r="AQ104" s="94"/>
      <c r="AR104" s="94"/>
      <c r="AS104" s="94"/>
      <c r="AT104" s="94"/>
      <c r="AU104" s="94" t="s">
        <v>1051</v>
      </c>
      <c r="AV104" s="94"/>
      <c r="AW104" s="94"/>
      <c r="AX104" s="94"/>
      <c r="AY104" s="94"/>
      <c r="AZ104" s="94"/>
      <c r="BA104" s="94"/>
      <c r="BB104" s="94"/>
      <c r="BC104" s="94"/>
      <c r="BD104" s="94"/>
      <c r="BE104" s="94"/>
      <c r="BF104" s="94" t="s">
        <v>1180</v>
      </c>
      <c r="BG104" s="94"/>
      <c r="BH104" s="94"/>
      <c r="BI104" s="1029" t="s">
        <v>837</v>
      </c>
      <c r="BJ104" s="94" t="s">
        <v>631</v>
      </c>
      <c r="BK104" s="94">
        <v>21</v>
      </c>
      <c r="BL104" s="94">
        <v>1540</v>
      </c>
    </row>
    <row r="105" spans="31:64" x14ac:dyDescent="0.2">
      <c r="AE105" s="94"/>
      <c r="AF105" s="94"/>
      <c r="AG105" s="94"/>
      <c r="AH105" s="94"/>
      <c r="AI105" s="94"/>
      <c r="AJ105" s="94"/>
      <c r="AK105" s="94"/>
      <c r="AL105" s="94"/>
      <c r="AM105" s="94"/>
      <c r="AN105" s="94"/>
      <c r="AO105" s="94"/>
      <c r="AP105" s="94"/>
      <c r="AQ105" s="94"/>
      <c r="AR105" s="94"/>
      <c r="AS105" s="94"/>
      <c r="AT105" s="94"/>
      <c r="AU105" s="94" t="s">
        <v>1052</v>
      </c>
      <c r="AV105" s="94"/>
      <c r="AW105" s="94"/>
      <c r="AX105" s="94"/>
      <c r="AY105" s="94"/>
      <c r="AZ105" s="94"/>
      <c r="BA105" s="94"/>
      <c r="BB105" s="94"/>
      <c r="BC105" s="94"/>
      <c r="BD105" s="94"/>
      <c r="BE105" s="94"/>
      <c r="BF105" s="94" t="s">
        <v>1182</v>
      </c>
      <c r="BG105" s="94"/>
      <c r="BH105" s="94"/>
      <c r="BI105" s="1029" t="s">
        <v>846</v>
      </c>
      <c r="BJ105" s="94" t="s">
        <v>631</v>
      </c>
      <c r="BK105" s="94">
        <v>22.6</v>
      </c>
      <c r="BL105" s="94">
        <v>1041.5</v>
      </c>
    </row>
    <row r="106" spans="31:64" x14ac:dyDescent="0.2">
      <c r="AE106" s="94"/>
      <c r="AF106" s="94"/>
      <c r="AG106" s="94"/>
      <c r="AH106" s="94"/>
      <c r="AI106" s="94"/>
      <c r="AJ106" s="94"/>
      <c r="AK106" s="94"/>
      <c r="AL106" s="94"/>
      <c r="AM106" s="94"/>
      <c r="AN106" s="94"/>
      <c r="AO106" s="94"/>
      <c r="AP106" s="94"/>
      <c r="AQ106" s="94"/>
      <c r="AR106" s="94"/>
      <c r="AS106" s="94"/>
      <c r="AT106" s="94"/>
      <c r="AU106" s="94" t="s">
        <v>1053</v>
      </c>
      <c r="AV106" s="94"/>
      <c r="AW106" s="94"/>
      <c r="AX106" s="94"/>
      <c r="AY106" s="94"/>
      <c r="AZ106" s="94"/>
      <c r="BA106" s="94"/>
      <c r="BB106" s="94"/>
      <c r="BC106" s="94"/>
      <c r="BD106" s="94"/>
      <c r="BE106" s="94"/>
      <c r="BF106" s="94" t="s">
        <v>1194</v>
      </c>
      <c r="BG106" s="94"/>
      <c r="BH106" s="94"/>
      <c r="BI106" s="1029" t="s">
        <v>854</v>
      </c>
      <c r="BJ106" s="94" t="s">
        <v>631</v>
      </c>
      <c r="BK106" s="94">
        <v>18.3</v>
      </c>
      <c r="BL106" s="94">
        <v>1284.7</v>
      </c>
    </row>
    <row r="107" spans="31:64" x14ac:dyDescent="0.2">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t="s">
        <v>1183</v>
      </c>
      <c r="BG107" s="94"/>
      <c r="BH107" s="94"/>
      <c r="BI107" s="1029" t="s">
        <v>861</v>
      </c>
      <c r="BJ107" s="94" t="s">
        <v>631</v>
      </c>
      <c r="BK107" s="94">
        <v>24.2</v>
      </c>
      <c r="BL107" s="94">
        <v>745</v>
      </c>
    </row>
    <row r="108" spans="31:64" x14ac:dyDescent="0.2">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t="s">
        <v>1184</v>
      </c>
      <c r="BG108" s="94"/>
      <c r="BH108" s="94"/>
      <c r="BI108" s="1029" t="s">
        <v>868</v>
      </c>
      <c r="BJ108" s="94" t="s">
        <v>631</v>
      </c>
      <c r="BK108" s="94">
        <v>20</v>
      </c>
      <c r="BL108" s="94">
        <v>1426.8</v>
      </c>
    </row>
    <row r="109" spans="31:64" x14ac:dyDescent="0.2">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t="s">
        <v>1185</v>
      </c>
      <c r="BG109" s="94"/>
      <c r="BH109" s="94"/>
      <c r="BI109" s="1029" t="s">
        <v>874</v>
      </c>
      <c r="BJ109" s="94" t="s">
        <v>631</v>
      </c>
      <c r="BK109" s="94">
        <v>23.9</v>
      </c>
      <c r="BL109" s="94">
        <v>844.9</v>
      </c>
    </row>
    <row r="110" spans="31:64" x14ac:dyDescent="0.2">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t="s">
        <v>1186</v>
      </c>
      <c r="BG110" s="94"/>
      <c r="BH110" s="94"/>
      <c r="BI110" s="1029" t="s">
        <v>879</v>
      </c>
      <c r="BJ110" s="94" t="s">
        <v>631</v>
      </c>
      <c r="BK110" s="94">
        <v>23.9</v>
      </c>
      <c r="BL110" s="94">
        <v>1059.3</v>
      </c>
    </row>
    <row r="111" spans="31:64" x14ac:dyDescent="0.2">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t="s">
        <v>825</v>
      </c>
      <c r="BG111" s="94"/>
      <c r="BH111" s="94"/>
      <c r="BI111" s="1029" t="s">
        <v>882</v>
      </c>
      <c r="BJ111" s="94" t="s">
        <v>631</v>
      </c>
      <c r="BK111" s="94">
        <v>20.399999999999999</v>
      </c>
      <c r="BL111" s="94">
        <v>1424.4</v>
      </c>
    </row>
    <row r="112" spans="31:64" x14ac:dyDescent="0.2">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4"/>
      <c r="BB112" s="94"/>
      <c r="BC112" s="94"/>
      <c r="BD112" s="94"/>
      <c r="BE112" s="94"/>
      <c r="BF112" s="94" t="s">
        <v>1187</v>
      </c>
      <c r="BG112" s="94"/>
      <c r="BH112" s="94"/>
      <c r="BI112" s="1029" t="s">
        <v>885</v>
      </c>
      <c r="BJ112" s="94" t="s">
        <v>631</v>
      </c>
      <c r="BK112" s="94">
        <v>19.7</v>
      </c>
      <c r="BL112" s="94">
        <v>1033.7</v>
      </c>
    </row>
    <row r="113" spans="31:64" x14ac:dyDescent="0.2">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4"/>
      <c r="BB113" s="94"/>
      <c r="BC113" s="94"/>
      <c r="BD113" s="94"/>
      <c r="BE113" s="94"/>
      <c r="BF113" s="94" t="s">
        <v>1188</v>
      </c>
      <c r="BG113" s="94"/>
      <c r="BH113" s="94"/>
      <c r="BI113" s="1029" t="s">
        <v>888</v>
      </c>
      <c r="BJ113" s="94" t="s">
        <v>631</v>
      </c>
      <c r="BK113" s="94">
        <v>22.9</v>
      </c>
      <c r="BL113" s="94">
        <v>1102.9000000000001</v>
      </c>
    </row>
    <row r="114" spans="31:64" x14ac:dyDescent="0.2">
      <c r="AE114" s="94"/>
      <c r="AF114" s="94"/>
      <c r="AG114" s="94"/>
      <c r="AH114" s="94"/>
      <c r="AI114" s="94"/>
      <c r="AJ114" s="94"/>
      <c r="AK114" s="94"/>
      <c r="AL114" s="94"/>
      <c r="AM114" s="94"/>
      <c r="AN114" s="94"/>
      <c r="AO114" s="94"/>
      <c r="AP114" s="94"/>
      <c r="AQ114" s="94"/>
      <c r="AR114" s="94"/>
      <c r="AS114" s="94"/>
      <c r="AT114" s="94"/>
      <c r="AU114" s="94"/>
      <c r="AV114" s="94"/>
      <c r="AW114" s="94"/>
      <c r="AX114" s="94"/>
      <c r="AY114" s="94"/>
      <c r="AZ114" s="94"/>
      <c r="BA114" s="94"/>
      <c r="BB114" s="94"/>
      <c r="BC114" s="94"/>
      <c r="BD114" s="94"/>
      <c r="BE114" s="94"/>
      <c r="BF114" s="94" t="s">
        <v>1189</v>
      </c>
      <c r="BG114" s="94"/>
      <c r="BH114" s="94"/>
      <c r="BI114" s="1029" t="s">
        <v>891</v>
      </c>
      <c r="BJ114" s="94" t="s">
        <v>631</v>
      </c>
      <c r="BK114" s="94">
        <v>24.2</v>
      </c>
      <c r="BL114" s="94">
        <v>826.5</v>
      </c>
    </row>
    <row r="115" spans="31:64" x14ac:dyDescent="0.2">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c r="BC115" s="94"/>
      <c r="BD115" s="94"/>
      <c r="BE115" s="94"/>
      <c r="BF115" s="94" t="s">
        <v>1181</v>
      </c>
      <c r="BG115" s="94"/>
      <c r="BH115" s="94"/>
      <c r="BI115" s="1029" t="s">
        <v>894</v>
      </c>
      <c r="BJ115" s="94" t="s">
        <v>631</v>
      </c>
      <c r="BK115" s="94">
        <v>20.100000000000001</v>
      </c>
      <c r="BL115" s="94">
        <v>1265.5999999999999</v>
      </c>
    </row>
    <row r="116" spans="31:64" x14ac:dyDescent="0.2">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4"/>
      <c r="BB116" s="94"/>
      <c r="BC116" s="94"/>
      <c r="BD116" s="94"/>
      <c r="BE116" s="94"/>
      <c r="BF116" s="94" t="s">
        <v>1190</v>
      </c>
      <c r="BG116" s="94"/>
      <c r="BH116" s="94"/>
      <c r="BI116" s="1029" t="s">
        <v>897</v>
      </c>
      <c r="BJ116" s="94" t="s">
        <v>631</v>
      </c>
      <c r="BK116" s="94">
        <v>22.5</v>
      </c>
      <c r="BL116" s="94">
        <v>1303.5999999999999</v>
      </c>
    </row>
    <row r="117" spans="31:64" x14ac:dyDescent="0.2">
      <c r="AE117" s="94"/>
      <c r="AF117" s="94"/>
      <c r="AG117" s="94"/>
      <c r="AH117" s="94"/>
      <c r="AI117" s="94"/>
      <c r="AJ117" s="94"/>
      <c r="AK117" s="94"/>
      <c r="AL117" s="94"/>
      <c r="AM117" s="94"/>
      <c r="AN117" s="94"/>
      <c r="AO117" s="94"/>
      <c r="AP117" s="94"/>
      <c r="AQ117" s="94"/>
      <c r="AR117" s="94"/>
      <c r="AS117" s="94"/>
      <c r="AT117" s="94"/>
      <c r="AU117" s="94"/>
      <c r="AV117" s="94"/>
      <c r="AW117" s="94"/>
      <c r="AX117" s="94"/>
      <c r="AY117" s="94"/>
      <c r="AZ117" s="94"/>
      <c r="BA117" s="94"/>
      <c r="BB117" s="94"/>
      <c r="BC117" s="94"/>
      <c r="BD117" s="94"/>
      <c r="BE117" s="94"/>
      <c r="BF117" s="94" t="s">
        <v>1191</v>
      </c>
      <c r="BG117" s="94"/>
      <c r="BH117" s="94"/>
      <c r="BI117" s="1029" t="s">
        <v>899</v>
      </c>
      <c r="BJ117" s="94" t="s">
        <v>631</v>
      </c>
      <c r="BK117" s="94">
        <v>19.3</v>
      </c>
      <c r="BL117" s="94">
        <v>1597</v>
      </c>
    </row>
    <row r="118" spans="31:64" x14ac:dyDescent="0.2">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c r="BD118" s="94"/>
      <c r="BE118" s="94"/>
      <c r="BF118" s="94" t="s">
        <v>1192</v>
      </c>
      <c r="BG118" s="94"/>
      <c r="BH118" s="94"/>
      <c r="BI118" s="1029" t="s">
        <v>901</v>
      </c>
      <c r="BJ118" s="94" t="s">
        <v>631</v>
      </c>
      <c r="BK118" s="94">
        <v>19.600000000000001</v>
      </c>
      <c r="BL118" s="94">
        <v>1511</v>
      </c>
    </row>
    <row r="119" spans="31:64" x14ac:dyDescent="0.2">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t="s">
        <v>1193</v>
      </c>
      <c r="BG119" s="94"/>
      <c r="BH119" s="94"/>
      <c r="BI119" s="1029" t="s">
        <v>903</v>
      </c>
      <c r="BJ119" s="94" t="s">
        <v>631</v>
      </c>
      <c r="BK119" s="94">
        <v>19.8</v>
      </c>
      <c r="BL119" s="94">
        <v>1597.2</v>
      </c>
    </row>
    <row r="120" spans="31:64" x14ac:dyDescent="0.2">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4"/>
      <c r="BB120" s="94"/>
      <c r="BC120" s="94"/>
      <c r="BD120" s="94"/>
      <c r="BE120" s="94"/>
      <c r="BF120" s="94" t="s">
        <v>1195</v>
      </c>
      <c r="BG120" s="94"/>
      <c r="BH120" s="94"/>
      <c r="BI120" s="1029" t="s">
        <v>905</v>
      </c>
      <c r="BJ120" s="94" t="s">
        <v>631</v>
      </c>
      <c r="BK120" s="94">
        <v>22.2</v>
      </c>
      <c r="BL120" s="94">
        <v>961.2</v>
      </c>
    </row>
    <row r="121" spans="31:64" x14ac:dyDescent="0.2">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c r="BC121" s="94"/>
      <c r="BD121" s="94"/>
      <c r="BE121" s="94"/>
      <c r="BF121" s="94" t="s">
        <v>1196</v>
      </c>
      <c r="BG121" s="94"/>
      <c r="BH121" s="94"/>
      <c r="BI121" s="1029" t="s">
        <v>947</v>
      </c>
      <c r="BJ121" s="94" t="s">
        <v>631</v>
      </c>
      <c r="BK121" s="94">
        <v>24</v>
      </c>
      <c r="BL121" s="94">
        <v>827</v>
      </c>
    </row>
    <row r="122" spans="31:64" x14ac:dyDescent="0.2">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c r="BC122" s="94"/>
      <c r="BD122" s="94"/>
      <c r="BE122" s="94"/>
      <c r="BF122" s="94" t="s">
        <v>834</v>
      </c>
      <c r="BG122" s="94"/>
      <c r="BH122" s="94"/>
      <c r="BI122" s="1029" t="s">
        <v>906</v>
      </c>
      <c r="BJ122" s="94" t="s">
        <v>631</v>
      </c>
      <c r="BK122" s="94">
        <v>22.4</v>
      </c>
      <c r="BL122" s="94">
        <v>1086.4000000000001</v>
      </c>
    </row>
    <row r="123" spans="31:64" x14ac:dyDescent="0.2">
      <c r="AE123" s="94"/>
      <c r="AF123" s="94"/>
      <c r="AG123" s="94"/>
      <c r="AH123" s="94"/>
      <c r="AI123" s="94"/>
      <c r="AJ123" s="94"/>
      <c r="AK123" s="94"/>
      <c r="AL123" s="94"/>
      <c r="AM123" s="94"/>
      <c r="AN123" s="94"/>
      <c r="AO123" s="94"/>
      <c r="AP123" s="94"/>
      <c r="AQ123" s="94"/>
      <c r="AR123" s="94"/>
      <c r="AS123" s="94"/>
      <c r="AT123" s="94"/>
      <c r="AU123" s="94"/>
      <c r="AV123" s="94"/>
      <c r="AW123" s="94"/>
      <c r="AX123" s="94"/>
      <c r="AY123" s="94"/>
      <c r="AZ123" s="94"/>
      <c r="BA123" s="94"/>
      <c r="BB123" s="94"/>
      <c r="BC123" s="94"/>
      <c r="BD123" s="94"/>
      <c r="BE123" s="94"/>
      <c r="BF123" s="94" t="s">
        <v>1197</v>
      </c>
      <c r="BG123" s="94"/>
      <c r="BH123" s="94"/>
      <c r="BI123" s="1029" t="s">
        <v>907</v>
      </c>
      <c r="BJ123" s="94" t="s">
        <v>631</v>
      </c>
      <c r="BK123" s="94">
        <v>19.8</v>
      </c>
      <c r="BL123" s="94">
        <v>1544.1</v>
      </c>
    </row>
    <row r="124" spans="31:64" x14ac:dyDescent="0.2">
      <c r="AE124" s="94"/>
      <c r="AF124" s="94"/>
      <c r="AG124" s="94"/>
      <c r="AH124" s="94"/>
      <c r="AI124" s="94"/>
      <c r="AJ124" s="94"/>
      <c r="AK124" s="94"/>
      <c r="AL124" s="94"/>
      <c r="AM124" s="94"/>
      <c r="AN124" s="94"/>
      <c r="AO124" s="94"/>
      <c r="AP124" s="94"/>
      <c r="AQ124" s="94"/>
      <c r="AR124" s="94"/>
      <c r="AS124" s="94"/>
      <c r="AT124" s="94"/>
      <c r="AU124" s="94"/>
      <c r="AV124" s="94"/>
      <c r="AW124" s="94"/>
      <c r="AX124" s="94"/>
      <c r="AY124" s="94"/>
      <c r="AZ124" s="94"/>
      <c r="BA124" s="94"/>
      <c r="BB124" s="94"/>
      <c r="BC124" s="94"/>
      <c r="BD124" s="94"/>
      <c r="BE124" s="94"/>
      <c r="BF124" s="94" t="s">
        <v>1198</v>
      </c>
      <c r="BG124" s="94"/>
      <c r="BH124" s="94"/>
      <c r="BI124" s="1029" t="s">
        <v>948</v>
      </c>
      <c r="BJ124" s="94" t="s">
        <v>631</v>
      </c>
      <c r="BK124" s="94">
        <v>22.6</v>
      </c>
      <c r="BL124" s="94">
        <v>1439</v>
      </c>
    </row>
    <row r="125" spans="31:64" x14ac:dyDescent="0.2">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t="s">
        <v>1199</v>
      </c>
      <c r="BG125" s="94"/>
      <c r="BH125" s="94"/>
      <c r="BI125" s="1029" t="s">
        <v>908</v>
      </c>
      <c r="BJ125" s="94" t="s">
        <v>631</v>
      </c>
      <c r="BK125" s="94">
        <v>18.600000000000001</v>
      </c>
      <c r="BL125" s="94">
        <v>1414.6</v>
      </c>
    </row>
    <row r="126" spans="31:64" x14ac:dyDescent="0.2">
      <c r="AE126" s="94"/>
      <c r="AF126" s="94"/>
      <c r="AG126" s="94"/>
      <c r="AH126" s="94"/>
      <c r="AI126" s="94"/>
      <c r="AJ126" s="94"/>
      <c r="AK126" s="94"/>
      <c r="AL126" s="94"/>
      <c r="AM126" s="94"/>
      <c r="AN126" s="94"/>
      <c r="AO126" s="94"/>
      <c r="AP126" s="94"/>
      <c r="AQ126" s="94"/>
      <c r="AR126" s="94"/>
      <c r="AS126" s="94"/>
      <c r="AT126" s="94"/>
      <c r="AU126" s="94"/>
      <c r="AV126" s="94"/>
      <c r="AW126" s="94"/>
      <c r="AX126" s="94"/>
      <c r="AY126" s="94"/>
      <c r="AZ126" s="94"/>
      <c r="BA126" s="94"/>
      <c r="BB126" s="94"/>
      <c r="BC126" s="94"/>
      <c r="BD126" s="94"/>
      <c r="BE126" s="94"/>
      <c r="BF126" s="94" t="s">
        <v>1200</v>
      </c>
      <c r="BG126" s="94"/>
      <c r="BH126" s="94"/>
      <c r="BI126" s="1029" t="s">
        <v>909</v>
      </c>
      <c r="BJ126" s="94" t="s">
        <v>631</v>
      </c>
      <c r="BK126" s="94">
        <v>21</v>
      </c>
      <c r="BL126" s="94">
        <v>1414.5</v>
      </c>
    </row>
    <row r="127" spans="31:64" x14ac:dyDescent="0.2">
      <c r="AE127" s="94"/>
      <c r="AF127" s="94"/>
      <c r="AG127" s="94"/>
      <c r="AH127" s="94"/>
      <c r="AI127" s="94"/>
      <c r="AJ127" s="94"/>
      <c r="AK127" s="94"/>
      <c r="AL127" s="94"/>
      <c r="AM127" s="94"/>
      <c r="AN127" s="94"/>
      <c r="AO127" s="94"/>
      <c r="AP127" s="94"/>
      <c r="AQ127" s="94"/>
      <c r="AR127" s="94"/>
      <c r="AS127" s="94"/>
      <c r="AT127" s="94"/>
      <c r="AU127" s="94"/>
      <c r="AV127" s="94"/>
      <c r="AW127" s="94"/>
      <c r="AX127" s="94"/>
      <c r="AY127" s="94"/>
      <c r="AZ127" s="94"/>
      <c r="BA127" s="94"/>
      <c r="BB127" s="94"/>
      <c r="BC127" s="94"/>
      <c r="BD127" s="94"/>
      <c r="BE127" s="94"/>
      <c r="BF127" s="94" t="s">
        <v>1201</v>
      </c>
      <c r="BG127" s="94"/>
      <c r="BH127" s="94"/>
      <c r="BI127" s="1029" t="s">
        <v>910</v>
      </c>
      <c r="BJ127" s="94" t="s">
        <v>631</v>
      </c>
      <c r="BK127" s="94">
        <v>20.6</v>
      </c>
      <c r="BL127" s="94">
        <v>1487.5</v>
      </c>
    </row>
    <row r="128" spans="31:64" x14ac:dyDescent="0.2">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c r="BC128" s="94"/>
      <c r="BD128" s="94"/>
      <c r="BE128" s="94"/>
      <c r="BF128" s="94" t="s">
        <v>1202</v>
      </c>
      <c r="BG128" s="94"/>
      <c r="BH128" s="94"/>
      <c r="BI128" s="1029" t="s">
        <v>911</v>
      </c>
      <c r="BJ128" s="94" t="s">
        <v>631</v>
      </c>
      <c r="BK128" s="94">
        <v>22.3</v>
      </c>
      <c r="BL128" s="94">
        <v>862.7</v>
      </c>
    </row>
    <row r="129" spans="31:64" x14ac:dyDescent="0.2">
      <c r="AE129" s="94"/>
      <c r="AF129" s="94"/>
      <c r="AG129" s="94"/>
      <c r="AH129" s="94"/>
      <c r="AI129" s="94"/>
      <c r="AJ129" s="94"/>
      <c r="AK129" s="94"/>
      <c r="AL129" s="94"/>
      <c r="AM129" s="94"/>
      <c r="AN129" s="94"/>
      <c r="AO129" s="94"/>
      <c r="AP129" s="94"/>
      <c r="AQ129" s="94"/>
      <c r="AR129" s="94"/>
      <c r="AS129" s="94"/>
      <c r="AT129" s="94"/>
      <c r="AU129" s="94"/>
      <c r="AV129" s="94"/>
      <c r="AW129" s="94"/>
      <c r="AX129" s="94"/>
      <c r="AY129" s="94"/>
      <c r="AZ129" s="94"/>
      <c r="BA129" s="94"/>
      <c r="BB129" s="94"/>
      <c r="BC129" s="94"/>
      <c r="BD129" s="94"/>
      <c r="BE129" s="94"/>
      <c r="BF129" s="94" t="s">
        <v>1206</v>
      </c>
      <c r="BG129" s="94"/>
      <c r="BH129" s="94"/>
      <c r="BI129" s="1029" t="s">
        <v>912</v>
      </c>
      <c r="BJ129" s="94" t="s">
        <v>631</v>
      </c>
      <c r="BK129" s="94">
        <v>23.4</v>
      </c>
      <c r="BL129" s="94">
        <v>1057</v>
      </c>
    </row>
    <row r="130" spans="31:64" x14ac:dyDescent="0.2">
      <c r="AE130" s="94"/>
      <c r="AF130" s="94"/>
      <c r="AG130" s="94"/>
      <c r="AH130" s="94"/>
      <c r="AI130" s="94"/>
      <c r="AJ130" s="94"/>
      <c r="AK130" s="94"/>
      <c r="AL130" s="94"/>
      <c r="AM130" s="94"/>
      <c r="AN130" s="94"/>
      <c r="AO130" s="94"/>
      <c r="AP130" s="94"/>
      <c r="AQ130" s="94"/>
      <c r="AR130" s="94"/>
      <c r="AS130" s="94"/>
      <c r="AT130" s="94"/>
      <c r="AU130" s="94"/>
      <c r="AV130" s="94"/>
      <c r="AW130" s="94"/>
      <c r="AX130" s="94"/>
      <c r="AY130" s="94"/>
      <c r="AZ130" s="94"/>
      <c r="BA130" s="94"/>
      <c r="BB130" s="94"/>
      <c r="BC130" s="94"/>
      <c r="BD130" s="94"/>
      <c r="BE130" s="94"/>
      <c r="BF130" s="94" t="s">
        <v>1203</v>
      </c>
      <c r="BG130" s="94"/>
      <c r="BH130" s="94"/>
      <c r="BI130" s="1029" t="s">
        <v>758</v>
      </c>
      <c r="BJ130" s="94" t="s">
        <v>631</v>
      </c>
      <c r="BK130" s="94">
        <v>18.3</v>
      </c>
      <c r="BL130" s="94">
        <v>1655</v>
      </c>
    </row>
    <row r="131" spans="31:64" x14ac:dyDescent="0.2">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t="s">
        <v>1205</v>
      </c>
      <c r="BG131" s="94"/>
      <c r="BH131" s="94"/>
      <c r="BI131" s="1029" t="s">
        <v>913</v>
      </c>
      <c r="BJ131" s="94" t="s">
        <v>631</v>
      </c>
      <c r="BK131" s="94">
        <v>22.1</v>
      </c>
      <c r="BL131" s="94">
        <v>1228.5</v>
      </c>
    </row>
    <row r="132" spans="31:64" x14ac:dyDescent="0.2">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4"/>
      <c r="BC132" s="94"/>
      <c r="BD132" s="94"/>
      <c r="BE132" s="94"/>
      <c r="BF132" s="94" t="s">
        <v>1204</v>
      </c>
      <c r="BG132" s="94"/>
      <c r="BH132" s="94"/>
      <c r="BI132" s="1029" t="s">
        <v>914</v>
      </c>
      <c r="BJ132" s="94" t="s">
        <v>631</v>
      </c>
      <c r="BK132" s="94">
        <v>23.1</v>
      </c>
      <c r="BL132" s="94">
        <v>846.1</v>
      </c>
    </row>
    <row r="133" spans="31:64" x14ac:dyDescent="0.2">
      <c r="AE133" s="94"/>
      <c r="AF133" s="94"/>
      <c r="AG133" s="94"/>
      <c r="AH133" s="94"/>
      <c r="AI133" s="94"/>
      <c r="AJ133" s="94"/>
      <c r="AK133" s="94"/>
      <c r="AL133" s="94"/>
      <c r="AM133" s="94"/>
      <c r="AN133" s="94"/>
      <c r="AO133" s="94"/>
      <c r="AP133" s="94"/>
      <c r="AQ133" s="94"/>
      <c r="AR133" s="94"/>
      <c r="AS133" s="94"/>
      <c r="AT133" s="94"/>
      <c r="AU133" s="94"/>
      <c r="AV133" s="94"/>
      <c r="AW133" s="94"/>
      <c r="AX133" s="94"/>
      <c r="AY133" s="94"/>
      <c r="AZ133" s="94"/>
      <c r="BA133" s="94"/>
      <c r="BB133" s="94"/>
      <c r="BC133" s="94"/>
      <c r="BD133" s="94"/>
      <c r="BE133" s="94"/>
      <c r="BF133" s="94" t="s">
        <v>1207</v>
      </c>
      <c r="BG133" s="94"/>
      <c r="BH133" s="94"/>
      <c r="BI133" s="1029" t="s">
        <v>915</v>
      </c>
      <c r="BJ133" s="94" t="s">
        <v>631</v>
      </c>
      <c r="BK133" s="94">
        <v>24.2</v>
      </c>
      <c r="BL133" s="94">
        <v>1131.5999999999999</v>
      </c>
    </row>
    <row r="134" spans="31:64" x14ac:dyDescent="0.2">
      <c r="AE134" s="94"/>
      <c r="AF134" s="94"/>
      <c r="AG134" s="94"/>
      <c r="AH134" s="94"/>
      <c r="AI134" s="94"/>
      <c r="AJ134" s="94"/>
      <c r="AK134" s="94"/>
      <c r="AL134" s="94"/>
      <c r="AM134" s="94"/>
      <c r="AN134" s="94"/>
      <c r="AO134" s="94"/>
      <c r="AP134" s="94"/>
      <c r="AQ134" s="94"/>
      <c r="AR134" s="94"/>
      <c r="AS134" s="94"/>
      <c r="AT134" s="94"/>
      <c r="AU134" s="94"/>
      <c r="AV134" s="94"/>
      <c r="AW134" s="94"/>
      <c r="AX134" s="94"/>
      <c r="AY134" s="94"/>
      <c r="AZ134" s="94"/>
      <c r="BA134" s="94"/>
      <c r="BB134" s="94"/>
      <c r="BC134" s="94"/>
      <c r="BD134" s="94"/>
      <c r="BE134" s="94"/>
      <c r="BF134" s="94" t="s">
        <v>1208</v>
      </c>
      <c r="BG134" s="94"/>
      <c r="BH134" s="94"/>
      <c r="BI134" s="1029" t="s">
        <v>916</v>
      </c>
      <c r="BJ134" s="94" t="s">
        <v>631</v>
      </c>
      <c r="BK134" s="94">
        <v>19.2</v>
      </c>
      <c r="BL134" s="94">
        <v>1456.3</v>
      </c>
    </row>
    <row r="135" spans="31:64" x14ac:dyDescent="0.2">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c r="BB135" s="94"/>
      <c r="BC135" s="94"/>
      <c r="BD135" s="94"/>
      <c r="BE135" s="94"/>
      <c r="BF135" s="94" t="s">
        <v>1209</v>
      </c>
      <c r="BG135" s="94"/>
      <c r="BH135" s="94"/>
      <c r="BI135" s="1029" t="s">
        <v>917</v>
      </c>
      <c r="BJ135" s="94" t="s">
        <v>631</v>
      </c>
      <c r="BK135" s="94">
        <v>19.100000000000001</v>
      </c>
      <c r="BL135" s="94">
        <v>1581</v>
      </c>
    </row>
    <row r="136" spans="31:64" x14ac:dyDescent="0.2">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t="s">
        <v>1210</v>
      </c>
      <c r="BG136" s="94"/>
      <c r="BH136" s="94"/>
      <c r="BI136" s="1029" t="s">
        <v>918</v>
      </c>
      <c r="BJ136" s="94" t="s">
        <v>631</v>
      </c>
      <c r="BK136" s="94">
        <v>20.3</v>
      </c>
      <c r="BL136" s="94">
        <v>1741.7</v>
      </c>
    </row>
    <row r="137" spans="31:64" x14ac:dyDescent="0.2">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4"/>
      <c r="BB137" s="94"/>
      <c r="BC137" s="94"/>
      <c r="BD137" s="94"/>
      <c r="BE137" s="94"/>
      <c r="BF137" s="94" t="s">
        <v>843</v>
      </c>
      <c r="BG137" s="94"/>
      <c r="BH137" s="94"/>
      <c r="BI137" s="1029" t="s">
        <v>919</v>
      </c>
      <c r="BJ137" s="94" t="s">
        <v>631</v>
      </c>
      <c r="BK137" s="94">
        <v>20.9</v>
      </c>
      <c r="BL137" s="94">
        <v>1271.9000000000001</v>
      </c>
    </row>
    <row r="138" spans="31:64" x14ac:dyDescent="0.2">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t="s">
        <v>1211</v>
      </c>
      <c r="BG138" s="94"/>
      <c r="BH138" s="94"/>
      <c r="BI138" s="1029" t="s">
        <v>920</v>
      </c>
      <c r="BJ138" s="94" t="s">
        <v>631</v>
      </c>
      <c r="BK138" s="94">
        <v>22.9</v>
      </c>
      <c r="BL138" s="94">
        <v>959.1</v>
      </c>
    </row>
    <row r="139" spans="31:64" x14ac:dyDescent="0.2">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t="s">
        <v>1212</v>
      </c>
      <c r="BG139" s="94"/>
      <c r="BH139" s="94"/>
      <c r="BI139" s="1029" t="s">
        <v>921</v>
      </c>
      <c r="BJ139" s="94" t="s">
        <v>631</v>
      </c>
      <c r="BK139" s="94">
        <v>21.9</v>
      </c>
      <c r="BL139" s="94">
        <v>1476.3</v>
      </c>
    </row>
    <row r="140" spans="31:64" x14ac:dyDescent="0.2">
      <c r="AE140" s="94"/>
      <c r="AF140" s="94"/>
      <c r="AG140" s="94"/>
      <c r="AH140" s="94"/>
      <c r="AI140" s="94"/>
      <c r="AJ140" s="94"/>
      <c r="AK140" s="94"/>
      <c r="AL140" s="94"/>
      <c r="AM140" s="94"/>
      <c r="AN140" s="94"/>
      <c r="AO140" s="94"/>
      <c r="AP140" s="94"/>
      <c r="AQ140" s="94"/>
      <c r="AR140" s="94"/>
      <c r="AS140" s="94"/>
      <c r="AT140" s="94"/>
      <c r="AU140" s="94"/>
      <c r="AV140" s="94"/>
      <c r="AW140" s="94"/>
      <c r="AX140" s="94"/>
      <c r="AY140" s="94"/>
      <c r="AZ140" s="94"/>
      <c r="BA140" s="94"/>
      <c r="BB140" s="94"/>
      <c r="BC140" s="94"/>
      <c r="BD140" s="94"/>
      <c r="BE140" s="94"/>
      <c r="BF140" s="94" t="s">
        <v>1213</v>
      </c>
      <c r="BG140" s="94"/>
      <c r="BH140" s="94"/>
      <c r="BI140" s="1029" t="s">
        <v>922</v>
      </c>
      <c r="BJ140" s="94" t="s">
        <v>631</v>
      </c>
      <c r="BK140" s="94">
        <v>19.399999999999999</v>
      </c>
      <c r="BL140" s="94">
        <v>1165.5</v>
      </c>
    </row>
    <row r="141" spans="31:64" x14ac:dyDescent="0.2">
      <c r="AE141" s="94"/>
      <c r="AF141" s="94"/>
      <c r="AG141" s="94"/>
      <c r="AH141" s="94"/>
      <c r="AI141" s="94"/>
      <c r="AJ141" s="94"/>
      <c r="AK141" s="94"/>
      <c r="AL141" s="94"/>
      <c r="AM141" s="94"/>
      <c r="AN141" s="94"/>
      <c r="AO141" s="94"/>
      <c r="AP141" s="94"/>
      <c r="AQ141" s="94"/>
      <c r="AR141" s="94"/>
      <c r="AS141" s="94"/>
      <c r="AT141" s="94"/>
      <c r="AU141" s="94"/>
      <c r="AV141" s="94"/>
      <c r="AW141" s="94"/>
      <c r="AX141" s="94"/>
      <c r="AY141" s="94"/>
      <c r="AZ141" s="94"/>
      <c r="BA141" s="94"/>
      <c r="BB141" s="94"/>
      <c r="BC141" s="94"/>
      <c r="BD141" s="94"/>
      <c r="BE141" s="94"/>
      <c r="BF141" s="94" t="s">
        <v>1214</v>
      </c>
      <c r="BG141" s="94"/>
      <c r="BH141" s="94"/>
      <c r="BI141" s="1029" t="s">
        <v>656</v>
      </c>
      <c r="BJ141" s="94" t="s">
        <v>632</v>
      </c>
      <c r="BK141" s="94">
        <v>22.8</v>
      </c>
      <c r="BL141" s="94">
        <v>1533.8</v>
      </c>
    </row>
    <row r="142" spans="31:64" x14ac:dyDescent="0.2">
      <c r="AE142" s="94"/>
      <c r="AF142" s="94"/>
      <c r="AG142" s="94"/>
      <c r="AH142" s="94"/>
      <c r="AI142" s="94"/>
      <c r="AJ142" s="94"/>
      <c r="AK142" s="94"/>
      <c r="AL142" s="94"/>
      <c r="AM142" s="94"/>
      <c r="AN142" s="94"/>
      <c r="AO142" s="94"/>
      <c r="AP142" s="94"/>
      <c r="AQ142" s="94"/>
      <c r="AR142" s="94"/>
      <c r="AS142" s="94"/>
      <c r="AT142" s="94"/>
      <c r="AU142" s="94"/>
      <c r="AV142" s="94"/>
      <c r="AW142" s="94"/>
      <c r="AX142" s="94"/>
      <c r="AY142" s="94"/>
      <c r="AZ142" s="94"/>
      <c r="BA142" s="94"/>
      <c r="BB142" s="94"/>
      <c r="BC142" s="94"/>
      <c r="BD142" s="94"/>
      <c r="BE142" s="94"/>
      <c r="BF142" s="94" t="s">
        <v>1215</v>
      </c>
      <c r="BG142" s="94"/>
      <c r="BH142" s="94"/>
      <c r="BI142" s="1029" t="s">
        <v>681</v>
      </c>
      <c r="BJ142" s="94" t="s">
        <v>632</v>
      </c>
      <c r="BK142" s="94">
        <v>25</v>
      </c>
      <c r="BL142" s="94">
        <v>921</v>
      </c>
    </row>
    <row r="143" spans="31:64" x14ac:dyDescent="0.2">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4"/>
      <c r="BB143" s="94"/>
      <c r="BC143" s="94"/>
      <c r="BD143" s="94"/>
      <c r="BE143" s="94"/>
      <c r="BF143" s="94" t="s">
        <v>1217</v>
      </c>
      <c r="BG143" s="94"/>
      <c r="BH143" s="94"/>
      <c r="BI143" s="1029" t="s">
        <v>703</v>
      </c>
      <c r="BJ143" s="94" t="s">
        <v>632</v>
      </c>
      <c r="BK143" s="94">
        <v>24.3</v>
      </c>
      <c r="BL143" s="94">
        <v>1519</v>
      </c>
    </row>
    <row r="144" spans="31:64" x14ac:dyDescent="0.2">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4"/>
      <c r="BB144" s="94"/>
      <c r="BC144" s="94"/>
      <c r="BD144" s="94"/>
      <c r="BE144" s="94"/>
      <c r="BF144" s="94" t="s">
        <v>1216</v>
      </c>
      <c r="BG144" s="94"/>
      <c r="BH144" s="94"/>
      <c r="BI144" s="1029" t="s">
        <v>723</v>
      </c>
      <c r="BJ144" s="94" t="s">
        <v>632</v>
      </c>
      <c r="BK144" s="94">
        <v>22</v>
      </c>
      <c r="BL144" s="94">
        <v>1411.7</v>
      </c>
    </row>
    <row r="145" spans="31:64" x14ac:dyDescent="0.2">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4"/>
      <c r="BB145" s="94"/>
      <c r="BC145" s="94"/>
      <c r="BD145" s="94"/>
      <c r="BE145" s="94"/>
      <c r="BF145" s="94" t="s">
        <v>1218</v>
      </c>
      <c r="BG145" s="94"/>
      <c r="BH145" s="94"/>
      <c r="BI145" s="1029" t="s">
        <v>742</v>
      </c>
      <c r="BJ145" s="94" t="s">
        <v>632</v>
      </c>
      <c r="BK145" s="94">
        <v>22.2</v>
      </c>
      <c r="BL145" s="94">
        <v>1380.3</v>
      </c>
    </row>
    <row r="146" spans="31:64" x14ac:dyDescent="0.2">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4"/>
      <c r="BB146" s="94"/>
      <c r="BC146" s="94"/>
      <c r="BD146" s="94"/>
      <c r="BE146" s="94"/>
      <c r="BF146" s="94" t="s">
        <v>1219</v>
      </c>
      <c r="BG146" s="94"/>
      <c r="BH146" s="94"/>
      <c r="BI146" s="1029" t="s">
        <v>759</v>
      </c>
      <c r="BJ146" s="94" t="s">
        <v>632</v>
      </c>
      <c r="BK146" s="94">
        <v>23.4</v>
      </c>
      <c r="BL146" s="94">
        <v>1451.8</v>
      </c>
    </row>
    <row r="147" spans="31:64" x14ac:dyDescent="0.2">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t="s">
        <v>1220</v>
      </c>
      <c r="BG147" s="94"/>
      <c r="BH147" s="94"/>
      <c r="BI147" s="1029" t="s">
        <v>775</v>
      </c>
      <c r="BJ147" s="94" t="s">
        <v>632</v>
      </c>
      <c r="BK147" s="94">
        <v>20.7</v>
      </c>
      <c r="BL147" s="94">
        <v>1685.7</v>
      </c>
    </row>
    <row r="148" spans="31:64" x14ac:dyDescent="0.2">
      <c r="AE148" s="94"/>
      <c r="AF148" s="94"/>
      <c r="AG148" s="94"/>
      <c r="AH148" s="94"/>
      <c r="AI148" s="94"/>
      <c r="AJ148" s="94"/>
      <c r="AK148" s="94"/>
      <c r="AL148" s="94"/>
      <c r="AM148" s="94"/>
      <c r="AN148" s="94"/>
      <c r="AO148" s="94"/>
      <c r="AP148" s="94"/>
      <c r="AQ148" s="94"/>
      <c r="AR148" s="94"/>
      <c r="AS148" s="94"/>
      <c r="AT148" s="94"/>
      <c r="AU148" s="94"/>
      <c r="AV148" s="94"/>
      <c r="AW148" s="94"/>
      <c r="AX148" s="94"/>
      <c r="AY148" s="94"/>
      <c r="AZ148" s="94"/>
      <c r="BA148" s="94"/>
      <c r="BB148" s="94"/>
      <c r="BC148" s="94"/>
      <c r="BD148" s="94"/>
      <c r="BE148" s="94"/>
      <c r="BF148" s="94" t="s">
        <v>1221</v>
      </c>
      <c r="BG148" s="94"/>
      <c r="BH148" s="94"/>
      <c r="BI148" s="1029" t="s">
        <v>949</v>
      </c>
      <c r="BJ148" s="94" t="s">
        <v>632</v>
      </c>
      <c r="BK148" s="94">
        <v>23.8</v>
      </c>
      <c r="BL148" s="94">
        <v>1302</v>
      </c>
    </row>
    <row r="149" spans="31:64" x14ac:dyDescent="0.2">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c r="BC149" s="94"/>
      <c r="BD149" s="94"/>
      <c r="BE149" s="94"/>
      <c r="BF149" s="94" t="s">
        <v>1222</v>
      </c>
      <c r="BG149" s="94"/>
      <c r="BH149" s="94"/>
      <c r="BI149" s="1029" t="s">
        <v>657</v>
      </c>
      <c r="BJ149" s="94" t="s">
        <v>633</v>
      </c>
      <c r="BK149" s="94">
        <v>25.2</v>
      </c>
      <c r="BL149" s="94">
        <v>1253.5</v>
      </c>
    </row>
    <row r="150" spans="31:64" x14ac:dyDescent="0.2">
      <c r="AE150" s="94"/>
      <c r="AF150" s="94"/>
      <c r="AG150" s="94"/>
      <c r="AH150" s="94"/>
      <c r="AI150" s="94"/>
      <c r="AJ150" s="94"/>
      <c r="AK150" s="94"/>
      <c r="AL150" s="94"/>
      <c r="AM150" s="94"/>
      <c r="AN150" s="94"/>
      <c r="AO150" s="94"/>
      <c r="AP150" s="94"/>
      <c r="AQ150" s="94"/>
      <c r="AR150" s="94"/>
      <c r="AS150" s="94"/>
      <c r="AT150" s="94"/>
      <c r="AU150" s="94"/>
      <c r="AV150" s="94"/>
      <c r="AW150" s="94"/>
      <c r="AX150" s="94"/>
      <c r="AY150" s="94"/>
      <c r="AZ150" s="94"/>
      <c r="BA150" s="94"/>
      <c r="BB150" s="94"/>
      <c r="BC150" s="94"/>
      <c r="BD150" s="94"/>
      <c r="BE150" s="94"/>
      <c r="BF150" s="94" t="s">
        <v>1223</v>
      </c>
      <c r="BG150" s="94"/>
      <c r="BH150" s="94"/>
      <c r="BI150" s="1029" t="s">
        <v>950</v>
      </c>
      <c r="BJ150" s="94" t="s">
        <v>633</v>
      </c>
      <c r="BK150" s="94">
        <v>24</v>
      </c>
      <c r="BL150" s="94">
        <v>2373</v>
      </c>
    </row>
    <row r="151" spans="31:64" x14ac:dyDescent="0.2">
      <c r="AE151" s="94"/>
      <c r="AF151" s="94"/>
      <c r="AG151" s="94"/>
      <c r="AH151" s="94"/>
      <c r="AI151" s="94"/>
      <c r="AJ151" s="94"/>
      <c r="AK151" s="94"/>
      <c r="AL151" s="94"/>
      <c r="AM151" s="94"/>
      <c r="AN151" s="94"/>
      <c r="AO151" s="94"/>
      <c r="AP151" s="94"/>
      <c r="AQ151" s="94"/>
      <c r="AR151" s="94"/>
      <c r="AS151" s="94"/>
      <c r="AT151" s="94"/>
      <c r="AU151" s="94"/>
      <c r="AV151" s="94"/>
      <c r="AW151" s="94"/>
      <c r="AX151" s="94"/>
      <c r="AY151" s="94"/>
      <c r="AZ151" s="94"/>
      <c r="BA151" s="94"/>
      <c r="BB151" s="94"/>
      <c r="BC151" s="94"/>
      <c r="BD151" s="94"/>
      <c r="BE151" s="94"/>
      <c r="BF151" s="94" t="s">
        <v>1224</v>
      </c>
      <c r="BG151" s="94"/>
      <c r="BH151" s="94"/>
      <c r="BI151" s="1029" t="s">
        <v>951</v>
      </c>
      <c r="BJ151" s="94" t="s">
        <v>633</v>
      </c>
      <c r="BK151" s="94">
        <v>22.7</v>
      </c>
      <c r="BL151" s="94">
        <v>1941</v>
      </c>
    </row>
    <row r="152" spans="31:64" x14ac:dyDescent="0.2">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t="s">
        <v>851</v>
      </c>
      <c r="BG152" s="94"/>
      <c r="BH152" s="94"/>
      <c r="BI152" s="1029" t="s">
        <v>682</v>
      </c>
      <c r="BJ152" s="94" t="s">
        <v>633</v>
      </c>
      <c r="BK152" s="94">
        <v>25.8</v>
      </c>
      <c r="BL152" s="94">
        <v>1342.3</v>
      </c>
    </row>
    <row r="153" spans="31:64" x14ac:dyDescent="0.2">
      <c r="AE153" s="94"/>
      <c r="AF153" s="94"/>
      <c r="AG153" s="94"/>
      <c r="AH153" s="94"/>
      <c r="AI153" s="94"/>
      <c r="AJ153" s="94"/>
      <c r="AK153" s="94"/>
      <c r="AL153" s="94"/>
      <c r="AM153" s="94"/>
      <c r="AN153" s="94"/>
      <c r="AO153" s="94"/>
      <c r="AP153" s="94"/>
      <c r="AQ153" s="94"/>
      <c r="AR153" s="94"/>
      <c r="AS153" s="94"/>
      <c r="AT153" s="94"/>
      <c r="AU153" s="94"/>
      <c r="AV153" s="94"/>
      <c r="AW153" s="94"/>
      <c r="AX153" s="94"/>
      <c r="AY153" s="94"/>
      <c r="AZ153" s="94"/>
      <c r="BA153" s="94"/>
      <c r="BB153" s="94"/>
      <c r="BC153" s="94"/>
      <c r="BD153" s="94"/>
      <c r="BE153" s="94"/>
      <c r="BF153" s="94" t="s">
        <v>1225</v>
      </c>
      <c r="BG153" s="94"/>
      <c r="BH153" s="94"/>
      <c r="BI153" s="1029" t="s">
        <v>704</v>
      </c>
      <c r="BJ153" s="94" t="s">
        <v>633</v>
      </c>
      <c r="BK153" s="94">
        <v>24.9</v>
      </c>
      <c r="BL153" s="94">
        <v>1735.7</v>
      </c>
    </row>
    <row r="154" spans="31:64" x14ac:dyDescent="0.2">
      <c r="AE154" s="94"/>
      <c r="AF154" s="94"/>
      <c r="AG154" s="94"/>
      <c r="AH154" s="94"/>
      <c r="AI154" s="94"/>
      <c r="AJ154" s="94"/>
      <c r="AK154" s="94"/>
      <c r="AL154" s="94"/>
      <c r="AM154" s="94"/>
      <c r="AN154" s="94"/>
      <c r="AO154" s="94"/>
      <c r="AP154" s="94"/>
      <c r="AQ154" s="94"/>
      <c r="AR154" s="94"/>
      <c r="AS154" s="94"/>
      <c r="AT154" s="94"/>
      <c r="AU154" s="94"/>
      <c r="AV154" s="94"/>
      <c r="AW154" s="94"/>
      <c r="AX154" s="94"/>
      <c r="AY154" s="94"/>
      <c r="AZ154" s="94"/>
      <c r="BA154" s="94"/>
      <c r="BB154" s="94"/>
      <c r="BC154" s="94"/>
      <c r="BD154" s="94"/>
      <c r="BE154" s="94"/>
      <c r="BF154" s="94" t="s">
        <v>1226</v>
      </c>
      <c r="BG154" s="94"/>
      <c r="BH154" s="94"/>
      <c r="BI154" s="1029" t="s">
        <v>724</v>
      </c>
      <c r="BJ154" s="94" t="s">
        <v>633</v>
      </c>
      <c r="BK154" s="94">
        <v>24</v>
      </c>
      <c r="BL154" s="94">
        <v>2091.6</v>
      </c>
    </row>
    <row r="155" spans="31:64" x14ac:dyDescent="0.2">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c r="BC155" s="94"/>
      <c r="BD155" s="94"/>
      <c r="BE155" s="94"/>
      <c r="BF155" s="94" t="s">
        <v>1227</v>
      </c>
      <c r="BG155" s="94"/>
      <c r="BH155" s="94"/>
      <c r="BI155" s="1029" t="s">
        <v>952</v>
      </c>
      <c r="BJ155" s="94" t="s">
        <v>633</v>
      </c>
      <c r="BK155" s="94">
        <v>26.7</v>
      </c>
      <c r="BL155" s="94">
        <v>1280</v>
      </c>
    </row>
    <row r="156" spans="31:64" x14ac:dyDescent="0.2">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t="s">
        <v>1228</v>
      </c>
      <c r="BG156" s="94"/>
      <c r="BH156" s="94"/>
      <c r="BI156" s="1029" t="s">
        <v>743</v>
      </c>
      <c r="BJ156" s="94" t="s">
        <v>633</v>
      </c>
      <c r="BK156" s="94">
        <v>22.4</v>
      </c>
      <c r="BL156" s="94">
        <v>1644.8</v>
      </c>
    </row>
    <row r="157" spans="31:64" x14ac:dyDescent="0.2">
      <c r="AE157" s="94"/>
      <c r="AF157" s="94"/>
      <c r="AG157" s="94"/>
      <c r="AH157" s="94"/>
      <c r="AI157" s="94"/>
      <c r="AJ157" s="94"/>
      <c r="AK157" s="94"/>
      <c r="AL157" s="94"/>
      <c r="AM157" s="94"/>
      <c r="AN157" s="94"/>
      <c r="AO157" s="94"/>
      <c r="AP157" s="94"/>
      <c r="AQ157" s="94"/>
      <c r="AR157" s="94"/>
      <c r="AS157" s="94"/>
      <c r="AT157" s="94"/>
      <c r="AU157" s="94"/>
      <c r="AV157" s="94"/>
      <c r="AW157" s="94"/>
      <c r="AX157" s="94"/>
      <c r="AY157" s="94"/>
      <c r="AZ157" s="94"/>
      <c r="BA157" s="94"/>
      <c r="BB157" s="94"/>
      <c r="BC157" s="94"/>
      <c r="BD157" s="94"/>
      <c r="BE157" s="94"/>
      <c r="BF157" s="94" t="s">
        <v>1229</v>
      </c>
      <c r="BG157" s="94"/>
      <c r="BH157" s="94"/>
      <c r="BI157" s="1029" t="s">
        <v>658</v>
      </c>
      <c r="BJ157" s="94" t="s">
        <v>634</v>
      </c>
      <c r="BK157" s="94">
        <v>26.1</v>
      </c>
      <c r="BL157" s="94">
        <v>2025.1</v>
      </c>
    </row>
    <row r="158" spans="31:64" x14ac:dyDescent="0.2">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t="s">
        <v>1230</v>
      </c>
      <c r="BG158" s="94"/>
      <c r="BH158" s="94"/>
      <c r="BI158" s="1029" t="s">
        <v>683</v>
      </c>
      <c r="BJ158" s="94" t="s">
        <v>634</v>
      </c>
      <c r="BK158" s="94">
        <v>25.4</v>
      </c>
      <c r="BL158" s="94">
        <v>2476.6999999999998</v>
      </c>
    </row>
    <row r="159" spans="31:64" x14ac:dyDescent="0.2">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t="s">
        <v>1231</v>
      </c>
      <c r="BG159" s="94"/>
      <c r="BH159" s="94"/>
      <c r="BI159" s="1029" t="s">
        <v>705</v>
      </c>
      <c r="BJ159" s="94" t="s">
        <v>634</v>
      </c>
      <c r="BK159" s="94">
        <v>25.9</v>
      </c>
      <c r="BL159" s="94">
        <v>2921.7</v>
      </c>
    </row>
    <row r="160" spans="31:64" x14ac:dyDescent="0.2">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c r="BC160" s="94"/>
      <c r="BD160" s="94"/>
      <c r="BE160" s="94"/>
      <c r="BF160" s="94" t="s">
        <v>1232</v>
      </c>
      <c r="BG160" s="94"/>
      <c r="BH160" s="94"/>
      <c r="BI160" s="1029" t="s">
        <v>725</v>
      </c>
      <c r="BJ160" s="94" t="s">
        <v>634</v>
      </c>
      <c r="BK160" s="94">
        <v>24.9</v>
      </c>
      <c r="BL160" s="94">
        <v>1946.4</v>
      </c>
    </row>
    <row r="161" spans="31:64" x14ac:dyDescent="0.2">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t="s">
        <v>1233</v>
      </c>
      <c r="BG161" s="94"/>
      <c r="BH161" s="94"/>
      <c r="BI161" s="1029" t="s">
        <v>744</v>
      </c>
      <c r="BJ161" s="94" t="s">
        <v>634</v>
      </c>
      <c r="BK161" s="94">
        <v>26</v>
      </c>
      <c r="BL161" s="94">
        <v>2332.9</v>
      </c>
    </row>
    <row r="162" spans="31:64" x14ac:dyDescent="0.2">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t="s">
        <v>1234</v>
      </c>
      <c r="BG162" s="94"/>
      <c r="BH162" s="94"/>
      <c r="BI162" s="1029" t="s">
        <v>760</v>
      </c>
      <c r="BJ162" s="94" t="s">
        <v>634</v>
      </c>
      <c r="BK162" s="94">
        <v>26.6</v>
      </c>
      <c r="BL162" s="94">
        <v>2633.4</v>
      </c>
    </row>
    <row r="163" spans="31:64" x14ac:dyDescent="0.2">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t="s">
        <v>1235</v>
      </c>
      <c r="BG163" s="94"/>
      <c r="BH163" s="94"/>
      <c r="BI163" s="1029" t="s">
        <v>776</v>
      </c>
      <c r="BJ163" s="94" t="s">
        <v>634</v>
      </c>
      <c r="BK163" s="94">
        <v>25.5</v>
      </c>
      <c r="BL163" s="94">
        <v>1723.6</v>
      </c>
    </row>
    <row r="164" spans="31:64" x14ac:dyDescent="0.2">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t="s">
        <v>1236</v>
      </c>
      <c r="BG164" s="94"/>
      <c r="BH164" s="94"/>
      <c r="BI164" s="1029" t="s">
        <v>788</v>
      </c>
      <c r="BJ164" s="94" t="s">
        <v>634</v>
      </c>
      <c r="BK164" s="94">
        <v>26.7</v>
      </c>
      <c r="BL164" s="94">
        <v>2189.1999999999998</v>
      </c>
    </row>
    <row r="165" spans="31:64" x14ac:dyDescent="0.2">
      <c r="AE165" s="94"/>
      <c r="AF165" s="94"/>
      <c r="AG165" s="94"/>
      <c r="AH165" s="94"/>
      <c r="AI165" s="94"/>
      <c r="AJ165" s="94"/>
      <c r="AK165" s="94"/>
      <c r="AL165" s="94"/>
      <c r="AM165" s="94"/>
      <c r="AN165" s="94"/>
      <c r="AO165" s="94"/>
      <c r="AP165" s="94"/>
      <c r="AQ165" s="94"/>
      <c r="AR165" s="94"/>
      <c r="AS165" s="94"/>
      <c r="AT165" s="94"/>
      <c r="AU165" s="94"/>
      <c r="AV165" s="94"/>
      <c r="AW165" s="94"/>
      <c r="AX165" s="94"/>
      <c r="AY165" s="94"/>
      <c r="AZ165" s="94"/>
      <c r="BA165" s="94"/>
      <c r="BB165" s="94"/>
      <c r="BC165" s="94"/>
      <c r="BD165" s="94"/>
      <c r="BE165" s="94"/>
      <c r="BF165" s="94" t="s">
        <v>1237</v>
      </c>
      <c r="BG165" s="94"/>
      <c r="BH165" s="94"/>
      <c r="BI165" s="1029" t="s">
        <v>800</v>
      </c>
      <c r="BJ165" s="94" t="s">
        <v>634</v>
      </c>
      <c r="BK165" s="94">
        <v>26.3</v>
      </c>
      <c r="BL165" s="94">
        <v>2174.1</v>
      </c>
    </row>
    <row r="166" spans="31:64" x14ac:dyDescent="0.2">
      <c r="AE166" s="94"/>
      <c r="AF166" s="94"/>
      <c r="AG166" s="94"/>
      <c r="AH166" s="94"/>
      <c r="AI166" s="94"/>
      <c r="AJ166" s="94"/>
      <c r="AK166" s="94"/>
      <c r="AL166" s="94"/>
      <c r="AM166" s="94"/>
      <c r="AN166" s="94"/>
      <c r="AO166" s="94"/>
      <c r="AP166" s="94"/>
      <c r="AQ166" s="94"/>
      <c r="AR166" s="94"/>
      <c r="AS166" s="94"/>
      <c r="AT166" s="94"/>
      <c r="AU166" s="94"/>
      <c r="AV166" s="94"/>
      <c r="AW166" s="94"/>
      <c r="AX166" s="94"/>
      <c r="AY166" s="94"/>
      <c r="AZ166" s="94"/>
      <c r="BA166" s="94"/>
      <c r="BB166" s="94"/>
      <c r="BC166" s="94"/>
      <c r="BD166" s="94"/>
      <c r="BE166" s="94"/>
      <c r="BF166" s="94" t="s">
        <v>1238</v>
      </c>
      <c r="BG166" s="94"/>
      <c r="BH166" s="94"/>
      <c r="BI166" s="1029" t="s">
        <v>811</v>
      </c>
      <c r="BJ166" s="94" t="s">
        <v>634</v>
      </c>
      <c r="BK166" s="94">
        <v>26.5</v>
      </c>
      <c r="BL166" s="94">
        <v>1673.4</v>
      </c>
    </row>
    <row r="167" spans="31:64" x14ac:dyDescent="0.2">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4"/>
      <c r="BB167" s="94"/>
      <c r="BC167" s="94"/>
      <c r="BD167" s="94"/>
      <c r="BE167" s="94"/>
      <c r="BF167" s="94" t="s">
        <v>1239</v>
      </c>
      <c r="BG167" s="94"/>
      <c r="BH167" s="94"/>
      <c r="BI167" s="1029" t="s">
        <v>820</v>
      </c>
      <c r="BJ167" s="94" t="s">
        <v>634</v>
      </c>
      <c r="BK167" s="94">
        <v>26.6</v>
      </c>
      <c r="BL167" s="94">
        <v>1880.3</v>
      </c>
    </row>
    <row r="168" spans="31:64" x14ac:dyDescent="0.2">
      <c r="AE168" s="94"/>
      <c r="AF168" s="94"/>
      <c r="AG168" s="94"/>
      <c r="AH168" s="94"/>
      <c r="AI168" s="94"/>
      <c r="AJ168" s="94"/>
      <c r="AK168" s="94"/>
      <c r="AL168" s="94"/>
      <c r="AM168" s="94"/>
      <c r="AN168" s="94"/>
      <c r="AO168" s="94"/>
      <c r="AP168" s="94"/>
      <c r="AQ168" s="94"/>
      <c r="AR168" s="94"/>
      <c r="AS168" s="94"/>
      <c r="AT168" s="94"/>
      <c r="AU168" s="94"/>
      <c r="AV168" s="94"/>
      <c r="AW168" s="94"/>
      <c r="AX168" s="94"/>
      <c r="AY168" s="94"/>
      <c r="AZ168" s="94"/>
      <c r="BA168" s="94"/>
      <c r="BB168" s="94"/>
      <c r="BC168" s="94"/>
      <c r="BD168" s="94"/>
      <c r="BE168" s="94"/>
      <c r="BF168" s="94" t="s">
        <v>1240</v>
      </c>
      <c r="BG168" s="94"/>
      <c r="BH168" s="94"/>
      <c r="BI168" s="1029" t="s">
        <v>829</v>
      </c>
      <c r="BJ168" s="94" t="s">
        <v>634</v>
      </c>
      <c r="BK168" s="94">
        <v>26.4</v>
      </c>
      <c r="BL168" s="94">
        <v>2346</v>
      </c>
    </row>
    <row r="169" spans="31:64" x14ac:dyDescent="0.2">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t="s">
        <v>1241</v>
      </c>
      <c r="BG169" s="94"/>
      <c r="BH169" s="94"/>
      <c r="BI169" s="1029" t="s">
        <v>838</v>
      </c>
      <c r="BJ169" s="94" t="s">
        <v>634</v>
      </c>
      <c r="BK169" s="94">
        <v>26</v>
      </c>
      <c r="BL169" s="94">
        <v>2118.9</v>
      </c>
    </row>
    <row r="170" spans="31:64" x14ac:dyDescent="0.2">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t="s">
        <v>1242</v>
      </c>
      <c r="BG170" s="94"/>
      <c r="BH170" s="94"/>
      <c r="BI170" s="1029" t="s">
        <v>847</v>
      </c>
      <c r="BJ170" s="94" t="s">
        <v>634</v>
      </c>
      <c r="BK170" s="94">
        <v>25</v>
      </c>
      <c r="BL170" s="94">
        <v>2108.5</v>
      </c>
    </row>
    <row r="171" spans="31:64" x14ac:dyDescent="0.2">
      <c r="AE171" s="94"/>
      <c r="AF171" s="94"/>
      <c r="AG171" s="94"/>
      <c r="AH171" s="94"/>
      <c r="AI171" s="94"/>
      <c r="AJ171" s="94"/>
      <c r="AK171" s="94"/>
      <c r="AL171" s="94"/>
      <c r="AM171" s="94"/>
      <c r="AN171" s="94"/>
      <c r="AO171" s="94"/>
      <c r="AP171" s="94"/>
      <c r="AQ171" s="94"/>
      <c r="AR171" s="94"/>
      <c r="AS171" s="94"/>
      <c r="AT171" s="94"/>
      <c r="AU171" s="94"/>
      <c r="AV171" s="94"/>
      <c r="AW171" s="94"/>
      <c r="AX171" s="94"/>
      <c r="AY171" s="94"/>
      <c r="AZ171" s="94"/>
      <c r="BA171" s="94"/>
      <c r="BB171" s="94"/>
      <c r="BC171" s="94"/>
      <c r="BD171" s="94"/>
      <c r="BE171" s="94"/>
      <c r="BF171" s="94" t="s">
        <v>1243</v>
      </c>
      <c r="BG171" s="94"/>
      <c r="BH171" s="94"/>
      <c r="BI171" s="1029" t="s">
        <v>855</v>
      </c>
      <c r="BJ171" s="94" t="s">
        <v>634</v>
      </c>
      <c r="BK171" s="94">
        <v>27.2</v>
      </c>
      <c r="BL171" s="94">
        <v>3217</v>
      </c>
    </row>
    <row r="172" spans="31:64" x14ac:dyDescent="0.2">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t="s">
        <v>1244</v>
      </c>
      <c r="BG172" s="94"/>
      <c r="BH172" s="94"/>
      <c r="BI172" s="1029" t="s">
        <v>862</v>
      </c>
      <c r="BJ172" s="94" t="s">
        <v>634</v>
      </c>
      <c r="BK172" s="94">
        <v>25.5</v>
      </c>
      <c r="BL172" s="94">
        <v>2597.1999999999998</v>
      </c>
    </row>
    <row r="173" spans="31:64" x14ac:dyDescent="0.2">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4"/>
      <c r="BB173" s="94"/>
      <c r="BC173" s="94"/>
      <c r="BD173" s="94"/>
      <c r="BE173" s="94"/>
      <c r="BF173" s="94" t="s">
        <v>1245</v>
      </c>
      <c r="BG173" s="94"/>
      <c r="BH173" s="94"/>
      <c r="BI173" s="1029" t="s">
        <v>953</v>
      </c>
      <c r="BJ173" s="94" t="s">
        <v>634</v>
      </c>
      <c r="BK173" s="94">
        <v>24.7</v>
      </c>
      <c r="BL173" s="94">
        <v>1731</v>
      </c>
    </row>
    <row r="174" spans="31:64" x14ac:dyDescent="0.2">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t="s">
        <v>1246</v>
      </c>
      <c r="BG174" s="94"/>
      <c r="BH174" s="94"/>
      <c r="BI174" s="1029" t="s">
        <v>869</v>
      </c>
      <c r="BJ174" s="94" t="s">
        <v>634</v>
      </c>
      <c r="BK174" s="94">
        <v>26.6</v>
      </c>
      <c r="BL174" s="94">
        <v>2422.6999999999998</v>
      </c>
    </row>
    <row r="175" spans="31:64" x14ac:dyDescent="0.2">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t="s">
        <v>1247</v>
      </c>
      <c r="BG175" s="94"/>
      <c r="BH175" s="94"/>
      <c r="BI175" s="1029" t="s">
        <v>954</v>
      </c>
      <c r="BJ175" s="94" t="s">
        <v>635</v>
      </c>
      <c r="BK175" s="94">
        <v>26.4</v>
      </c>
      <c r="BL175" s="94">
        <v>899</v>
      </c>
    </row>
    <row r="176" spans="31:64" x14ac:dyDescent="0.2">
      <c r="AE176" s="94"/>
      <c r="AF176" s="94"/>
      <c r="AG176" s="94"/>
      <c r="AH176" s="94"/>
      <c r="AI176" s="94"/>
      <c r="AJ176" s="94"/>
      <c r="AK176" s="94"/>
      <c r="AL176" s="94"/>
      <c r="AM176" s="94"/>
      <c r="AN176" s="94"/>
      <c r="AO176" s="94"/>
      <c r="AP176" s="94"/>
      <c r="AQ176" s="94"/>
      <c r="AR176" s="94"/>
      <c r="AS176" s="94"/>
      <c r="AT176" s="94"/>
      <c r="AU176" s="94"/>
      <c r="AV176" s="94"/>
      <c r="AW176" s="94"/>
      <c r="AX176" s="94"/>
      <c r="AY176" s="94"/>
      <c r="AZ176" s="94"/>
      <c r="BA176" s="94"/>
      <c r="BB176" s="94"/>
      <c r="BC176" s="94"/>
      <c r="BD176" s="94"/>
      <c r="BE176" s="94"/>
      <c r="BF176" s="94" t="s">
        <v>1248</v>
      </c>
      <c r="BG176" s="94"/>
      <c r="BH176" s="94"/>
      <c r="BI176" s="1029" t="s">
        <v>955</v>
      </c>
      <c r="BJ176" s="94" t="s">
        <v>635</v>
      </c>
      <c r="BK176" s="94">
        <v>25.1</v>
      </c>
      <c r="BL176" s="94">
        <v>958</v>
      </c>
    </row>
    <row r="177" spans="31:64" x14ac:dyDescent="0.2">
      <c r="AE177" s="94"/>
      <c r="AF177" s="94"/>
      <c r="AG177" s="94"/>
      <c r="AH177" s="94"/>
      <c r="AI177" s="94"/>
      <c r="AJ177" s="94"/>
      <c r="AK177" s="94"/>
      <c r="AL177" s="94"/>
      <c r="AM177" s="94"/>
      <c r="AN177" s="94"/>
      <c r="AO177" s="94"/>
      <c r="AP177" s="94"/>
      <c r="AQ177" s="94"/>
      <c r="AR177" s="94"/>
      <c r="AS177" s="94"/>
      <c r="AT177" s="94"/>
      <c r="AU177" s="94"/>
      <c r="AV177" s="94"/>
      <c r="AW177" s="94"/>
      <c r="AX177" s="94"/>
      <c r="AY177" s="94"/>
      <c r="AZ177" s="94"/>
      <c r="BA177" s="94"/>
      <c r="BB177" s="94"/>
      <c r="BC177" s="94"/>
      <c r="BD177" s="94"/>
      <c r="BE177" s="94"/>
      <c r="BF177" s="94" t="s">
        <v>1249</v>
      </c>
      <c r="BG177" s="94"/>
      <c r="BH177" s="94"/>
      <c r="BI177" s="1029" t="s">
        <v>956</v>
      </c>
      <c r="BJ177" s="94" t="s">
        <v>635</v>
      </c>
      <c r="BK177" s="94">
        <v>22.9</v>
      </c>
      <c r="BL177" s="94">
        <v>1287</v>
      </c>
    </row>
    <row r="178" spans="31:64" x14ac:dyDescent="0.2">
      <c r="AE178" s="94"/>
      <c r="AF178" s="94"/>
      <c r="AG178" s="94"/>
      <c r="AH178" s="94"/>
      <c r="AI178" s="94"/>
      <c r="AJ178" s="94"/>
      <c r="AK178" s="94"/>
      <c r="AL178" s="94"/>
      <c r="AM178" s="94"/>
      <c r="AN178" s="94"/>
      <c r="AO178" s="94"/>
      <c r="AP178" s="94"/>
      <c r="AQ178" s="94"/>
      <c r="AR178" s="94"/>
      <c r="AS178" s="94"/>
      <c r="AT178" s="94"/>
      <c r="AU178" s="94"/>
      <c r="AV178" s="94"/>
      <c r="AW178" s="94"/>
      <c r="AX178" s="94"/>
      <c r="AY178" s="94"/>
      <c r="AZ178" s="94"/>
      <c r="BA178" s="94"/>
      <c r="BB178" s="94"/>
      <c r="BC178" s="94"/>
      <c r="BD178" s="94"/>
      <c r="BE178" s="94"/>
      <c r="BF178" s="94" t="s">
        <v>1250</v>
      </c>
      <c r="BG178" s="94"/>
      <c r="BH178" s="94"/>
      <c r="BI178" s="1029" t="s">
        <v>957</v>
      </c>
      <c r="BJ178" s="94" t="s">
        <v>635</v>
      </c>
      <c r="BK178" s="94">
        <v>23.3</v>
      </c>
      <c r="BL178" s="94">
        <v>373</v>
      </c>
    </row>
    <row r="179" spans="31:64" x14ac:dyDescent="0.2">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94"/>
      <c r="BF179" s="94" t="s">
        <v>859</v>
      </c>
      <c r="BG179" s="94"/>
      <c r="BH179" s="94"/>
      <c r="BI179" s="1029" t="s">
        <v>958</v>
      </c>
      <c r="BJ179" s="94" t="s">
        <v>635</v>
      </c>
      <c r="BK179" s="94">
        <v>25.1</v>
      </c>
      <c r="BL179" s="94">
        <v>1816</v>
      </c>
    </row>
    <row r="180" spans="31:64" x14ac:dyDescent="0.2">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c r="BB180" s="94"/>
      <c r="BC180" s="94"/>
      <c r="BD180" s="94"/>
      <c r="BE180" s="94"/>
      <c r="BF180" s="94" t="s">
        <v>1251</v>
      </c>
      <c r="BG180" s="94"/>
      <c r="BH180" s="94"/>
      <c r="BI180" s="1029" t="s">
        <v>959</v>
      </c>
      <c r="BJ180" s="94" t="s">
        <v>635</v>
      </c>
      <c r="BK180" s="94">
        <v>26.8</v>
      </c>
      <c r="BL180" s="94">
        <v>975</v>
      </c>
    </row>
    <row r="181" spans="31:64" x14ac:dyDescent="0.2">
      <c r="AE181" s="94"/>
      <c r="AF181" s="94"/>
      <c r="AG181" s="94"/>
      <c r="AH181" s="94"/>
      <c r="AI181" s="94"/>
      <c r="AJ181" s="94"/>
      <c r="AK181" s="94"/>
      <c r="AL181" s="94"/>
      <c r="AM181" s="94"/>
      <c r="AN181" s="94"/>
      <c r="AO181" s="94"/>
      <c r="AP181" s="94"/>
      <c r="AQ181" s="94"/>
      <c r="AR181" s="94"/>
      <c r="AS181" s="94"/>
      <c r="AT181" s="94"/>
      <c r="AU181" s="94"/>
      <c r="AV181" s="94"/>
      <c r="AW181" s="94"/>
      <c r="AX181" s="94"/>
      <c r="AY181" s="94"/>
      <c r="AZ181" s="94"/>
      <c r="BA181" s="94"/>
      <c r="BB181" s="94"/>
      <c r="BC181" s="94"/>
      <c r="BD181" s="94"/>
      <c r="BE181" s="94"/>
      <c r="BF181" s="94" t="s">
        <v>1252</v>
      </c>
      <c r="BG181" s="94"/>
      <c r="BH181" s="94"/>
      <c r="BI181" s="1029" t="s">
        <v>960</v>
      </c>
      <c r="BJ181" s="94" t="s">
        <v>635</v>
      </c>
      <c r="BK181" s="94">
        <v>24.8</v>
      </c>
      <c r="BL181" s="94">
        <v>986</v>
      </c>
    </row>
    <row r="182" spans="31:64" x14ac:dyDescent="0.2">
      <c r="AE182" s="94"/>
      <c r="AF182" s="94"/>
      <c r="AG182" s="94"/>
      <c r="AH182" s="94"/>
      <c r="AI182" s="94"/>
      <c r="AJ182" s="94"/>
      <c r="AK182" s="94"/>
      <c r="AL182" s="94"/>
      <c r="AM182" s="94"/>
      <c r="AN182" s="94"/>
      <c r="AO182" s="94"/>
      <c r="AP182" s="94"/>
      <c r="AQ182" s="94"/>
      <c r="AR182" s="94"/>
      <c r="AS182" s="94"/>
      <c r="AT182" s="94"/>
      <c r="AU182" s="94"/>
      <c r="AV182" s="94"/>
      <c r="AW182" s="94"/>
      <c r="AX182" s="94"/>
      <c r="AY182" s="94"/>
      <c r="AZ182" s="94"/>
      <c r="BA182" s="94"/>
      <c r="BB182" s="94"/>
      <c r="BC182" s="94"/>
      <c r="BD182" s="94"/>
      <c r="BE182" s="94"/>
      <c r="BF182" s="94" t="s">
        <v>1253</v>
      </c>
      <c r="BG182" s="94"/>
      <c r="BH182" s="94"/>
      <c r="BI182" s="1029" t="s">
        <v>961</v>
      </c>
      <c r="BJ182" s="94" t="s">
        <v>635</v>
      </c>
      <c r="BK182" s="94">
        <v>24.9</v>
      </c>
      <c r="BL182" s="94">
        <v>831</v>
      </c>
    </row>
    <row r="183" spans="31:64" x14ac:dyDescent="0.2">
      <c r="AE183" s="94"/>
      <c r="AF183" s="94"/>
      <c r="AG183" s="94"/>
      <c r="AH183" s="94"/>
      <c r="AI183" s="94"/>
      <c r="AJ183" s="94"/>
      <c r="AK183" s="94"/>
      <c r="AL183" s="94"/>
      <c r="AM183" s="94"/>
      <c r="AN183" s="94"/>
      <c r="AO183" s="94"/>
      <c r="AP183" s="94"/>
      <c r="AQ183" s="94"/>
      <c r="AR183" s="94"/>
      <c r="AS183" s="94"/>
      <c r="AT183" s="94"/>
      <c r="AU183" s="94"/>
      <c r="AV183" s="94"/>
      <c r="AW183" s="94"/>
      <c r="AX183" s="94"/>
      <c r="AY183" s="94"/>
      <c r="AZ183" s="94"/>
      <c r="BA183" s="94"/>
      <c r="BB183" s="94"/>
      <c r="BC183" s="94"/>
      <c r="BD183" s="94"/>
      <c r="BE183" s="94"/>
      <c r="BF183" s="94" t="s">
        <v>1254</v>
      </c>
      <c r="BG183" s="94"/>
      <c r="BH183" s="94"/>
      <c r="BI183" s="1029" t="s">
        <v>962</v>
      </c>
      <c r="BJ183" s="94" t="s">
        <v>635</v>
      </c>
      <c r="BK183" s="94">
        <v>22.2</v>
      </c>
      <c r="BL183" s="94">
        <v>850</v>
      </c>
    </row>
    <row r="184" spans="31:64" x14ac:dyDescent="0.2">
      <c r="AE184" s="94"/>
      <c r="AF184" s="94"/>
      <c r="AG184" s="94"/>
      <c r="AH184" s="94"/>
      <c r="AI184" s="94"/>
      <c r="AJ184" s="94"/>
      <c r="AK184" s="94"/>
      <c r="AL184" s="94"/>
      <c r="AM184" s="94"/>
      <c r="AN184" s="94"/>
      <c r="AO184" s="94"/>
      <c r="AP184" s="94"/>
      <c r="AQ184" s="94"/>
      <c r="AR184" s="94"/>
      <c r="AS184" s="94"/>
      <c r="AT184" s="94"/>
      <c r="AU184" s="94"/>
      <c r="AV184" s="94"/>
      <c r="AW184" s="94"/>
      <c r="AX184" s="94"/>
      <c r="AY184" s="94"/>
      <c r="AZ184" s="94"/>
      <c r="BA184" s="94"/>
      <c r="BB184" s="94"/>
      <c r="BC184" s="94"/>
      <c r="BD184" s="94"/>
      <c r="BE184" s="94"/>
      <c r="BF184" s="94" t="s">
        <v>1255</v>
      </c>
      <c r="BG184" s="94"/>
      <c r="BH184" s="94"/>
      <c r="BI184" s="1029" t="s">
        <v>963</v>
      </c>
      <c r="BJ184" s="94" t="s">
        <v>635</v>
      </c>
      <c r="BK184" s="94">
        <v>21.6</v>
      </c>
      <c r="BL184" s="94">
        <v>1375</v>
      </c>
    </row>
    <row r="185" spans="31:64" x14ac:dyDescent="0.2">
      <c r="AE185" s="94"/>
      <c r="AF185" s="94"/>
      <c r="AG185" s="94"/>
      <c r="AH185" s="94"/>
      <c r="AI185" s="94"/>
      <c r="AJ185" s="94"/>
      <c r="AK185" s="94"/>
      <c r="AL185" s="94"/>
      <c r="AM185" s="94"/>
      <c r="AN185" s="94"/>
      <c r="AO185" s="94"/>
      <c r="AP185" s="94"/>
      <c r="AQ185" s="94"/>
      <c r="AR185" s="94"/>
      <c r="AS185" s="94"/>
      <c r="AT185" s="94"/>
      <c r="AU185" s="94"/>
      <c r="AV185" s="94"/>
      <c r="AW185" s="94"/>
      <c r="AX185" s="94"/>
      <c r="AY185" s="94"/>
      <c r="AZ185" s="94"/>
      <c r="BA185" s="94"/>
      <c r="BB185" s="94"/>
      <c r="BC185" s="94"/>
      <c r="BD185" s="94"/>
      <c r="BE185" s="94"/>
      <c r="BF185" s="94" t="s">
        <v>1256</v>
      </c>
      <c r="BG185" s="94"/>
      <c r="BH185" s="94"/>
      <c r="BI185" s="1029" t="s">
        <v>964</v>
      </c>
      <c r="BJ185" s="94" t="s">
        <v>635</v>
      </c>
      <c r="BK185" s="94">
        <v>23.9</v>
      </c>
      <c r="BL185" s="94">
        <v>631</v>
      </c>
    </row>
    <row r="186" spans="31:64" x14ac:dyDescent="0.2">
      <c r="AE186" s="94"/>
      <c r="AF186" s="94"/>
      <c r="AG186" s="94"/>
      <c r="AH186" s="94"/>
      <c r="AI186" s="94"/>
      <c r="AJ186" s="94"/>
      <c r="AK186" s="94"/>
      <c r="AL186" s="94"/>
      <c r="AM186" s="94"/>
      <c r="AN186" s="94"/>
      <c r="AO186" s="94"/>
      <c r="AP186" s="94"/>
      <c r="AQ186" s="94"/>
      <c r="AR186" s="94"/>
      <c r="AS186" s="94"/>
      <c r="AT186" s="94"/>
      <c r="AU186" s="94"/>
      <c r="AV186" s="94"/>
      <c r="AW186" s="94"/>
      <c r="AX186" s="94"/>
      <c r="AY186" s="94"/>
      <c r="AZ186" s="94"/>
      <c r="BA186" s="94"/>
      <c r="BB186" s="94"/>
      <c r="BC186" s="94"/>
      <c r="BD186" s="94"/>
      <c r="BE186" s="94"/>
      <c r="BF186" s="94" t="s">
        <v>1257</v>
      </c>
      <c r="BG186" s="94"/>
      <c r="BH186" s="94"/>
      <c r="BI186" s="1029" t="s">
        <v>965</v>
      </c>
      <c r="BJ186" s="94" t="s">
        <v>635</v>
      </c>
      <c r="BK186" s="94">
        <v>25.7</v>
      </c>
      <c r="BL186" s="94">
        <v>894</v>
      </c>
    </row>
    <row r="187" spans="31:64" x14ac:dyDescent="0.2">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t="s">
        <v>1258</v>
      </c>
      <c r="BG187" s="94"/>
      <c r="BH187" s="94"/>
      <c r="BI187" s="1029" t="s">
        <v>966</v>
      </c>
      <c r="BJ187" s="94" t="s">
        <v>635</v>
      </c>
      <c r="BK187" s="94">
        <v>22.3</v>
      </c>
      <c r="BL187" s="94">
        <v>1185</v>
      </c>
    </row>
    <row r="188" spans="31:64" x14ac:dyDescent="0.2">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t="s">
        <v>1259</v>
      </c>
      <c r="BG188" s="94"/>
      <c r="BH188" s="94"/>
      <c r="BI188" s="1029" t="s">
        <v>967</v>
      </c>
      <c r="BJ188" s="94" t="s">
        <v>635</v>
      </c>
      <c r="BK188" s="94">
        <v>23.6</v>
      </c>
      <c r="BL188" s="94">
        <v>365</v>
      </c>
    </row>
    <row r="189" spans="31:64" x14ac:dyDescent="0.2">
      <c r="AE189" s="94"/>
      <c r="AF189" s="94"/>
      <c r="AG189" s="94"/>
      <c r="AH189" s="94"/>
      <c r="AI189" s="94"/>
      <c r="AJ189" s="94"/>
      <c r="AK189" s="94"/>
      <c r="AL189" s="94"/>
      <c r="AM189" s="94"/>
      <c r="AN189" s="94"/>
      <c r="AO189" s="94"/>
      <c r="AP189" s="94"/>
      <c r="AQ189" s="94"/>
      <c r="AR189" s="94"/>
      <c r="AS189" s="94"/>
      <c r="AT189" s="94"/>
      <c r="AU189" s="94"/>
      <c r="AV189" s="94"/>
      <c r="AW189" s="94"/>
      <c r="AX189" s="94"/>
      <c r="AY189" s="94"/>
      <c r="AZ189" s="94"/>
      <c r="BA189" s="94"/>
      <c r="BB189" s="94"/>
      <c r="BC189" s="94"/>
      <c r="BD189" s="94"/>
      <c r="BE189" s="94"/>
      <c r="BF189" s="94" t="s">
        <v>1260</v>
      </c>
      <c r="BG189" s="94"/>
      <c r="BH189" s="94"/>
      <c r="BI189" s="1029" t="s">
        <v>968</v>
      </c>
      <c r="BJ189" s="94" t="s">
        <v>635</v>
      </c>
      <c r="BK189" s="94">
        <v>23.2</v>
      </c>
      <c r="BL189" s="94">
        <v>450</v>
      </c>
    </row>
    <row r="190" spans="31:64" x14ac:dyDescent="0.2">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t="s">
        <v>1261</v>
      </c>
      <c r="BG190" s="94"/>
      <c r="BH190" s="94"/>
      <c r="BI190" s="1029" t="s">
        <v>969</v>
      </c>
      <c r="BJ190" s="94" t="s">
        <v>635</v>
      </c>
      <c r="BK190" s="94">
        <v>26.6</v>
      </c>
      <c r="BL190" s="94">
        <v>737</v>
      </c>
    </row>
    <row r="191" spans="31:64" x14ac:dyDescent="0.2">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t="s">
        <v>1262</v>
      </c>
      <c r="BG191" s="94"/>
      <c r="BH191" s="94"/>
      <c r="BI191" s="1029" t="s">
        <v>970</v>
      </c>
      <c r="BJ191" s="94" t="s">
        <v>635</v>
      </c>
      <c r="BK191" s="94">
        <v>24.8</v>
      </c>
      <c r="BL191" s="94">
        <v>771</v>
      </c>
    </row>
    <row r="192" spans="31:64" x14ac:dyDescent="0.2">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c r="BC192" s="94"/>
      <c r="BD192" s="94"/>
      <c r="BE192" s="94"/>
      <c r="BF192" s="94" t="s">
        <v>1263</v>
      </c>
      <c r="BG192" s="94"/>
      <c r="BH192" s="94"/>
      <c r="BI192" s="1029" t="s">
        <v>971</v>
      </c>
      <c r="BJ192" s="94" t="s">
        <v>635</v>
      </c>
      <c r="BK192" s="94">
        <v>23.4</v>
      </c>
      <c r="BL192" s="94">
        <v>416</v>
      </c>
    </row>
    <row r="193" spans="31:64" x14ac:dyDescent="0.2">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c r="BB193" s="94"/>
      <c r="BC193" s="94"/>
      <c r="BD193" s="94"/>
      <c r="BE193" s="94"/>
      <c r="BF193" s="94" t="s">
        <v>1264</v>
      </c>
      <c r="BG193" s="94"/>
      <c r="BH193" s="94"/>
      <c r="BI193" s="1029" t="s">
        <v>972</v>
      </c>
      <c r="BJ193" s="94" t="s">
        <v>635</v>
      </c>
      <c r="BK193" s="94">
        <v>24.2</v>
      </c>
      <c r="BL193" s="94">
        <v>414</v>
      </c>
    </row>
    <row r="194" spans="31:64" x14ac:dyDescent="0.2">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c r="BC194" s="94"/>
      <c r="BD194" s="94"/>
      <c r="BE194" s="94"/>
      <c r="BF194" s="94" t="s">
        <v>1265</v>
      </c>
      <c r="BG194" s="94"/>
      <c r="BH194" s="94"/>
      <c r="BI194" s="1029" t="s">
        <v>973</v>
      </c>
      <c r="BJ194" s="94" t="s">
        <v>635</v>
      </c>
      <c r="BK194" s="94">
        <v>25</v>
      </c>
      <c r="BL194" s="94">
        <v>846</v>
      </c>
    </row>
    <row r="195" spans="31:64" x14ac:dyDescent="0.2">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t="s">
        <v>1266</v>
      </c>
      <c r="BG195" s="94"/>
      <c r="BH195" s="94"/>
      <c r="BI195" s="1029" t="s">
        <v>974</v>
      </c>
      <c r="BJ195" s="94" t="s">
        <v>635</v>
      </c>
      <c r="BK195" s="94">
        <v>24.2</v>
      </c>
      <c r="BL195" s="94">
        <v>932</v>
      </c>
    </row>
    <row r="196" spans="31:64" x14ac:dyDescent="0.2">
      <c r="AE196" s="94"/>
      <c r="AF196" s="94"/>
      <c r="AG196" s="94"/>
      <c r="AH196" s="94"/>
      <c r="AI196" s="94"/>
      <c r="AJ196" s="94"/>
      <c r="AK196" s="94"/>
      <c r="AL196" s="94"/>
      <c r="AM196" s="94"/>
      <c r="AN196" s="94"/>
      <c r="AO196" s="94"/>
      <c r="AP196" s="94"/>
      <c r="AQ196" s="94"/>
      <c r="AR196" s="94"/>
      <c r="AS196" s="94"/>
      <c r="AT196" s="94"/>
      <c r="AU196" s="94"/>
      <c r="AV196" s="94"/>
      <c r="AW196" s="94"/>
      <c r="AX196" s="94"/>
      <c r="AY196" s="94"/>
      <c r="AZ196" s="94"/>
      <c r="BA196" s="94"/>
      <c r="BB196" s="94"/>
      <c r="BC196" s="94"/>
      <c r="BD196" s="94"/>
      <c r="BE196" s="94"/>
      <c r="BF196" s="94" t="s">
        <v>866</v>
      </c>
      <c r="BG196" s="94"/>
      <c r="BH196" s="94"/>
      <c r="BI196" s="1029" t="s">
        <v>975</v>
      </c>
      <c r="BJ196" s="94" t="s">
        <v>635</v>
      </c>
      <c r="BK196" s="94">
        <v>24.1</v>
      </c>
      <c r="BL196" s="94">
        <v>509</v>
      </c>
    </row>
    <row r="197" spans="31:64" x14ac:dyDescent="0.2">
      <c r="AE197" s="94"/>
      <c r="AF197" s="94"/>
      <c r="AG197" s="94"/>
      <c r="AH197" s="94"/>
      <c r="AI197" s="94"/>
      <c r="AJ197" s="94"/>
      <c r="AK197" s="94"/>
      <c r="AL197" s="94"/>
      <c r="AM197" s="94"/>
      <c r="AN197" s="94"/>
      <c r="AO197" s="94"/>
      <c r="AP197" s="94"/>
      <c r="AQ197" s="94"/>
      <c r="AR197" s="94"/>
      <c r="AS197" s="94"/>
      <c r="AT197" s="94"/>
      <c r="AU197" s="94"/>
      <c r="AV197" s="94"/>
      <c r="AW197" s="94"/>
      <c r="AX197" s="94"/>
      <c r="AY197" s="94"/>
      <c r="AZ197" s="94"/>
      <c r="BA197" s="94"/>
      <c r="BB197" s="94"/>
      <c r="BC197" s="94"/>
      <c r="BD197" s="94"/>
      <c r="BE197" s="94"/>
      <c r="BF197" s="94" t="s">
        <v>1267</v>
      </c>
      <c r="BG197" s="94"/>
      <c r="BH197" s="94"/>
      <c r="BI197" s="1029" t="s">
        <v>976</v>
      </c>
      <c r="BJ197" s="94" t="s">
        <v>635</v>
      </c>
      <c r="BK197" s="94">
        <v>26.6</v>
      </c>
      <c r="BL197" s="94">
        <v>812</v>
      </c>
    </row>
    <row r="198" spans="31:64" x14ac:dyDescent="0.2">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t="s">
        <v>1268</v>
      </c>
      <c r="BG198" s="94"/>
      <c r="BH198" s="94"/>
      <c r="BI198" s="1029" t="s">
        <v>977</v>
      </c>
      <c r="BJ198" s="94" t="s">
        <v>635</v>
      </c>
      <c r="BK198" s="94">
        <v>24.2</v>
      </c>
      <c r="BL198" s="94">
        <v>305</v>
      </c>
    </row>
    <row r="199" spans="31:64" x14ac:dyDescent="0.2">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c r="BC199" s="94"/>
      <c r="BD199" s="94"/>
      <c r="BE199" s="94"/>
      <c r="BF199" s="94" t="s">
        <v>1269</v>
      </c>
      <c r="BG199" s="94"/>
      <c r="BH199" s="94"/>
      <c r="BI199" s="1029" t="s">
        <v>978</v>
      </c>
      <c r="BJ199" s="94" t="s">
        <v>635</v>
      </c>
      <c r="BK199" s="94">
        <v>23.1</v>
      </c>
      <c r="BL199" s="94">
        <v>735</v>
      </c>
    </row>
    <row r="200" spans="31:64" x14ac:dyDescent="0.2">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4"/>
      <c r="BB200" s="94"/>
      <c r="BC200" s="94"/>
      <c r="BD200" s="94"/>
      <c r="BE200" s="94"/>
      <c r="BF200" s="94" t="s">
        <v>1270</v>
      </c>
      <c r="BG200" s="94"/>
      <c r="BH200" s="94"/>
      <c r="BI200" s="1029" t="s">
        <v>979</v>
      </c>
      <c r="BJ200" s="94" t="s">
        <v>635</v>
      </c>
      <c r="BK200" s="94">
        <v>24.8</v>
      </c>
      <c r="BL200" s="94">
        <v>780</v>
      </c>
    </row>
    <row r="201" spans="31:64" x14ac:dyDescent="0.2">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t="s">
        <v>1271</v>
      </c>
      <c r="BG201" s="94"/>
      <c r="BH201" s="94"/>
      <c r="BI201" s="1029" t="s">
        <v>980</v>
      </c>
      <c r="BJ201" s="94" t="s">
        <v>635</v>
      </c>
      <c r="BK201" s="94">
        <v>26.5</v>
      </c>
      <c r="BL201" s="94">
        <v>883</v>
      </c>
    </row>
    <row r="202" spans="31:64" x14ac:dyDescent="0.2">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t="s">
        <v>1272</v>
      </c>
      <c r="BG202" s="94"/>
      <c r="BH202" s="94"/>
      <c r="BI202" s="1029" t="s">
        <v>981</v>
      </c>
      <c r="BJ202" s="94" t="s">
        <v>635</v>
      </c>
      <c r="BK202" s="94">
        <v>23.3</v>
      </c>
      <c r="BL202" s="94">
        <v>625</v>
      </c>
    </row>
    <row r="203" spans="31:64" x14ac:dyDescent="0.2">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4"/>
      <c r="BB203" s="94"/>
      <c r="BC203" s="94"/>
      <c r="BD203" s="94"/>
      <c r="BE203" s="94"/>
      <c r="BF203" s="94" t="s">
        <v>1273</v>
      </c>
      <c r="BG203" s="94"/>
      <c r="BH203" s="94"/>
      <c r="BI203" s="1029" t="s">
        <v>659</v>
      </c>
      <c r="BJ203" s="94" t="s">
        <v>635</v>
      </c>
      <c r="BK203" s="94">
        <v>22.4</v>
      </c>
      <c r="BL203" s="94">
        <v>875.4</v>
      </c>
    </row>
    <row r="204" spans="31:64" x14ac:dyDescent="0.2">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t="s">
        <v>93</v>
      </c>
      <c r="BG204" s="94"/>
      <c r="BH204" s="94"/>
      <c r="BI204" s="1029" t="s">
        <v>982</v>
      </c>
      <c r="BJ204" s="94" t="s">
        <v>635</v>
      </c>
      <c r="BK204" s="94">
        <v>23.8</v>
      </c>
      <c r="BL204" s="94">
        <v>385</v>
      </c>
    </row>
    <row r="205" spans="31:64" x14ac:dyDescent="0.2">
      <c r="AE205" s="94"/>
      <c r="AF205" s="94"/>
      <c r="AG205" s="94"/>
      <c r="AH205" s="94"/>
      <c r="AI205" s="94"/>
      <c r="AJ205" s="94"/>
      <c r="AK205" s="94"/>
      <c r="AL205" s="94"/>
      <c r="AM205" s="94"/>
      <c r="AN205" s="94"/>
      <c r="AO205" s="94"/>
      <c r="AP205" s="94"/>
      <c r="AQ205" s="94"/>
      <c r="AR205" s="94"/>
      <c r="AS205" s="94"/>
      <c r="AT205" s="94"/>
      <c r="AU205" s="94"/>
      <c r="AV205" s="94"/>
      <c r="AW205" s="94"/>
      <c r="AX205" s="94"/>
      <c r="AY205" s="94"/>
      <c r="AZ205" s="94"/>
      <c r="BA205" s="94"/>
      <c r="BB205" s="94"/>
      <c r="BC205" s="94"/>
      <c r="BD205" s="94"/>
      <c r="BE205" s="94"/>
      <c r="BF205" s="94" t="s">
        <v>1274</v>
      </c>
      <c r="BG205" s="94"/>
      <c r="BH205" s="94"/>
      <c r="BI205" s="1029" t="s">
        <v>983</v>
      </c>
      <c r="BJ205" s="94" t="s">
        <v>635</v>
      </c>
      <c r="BK205" s="94">
        <v>26</v>
      </c>
      <c r="BL205" s="94">
        <v>962</v>
      </c>
    </row>
    <row r="206" spans="31:64" x14ac:dyDescent="0.2">
      <c r="AE206" s="94"/>
      <c r="AF206" s="94"/>
      <c r="AG206" s="94"/>
      <c r="AH206" s="94"/>
      <c r="AI206" s="94"/>
      <c r="AJ206" s="94"/>
      <c r="AK206" s="94"/>
      <c r="AL206" s="94"/>
      <c r="AM206" s="94"/>
      <c r="AN206" s="94"/>
      <c r="AO206" s="94"/>
      <c r="AP206" s="94"/>
      <c r="AQ206" s="94"/>
      <c r="AR206" s="94"/>
      <c r="AS206" s="94"/>
      <c r="AT206" s="94"/>
      <c r="AU206" s="94"/>
      <c r="AV206" s="94"/>
      <c r="AW206" s="94"/>
      <c r="AX206" s="94"/>
      <c r="AY206" s="94"/>
      <c r="AZ206" s="94"/>
      <c r="BA206" s="94"/>
      <c r="BB206" s="94"/>
      <c r="BC206" s="94"/>
      <c r="BD206" s="94"/>
      <c r="BE206" s="94"/>
      <c r="BF206" s="94" t="s">
        <v>1275</v>
      </c>
      <c r="BG206" s="94"/>
      <c r="BH206" s="94"/>
      <c r="BI206" s="1029" t="s">
        <v>984</v>
      </c>
      <c r="BJ206" s="94" t="s">
        <v>635</v>
      </c>
      <c r="BK206" s="94">
        <v>26.3</v>
      </c>
      <c r="BL206" s="94">
        <v>905</v>
      </c>
    </row>
    <row r="207" spans="31:64" x14ac:dyDescent="0.2">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t="s">
        <v>1276</v>
      </c>
      <c r="BG207" s="94"/>
      <c r="BH207" s="94"/>
      <c r="BI207" s="1029" t="s">
        <v>985</v>
      </c>
      <c r="BJ207" s="94" t="s">
        <v>635</v>
      </c>
      <c r="BK207" s="94">
        <v>26.2</v>
      </c>
      <c r="BL207" s="94">
        <v>779</v>
      </c>
    </row>
    <row r="208" spans="31:64" x14ac:dyDescent="0.2">
      <c r="AE208" s="94"/>
      <c r="AF208" s="94"/>
      <c r="AG208" s="94"/>
      <c r="AH208" s="94"/>
      <c r="AI208" s="94"/>
      <c r="AJ208" s="94"/>
      <c r="AK208" s="94"/>
      <c r="AL208" s="94"/>
      <c r="AM208" s="94"/>
      <c r="AN208" s="94"/>
      <c r="AO208" s="94"/>
      <c r="AP208" s="94"/>
      <c r="AQ208" s="94"/>
      <c r="AR208" s="94"/>
      <c r="AS208" s="94"/>
      <c r="AT208" s="94"/>
      <c r="AU208" s="94"/>
      <c r="AV208" s="94"/>
      <c r="AW208" s="94"/>
      <c r="AX208" s="94"/>
      <c r="AY208" s="94"/>
      <c r="AZ208" s="94"/>
      <c r="BA208" s="94"/>
      <c r="BB208" s="94"/>
      <c r="BC208" s="94"/>
      <c r="BD208" s="94"/>
      <c r="BE208" s="94"/>
      <c r="BF208" s="94" t="s">
        <v>1277</v>
      </c>
      <c r="BG208" s="94"/>
      <c r="BH208" s="94"/>
      <c r="BI208" s="1029" t="s">
        <v>986</v>
      </c>
      <c r="BJ208" s="94" t="s">
        <v>635</v>
      </c>
      <c r="BK208" s="94">
        <v>23.7</v>
      </c>
      <c r="BL208" s="94">
        <v>545</v>
      </c>
    </row>
    <row r="209" spans="31:64" x14ac:dyDescent="0.2">
      <c r="AE209" s="94"/>
      <c r="AF209" s="94"/>
      <c r="AG209" s="94"/>
      <c r="AH209" s="94"/>
      <c r="AI209" s="94"/>
      <c r="AJ209" s="94"/>
      <c r="AK209" s="94"/>
      <c r="AL209" s="94"/>
      <c r="AM209" s="94"/>
      <c r="AN209" s="94"/>
      <c r="AO209" s="94"/>
      <c r="AP209" s="94"/>
      <c r="AQ209" s="94"/>
      <c r="AR209" s="94"/>
      <c r="AS209" s="94"/>
      <c r="AT209" s="94"/>
      <c r="AU209" s="94"/>
      <c r="AV209" s="94"/>
      <c r="AW209" s="94"/>
      <c r="AX209" s="94"/>
      <c r="AY209" s="94"/>
      <c r="AZ209" s="94"/>
      <c r="BA209" s="94"/>
      <c r="BB209" s="94"/>
      <c r="BC209" s="94"/>
      <c r="BD209" s="94"/>
      <c r="BE209" s="94"/>
      <c r="BF209" s="94" t="s">
        <v>1278</v>
      </c>
      <c r="BG209" s="94"/>
      <c r="BH209" s="94"/>
      <c r="BI209" s="1029" t="s">
        <v>987</v>
      </c>
      <c r="BJ209" s="94" t="s">
        <v>635</v>
      </c>
      <c r="BK209" s="94">
        <v>23.9</v>
      </c>
      <c r="BL209" s="94">
        <v>487</v>
      </c>
    </row>
    <row r="210" spans="31:64" x14ac:dyDescent="0.2">
      <c r="AE210" s="94"/>
      <c r="AF210" s="94"/>
      <c r="AG210" s="94"/>
      <c r="AH210" s="94"/>
      <c r="AI210" s="94"/>
      <c r="AJ210" s="94"/>
      <c r="AK210" s="94"/>
      <c r="AL210" s="94"/>
      <c r="AM210" s="94"/>
      <c r="AN210" s="94"/>
      <c r="AO210" s="94"/>
      <c r="AP210" s="94"/>
      <c r="AQ210" s="94"/>
      <c r="AR210" s="94"/>
      <c r="AS210" s="94"/>
      <c r="AT210" s="94"/>
      <c r="AU210" s="94"/>
      <c r="AV210" s="94"/>
      <c r="AW210" s="94"/>
      <c r="AX210" s="94"/>
      <c r="AY210" s="94"/>
      <c r="AZ210" s="94"/>
      <c r="BA210" s="94"/>
      <c r="BB210" s="94"/>
      <c r="BC210" s="94"/>
      <c r="BD210" s="94"/>
      <c r="BE210" s="94"/>
      <c r="BF210" s="94" t="s">
        <v>1279</v>
      </c>
      <c r="BG210" s="94"/>
      <c r="BH210" s="94"/>
      <c r="BI210" s="1029" t="s">
        <v>988</v>
      </c>
      <c r="BJ210" s="94" t="s">
        <v>635</v>
      </c>
      <c r="BK210" s="94">
        <v>22.3</v>
      </c>
      <c r="BL210" s="94">
        <v>855</v>
      </c>
    </row>
    <row r="211" spans="31:64" x14ac:dyDescent="0.2">
      <c r="AE211" s="94"/>
      <c r="AF211" s="94"/>
      <c r="AG211" s="94"/>
      <c r="AH211" s="94"/>
      <c r="AI211" s="94"/>
      <c r="AJ211" s="94"/>
      <c r="AK211" s="94"/>
      <c r="AL211" s="94"/>
      <c r="AM211" s="94"/>
      <c r="AN211" s="94"/>
      <c r="AO211" s="94"/>
      <c r="AP211" s="94"/>
      <c r="AQ211" s="94"/>
      <c r="AR211" s="94"/>
      <c r="AS211" s="94"/>
      <c r="AT211" s="94"/>
      <c r="AU211" s="94"/>
      <c r="AV211" s="94"/>
      <c r="AW211" s="94"/>
      <c r="AX211" s="94"/>
      <c r="AY211" s="94"/>
      <c r="AZ211" s="94"/>
      <c r="BA211" s="94"/>
      <c r="BB211" s="94"/>
      <c r="BC211" s="94"/>
      <c r="BD211" s="94"/>
      <c r="BE211" s="94"/>
      <c r="BF211" s="94" t="s">
        <v>1280</v>
      </c>
      <c r="BG211" s="94"/>
      <c r="BH211" s="94"/>
      <c r="BI211" s="1029" t="s">
        <v>989</v>
      </c>
      <c r="BJ211" s="94" t="s">
        <v>635</v>
      </c>
      <c r="BK211" s="94">
        <v>26.8</v>
      </c>
      <c r="BL211" s="94">
        <v>946</v>
      </c>
    </row>
    <row r="212" spans="31:64" x14ac:dyDescent="0.2">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t="s">
        <v>1281</v>
      </c>
      <c r="BG212" s="94"/>
      <c r="BH212" s="94"/>
      <c r="BI212" s="1029" t="s">
        <v>990</v>
      </c>
      <c r="BJ212" s="94" t="s">
        <v>635</v>
      </c>
      <c r="BK212" s="94">
        <v>23.3</v>
      </c>
      <c r="BL212" s="94">
        <v>478</v>
      </c>
    </row>
    <row r="213" spans="31:64" x14ac:dyDescent="0.2">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t="s">
        <v>1282</v>
      </c>
      <c r="BG213" s="94"/>
      <c r="BH213" s="94"/>
      <c r="BI213" s="1029" t="s">
        <v>991</v>
      </c>
      <c r="BJ213" s="94" t="s">
        <v>635</v>
      </c>
      <c r="BK213" s="94">
        <v>26.7</v>
      </c>
      <c r="BL213" s="94">
        <v>477</v>
      </c>
    </row>
    <row r="214" spans="31:64" x14ac:dyDescent="0.2">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4"/>
      <c r="BB214" s="94"/>
      <c r="BC214" s="94"/>
      <c r="BD214" s="94"/>
      <c r="BE214" s="94"/>
      <c r="BF214" s="94" t="s">
        <v>1283</v>
      </c>
      <c r="BG214" s="94"/>
      <c r="BH214" s="94"/>
      <c r="BI214" s="1029" t="s">
        <v>992</v>
      </c>
      <c r="BJ214" s="94" t="s">
        <v>635</v>
      </c>
      <c r="BK214" s="94">
        <v>26.8</v>
      </c>
      <c r="BL214" s="94">
        <v>880</v>
      </c>
    </row>
    <row r="215" spans="31:64" x14ac:dyDescent="0.2">
      <c r="AE215" s="94"/>
      <c r="AF215" s="94"/>
      <c r="AG215" s="94"/>
      <c r="AH215" s="94"/>
      <c r="AI215" s="94"/>
      <c r="AJ215" s="94"/>
      <c r="AK215" s="94"/>
      <c r="AL215" s="94"/>
      <c r="AM215" s="94"/>
      <c r="AN215" s="94"/>
      <c r="AO215" s="94"/>
      <c r="AP215" s="94"/>
      <c r="AQ215" s="94"/>
      <c r="AR215" s="94"/>
      <c r="AS215" s="94"/>
      <c r="AT215" s="94"/>
      <c r="AU215" s="94"/>
      <c r="AV215" s="94"/>
      <c r="AW215" s="94"/>
      <c r="AX215" s="94"/>
      <c r="AY215" s="94"/>
      <c r="AZ215" s="94"/>
      <c r="BA215" s="94"/>
      <c r="BB215" s="94"/>
      <c r="BC215" s="94"/>
      <c r="BD215" s="94"/>
      <c r="BE215" s="94"/>
      <c r="BF215" s="94" t="s">
        <v>1284</v>
      </c>
      <c r="BG215" s="94"/>
      <c r="BH215" s="94"/>
      <c r="BI215" s="1029" t="s">
        <v>993</v>
      </c>
      <c r="BJ215" s="94" t="s">
        <v>635</v>
      </c>
      <c r="BK215" s="94">
        <v>22.7</v>
      </c>
      <c r="BL215" s="94">
        <v>985</v>
      </c>
    </row>
    <row r="216" spans="31:64" x14ac:dyDescent="0.2">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t="s">
        <v>1285</v>
      </c>
      <c r="BG216" s="94"/>
      <c r="BH216" s="94"/>
      <c r="BI216" s="1029" t="s">
        <v>994</v>
      </c>
      <c r="BJ216" s="94" t="s">
        <v>635</v>
      </c>
      <c r="BK216" s="94">
        <v>26.1</v>
      </c>
      <c r="BL216" s="94">
        <v>748</v>
      </c>
    </row>
    <row r="217" spans="31:64" x14ac:dyDescent="0.2">
      <c r="AE217" s="94"/>
      <c r="AF217" s="94"/>
      <c r="AG217" s="94"/>
      <c r="AH217" s="94"/>
      <c r="AI217" s="94"/>
      <c r="AJ217" s="94"/>
      <c r="AK217" s="94"/>
      <c r="AL217" s="94"/>
      <c r="AM217" s="94"/>
      <c r="AN217" s="94"/>
      <c r="AO217" s="94"/>
      <c r="AP217" s="94"/>
      <c r="AQ217" s="94"/>
      <c r="AR217" s="94"/>
      <c r="AS217" s="94"/>
      <c r="AT217" s="94"/>
      <c r="AU217" s="94"/>
      <c r="AV217" s="94"/>
      <c r="AW217" s="94"/>
      <c r="AX217" s="94"/>
      <c r="AY217" s="94"/>
      <c r="AZ217" s="94"/>
      <c r="BA217" s="94"/>
      <c r="BB217" s="94"/>
      <c r="BC217" s="94"/>
      <c r="BD217" s="94"/>
      <c r="BE217" s="94"/>
      <c r="BF217" s="94" t="s">
        <v>1286</v>
      </c>
      <c r="BG217" s="94"/>
      <c r="BH217" s="94"/>
      <c r="BI217" s="1029" t="s">
        <v>995</v>
      </c>
      <c r="BJ217" s="94" t="s">
        <v>635</v>
      </c>
      <c r="BK217" s="94">
        <v>25.2</v>
      </c>
      <c r="BL217" s="94">
        <v>1156</v>
      </c>
    </row>
    <row r="218" spans="31:64" x14ac:dyDescent="0.2">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4"/>
      <c r="BB218" s="94"/>
      <c r="BC218" s="94"/>
      <c r="BD218" s="94"/>
      <c r="BE218" s="94"/>
      <c r="BF218" s="94" t="s">
        <v>1287</v>
      </c>
      <c r="BG218" s="94"/>
      <c r="BH218" s="94"/>
      <c r="BI218" s="1029" t="s">
        <v>996</v>
      </c>
      <c r="BJ218" s="94" t="s">
        <v>635</v>
      </c>
      <c r="BK218" s="94">
        <v>23.7</v>
      </c>
      <c r="BL218" s="94">
        <v>470</v>
      </c>
    </row>
    <row r="219" spans="31:64" x14ac:dyDescent="0.2">
      <c r="AE219" s="94"/>
      <c r="AF219" s="94"/>
      <c r="AG219" s="94"/>
      <c r="AH219" s="94"/>
      <c r="AI219" s="94"/>
      <c r="AJ219" s="94"/>
      <c r="AK219" s="94"/>
      <c r="AL219" s="94"/>
      <c r="AM219" s="94"/>
      <c r="AN219" s="94"/>
      <c r="AO219" s="94"/>
      <c r="AP219" s="94"/>
      <c r="AQ219" s="94"/>
      <c r="AR219" s="94"/>
      <c r="AS219" s="94"/>
      <c r="AT219" s="94"/>
      <c r="AU219" s="94"/>
      <c r="AV219" s="94"/>
      <c r="AW219" s="94"/>
      <c r="AX219" s="94"/>
      <c r="AY219" s="94"/>
      <c r="AZ219" s="94"/>
      <c r="BA219" s="94"/>
      <c r="BB219" s="94"/>
      <c r="BC219" s="94"/>
      <c r="BD219" s="94"/>
      <c r="BE219" s="94"/>
      <c r="BF219" s="94" t="s">
        <v>1288</v>
      </c>
      <c r="BG219" s="94"/>
      <c r="BH219" s="94"/>
      <c r="BI219" s="1029" t="s">
        <v>997</v>
      </c>
      <c r="BJ219" s="94" t="s">
        <v>635</v>
      </c>
      <c r="BK219" s="94">
        <v>26.1</v>
      </c>
      <c r="BL219" s="94">
        <v>1022</v>
      </c>
    </row>
    <row r="220" spans="31:64" x14ac:dyDescent="0.2">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c r="BB220" s="94"/>
      <c r="BC220" s="94"/>
      <c r="BD220" s="94"/>
      <c r="BE220" s="94"/>
      <c r="BF220" s="94" t="s">
        <v>872</v>
      </c>
      <c r="BG220" s="94"/>
      <c r="BH220" s="94"/>
      <c r="BI220" s="1029" t="s">
        <v>998</v>
      </c>
      <c r="BJ220" s="94" t="s">
        <v>635</v>
      </c>
      <c r="BK220" s="94">
        <v>22.4</v>
      </c>
      <c r="BL220" s="94">
        <v>670</v>
      </c>
    </row>
    <row r="221" spans="31:64" x14ac:dyDescent="0.2">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4"/>
      <c r="BB221" s="94"/>
      <c r="BC221" s="94"/>
      <c r="BD221" s="94"/>
      <c r="BE221" s="94"/>
      <c r="BF221" s="94" t="s">
        <v>1289</v>
      </c>
      <c r="BG221" s="94"/>
      <c r="BH221" s="94"/>
      <c r="BI221" s="1029" t="s">
        <v>999</v>
      </c>
      <c r="BJ221" s="94" t="s">
        <v>635</v>
      </c>
      <c r="BK221" s="94">
        <v>25.3</v>
      </c>
      <c r="BL221" s="94">
        <v>668</v>
      </c>
    </row>
    <row r="222" spans="31:64" x14ac:dyDescent="0.2">
      <c r="AE222" s="94"/>
      <c r="AF222" s="94"/>
      <c r="AG222" s="94"/>
      <c r="AH222" s="94"/>
      <c r="AI222" s="94"/>
      <c r="AJ222" s="94"/>
      <c r="AK222" s="94"/>
      <c r="AL222" s="94"/>
      <c r="AM222" s="94"/>
      <c r="AN222" s="94"/>
      <c r="AO222" s="94"/>
      <c r="AP222" s="94"/>
      <c r="AQ222" s="94"/>
      <c r="AR222" s="94"/>
      <c r="AS222" s="94"/>
      <c r="AT222" s="94"/>
      <c r="AU222" s="94"/>
      <c r="AV222" s="94"/>
      <c r="AW222" s="94"/>
      <c r="AX222" s="94"/>
      <c r="AY222" s="94"/>
      <c r="AZ222" s="94"/>
      <c r="BA222" s="94"/>
      <c r="BB222" s="94"/>
      <c r="BC222" s="94"/>
      <c r="BD222" s="94"/>
      <c r="BE222" s="94"/>
      <c r="BF222" s="94" t="s">
        <v>1290</v>
      </c>
      <c r="BG222" s="94"/>
      <c r="BH222" s="94"/>
      <c r="BI222" s="1029" t="s">
        <v>1000</v>
      </c>
      <c r="BJ222" s="94" t="s">
        <v>635</v>
      </c>
      <c r="BK222" s="94">
        <v>26.8</v>
      </c>
      <c r="BL222" s="94">
        <v>879</v>
      </c>
    </row>
    <row r="223" spans="31:64" x14ac:dyDescent="0.2">
      <c r="AE223" s="94"/>
      <c r="AF223" s="94"/>
      <c r="AG223" s="94"/>
      <c r="AH223" s="94"/>
      <c r="AI223" s="94"/>
      <c r="AJ223" s="94"/>
      <c r="AK223" s="94"/>
      <c r="AL223" s="94"/>
      <c r="AM223" s="94"/>
      <c r="AN223" s="94"/>
      <c r="AO223" s="94"/>
      <c r="AP223" s="94"/>
      <c r="AQ223" s="94"/>
      <c r="AR223" s="94"/>
      <c r="AS223" s="94"/>
      <c r="AT223" s="94"/>
      <c r="AU223" s="94"/>
      <c r="AV223" s="94"/>
      <c r="AW223" s="94"/>
      <c r="AX223" s="94"/>
      <c r="AY223" s="94"/>
      <c r="AZ223" s="94"/>
      <c r="BA223" s="94"/>
      <c r="BB223" s="94"/>
      <c r="BC223" s="94"/>
      <c r="BD223" s="94"/>
      <c r="BE223" s="94"/>
      <c r="BF223" s="94" t="s">
        <v>1291</v>
      </c>
      <c r="BG223" s="94"/>
      <c r="BH223" s="94"/>
      <c r="BI223" s="1029" t="s">
        <v>1001</v>
      </c>
      <c r="BJ223" s="94" t="s">
        <v>635</v>
      </c>
      <c r="BK223" s="94">
        <v>26.6</v>
      </c>
      <c r="BL223" s="94">
        <v>880</v>
      </c>
    </row>
    <row r="224" spans="31:64" x14ac:dyDescent="0.2">
      <c r="AE224" s="94"/>
      <c r="AF224" s="94"/>
      <c r="AG224" s="94"/>
      <c r="AH224" s="94"/>
      <c r="AI224" s="94"/>
      <c r="AJ224" s="94"/>
      <c r="AK224" s="94"/>
      <c r="AL224" s="94"/>
      <c r="AM224" s="94"/>
      <c r="AN224" s="94"/>
      <c r="AO224" s="94"/>
      <c r="AP224" s="94"/>
      <c r="AQ224" s="94"/>
      <c r="AR224" s="94"/>
      <c r="AS224" s="94"/>
      <c r="AT224" s="94"/>
      <c r="AU224" s="94"/>
      <c r="AV224" s="94"/>
      <c r="AW224" s="94"/>
      <c r="AX224" s="94"/>
      <c r="AY224" s="94"/>
      <c r="AZ224" s="94"/>
      <c r="BA224" s="94"/>
      <c r="BB224" s="94"/>
      <c r="BC224" s="94"/>
      <c r="BD224" s="94"/>
      <c r="BE224" s="94"/>
      <c r="BF224" s="94" t="s">
        <v>877</v>
      </c>
      <c r="BG224" s="94"/>
      <c r="BH224" s="94"/>
      <c r="BI224" s="1029" t="s">
        <v>1002</v>
      </c>
      <c r="BJ224" s="94" t="s">
        <v>635</v>
      </c>
      <c r="BK224" s="94">
        <v>26.7</v>
      </c>
      <c r="BL224" s="94">
        <v>853</v>
      </c>
    </row>
    <row r="225" spans="31:64" x14ac:dyDescent="0.2">
      <c r="AE225" s="94"/>
      <c r="AF225" s="94"/>
      <c r="AG225" s="94"/>
      <c r="AH225" s="94"/>
      <c r="AI225" s="94"/>
      <c r="AJ225" s="94"/>
      <c r="AK225" s="94"/>
      <c r="AL225" s="94"/>
      <c r="AM225" s="94"/>
      <c r="AN225" s="94"/>
      <c r="AO225" s="94"/>
      <c r="AP225" s="94"/>
      <c r="AQ225" s="94"/>
      <c r="AR225" s="94"/>
      <c r="AS225" s="94"/>
      <c r="AT225" s="94"/>
      <c r="AU225" s="94"/>
      <c r="AV225" s="94"/>
      <c r="AW225" s="94"/>
      <c r="AX225" s="94"/>
      <c r="AY225" s="94"/>
      <c r="AZ225" s="94"/>
      <c r="BA225" s="94"/>
      <c r="BB225" s="94"/>
      <c r="BC225" s="94"/>
      <c r="BD225" s="94"/>
      <c r="BE225" s="94"/>
      <c r="BF225" s="94" t="s">
        <v>1292</v>
      </c>
      <c r="BG225" s="94"/>
      <c r="BH225" s="94"/>
      <c r="BI225" s="1029" t="s">
        <v>684</v>
      </c>
      <c r="BJ225" s="94" t="s">
        <v>635</v>
      </c>
      <c r="BK225" s="94">
        <v>26.1</v>
      </c>
      <c r="BL225" s="94">
        <v>2145.4</v>
      </c>
    </row>
    <row r="226" spans="31:64" x14ac:dyDescent="0.2">
      <c r="AE226" s="94"/>
      <c r="AF226" s="94"/>
      <c r="AG226" s="94"/>
      <c r="AH226" s="94"/>
      <c r="AI226" s="94"/>
      <c r="AJ226" s="94"/>
      <c r="AK226" s="94"/>
      <c r="AL226" s="94"/>
      <c r="AM226" s="94"/>
      <c r="AN226" s="94"/>
      <c r="AO226" s="94"/>
      <c r="AP226" s="94"/>
      <c r="AQ226" s="94"/>
      <c r="AR226" s="94"/>
      <c r="AS226" s="94"/>
      <c r="AT226" s="94"/>
      <c r="AU226" s="94"/>
      <c r="AV226" s="94"/>
      <c r="AW226" s="94"/>
      <c r="AX226" s="94"/>
      <c r="AY226" s="94"/>
      <c r="AZ226" s="94"/>
      <c r="BA226" s="94"/>
      <c r="BB226" s="94"/>
      <c r="BC226" s="94"/>
      <c r="BD226" s="94"/>
      <c r="BE226" s="94"/>
      <c r="BF226" s="94" t="s">
        <v>1293</v>
      </c>
      <c r="BG226" s="94"/>
      <c r="BH226" s="94"/>
      <c r="BI226" s="1029" t="s">
        <v>1003</v>
      </c>
      <c r="BJ226" s="94" t="s">
        <v>635</v>
      </c>
      <c r="BK226" s="94">
        <v>23.1</v>
      </c>
      <c r="BL226" s="94">
        <v>498</v>
      </c>
    </row>
    <row r="227" spans="31:64" x14ac:dyDescent="0.2">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4"/>
      <c r="BB227" s="94"/>
      <c r="BC227" s="94"/>
      <c r="BD227" s="94"/>
      <c r="BE227" s="94"/>
      <c r="BF227" s="94" t="s">
        <v>1294</v>
      </c>
      <c r="BG227" s="94"/>
      <c r="BH227" s="94"/>
      <c r="BI227" s="1029" t="s">
        <v>1004</v>
      </c>
      <c r="BJ227" s="94" t="s">
        <v>635</v>
      </c>
      <c r="BK227" s="94">
        <v>23.4</v>
      </c>
      <c r="BL227" s="94">
        <v>584</v>
      </c>
    </row>
    <row r="228" spans="31:64" x14ac:dyDescent="0.2">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t="s">
        <v>881</v>
      </c>
      <c r="BG228" s="94"/>
      <c r="BH228" s="94"/>
      <c r="BI228" s="1029" t="s">
        <v>1005</v>
      </c>
      <c r="BJ228" s="94" t="s">
        <v>635</v>
      </c>
      <c r="BK228" s="94">
        <v>25.6</v>
      </c>
      <c r="BL228" s="94">
        <v>727</v>
      </c>
    </row>
    <row r="229" spans="31:64" x14ac:dyDescent="0.2">
      <c r="AE229" s="94"/>
      <c r="AF229" s="94"/>
      <c r="AG229" s="94"/>
      <c r="AH229" s="94"/>
      <c r="AI229" s="94"/>
      <c r="AJ229" s="94"/>
      <c r="AK229" s="94"/>
      <c r="AL229" s="94"/>
      <c r="AM229" s="94"/>
      <c r="AN229" s="94"/>
      <c r="AO229" s="94"/>
      <c r="AP229" s="94"/>
      <c r="AQ229" s="94"/>
      <c r="AR229" s="94"/>
      <c r="AS229" s="94"/>
      <c r="AT229" s="94"/>
      <c r="AU229" s="94"/>
      <c r="AV229" s="94"/>
      <c r="AW229" s="94"/>
      <c r="AX229" s="94"/>
      <c r="AY229" s="94"/>
      <c r="AZ229" s="94"/>
      <c r="BA229" s="94"/>
      <c r="BB229" s="94"/>
      <c r="BC229" s="94"/>
      <c r="BD229" s="94"/>
      <c r="BE229" s="94"/>
      <c r="BF229" s="94" t="s">
        <v>1295</v>
      </c>
      <c r="BG229" s="94"/>
      <c r="BH229" s="94"/>
      <c r="BI229" s="1029" t="s">
        <v>1006</v>
      </c>
      <c r="BJ229" s="94" t="s">
        <v>635</v>
      </c>
      <c r="BK229" s="94">
        <v>25.3</v>
      </c>
      <c r="BL229" s="94">
        <v>1471</v>
      </c>
    </row>
    <row r="230" spans="31:64" x14ac:dyDescent="0.2">
      <c r="AE230" s="94"/>
      <c r="AF230" s="94"/>
      <c r="AG230" s="94"/>
      <c r="AH230" s="94"/>
      <c r="AI230" s="94"/>
      <c r="AJ230" s="94"/>
      <c r="AK230" s="94"/>
      <c r="AL230" s="94"/>
      <c r="AM230" s="94"/>
      <c r="AN230" s="94"/>
      <c r="AO230" s="94"/>
      <c r="AP230" s="94"/>
      <c r="AQ230" s="94"/>
      <c r="AR230" s="94"/>
      <c r="AS230" s="94"/>
      <c r="AT230" s="94"/>
      <c r="AU230" s="94"/>
      <c r="AV230" s="94"/>
      <c r="AW230" s="94"/>
      <c r="AX230" s="94"/>
      <c r="AY230" s="94"/>
      <c r="AZ230" s="94"/>
      <c r="BA230" s="94"/>
      <c r="BB230" s="94"/>
      <c r="BC230" s="94"/>
      <c r="BD230" s="94"/>
      <c r="BE230" s="94"/>
      <c r="BF230" s="94" t="s">
        <v>1296</v>
      </c>
      <c r="BG230" s="94"/>
      <c r="BH230" s="94"/>
      <c r="BI230" s="1029" t="s">
        <v>1007</v>
      </c>
      <c r="BJ230" s="94" t="s">
        <v>635</v>
      </c>
      <c r="BK230" s="94">
        <v>21.8</v>
      </c>
      <c r="BL230" s="94">
        <v>663</v>
      </c>
    </row>
    <row r="231" spans="31:64" x14ac:dyDescent="0.2">
      <c r="AE231" s="94"/>
      <c r="AF231" s="94"/>
      <c r="AG231" s="94"/>
      <c r="AH231" s="94"/>
      <c r="AI231" s="94"/>
      <c r="AJ231" s="94"/>
      <c r="AK231" s="94"/>
      <c r="AL231" s="94"/>
      <c r="AM231" s="94"/>
      <c r="AN231" s="94"/>
      <c r="AO231" s="94"/>
      <c r="AP231" s="94"/>
      <c r="AQ231" s="94"/>
      <c r="AR231" s="94"/>
      <c r="AS231" s="94"/>
      <c r="AT231" s="94"/>
      <c r="AU231" s="94"/>
      <c r="AV231" s="94"/>
      <c r="AW231" s="94"/>
      <c r="AX231" s="94"/>
      <c r="AY231" s="94"/>
      <c r="AZ231" s="94"/>
      <c r="BA231" s="94"/>
      <c r="BB231" s="94"/>
      <c r="BC231" s="94"/>
      <c r="BD231" s="94"/>
      <c r="BE231" s="94"/>
      <c r="BF231" s="94" t="s">
        <v>1297</v>
      </c>
      <c r="BG231" s="94"/>
      <c r="BH231" s="94"/>
      <c r="BI231" s="1029" t="s">
        <v>1008</v>
      </c>
      <c r="BJ231" s="94" t="s">
        <v>635</v>
      </c>
      <c r="BK231" s="94">
        <v>25.3</v>
      </c>
      <c r="BL231" s="94">
        <v>1736</v>
      </c>
    </row>
    <row r="232" spans="31:64" x14ac:dyDescent="0.2">
      <c r="AE232" s="94"/>
      <c r="AF232" s="94"/>
      <c r="AG232" s="94"/>
      <c r="AH232" s="94"/>
      <c r="AI232" s="94"/>
      <c r="AJ232" s="94"/>
      <c r="AK232" s="94"/>
      <c r="AL232" s="94"/>
      <c r="AM232" s="94"/>
      <c r="AN232" s="94"/>
      <c r="AO232" s="94"/>
      <c r="AP232" s="94"/>
      <c r="AQ232" s="94"/>
      <c r="AR232" s="94"/>
      <c r="AS232" s="94"/>
      <c r="AT232" s="94"/>
      <c r="AU232" s="94"/>
      <c r="AV232" s="94"/>
      <c r="AW232" s="94"/>
      <c r="AX232" s="94"/>
      <c r="AY232" s="94"/>
      <c r="AZ232" s="94"/>
      <c r="BA232" s="94"/>
      <c r="BB232" s="94"/>
      <c r="BC232" s="94"/>
      <c r="BD232" s="94"/>
      <c r="BE232" s="94"/>
      <c r="BF232" s="94" t="s">
        <v>1298</v>
      </c>
      <c r="BG232" s="94"/>
      <c r="BH232" s="94"/>
      <c r="BI232" s="1029" t="s">
        <v>706</v>
      </c>
      <c r="BJ232" s="94" t="s">
        <v>635</v>
      </c>
      <c r="BK232" s="94">
        <v>23.7</v>
      </c>
      <c r="BL232" s="94">
        <v>712.5</v>
      </c>
    </row>
    <row r="233" spans="31:64" x14ac:dyDescent="0.2">
      <c r="AE233" s="94"/>
      <c r="AF233" s="94"/>
      <c r="AG233" s="94"/>
      <c r="AH233" s="94"/>
      <c r="AI233" s="94"/>
      <c r="AJ233" s="94"/>
      <c r="AK233" s="94"/>
      <c r="AL233" s="94"/>
      <c r="AM233" s="94"/>
      <c r="AN233" s="94"/>
      <c r="AO233" s="94"/>
      <c r="AP233" s="94"/>
      <c r="AQ233" s="94"/>
      <c r="AR233" s="94"/>
      <c r="AS233" s="94"/>
      <c r="AT233" s="94"/>
      <c r="AU233" s="94"/>
      <c r="AV233" s="94"/>
      <c r="AW233" s="94"/>
      <c r="AX233" s="94"/>
      <c r="AY233" s="94"/>
      <c r="AZ233" s="94"/>
      <c r="BA233" s="94"/>
      <c r="BB233" s="94"/>
      <c r="BC233" s="94"/>
      <c r="BD233" s="94"/>
      <c r="BE233" s="94"/>
      <c r="BF233" s="94" t="s">
        <v>884</v>
      </c>
      <c r="BG233" s="94"/>
      <c r="BH233" s="94"/>
      <c r="BI233" s="1029" t="s">
        <v>1009</v>
      </c>
      <c r="BJ233" s="94" t="s">
        <v>635</v>
      </c>
      <c r="BK233" s="94">
        <v>25.5</v>
      </c>
      <c r="BL233" s="94">
        <v>828</v>
      </c>
    </row>
    <row r="234" spans="31:64" x14ac:dyDescent="0.2">
      <c r="AE234" s="94"/>
      <c r="AF234" s="94"/>
      <c r="AG234" s="94"/>
      <c r="AH234" s="94"/>
      <c r="AI234" s="94"/>
      <c r="AJ234" s="94"/>
      <c r="AK234" s="94"/>
      <c r="AL234" s="94"/>
      <c r="AM234" s="94"/>
      <c r="AN234" s="94"/>
      <c r="AO234" s="94"/>
      <c r="AP234" s="94"/>
      <c r="AQ234" s="94"/>
      <c r="AR234" s="94"/>
      <c r="AS234" s="94"/>
      <c r="AT234" s="94"/>
      <c r="AU234" s="94"/>
      <c r="AV234" s="94"/>
      <c r="AW234" s="94"/>
      <c r="AX234" s="94"/>
      <c r="AY234" s="94"/>
      <c r="AZ234" s="94"/>
      <c r="BA234" s="94"/>
      <c r="BB234" s="94"/>
      <c r="BC234" s="94"/>
      <c r="BD234" s="94"/>
      <c r="BE234" s="94"/>
      <c r="BF234" s="94" t="s">
        <v>1299</v>
      </c>
      <c r="BG234" s="94"/>
      <c r="BH234" s="94"/>
      <c r="BI234" s="1029" t="s">
        <v>1010</v>
      </c>
      <c r="BJ234" s="94" t="s">
        <v>635</v>
      </c>
      <c r="BK234" s="94">
        <v>25.3</v>
      </c>
      <c r="BL234" s="94">
        <v>754</v>
      </c>
    </row>
    <row r="235" spans="31:64" x14ac:dyDescent="0.2">
      <c r="AE235" s="94"/>
      <c r="AF235" s="94"/>
      <c r="AG235" s="94"/>
      <c r="AH235" s="94"/>
      <c r="AI235" s="94"/>
      <c r="AJ235" s="94"/>
      <c r="AK235" s="94"/>
      <c r="AL235" s="94"/>
      <c r="AM235" s="94"/>
      <c r="AN235" s="94"/>
      <c r="AO235" s="94"/>
      <c r="AP235" s="94"/>
      <c r="AQ235" s="94"/>
      <c r="AR235" s="94"/>
      <c r="AS235" s="94"/>
      <c r="AT235" s="94"/>
      <c r="AU235" s="94"/>
      <c r="AV235" s="94"/>
      <c r="AW235" s="94"/>
      <c r="AX235" s="94"/>
      <c r="AY235" s="94"/>
      <c r="AZ235" s="94"/>
      <c r="BA235" s="94"/>
      <c r="BB235" s="94"/>
      <c r="BC235" s="94"/>
      <c r="BD235" s="94"/>
      <c r="BE235" s="94"/>
      <c r="BF235" s="94" t="s">
        <v>1300</v>
      </c>
      <c r="BG235" s="94"/>
      <c r="BH235" s="94"/>
      <c r="BI235" s="1029" t="s">
        <v>1011</v>
      </c>
      <c r="BJ235" s="94" t="s">
        <v>635</v>
      </c>
      <c r="BK235" s="94">
        <v>26.6</v>
      </c>
      <c r="BL235" s="94">
        <v>853</v>
      </c>
    </row>
    <row r="236" spans="31:64" x14ac:dyDescent="0.2">
      <c r="AE236" s="94"/>
      <c r="AF236" s="94"/>
      <c r="AG236" s="94"/>
      <c r="AH236" s="94"/>
      <c r="AI236" s="94"/>
      <c r="AJ236" s="94"/>
      <c r="AK236" s="94"/>
      <c r="AL236" s="94"/>
      <c r="AM236" s="94"/>
      <c r="AN236" s="94"/>
      <c r="AO236" s="94"/>
      <c r="AP236" s="94"/>
      <c r="AQ236" s="94"/>
      <c r="AR236" s="94"/>
      <c r="AS236" s="94"/>
      <c r="AT236" s="94"/>
      <c r="AU236" s="94"/>
      <c r="AV236" s="94"/>
      <c r="AW236" s="94"/>
      <c r="AX236" s="94"/>
      <c r="AY236" s="94"/>
      <c r="AZ236" s="94"/>
      <c r="BA236" s="94"/>
      <c r="BB236" s="94"/>
      <c r="BC236" s="94"/>
      <c r="BD236" s="94"/>
      <c r="BE236" s="94"/>
      <c r="BF236" s="94" t="s">
        <v>1301</v>
      </c>
      <c r="BG236" s="94"/>
      <c r="BH236" s="94"/>
      <c r="BI236" s="1029" t="s">
        <v>1012</v>
      </c>
      <c r="BJ236" s="94" t="s">
        <v>635</v>
      </c>
      <c r="BK236" s="94">
        <v>26.1</v>
      </c>
      <c r="BL236" s="94">
        <v>939</v>
      </c>
    </row>
    <row r="237" spans="31:64" x14ac:dyDescent="0.2">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c r="BB237" s="94"/>
      <c r="BC237" s="94"/>
      <c r="BD237" s="94"/>
      <c r="BE237" s="94"/>
      <c r="BF237" s="94" t="s">
        <v>887</v>
      </c>
      <c r="BG237" s="94"/>
      <c r="BH237" s="94"/>
      <c r="BI237" s="1029" t="s">
        <v>1013</v>
      </c>
      <c r="BJ237" s="94" t="s">
        <v>635</v>
      </c>
      <c r="BK237" s="94">
        <v>26.2</v>
      </c>
      <c r="BL237" s="94">
        <v>1125</v>
      </c>
    </row>
    <row r="238" spans="31:64" x14ac:dyDescent="0.2">
      <c r="AE238" s="94"/>
      <c r="AF238" s="94"/>
      <c r="AG238" s="94"/>
      <c r="AH238" s="94"/>
      <c r="AI238" s="94"/>
      <c r="AJ238" s="94"/>
      <c r="AK238" s="94"/>
      <c r="AL238" s="94"/>
      <c r="AM238" s="94"/>
      <c r="AN238" s="94"/>
      <c r="AO238" s="94"/>
      <c r="AP238" s="94"/>
      <c r="AQ238" s="94"/>
      <c r="AR238" s="94"/>
      <c r="AS238" s="94"/>
      <c r="AT238" s="94"/>
      <c r="AU238" s="94"/>
      <c r="AV238" s="94"/>
      <c r="AW238" s="94"/>
      <c r="AX238" s="94"/>
      <c r="AY238" s="94"/>
      <c r="AZ238" s="94"/>
      <c r="BA238" s="94"/>
      <c r="BB238" s="94"/>
      <c r="BC238" s="94"/>
      <c r="BD238" s="94"/>
      <c r="BE238" s="94"/>
      <c r="BF238" s="94" t="s">
        <v>1302</v>
      </c>
      <c r="BG238" s="94"/>
      <c r="BH238" s="94"/>
      <c r="BI238" s="1029" t="s">
        <v>1014</v>
      </c>
      <c r="BJ238" s="94" t="s">
        <v>635</v>
      </c>
      <c r="BK238" s="94">
        <v>23</v>
      </c>
      <c r="BL238" s="94">
        <v>469</v>
      </c>
    </row>
    <row r="239" spans="31:64" x14ac:dyDescent="0.2">
      <c r="AE239" s="94"/>
      <c r="AF239" s="94"/>
      <c r="AG239" s="94"/>
      <c r="AH239" s="94"/>
      <c r="AI239" s="94"/>
      <c r="AJ239" s="94"/>
      <c r="AK239" s="94"/>
      <c r="AL239" s="94"/>
      <c r="AM239" s="94"/>
      <c r="AN239" s="94"/>
      <c r="AO239" s="94"/>
      <c r="AP239" s="94"/>
      <c r="AQ239" s="94"/>
      <c r="AR239" s="94"/>
      <c r="AS239" s="94"/>
      <c r="AT239" s="94"/>
      <c r="AU239" s="94"/>
      <c r="AV239" s="94"/>
      <c r="AW239" s="94"/>
      <c r="AX239" s="94"/>
      <c r="AY239" s="94"/>
      <c r="AZ239" s="94"/>
      <c r="BA239" s="94"/>
      <c r="BB239" s="94"/>
      <c r="BC239" s="94"/>
      <c r="BD239" s="94"/>
      <c r="BE239" s="94"/>
      <c r="BF239" s="94" t="s">
        <v>1303</v>
      </c>
      <c r="BG239" s="94"/>
      <c r="BH239" s="94"/>
      <c r="BI239" s="1029" t="s">
        <v>1015</v>
      </c>
      <c r="BJ239" s="94" t="s">
        <v>635</v>
      </c>
      <c r="BK239" s="94">
        <v>25.2</v>
      </c>
      <c r="BL239" s="94">
        <v>654</v>
      </c>
    </row>
    <row r="240" spans="31:64" x14ac:dyDescent="0.2">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t="s">
        <v>890</v>
      </c>
      <c r="BG240" s="94"/>
      <c r="BH240" s="94"/>
      <c r="BI240" s="1029" t="s">
        <v>1016</v>
      </c>
      <c r="BJ240" s="94" t="s">
        <v>635</v>
      </c>
      <c r="BK240" s="94">
        <v>27.2</v>
      </c>
      <c r="BL240" s="94">
        <v>704</v>
      </c>
    </row>
    <row r="241" spans="31:64" x14ac:dyDescent="0.2">
      <c r="AE241" s="94"/>
      <c r="AF241" s="94"/>
      <c r="AG241" s="94"/>
      <c r="AH241" s="94"/>
      <c r="AI241" s="94"/>
      <c r="AJ241" s="94"/>
      <c r="AK241" s="94"/>
      <c r="AL241" s="94"/>
      <c r="AM241" s="94"/>
      <c r="AN241" s="94"/>
      <c r="AO241" s="94"/>
      <c r="AP241" s="94"/>
      <c r="AQ241" s="94"/>
      <c r="AR241" s="94"/>
      <c r="AS241" s="94"/>
      <c r="AT241" s="94"/>
      <c r="AU241" s="94"/>
      <c r="AV241" s="94"/>
      <c r="AW241" s="94"/>
      <c r="AX241" s="94"/>
      <c r="AY241" s="94"/>
      <c r="AZ241" s="94"/>
      <c r="BA241" s="94"/>
      <c r="BB241" s="94"/>
      <c r="BC241" s="94"/>
      <c r="BD241" s="94"/>
      <c r="BE241" s="94"/>
      <c r="BF241" s="94" t="s">
        <v>1304</v>
      </c>
      <c r="BG241" s="94"/>
      <c r="BH241" s="94"/>
      <c r="BI241" s="1029" t="s">
        <v>1017</v>
      </c>
      <c r="BJ241" s="94" t="s">
        <v>635</v>
      </c>
      <c r="BK241" s="94">
        <v>23.3</v>
      </c>
      <c r="BL241" s="94">
        <v>369</v>
      </c>
    </row>
    <row r="242" spans="31:64" x14ac:dyDescent="0.2">
      <c r="AE242" s="94"/>
      <c r="AF242" s="94"/>
      <c r="AG242" s="94"/>
      <c r="AH242" s="94"/>
      <c r="AI242" s="94"/>
      <c r="AJ242" s="94"/>
      <c r="AK242" s="94"/>
      <c r="AL242" s="94"/>
      <c r="AM242" s="94"/>
      <c r="AN242" s="94"/>
      <c r="AO242" s="94"/>
      <c r="AP242" s="94"/>
      <c r="AQ242" s="94"/>
      <c r="AR242" s="94"/>
      <c r="AS242" s="94"/>
      <c r="AT242" s="94"/>
      <c r="AU242" s="94"/>
      <c r="AV242" s="94"/>
      <c r="AW242" s="94"/>
      <c r="AX242" s="94"/>
      <c r="AY242" s="94"/>
      <c r="AZ242" s="94"/>
      <c r="BA242" s="94"/>
      <c r="BB242" s="94"/>
      <c r="BC242" s="94"/>
      <c r="BD242" s="94"/>
      <c r="BE242" s="94"/>
      <c r="BF242" s="94" t="s">
        <v>1305</v>
      </c>
      <c r="BG242" s="94"/>
      <c r="BH242" s="94"/>
      <c r="BI242" s="1029" t="s">
        <v>1018</v>
      </c>
      <c r="BJ242" s="94" t="s">
        <v>635</v>
      </c>
      <c r="BK242" s="94">
        <v>26.5</v>
      </c>
      <c r="BL242" s="94">
        <v>904</v>
      </c>
    </row>
    <row r="243" spans="31:64" x14ac:dyDescent="0.2">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t="s">
        <v>1306</v>
      </c>
      <c r="BG243" s="94"/>
      <c r="BH243" s="94"/>
      <c r="BI243" s="1029" t="s">
        <v>1019</v>
      </c>
      <c r="BJ243" s="94" t="s">
        <v>635</v>
      </c>
      <c r="BK243" s="94">
        <v>23.8</v>
      </c>
      <c r="BL243" s="94">
        <v>347</v>
      </c>
    </row>
    <row r="244" spans="31:64" x14ac:dyDescent="0.2">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t="s">
        <v>1307</v>
      </c>
      <c r="BG244" s="94"/>
      <c r="BH244" s="94"/>
      <c r="BI244" s="1029" t="s">
        <v>1020</v>
      </c>
      <c r="BJ244" s="94" t="s">
        <v>635</v>
      </c>
      <c r="BK244" s="94">
        <v>26.7</v>
      </c>
      <c r="BL244" s="94">
        <v>831</v>
      </c>
    </row>
    <row r="245" spans="31:64" x14ac:dyDescent="0.2">
      <c r="AE245" s="94"/>
      <c r="AF245" s="94"/>
      <c r="AG245" s="94"/>
      <c r="AH245" s="94"/>
      <c r="AI245" s="94"/>
      <c r="AJ245" s="94"/>
      <c r="AK245" s="94"/>
      <c r="AL245" s="94"/>
      <c r="AM245" s="94"/>
      <c r="AN245" s="94"/>
      <c r="AO245" s="94"/>
      <c r="AP245" s="94"/>
      <c r="AQ245" s="94"/>
      <c r="AR245" s="94"/>
      <c r="AS245" s="94"/>
      <c r="AT245" s="94"/>
      <c r="AU245" s="94"/>
      <c r="AV245" s="94"/>
      <c r="AW245" s="94"/>
      <c r="AX245" s="94"/>
      <c r="AY245" s="94"/>
      <c r="AZ245" s="94"/>
      <c r="BA245" s="94"/>
      <c r="BB245" s="94"/>
      <c r="BC245" s="94"/>
      <c r="BD245" s="94"/>
      <c r="BE245" s="94"/>
      <c r="BF245" s="94" t="s">
        <v>893</v>
      </c>
      <c r="BG245" s="94"/>
      <c r="BH245" s="94"/>
      <c r="BI245" s="1029" t="s">
        <v>1021</v>
      </c>
      <c r="BJ245" s="94" t="s">
        <v>635</v>
      </c>
      <c r="BK245" s="94">
        <v>22.2</v>
      </c>
      <c r="BL245" s="94">
        <v>385</v>
      </c>
    </row>
    <row r="246" spans="31:64" x14ac:dyDescent="0.2">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4"/>
      <c r="BB246" s="94"/>
      <c r="BC246" s="94"/>
      <c r="BD246" s="94"/>
      <c r="BE246" s="94"/>
      <c r="BF246" s="94" t="s">
        <v>1308</v>
      </c>
      <c r="BG246" s="94"/>
      <c r="BH246" s="94"/>
      <c r="BI246" s="1029" t="s">
        <v>1022</v>
      </c>
      <c r="BJ246" s="94" t="s">
        <v>635</v>
      </c>
      <c r="BK246" s="94">
        <v>27</v>
      </c>
      <c r="BL246" s="94">
        <v>722</v>
      </c>
    </row>
    <row r="247" spans="31:64" x14ac:dyDescent="0.2">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t="s">
        <v>1309</v>
      </c>
      <c r="BG247" s="94"/>
      <c r="BH247" s="94"/>
      <c r="BI247" s="1029" t="s">
        <v>1023</v>
      </c>
      <c r="BJ247" s="94" t="s">
        <v>635</v>
      </c>
      <c r="BK247" s="94">
        <v>26</v>
      </c>
      <c r="BL247" s="94">
        <v>737</v>
      </c>
    </row>
    <row r="248" spans="31:64" x14ac:dyDescent="0.2">
      <c r="AE248" s="94"/>
      <c r="AF248" s="94"/>
      <c r="AG248" s="94"/>
      <c r="AH248" s="94"/>
      <c r="AI248" s="94"/>
      <c r="AJ248" s="94"/>
      <c r="AK248" s="94"/>
      <c r="AL248" s="94"/>
      <c r="AM248" s="94"/>
      <c r="AN248" s="94"/>
      <c r="AO248" s="94"/>
      <c r="AP248" s="94"/>
      <c r="AQ248" s="94"/>
      <c r="AR248" s="94"/>
      <c r="AS248" s="94"/>
      <c r="AT248" s="94"/>
      <c r="AU248" s="94"/>
      <c r="AV248" s="94"/>
      <c r="AW248" s="94"/>
      <c r="AX248" s="94"/>
      <c r="AY248" s="94"/>
      <c r="AZ248" s="94"/>
      <c r="BA248" s="94"/>
      <c r="BB248" s="94"/>
      <c r="BC248" s="94"/>
      <c r="BD248" s="94"/>
      <c r="BE248" s="94"/>
      <c r="BF248" s="94" t="s">
        <v>896</v>
      </c>
      <c r="BG248" s="94"/>
      <c r="BH248" s="94"/>
      <c r="BI248" s="1029" t="s">
        <v>1024</v>
      </c>
      <c r="BJ248" s="94" t="s">
        <v>635</v>
      </c>
      <c r="BK248" s="94">
        <v>23.5</v>
      </c>
      <c r="BL248" s="94">
        <v>431</v>
      </c>
    </row>
    <row r="249" spans="31:64" x14ac:dyDescent="0.2">
      <c r="AE249" s="94"/>
      <c r="AF249" s="94"/>
      <c r="AG249" s="94"/>
      <c r="AH249" s="94"/>
      <c r="AI249" s="94"/>
      <c r="AJ249" s="94"/>
      <c r="AK249" s="94"/>
      <c r="AL249" s="94"/>
      <c r="AM249" s="94"/>
      <c r="AN249" s="94"/>
      <c r="AO249" s="94"/>
      <c r="AP249" s="94"/>
      <c r="AQ249" s="94"/>
      <c r="AR249" s="94"/>
      <c r="AS249" s="94"/>
      <c r="AT249" s="94"/>
      <c r="AU249" s="94"/>
      <c r="AV249" s="94"/>
      <c r="AW249" s="94"/>
      <c r="AX249" s="94"/>
      <c r="AY249" s="94"/>
      <c r="AZ249" s="94"/>
      <c r="BA249" s="94"/>
      <c r="BB249" s="94"/>
      <c r="BC249" s="94"/>
      <c r="BD249" s="94"/>
      <c r="BE249" s="94"/>
      <c r="BF249" s="94" t="s">
        <v>1310</v>
      </c>
      <c r="BG249" s="94"/>
      <c r="BH249" s="94"/>
      <c r="BI249" s="1029" t="s">
        <v>1025</v>
      </c>
      <c r="BJ249" s="94" t="s">
        <v>635</v>
      </c>
      <c r="BK249" s="94">
        <v>24.5</v>
      </c>
      <c r="BL249" s="94">
        <v>450</v>
      </c>
    </row>
    <row r="250" spans="31:64" x14ac:dyDescent="0.2">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t="s">
        <v>1311</v>
      </c>
      <c r="BG250" s="94"/>
      <c r="BH250" s="94"/>
      <c r="BI250" s="1029" t="s">
        <v>1026</v>
      </c>
      <c r="BJ250" s="94" t="s">
        <v>635</v>
      </c>
      <c r="BK250" s="94">
        <v>23.7</v>
      </c>
      <c r="BL250" s="94">
        <v>416</v>
      </c>
    </row>
    <row r="251" spans="31:64" x14ac:dyDescent="0.2">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t="s">
        <v>1312</v>
      </c>
      <c r="BG251" s="94"/>
      <c r="BH251" s="94"/>
      <c r="BI251" s="1029" t="s">
        <v>1027</v>
      </c>
      <c r="BJ251" s="94" t="s">
        <v>635</v>
      </c>
      <c r="BK251" s="94">
        <v>24.1</v>
      </c>
      <c r="BL251" s="94">
        <v>518</v>
      </c>
    </row>
    <row r="252" spans="31:64" x14ac:dyDescent="0.2">
      <c r="AE252" s="94"/>
      <c r="AF252" s="94"/>
      <c r="AG252" s="94"/>
      <c r="AH252" s="94"/>
      <c r="AI252" s="94"/>
      <c r="AJ252" s="94"/>
      <c r="AK252" s="94"/>
      <c r="AL252" s="94"/>
      <c r="AM252" s="94"/>
      <c r="AN252" s="94"/>
      <c r="AO252" s="94"/>
      <c r="AP252" s="94"/>
      <c r="AQ252" s="94"/>
      <c r="AR252" s="94"/>
      <c r="AS252" s="94"/>
      <c r="AT252" s="94"/>
      <c r="AU252" s="94"/>
      <c r="AV252" s="94"/>
      <c r="AW252" s="94"/>
      <c r="AX252" s="94"/>
      <c r="AY252" s="94"/>
      <c r="AZ252" s="94"/>
      <c r="BA252" s="94"/>
      <c r="BB252" s="94"/>
      <c r="BC252" s="94"/>
      <c r="BD252" s="94"/>
      <c r="BE252" s="94"/>
      <c r="BF252" s="94" t="s">
        <v>1313</v>
      </c>
      <c r="BG252" s="94"/>
      <c r="BH252" s="94"/>
      <c r="BI252" s="1029" t="s">
        <v>1028</v>
      </c>
      <c r="BJ252" s="94" t="s">
        <v>635</v>
      </c>
      <c r="BK252" s="94">
        <v>24.1</v>
      </c>
      <c r="BL252" s="94">
        <v>804</v>
      </c>
    </row>
    <row r="253" spans="31:64" x14ac:dyDescent="0.2">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t="s">
        <v>1314</v>
      </c>
      <c r="BG253" s="94"/>
      <c r="BH253" s="94"/>
      <c r="BI253" s="1029" t="s">
        <v>1029</v>
      </c>
      <c r="BJ253" s="94" t="s">
        <v>635</v>
      </c>
      <c r="BK253" s="94">
        <v>23.7</v>
      </c>
      <c r="BL253" s="94">
        <v>1308</v>
      </c>
    </row>
    <row r="254" spans="31:64" x14ac:dyDescent="0.2">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t="s">
        <v>1315</v>
      </c>
      <c r="BG254" s="94"/>
      <c r="BH254" s="94"/>
      <c r="BI254" s="1029" t="s">
        <v>1030</v>
      </c>
      <c r="BJ254" s="94" t="s">
        <v>635</v>
      </c>
      <c r="BK254" s="94">
        <v>24.2</v>
      </c>
      <c r="BL254" s="94">
        <v>396</v>
      </c>
    </row>
    <row r="255" spans="31:64" x14ac:dyDescent="0.2">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t="s">
        <v>1316</v>
      </c>
      <c r="BG255" s="94"/>
      <c r="BH255" s="94"/>
      <c r="BI255" s="1029" t="s">
        <v>1031</v>
      </c>
      <c r="BJ255" s="94" t="s">
        <v>635</v>
      </c>
      <c r="BK255" s="94">
        <v>22.5</v>
      </c>
      <c r="BL255" s="94">
        <v>545</v>
      </c>
    </row>
    <row r="256" spans="31:64" x14ac:dyDescent="0.2">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t="s">
        <v>898</v>
      </c>
      <c r="BG256" s="94"/>
      <c r="BH256" s="94"/>
      <c r="BI256" s="1029" t="s">
        <v>1032</v>
      </c>
      <c r="BJ256" s="94" t="s">
        <v>635</v>
      </c>
      <c r="BK256" s="94">
        <v>27</v>
      </c>
      <c r="BL256" s="94">
        <v>789</v>
      </c>
    </row>
    <row r="257" spans="31:64" x14ac:dyDescent="0.2">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t="s">
        <v>898</v>
      </c>
      <c r="BG257" s="94"/>
      <c r="BH257" s="94"/>
      <c r="BI257" s="1029" t="s">
        <v>1033</v>
      </c>
      <c r="BJ257" s="94" t="s">
        <v>635</v>
      </c>
      <c r="BK257" s="94">
        <v>21.3</v>
      </c>
      <c r="BL257" s="94">
        <v>739</v>
      </c>
    </row>
    <row r="258" spans="31:64" x14ac:dyDescent="0.2">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t="s">
        <v>1317</v>
      </c>
      <c r="BG258" s="94"/>
      <c r="BH258" s="94"/>
      <c r="BI258" s="1029" t="s">
        <v>1034</v>
      </c>
      <c r="BJ258" s="94" t="s">
        <v>635</v>
      </c>
      <c r="BK258" s="94">
        <v>25.2</v>
      </c>
      <c r="BL258" s="94">
        <v>839</v>
      </c>
    </row>
    <row r="259" spans="31:64" x14ac:dyDescent="0.2">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t="s">
        <v>1318</v>
      </c>
      <c r="BG259" s="94"/>
      <c r="BH259" s="94"/>
      <c r="BI259" s="1029" t="s">
        <v>1035</v>
      </c>
      <c r="BJ259" s="94" t="s">
        <v>635</v>
      </c>
      <c r="BK259" s="94">
        <v>25.5</v>
      </c>
      <c r="BL259" s="94">
        <v>545</v>
      </c>
    </row>
    <row r="260" spans="31:64" x14ac:dyDescent="0.2">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t="s">
        <v>1319</v>
      </c>
      <c r="BG260" s="94"/>
      <c r="BH260" s="94"/>
      <c r="BI260" s="1029" t="s">
        <v>1036</v>
      </c>
      <c r="BJ260" s="94" t="s">
        <v>635</v>
      </c>
      <c r="BK260" s="94">
        <v>25.5</v>
      </c>
      <c r="BL260" s="94">
        <v>1473</v>
      </c>
    </row>
    <row r="261" spans="31:64" x14ac:dyDescent="0.2">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t="s">
        <v>1320</v>
      </c>
      <c r="BG261" s="94"/>
      <c r="BH261" s="94"/>
      <c r="BI261" s="1029" t="s">
        <v>1037</v>
      </c>
      <c r="BJ261" s="94" t="s">
        <v>635</v>
      </c>
      <c r="BK261" s="94">
        <v>23.5</v>
      </c>
      <c r="BL261" s="94">
        <v>454</v>
      </c>
    </row>
    <row r="262" spans="31:64" x14ac:dyDescent="0.2">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t="s">
        <v>900</v>
      </c>
      <c r="BG262" s="94"/>
      <c r="BH262" s="94"/>
      <c r="BI262" s="1029" t="s">
        <v>1038</v>
      </c>
      <c r="BJ262" s="94" t="s">
        <v>635</v>
      </c>
      <c r="BK262" s="94">
        <v>23.9</v>
      </c>
      <c r="BL262" s="94">
        <v>529</v>
      </c>
    </row>
    <row r="263" spans="31:64" x14ac:dyDescent="0.2">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t="s">
        <v>1321</v>
      </c>
      <c r="BG263" s="94"/>
      <c r="BH263" s="94"/>
      <c r="BI263" s="1029" t="s">
        <v>1039</v>
      </c>
      <c r="BJ263" s="94" t="s">
        <v>635</v>
      </c>
      <c r="BK263" s="94">
        <v>23.8</v>
      </c>
      <c r="BL263" s="94">
        <v>560</v>
      </c>
    </row>
    <row r="264" spans="31:64" x14ac:dyDescent="0.2">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t="s">
        <v>902</v>
      </c>
      <c r="BG264" s="94"/>
      <c r="BH264" s="94"/>
      <c r="BI264" s="1029" t="s">
        <v>1040</v>
      </c>
      <c r="BJ264" s="94" t="s">
        <v>635</v>
      </c>
      <c r="BK264" s="94">
        <v>26.3</v>
      </c>
      <c r="BL264" s="94">
        <v>914</v>
      </c>
    </row>
    <row r="265" spans="31:64" x14ac:dyDescent="0.2">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t="s">
        <v>1322</v>
      </c>
      <c r="BG265" s="94"/>
      <c r="BH265" s="94"/>
      <c r="BI265" s="1029" t="s">
        <v>915</v>
      </c>
      <c r="BJ265" s="94" t="s">
        <v>635</v>
      </c>
      <c r="BK265" s="94">
        <v>27.3</v>
      </c>
      <c r="BL265" s="94">
        <v>864</v>
      </c>
    </row>
    <row r="266" spans="31:64" x14ac:dyDescent="0.2">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t="s">
        <v>1323</v>
      </c>
      <c r="BG266" s="94"/>
      <c r="BH266" s="94"/>
      <c r="BI266" s="1029" t="s">
        <v>726</v>
      </c>
      <c r="BJ266" s="94" t="s">
        <v>635</v>
      </c>
      <c r="BK266" s="94">
        <v>26.5</v>
      </c>
      <c r="BL266" s="94">
        <v>995.5</v>
      </c>
    </row>
    <row r="267" spans="31:64" x14ac:dyDescent="0.2">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t="s">
        <v>1324</v>
      </c>
      <c r="BG267" s="94"/>
      <c r="BH267" s="94"/>
      <c r="BI267" s="1029" t="s">
        <v>1041</v>
      </c>
      <c r="BJ267" s="94" t="s">
        <v>635</v>
      </c>
      <c r="BK267" s="94">
        <v>23</v>
      </c>
      <c r="BL267" s="94">
        <v>545</v>
      </c>
    </row>
    <row r="268" spans="31:64" x14ac:dyDescent="0.2">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t="s">
        <v>1325</v>
      </c>
      <c r="BG268" s="94"/>
      <c r="BH268" s="94"/>
      <c r="BI268" s="1029" t="s">
        <v>1042</v>
      </c>
      <c r="BJ268" s="94" t="s">
        <v>635</v>
      </c>
      <c r="BK268" s="94">
        <v>26.6</v>
      </c>
      <c r="BL268" s="94">
        <v>994</v>
      </c>
    </row>
    <row r="269" spans="31:64" x14ac:dyDescent="0.2">
      <c r="AE269" s="94"/>
      <c r="AF269" s="94"/>
      <c r="AG269" s="94"/>
      <c r="AH269" s="94"/>
      <c r="AI269" s="94"/>
      <c r="AJ269" s="94"/>
      <c r="AK269" s="94"/>
      <c r="AL269" s="94"/>
      <c r="AM269" s="94"/>
      <c r="AN269" s="94"/>
      <c r="AO269" s="94"/>
      <c r="AP269" s="94"/>
      <c r="AQ269" s="94"/>
      <c r="AR269" s="94"/>
      <c r="AS269" s="94"/>
      <c r="AT269" s="94"/>
      <c r="AU269" s="94"/>
      <c r="AV269" s="94"/>
      <c r="AW269" s="94"/>
      <c r="AX269" s="94"/>
      <c r="AY269" s="94"/>
      <c r="AZ269" s="94"/>
      <c r="BA269" s="94"/>
      <c r="BB269" s="94"/>
      <c r="BC269" s="94"/>
      <c r="BD269" s="94"/>
      <c r="BE269" s="94"/>
      <c r="BF269" s="94" t="s">
        <v>1326</v>
      </c>
      <c r="BG269" s="94"/>
      <c r="BH269" s="94"/>
      <c r="BI269" s="1029" t="s">
        <v>1043</v>
      </c>
      <c r="BJ269" s="94" t="s">
        <v>635</v>
      </c>
      <c r="BK269" s="94">
        <v>26.4</v>
      </c>
      <c r="BL269" s="94">
        <v>981</v>
      </c>
    </row>
    <row r="270" spans="31:64" x14ac:dyDescent="0.2">
      <c r="AE270" s="94"/>
      <c r="AF270" s="94"/>
      <c r="AG270" s="94"/>
      <c r="AH270" s="94"/>
      <c r="AI270" s="94"/>
      <c r="AJ270" s="94"/>
      <c r="AK270" s="94"/>
      <c r="AL270" s="94"/>
      <c r="AM270" s="94"/>
      <c r="AN270" s="94"/>
      <c r="AO270" s="94"/>
      <c r="AP270" s="94"/>
      <c r="AQ270" s="94"/>
      <c r="AR270" s="94"/>
      <c r="AS270" s="94"/>
      <c r="AT270" s="94"/>
      <c r="AU270" s="94"/>
      <c r="AV270" s="94"/>
      <c r="AW270" s="94"/>
      <c r="AX270" s="94"/>
      <c r="AY270" s="94"/>
      <c r="AZ270" s="94"/>
      <c r="BA270" s="94"/>
      <c r="BB270" s="94"/>
      <c r="BC270" s="94"/>
      <c r="BD270" s="94"/>
      <c r="BE270" s="94"/>
      <c r="BF270" s="94" t="s">
        <v>1327</v>
      </c>
      <c r="BG270" s="94"/>
      <c r="BH270" s="94"/>
      <c r="BI270" s="1029" t="s">
        <v>1044</v>
      </c>
      <c r="BJ270" s="94" t="s">
        <v>635</v>
      </c>
      <c r="BK270" s="94">
        <v>26.6</v>
      </c>
      <c r="BL270" s="94">
        <v>861</v>
      </c>
    </row>
    <row r="271" spans="31:64" x14ac:dyDescent="0.2">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t="s">
        <v>1328</v>
      </c>
      <c r="BG271" s="94"/>
      <c r="BH271" s="94"/>
      <c r="BI271" s="1029" t="s">
        <v>1045</v>
      </c>
      <c r="BJ271" s="94" t="s">
        <v>635</v>
      </c>
      <c r="BK271" s="94">
        <v>24</v>
      </c>
      <c r="BL271" s="94">
        <v>386</v>
      </c>
    </row>
    <row r="272" spans="31:64" x14ac:dyDescent="0.2">
      <c r="AE272" s="94"/>
      <c r="AF272" s="94"/>
      <c r="AG272" s="94"/>
      <c r="AH272" s="94"/>
      <c r="AI272" s="94"/>
      <c r="AJ272" s="94"/>
      <c r="AK272" s="94"/>
      <c r="AL272" s="94"/>
      <c r="AM272" s="94"/>
      <c r="AN272" s="94"/>
      <c r="AO272" s="94"/>
      <c r="AP272" s="94"/>
      <c r="AQ272" s="94"/>
      <c r="AR272" s="94"/>
      <c r="AS272" s="94"/>
      <c r="AT272" s="94"/>
      <c r="AU272" s="94"/>
      <c r="AV272" s="94"/>
      <c r="AW272" s="94"/>
      <c r="AX272" s="94"/>
      <c r="AY272" s="94"/>
      <c r="AZ272" s="94"/>
      <c r="BA272" s="94"/>
      <c r="BB272" s="94"/>
      <c r="BC272" s="94"/>
      <c r="BD272" s="94"/>
      <c r="BE272" s="94"/>
      <c r="BF272" s="94" t="s">
        <v>1329</v>
      </c>
      <c r="BG272" s="94"/>
      <c r="BH272" s="94"/>
      <c r="BI272" s="1029" t="s">
        <v>1046</v>
      </c>
      <c r="BJ272" s="94" t="s">
        <v>635</v>
      </c>
      <c r="BK272" s="94">
        <v>22.9</v>
      </c>
      <c r="BL272" s="94">
        <v>495</v>
      </c>
    </row>
    <row r="273" spans="31:64" x14ac:dyDescent="0.2">
      <c r="AE273" s="94"/>
      <c r="AF273" s="94"/>
      <c r="AG273" s="94"/>
      <c r="AH273" s="94"/>
      <c r="AI273" s="94"/>
      <c r="AJ273" s="94"/>
      <c r="AK273" s="94"/>
      <c r="AL273" s="94"/>
      <c r="AM273" s="94"/>
      <c r="AN273" s="94"/>
      <c r="AO273" s="94"/>
      <c r="AP273" s="94"/>
      <c r="AQ273" s="94"/>
      <c r="AR273" s="94"/>
      <c r="AS273" s="94"/>
      <c r="AT273" s="94"/>
      <c r="AU273" s="94"/>
      <c r="AV273" s="94"/>
      <c r="AW273" s="94"/>
      <c r="AX273" s="94"/>
      <c r="AY273" s="94"/>
      <c r="AZ273" s="94"/>
      <c r="BA273" s="94"/>
      <c r="BB273" s="94"/>
      <c r="BC273" s="94"/>
      <c r="BD273" s="94"/>
      <c r="BE273" s="94"/>
      <c r="BF273" s="94" t="s">
        <v>904</v>
      </c>
      <c r="BG273" s="94"/>
      <c r="BH273" s="94"/>
      <c r="BI273" s="1029" t="s">
        <v>1047</v>
      </c>
      <c r="BJ273" s="94" t="s">
        <v>635</v>
      </c>
      <c r="BK273" s="94">
        <v>25.8</v>
      </c>
      <c r="BL273" s="94">
        <v>758</v>
      </c>
    </row>
    <row r="274" spans="31:64" x14ac:dyDescent="0.2">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t="s">
        <v>1330</v>
      </c>
      <c r="BG274" s="94"/>
      <c r="BH274" s="94"/>
      <c r="BI274" s="1029" t="s">
        <v>1048</v>
      </c>
      <c r="BJ274" s="94" t="s">
        <v>635</v>
      </c>
      <c r="BK274" s="94">
        <v>23.1</v>
      </c>
      <c r="BL274" s="94">
        <v>600</v>
      </c>
    </row>
    <row r="275" spans="31:64" x14ac:dyDescent="0.2">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1029" t="s">
        <v>1049</v>
      </c>
      <c r="BJ275" s="94" t="s">
        <v>635</v>
      </c>
      <c r="BK275" s="94">
        <v>23.8</v>
      </c>
      <c r="BL275" s="94">
        <v>512</v>
      </c>
    </row>
    <row r="276" spans="31:64" x14ac:dyDescent="0.2">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1029" t="s">
        <v>1050</v>
      </c>
      <c r="BJ276" s="94" t="s">
        <v>635</v>
      </c>
      <c r="BK276" s="94">
        <v>22.1</v>
      </c>
      <c r="BL276" s="94">
        <v>737</v>
      </c>
    </row>
    <row r="277" spans="31:64" x14ac:dyDescent="0.2">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1029" t="s">
        <v>1051</v>
      </c>
      <c r="BJ277" s="94" t="s">
        <v>635</v>
      </c>
      <c r="BK277" s="94">
        <v>24.6</v>
      </c>
      <c r="BL277" s="94">
        <v>905</v>
      </c>
    </row>
    <row r="278" spans="31:64" x14ac:dyDescent="0.2">
      <c r="AE278" s="94"/>
      <c r="AF278" s="94"/>
      <c r="AG278" s="94"/>
      <c r="AH278" s="94"/>
      <c r="AI278" s="94"/>
      <c r="AJ278" s="94"/>
      <c r="AK278" s="94"/>
      <c r="AL278" s="94"/>
      <c r="AM278" s="94"/>
      <c r="AN278" s="94"/>
      <c r="AO278" s="94"/>
      <c r="AP278" s="94"/>
      <c r="AQ278" s="94"/>
      <c r="AR278" s="94"/>
      <c r="AS278" s="94"/>
      <c r="AT278" s="94"/>
      <c r="AU278" s="94"/>
      <c r="AV278" s="94"/>
      <c r="AW278" s="94"/>
      <c r="AX278" s="94"/>
      <c r="AY278" s="94"/>
      <c r="AZ278" s="94"/>
      <c r="BA278" s="94"/>
      <c r="BB278" s="94"/>
      <c r="BC278" s="94"/>
      <c r="BD278" s="94"/>
      <c r="BE278" s="94"/>
      <c r="BF278" s="94"/>
      <c r="BG278" s="94"/>
      <c r="BH278" s="94"/>
      <c r="BI278" s="1029" t="s">
        <v>1052</v>
      </c>
      <c r="BJ278" s="94" t="s">
        <v>635</v>
      </c>
      <c r="BK278" s="94">
        <v>22.3</v>
      </c>
      <c r="BL278" s="94">
        <v>782</v>
      </c>
    </row>
    <row r="279" spans="31:64" x14ac:dyDescent="0.2">
      <c r="AE279" s="94"/>
      <c r="AF279" s="94"/>
      <c r="AG279" s="94"/>
      <c r="AH279" s="94"/>
      <c r="AI279" s="94"/>
      <c r="AJ279" s="94"/>
      <c r="AK279" s="94"/>
      <c r="AL279" s="94"/>
      <c r="AM279" s="94"/>
      <c r="AN279" s="94"/>
      <c r="AO279" s="94"/>
      <c r="AP279" s="94"/>
      <c r="AQ279" s="94"/>
      <c r="AR279" s="94"/>
      <c r="AS279" s="94"/>
      <c r="AT279" s="94"/>
      <c r="AU279" s="94"/>
      <c r="AV279" s="94"/>
      <c r="AW279" s="94"/>
      <c r="AX279" s="94"/>
      <c r="AY279" s="94"/>
      <c r="AZ279" s="94"/>
      <c r="BA279" s="94"/>
      <c r="BB279" s="94"/>
      <c r="BC279" s="94"/>
      <c r="BD279" s="94"/>
      <c r="BE279" s="94"/>
      <c r="BF279" s="94"/>
      <c r="BG279" s="94"/>
      <c r="BH279" s="94"/>
      <c r="BI279" s="1029" t="s">
        <v>1053</v>
      </c>
      <c r="BJ279" s="94" t="s">
        <v>635</v>
      </c>
      <c r="BK279" s="94">
        <v>24.8</v>
      </c>
      <c r="BL279" s="94">
        <v>1087</v>
      </c>
    </row>
    <row r="280" spans="31:64" x14ac:dyDescent="0.2">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1029" t="s">
        <v>660</v>
      </c>
      <c r="BJ280" s="94" t="s">
        <v>636</v>
      </c>
      <c r="BK280" s="94">
        <v>22.9</v>
      </c>
      <c r="BL280" s="94">
        <v>798.1</v>
      </c>
    </row>
    <row r="281" spans="31:64" x14ac:dyDescent="0.2">
      <c r="AE281" s="94"/>
      <c r="AF281" s="94"/>
      <c r="AG281" s="94"/>
      <c r="AH281" s="94"/>
      <c r="AI281" s="94"/>
      <c r="AJ281" s="94"/>
      <c r="AK281" s="94"/>
      <c r="AL281" s="94"/>
      <c r="AM281" s="94"/>
      <c r="AN281" s="94"/>
      <c r="AO281" s="94"/>
      <c r="AP281" s="94"/>
      <c r="AQ281" s="94"/>
      <c r="AR281" s="94"/>
      <c r="AS281" s="94"/>
      <c r="AT281" s="94"/>
      <c r="AU281" s="94"/>
      <c r="AV281" s="94"/>
      <c r="AW281" s="94"/>
      <c r="AX281" s="94"/>
      <c r="AY281" s="94"/>
      <c r="AZ281" s="94"/>
      <c r="BA281" s="94"/>
      <c r="BB281" s="94"/>
      <c r="BC281" s="94"/>
      <c r="BD281" s="94"/>
      <c r="BE281" s="94"/>
      <c r="BF281" s="94"/>
      <c r="BG281" s="94"/>
      <c r="BH281" s="94"/>
      <c r="BI281" s="1029" t="s">
        <v>685</v>
      </c>
      <c r="BJ281" s="94" t="s">
        <v>636</v>
      </c>
      <c r="BK281" s="94">
        <v>26</v>
      </c>
      <c r="BL281" s="94">
        <v>599.5</v>
      </c>
    </row>
    <row r="282" spans="31:64" x14ac:dyDescent="0.2">
      <c r="AL282" s="94"/>
      <c r="AN282" s="94"/>
      <c r="AO282" s="94"/>
      <c r="AP282" s="94"/>
      <c r="AR282" s="94"/>
      <c r="AT282" s="94"/>
      <c r="AV282" s="94"/>
      <c r="AW282" s="94"/>
      <c r="AY282" s="94"/>
      <c r="AZ282" s="94"/>
      <c r="BD282" s="94"/>
      <c r="BI282" s="1029" t="s">
        <v>1055</v>
      </c>
      <c r="BJ282" t="s">
        <v>636</v>
      </c>
      <c r="BK282">
        <v>26.5</v>
      </c>
      <c r="BL282">
        <v>1418</v>
      </c>
    </row>
    <row r="283" spans="31:64" x14ac:dyDescent="0.2">
      <c r="AN283" s="94"/>
      <c r="AO283" s="94"/>
      <c r="AV283" s="94"/>
      <c r="AW283" s="94"/>
      <c r="BI283" s="1029" t="s">
        <v>707</v>
      </c>
      <c r="BJ283" t="s">
        <v>636</v>
      </c>
      <c r="BK283">
        <v>26.2</v>
      </c>
      <c r="BL283">
        <v>610.1</v>
      </c>
    </row>
    <row r="284" spans="31:64" x14ac:dyDescent="0.2">
      <c r="BI284" s="1029" t="s">
        <v>727</v>
      </c>
      <c r="BJ284" t="s">
        <v>636</v>
      </c>
      <c r="BK284">
        <v>20.6</v>
      </c>
      <c r="BL284">
        <v>874.4</v>
      </c>
    </row>
    <row r="285" spans="31:64" x14ac:dyDescent="0.2">
      <c r="BI285" s="1029" t="s">
        <v>1054</v>
      </c>
      <c r="BJ285" t="s">
        <v>636</v>
      </c>
      <c r="BK285">
        <v>30.3</v>
      </c>
      <c r="BL285">
        <v>618</v>
      </c>
    </row>
    <row r="286" spans="31:64" x14ac:dyDescent="0.2">
      <c r="BI286" s="1029" t="s">
        <v>745</v>
      </c>
      <c r="BJ286" t="s">
        <v>636</v>
      </c>
      <c r="BK286">
        <v>22.7</v>
      </c>
      <c r="BL286">
        <v>701.5</v>
      </c>
    </row>
    <row r="287" spans="31:64" x14ac:dyDescent="0.2">
      <c r="BI287" s="1029" t="s">
        <v>761</v>
      </c>
      <c r="BJ287" t="s">
        <v>636</v>
      </c>
      <c r="BK287">
        <v>26.3</v>
      </c>
      <c r="BL287">
        <v>577.4</v>
      </c>
    </row>
    <row r="288" spans="31:64" x14ac:dyDescent="0.2">
      <c r="BI288" s="1029" t="s">
        <v>777</v>
      </c>
      <c r="BJ288" t="s">
        <v>636</v>
      </c>
      <c r="BK288">
        <v>25.5</v>
      </c>
      <c r="BL288">
        <v>2417.6</v>
      </c>
    </row>
    <row r="289" spans="61:64" x14ac:dyDescent="0.2">
      <c r="BI289" s="1029" t="s">
        <v>789</v>
      </c>
      <c r="BJ289" t="s">
        <v>636</v>
      </c>
      <c r="BK289">
        <v>23.6</v>
      </c>
      <c r="BL289">
        <v>726.2</v>
      </c>
    </row>
    <row r="290" spans="61:64" x14ac:dyDescent="0.2">
      <c r="BI290" s="1029" t="s">
        <v>801</v>
      </c>
      <c r="BJ290" t="s">
        <v>636</v>
      </c>
      <c r="BK290">
        <v>21.1</v>
      </c>
      <c r="BL290">
        <v>1409.8</v>
      </c>
    </row>
    <row r="291" spans="61:64" x14ac:dyDescent="0.2">
      <c r="BI291" s="1029" t="s">
        <v>661</v>
      </c>
      <c r="BJ291" t="s">
        <v>637</v>
      </c>
      <c r="BK291">
        <v>26.2</v>
      </c>
      <c r="BL291">
        <v>1093.4000000000001</v>
      </c>
    </row>
    <row r="292" spans="61:64" x14ac:dyDescent="0.2">
      <c r="BI292" s="1029" t="s">
        <v>686</v>
      </c>
      <c r="BJ292" t="s">
        <v>637</v>
      </c>
      <c r="BK292">
        <v>26.7</v>
      </c>
      <c r="BL292">
        <v>971</v>
      </c>
    </row>
    <row r="293" spans="61:64" x14ac:dyDescent="0.2">
      <c r="BI293" s="1029" t="s">
        <v>1056</v>
      </c>
      <c r="BJ293" t="s">
        <v>637</v>
      </c>
      <c r="BK293">
        <v>26.8</v>
      </c>
      <c r="BL293">
        <v>1473</v>
      </c>
    </row>
    <row r="294" spans="61:64" x14ac:dyDescent="0.2">
      <c r="BI294" s="1029" t="s">
        <v>1057</v>
      </c>
      <c r="BJ294" t="s">
        <v>637</v>
      </c>
      <c r="BK294">
        <v>26.5</v>
      </c>
      <c r="BL294">
        <v>597</v>
      </c>
    </row>
    <row r="295" spans="61:64" x14ac:dyDescent="0.2">
      <c r="BI295" s="1029" t="s">
        <v>708</v>
      </c>
      <c r="BJ295" t="s">
        <v>637</v>
      </c>
      <c r="BK295">
        <v>27.1</v>
      </c>
      <c r="BL295">
        <v>835.1</v>
      </c>
    </row>
    <row r="296" spans="61:64" x14ac:dyDescent="0.2">
      <c r="BI296" s="1029" t="s">
        <v>728</v>
      </c>
      <c r="BJ296" t="s">
        <v>637</v>
      </c>
      <c r="BK296">
        <v>27.1</v>
      </c>
      <c r="BL296">
        <v>1393.2</v>
      </c>
    </row>
    <row r="297" spans="61:64" x14ac:dyDescent="0.2">
      <c r="BI297" s="1029" t="s">
        <v>1058</v>
      </c>
      <c r="BJ297" t="s">
        <v>638</v>
      </c>
      <c r="BK297">
        <v>20.5</v>
      </c>
      <c r="BL297">
        <v>2566</v>
      </c>
    </row>
    <row r="298" spans="61:64" x14ac:dyDescent="0.2">
      <c r="BI298" s="1029" t="s">
        <v>1059</v>
      </c>
      <c r="BJ298" t="s">
        <v>638</v>
      </c>
      <c r="BK298">
        <v>20.6</v>
      </c>
      <c r="BL298">
        <v>1640</v>
      </c>
    </row>
    <row r="299" spans="61:64" x14ac:dyDescent="0.2">
      <c r="BI299" s="1029" t="s">
        <v>1060</v>
      </c>
      <c r="BJ299" t="s">
        <v>638</v>
      </c>
      <c r="BK299">
        <v>21.8</v>
      </c>
      <c r="BL299">
        <v>1482</v>
      </c>
    </row>
    <row r="300" spans="61:64" x14ac:dyDescent="0.2">
      <c r="BI300" s="1029" t="s">
        <v>1061</v>
      </c>
      <c r="BJ300" t="s">
        <v>638</v>
      </c>
      <c r="BK300">
        <v>21.2</v>
      </c>
      <c r="BL300">
        <v>1538</v>
      </c>
    </row>
    <row r="301" spans="61:64" x14ac:dyDescent="0.2">
      <c r="BI301" s="1029" t="s">
        <v>1062</v>
      </c>
      <c r="BJ301" t="s">
        <v>638</v>
      </c>
      <c r="BK301">
        <v>21.1</v>
      </c>
      <c r="BL301">
        <v>1387</v>
      </c>
    </row>
    <row r="302" spans="61:64" x14ac:dyDescent="0.2">
      <c r="BI302" s="1029" t="s">
        <v>662</v>
      </c>
      <c r="BJ302" t="s">
        <v>638</v>
      </c>
      <c r="BK302">
        <v>20.399999999999999</v>
      </c>
      <c r="BL302">
        <v>1649.5</v>
      </c>
    </row>
    <row r="303" spans="61:64" x14ac:dyDescent="0.2">
      <c r="BI303" s="1029" t="s">
        <v>1063</v>
      </c>
      <c r="BJ303" t="s">
        <v>638</v>
      </c>
      <c r="BK303">
        <v>19.399999999999999</v>
      </c>
      <c r="BL303">
        <v>1789</v>
      </c>
    </row>
    <row r="304" spans="61:64" x14ac:dyDescent="0.2">
      <c r="BI304" s="1029" t="s">
        <v>1064</v>
      </c>
      <c r="BJ304" t="s">
        <v>638</v>
      </c>
      <c r="BK304">
        <v>19.5</v>
      </c>
      <c r="BL304">
        <v>1950</v>
      </c>
    </row>
    <row r="305" spans="61:64" x14ac:dyDescent="0.2">
      <c r="BI305" s="1029" t="s">
        <v>687</v>
      </c>
      <c r="BJ305" t="s">
        <v>638</v>
      </c>
      <c r="BK305">
        <v>16.8</v>
      </c>
      <c r="BL305">
        <v>1655.6</v>
      </c>
    </row>
    <row r="306" spans="61:64" x14ac:dyDescent="0.2">
      <c r="BI306" s="1029" t="s">
        <v>1065</v>
      </c>
      <c r="BJ306" t="s">
        <v>638</v>
      </c>
      <c r="BK306">
        <v>20.3</v>
      </c>
      <c r="BL306">
        <v>1360</v>
      </c>
    </row>
    <row r="307" spans="61:64" x14ac:dyDescent="0.2">
      <c r="BI307" s="1029" t="s">
        <v>1066</v>
      </c>
      <c r="BJ307" t="s">
        <v>638</v>
      </c>
      <c r="BK307">
        <v>21.6</v>
      </c>
      <c r="BL307">
        <v>1668</v>
      </c>
    </row>
    <row r="308" spans="61:64" x14ac:dyDescent="0.2">
      <c r="BI308" s="1029" t="s">
        <v>1067</v>
      </c>
      <c r="BJ308" t="s">
        <v>638</v>
      </c>
      <c r="BK308">
        <v>17.2</v>
      </c>
      <c r="BL308">
        <v>2044</v>
      </c>
    </row>
    <row r="309" spans="61:64" x14ac:dyDescent="0.2">
      <c r="BI309" s="1029" t="s">
        <v>709</v>
      </c>
      <c r="BJ309" t="s">
        <v>638</v>
      </c>
      <c r="BK309">
        <v>16.8</v>
      </c>
      <c r="BL309">
        <v>1483.4</v>
      </c>
    </row>
    <row r="310" spans="61:64" x14ac:dyDescent="0.2">
      <c r="BI310" s="1029" t="s">
        <v>1068</v>
      </c>
      <c r="BJ310" t="s">
        <v>638</v>
      </c>
      <c r="BK310">
        <v>19.2</v>
      </c>
      <c r="BL310">
        <v>2030</v>
      </c>
    </row>
    <row r="311" spans="61:64" x14ac:dyDescent="0.2">
      <c r="BI311" s="1029" t="s">
        <v>729</v>
      </c>
      <c r="BJ311" t="s">
        <v>638</v>
      </c>
      <c r="BK311">
        <v>20.9</v>
      </c>
      <c r="BL311">
        <v>1868.7</v>
      </c>
    </row>
    <row r="312" spans="61:64" x14ac:dyDescent="0.2">
      <c r="BI312" s="1029" t="s">
        <v>746</v>
      </c>
      <c r="BJ312" t="s">
        <v>638</v>
      </c>
      <c r="BK312">
        <v>21.7</v>
      </c>
      <c r="BL312">
        <v>1592.2</v>
      </c>
    </row>
    <row r="313" spans="61:64" x14ac:dyDescent="0.2">
      <c r="BI313" s="1029" t="s">
        <v>762</v>
      </c>
      <c r="BJ313" t="s">
        <v>638</v>
      </c>
      <c r="BK313">
        <v>16.8</v>
      </c>
      <c r="BL313">
        <v>1806.5</v>
      </c>
    </row>
    <row r="314" spans="61:64" x14ac:dyDescent="0.2">
      <c r="BI314" s="1029" t="s">
        <v>1069</v>
      </c>
      <c r="BJ314" t="s">
        <v>638</v>
      </c>
      <c r="BK314">
        <v>20.9</v>
      </c>
      <c r="BL314">
        <v>2402</v>
      </c>
    </row>
    <row r="315" spans="61:64" x14ac:dyDescent="0.2">
      <c r="BI315" s="1029" t="s">
        <v>1070</v>
      </c>
      <c r="BJ315" t="s">
        <v>638</v>
      </c>
      <c r="BK315">
        <v>21.8</v>
      </c>
      <c r="BL315">
        <v>1567</v>
      </c>
    </row>
    <row r="316" spans="61:64" x14ac:dyDescent="0.2">
      <c r="BI316" s="1029" t="s">
        <v>778</v>
      </c>
      <c r="BJ316" t="s">
        <v>638</v>
      </c>
      <c r="BK316">
        <v>16.899999999999999</v>
      </c>
      <c r="BL316">
        <v>1553.4</v>
      </c>
    </row>
    <row r="317" spans="61:64" x14ac:dyDescent="0.2">
      <c r="BI317" s="1029" t="s">
        <v>790</v>
      </c>
      <c r="BJ317" t="s">
        <v>638</v>
      </c>
      <c r="BK317">
        <v>17.8</v>
      </c>
      <c r="BL317">
        <v>1588.6</v>
      </c>
    </row>
    <row r="318" spans="61:64" x14ac:dyDescent="0.2">
      <c r="BI318" s="1029" t="s">
        <v>802</v>
      </c>
      <c r="BJ318" t="s">
        <v>638</v>
      </c>
      <c r="BK318">
        <v>21.4</v>
      </c>
      <c r="BL318">
        <v>1427.1</v>
      </c>
    </row>
    <row r="319" spans="61:64" x14ac:dyDescent="0.2">
      <c r="BI319" s="1029" t="s">
        <v>1071</v>
      </c>
      <c r="BJ319" t="s">
        <v>638</v>
      </c>
      <c r="BK319">
        <v>21</v>
      </c>
      <c r="BL319">
        <v>1417</v>
      </c>
    </row>
    <row r="320" spans="61:64" x14ac:dyDescent="0.2">
      <c r="BI320" s="1029" t="s">
        <v>1072</v>
      </c>
      <c r="BJ320" t="s">
        <v>638</v>
      </c>
      <c r="BK320">
        <v>16.899999999999999</v>
      </c>
      <c r="BL320">
        <v>1629</v>
      </c>
    </row>
    <row r="321" spans="61:64" x14ac:dyDescent="0.2">
      <c r="BI321" s="1029" t="s">
        <v>1073</v>
      </c>
      <c r="BJ321" t="s">
        <v>638</v>
      </c>
      <c r="BK321">
        <v>18.8</v>
      </c>
      <c r="BL321">
        <v>1989</v>
      </c>
    </row>
    <row r="322" spans="61:64" x14ac:dyDescent="0.2">
      <c r="BI322" s="1029" t="s">
        <v>812</v>
      </c>
      <c r="BJ322" t="s">
        <v>638</v>
      </c>
      <c r="BK322">
        <v>20.9</v>
      </c>
      <c r="BL322">
        <v>1633</v>
      </c>
    </row>
    <row r="323" spans="61:64" x14ac:dyDescent="0.2">
      <c r="BI323" s="1029" t="s">
        <v>821</v>
      </c>
      <c r="BJ323" t="s">
        <v>638</v>
      </c>
      <c r="BK323">
        <v>21.7</v>
      </c>
      <c r="BL323">
        <v>1592.7</v>
      </c>
    </row>
    <row r="324" spans="61:64" x14ac:dyDescent="0.2">
      <c r="BI324" s="1029" t="s">
        <v>1074</v>
      </c>
      <c r="BJ324" t="s">
        <v>638</v>
      </c>
      <c r="BK324">
        <v>20.7</v>
      </c>
      <c r="BL324">
        <v>1916</v>
      </c>
    </row>
    <row r="325" spans="61:64" x14ac:dyDescent="0.2">
      <c r="BI325" s="1029" t="s">
        <v>1075</v>
      </c>
      <c r="BJ325" t="s">
        <v>638</v>
      </c>
      <c r="BK325">
        <v>21</v>
      </c>
      <c r="BL325">
        <v>1989</v>
      </c>
    </row>
    <row r="326" spans="61:64" x14ac:dyDescent="0.2">
      <c r="BI326" s="1029" t="s">
        <v>830</v>
      </c>
      <c r="BJ326" t="s">
        <v>638</v>
      </c>
      <c r="BK326">
        <v>15.1</v>
      </c>
      <c r="BL326">
        <v>1705.5</v>
      </c>
    </row>
    <row r="327" spans="61:64" x14ac:dyDescent="0.2">
      <c r="BI327" s="1029" t="s">
        <v>1076</v>
      </c>
      <c r="BJ327" t="s">
        <v>638</v>
      </c>
      <c r="BK327">
        <v>22.9</v>
      </c>
      <c r="BL327">
        <v>1662</v>
      </c>
    </row>
    <row r="328" spans="61:64" x14ac:dyDescent="0.2">
      <c r="BI328" s="1029" t="s">
        <v>839</v>
      </c>
      <c r="BJ328" t="s">
        <v>638</v>
      </c>
      <c r="BK328">
        <v>21.2</v>
      </c>
      <c r="BL328">
        <v>2003.5</v>
      </c>
    </row>
    <row r="329" spans="61:64" x14ac:dyDescent="0.2">
      <c r="BI329" s="1029" t="s">
        <v>1077</v>
      </c>
      <c r="BJ329" t="s">
        <v>638</v>
      </c>
      <c r="BK329">
        <v>22</v>
      </c>
      <c r="BL329">
        <v>1508</v>
      </c>
    </row>
    <row r="330" spans="61:64" x14ac:dyDescent="0.2">
      <c r="BI330" s="1029" t="s">
        <v>1078</v>
      </c>
      <c r="BJ330" t="s">
        <v>638</v>
      </c>
      <c r="BK330">
        <v>18.7</v>
      </c>
      <c r="BL330">
        <v>2158</v>
      </c>
    </row>
    <row r="331" spans="61:64" x14ac:dyDescent="0.2">
      <c r="BI331" s="1029" t="s">
        <v>1079</v>
      </c>
      <c r="BJ331" t="s">
        <v>638</v>
      </c>
      <c r="BK331">
        <v>16.7</v>
      </c>
      <c r="BL331">
        <v>1426</v>
      </c>
    </row>
    <row r="332" spans="61:64" x14ac:dyDescent="0.2">
      <c r="BI332" s="1029" t="s">
        <v>1080</v>
      </c>
      <c r="BJ332" t="s">
        <v>638</v>
      </c>
      <c r="BK332">
        <v>21.4</v>
      </c>
      <c r="BL332">
        <v>1928</v>
      </c>
    </row>
    <row r="333" spans="61:64" x14ac:dyDescent="0.2">
      <c r="BI333" s="1029" t="s">
        <v>848</v>
      </c>
      <c r="BJ333" t="s">
        <v>638</v>
      </c>
      <c r="BK333">
        <v>17.8</v>
      </c>
      <c r="BL333">
        <v>1517.1</v>
      </c>
    </row>
    <row r="334" spans="61:64" x14ac:dyDescent="0.2">
      <c r="BI334" s="1029" t="s">
        <v>1081</v>
      </c>
      <c r="BJ334" t="s">
        <v>638</v>
      </c>
      <c r="BK334">
        <v>20.2</v>
      </c>
      <c r="BL334">
        <v>2023</v>
      </c>
    </row>
    <row r="335" spans="61:64" x14ac:dyDescent="0.2">
      <c r="BI335" s="1029" t="s">
        <v>856</v>
      </c>
      <c r="BJ335" t="s">
        <v>638</v>
      </c>
      <c r="BK335">
        <v>16.600000000000001</v>
      </c>
      <c r="BL335">
        <v>1421.9</v>
      </c>
    </row>
    <row r="336" spans="61:64" x14ac:dyDescent="0.2">
      <c r="BI336" s="1029" t="s">
        <v>863</v>
      </c>
      <c r="BJ336" t="s">
        <v>638</v>
      </c>
      <c r="BK336">
        <v>17.100000000000001</v>
      </c>
      <c r="BL336">
        <v>1408.5</v>
      </c>
    </row>
    <row r="337" spans="61:64" x14ac:dyDescent="0.2">
      <c r="BI337" s="1029" t="s">
        <v>1082</v>
      </c>
      <c r="BJ337" t="s">
        <v>638</v>
      </c>
      <c r="BK337">
        <v>21.4</v>
      </c>
      <c r="BL337">
        <v>1831</v>
      </c>
    </row>
    <row r="338" spans="61:64" x14ac:dyDescent="0.2">
      <c r="BI338" s="1029" t="s">
        <v>1083</v>
      </c>
      <c r="BJ338" t="s">
        <v>638</v>
      </c>
      <c r="BK338">
        <v>18.5</v>
      </c>
      <c r="BL338">
        <v>1629</v>
      </c>
    </row>
    <row r="339" spans="61:64" x14ac:dyDescent="0.2">
      <c r="BI339" s="1029" t="s">
        <v>1084</v>
      </c>
      <c r="BJ339" t="s">
        <v>638</v>
      </c>
      <c r="BK339">
        <v>21.9</v>
      </c>
      <c r="BL339">
        <v>1619</v>
      </c>
    </row>
    <row r="340" spans="61:64" x14ac:dyDescent="0.2">
      <c r="BI340" s="1029" t="s">
        <v>663</v>
      </c>
      <c r="BJ340" t="s">
        <v>639</v>
      </c>
      <c r="BK340">
        <v>23.1</v>
      </c>
      <c r="BL340">
        <v>1883.6</v>
      </c>
    </row>
    <row r="341" spans="61:64" x14ac:dyDescent="0.2">
      <c r="BI341" s="1029" t="s">
        <v>688</v>
      </c>
      <c r="BJ341" t="s">
        <v>639</v>
      </c>
      <c r="BK341">
        <v>23.1</v>
      </c>
      <c r="BL341">
        <v>784.5</v>
      </c>
    </row>
    <row r="342" spans="61:64" x14ac:dyDescent="0.2">
      <c r="BI342" s="1029" t="s">
        <v>710</v>
      </c>
      <c r="BJ342" t="s">
        <v>639</v>
      </c>
      <c r="BK342">
        <v>23.7</v>
      </c>
      <c r="BL342">
        <v>1055.3</v>
      </c>
    </row>
    <row r="343" spans="61:64" x14ac:dyDescent="0.2">
      <c r="BI343" s="1029" t="s">
        <v>730</v>
      </c>
      <c r="BJ343" t="s">
        <v>639</v>
      </c>
      <c r="BK343">
        <v>22.2</v>
      </c>
      <c r="BL343">
        <v>1515</v>
      </c>
    </row>
    <row r="344" spans="61:64" x14ac:dyDescent="0.2">
      <c r="BI344" s="1029" t="s">
        <v>747</v>
      </c>
      <c r="BJ344" t="s">
        <v>639</v>
      </c>
      <c r="BK344">
        <v>20.6</v>
      </c>
      <c r="BL344">
        <v>1300.7</v>
      </c>
    </row>
    <row r="345" spans="61:64" x14ac:dyDescent="0.2">
      <c r="BI345" s="1029" t="s">
        <v>763</v>
      </c>
      <c r="BJ345" t="s">
        <v>639</v>
      </c>
      <c r="BK345">
        <v>23.1</v>
      </c>
      <c r="BL345">
        <v>1269.18</v>
      </c>
    </row>
    <row r="346" spans="61:64" x14ac:dyDescent="0.2">
      <c r="BI346" s="1029" t="s">
        <v>779</v>
      </c>
      <c r="BJ346" t="s">
        <v>639</v>
      </c>
      <c r="BK346">
        <v>23.3</v>
      </c>
      <c r="BL346">
        <v>1134.9000000000001</v>
      </c>
    </row>
    <row r="347" spans="61:64" x14ac:dyDescent="0.2">
      <c r="BI347" s="1029" t="s">
        <v>1085</v>
      </c>
      <c r="BJ347" t="s">
        <v>639</v>
      </c>
      <c r="BK347">
        <v>23.5</v>
      </c>
      <c r="BL347">
        <v>1178</v>
      </c>
    </row>
    <row r="348" spans="61:64" x14ac:dyDescent="0.2">
      <c r="BI348" s="1029" t="s">
        <v>791</v>
      </c>
      <c r="BJ348" t="s">
        <v>639</v>
      </c>
      <c r="BK348">
        <v>23.4</v>
      </c>
      <c r="BL348">
        <v>1436</v>
      </c>
    </row>
    <row r="349" spans="61:64" x14ac:dyDescent="0.2">
      <c r="BI349" s="1029" t="s">
        <v>803</v>
      </c>
      <c r="BJ349" t="s">
        <v>639</v>
      </c>
      <c r="BK349">
        <v>18</v>
      </c>
      <c r="BL349">
        <v>1279.8</v>
      </c>
    </row>
    <row r="350" spans="61:64" x14ac:dyDescent="0.2">
      <c r="BI350" s="1029" t="s">
        <v>813</v>
      </c>
      <c r="BJ350" t="s">
        <v>639</v>
      </c>
      <c r="BK350">
        <v>21</v>
      </c>
      <c r="BL350">
        <v>1399.7</v>
      </c>
    </row>
    <row r="351" spans="61:64" x14ac:dyDescent="0.2">
      <c r="BI351" s="1029" t="s">
        <v>822</v>
      </c>
      <c r="BJ351" t="s">
        <v>639</v>
      </c>
      <c r="BK351">
        <v>20.9</v>
      </c>
      <c r="BL351">
        <v>1240.8</v>
      </c>
    </row>
    <row r="352" spans="61:64" x14ac:dyDescent="0.2">
      <c r="BI352" s="1029" t="s">
        <v>831</v>
      </c>
      <c r="BJ352" t="s">
        <v>639</v>
      </c>
      <c r="BK352">
        <v>21.1</v>
      </c>
      <c r="BL352">
        <v>1552.5</v>
      </c>
    </row>
    <row r="353" spans="61:64" x14ac:dyDescent="0.2">
      <c r="BI353" s="1029" t="s">
        <v>840</v>
      </c>
      <c r="BJ353" t="s">
        <v>639</v>
      </c>
      <c r="BK353">
        <v>23.8</v>
      </c>
      <c r="BL353">
        <v>1069.4000000000001</v>
      </c>
    </row>
    <row r="354" spans="61:64" x14ac:dyDescent="0.2">
      <c r="BI354" s="1029" t="s">
        <v>849</v>
      </c>
      <c r="BJ354" t="s">
        <v>639</v>
      </c>
      <c r="BK354">
        <v>20.100000000000001</v>
      </c>
      <c r="BL354">
        <v>1388.3</v>
      </c>
    </row>
    <row r="355" spans="61:64" x14ac:dyDescent="0.2">
      <c r="BI355" s="1029" t="s">
        <v>857</v>
      </c>
      <c r="BJ355" t="s">
        <v>639</v>
      </c>
      <c r="BK355">
        <v>23.7</v>
      </c>
      <c r="BL355">
        <v>1452</v>
      </c>
    </row>
    <row r="356" spans="61:64" x14ac:dyDescent="0.2">
      <c r="BI356" s="1029" t="s">
        <v>864</v>
      </c>
      <c r="BJ356" t="s">
        <v>639</v>
      </c>
      <c r="BK356">
        <v>17.7</v>
      </c>
      <c r="BL356">
        <v>2774.3</v>
      </c>
    </row>
    <row r="357" spans="61:64" x14ac:dyDescent="0.2">
      <c r="BI357" s="1029" t="s">
        <v>870</v>
      </c>
      <c r="BJ357" t="s">
        <v>639</v>
      </c>
      <c r="BK357">
        <v>22.2</v>
      </c>
      <c r="BL357">
        <v>2000.3</v>
      </c>
    </row>
    <row r="358" spans="61:64" x14ac:dyDescent="0.2">
      <c r="BI358" s="1029" t="s">
        <v>875</v>
      </c>
      <c r="BJ358" t="s">
        <v>639</v>
      </c>
      <c r="BK358">
        <v>20.8</v>
      </c>
      <c r="BL358">
        <v>1329.8</v>
      </c>
    </row>
    <row r="359" spans="61:64" x14ac:dyDescent="0.2">
      <c r="BI359" s="1029" t="s">
        <v>664</v>
      </c>
      <c r="BJ359" t="s">
        <v>640</v>
      </c>
      <c r="BK359">
        <v>27.1</v>
      </c>
      <c r="BL359">
        <v>893</v>
      </c>
    </row>
    <row r="360" spans="61:64" x14ac:dyDescent="0.2">
      <c r="BI360" s="1029" t="s">
        <v>689</v>
      </c>
      <c r="BJ360" t="s">
        <v>640</v>
      </c>
      <c r="BK360">
        <v>25.2</v>
      </c>
      <c r="BL360">
        <v>1343.8</v>
      </c>
    </row>
    <row r="361" spans="61:64" x14ac:dyDescent="0.2">
      <c r="BI361" s="1029" t="s">
        <v>711</v>
      </c>
      <c r="BJ361" t="s">
        <v>640</v>
      </c>
      <c r="BK361">
        <v>26.9</v>
      </c>
      <c r="BL361">
        <v>704.7</v>
      </c>
    </row>
    <row r="362" spans="61:64" x14ac:dyDescent="0.2">
      <c r="BI362" s="1029" t="s">
        <v>731</v>
      </c>
      <c r="BJ362" t="s">
        <v>640</v>
      </c>
      <c r="BK362">
        <v>25.9</v>
      </c>
      <c r="BL362">
        <v>873.5</v>
      </c>
    </row>
    <row r="363" spans="61:64" x14ac:dyDescent="0.2">
      <c r="BI363" s="1029" t="s">
        <v>748</v>
      </c>
      <c r="BJ363" t="s">
        <v>640</v>
      </c>
      <c r="BK363">
        <v>26.8</v>
      </c>
      <c r="BL363">
        <v>507.2</v>
      </c>
    </row>
    <row r="364" spans="61:64" x14ac:dyDescent="0.2">
      <c r="BI364" s="1029" t="s">
        <v>1086</v>
      </c>
      <c r="BJ364" t="s">
        <v>640</v>
      </c>
      <c r="BK364">
        <v>27.2</v>
      </c>
      <c r="BL364">
        <v>765</v>
      </c>
    </row>
    <row r="365" spans="61:64" x14ac:dyDescent="0.2">
      <c r="BI365" s="1029" t="s">
        <v>764</v>
      </c>
      <c r="BJ365" t="s">
        <v>640</v>
      </c>
      <c r="BK365">
        <v>26</v>
      </c>
      <c r="BL365">
        <v>1465.4</v>
      </c>
    </row>
    <row r="366" spans="61:64" x14ac:dyDescent="0.2">
      <c r="BI366" s="1029" t="s">
        <v>665</v>
      </c>
      <c r="BJ366" t="s">
        <v>641</v>
      </c>
      <c r="BK366">
        <v>25.6</v>
      </c>
      <c r="BL366">
        <v>2255.4</v>
      </c>
    </row>
    <row r="367" spans="61:64" x14ac:dyDescent="0.2">
      <c r="BI367" s="1029" t="s">
        <v>666</v>
      </c>
      <c r="BJ367" t="s">
        <v>642</v>
      </c>
      <c r="BK367">
        <v>27.4</v>
      </c>
      <c r="BL367">
        <v>1420.4</v>
      </c>
    </row>
    <row r="368" spans="61:64" x14ac:dyDescent="0.2">
      <c r="BI368" s="1029" t="s">
        <v>667</v>
      </c>
      <c r="BJ368" t="s">
        <v>643</v>
      </c>
      <c r="BK368">
        <v>19.100000000000001</v>
      </c>
      <c r="BL368">
        <v>1492.2</v>
      </c>
    </row>
    <row r="369" spans="61:64" x14ac:dyDescent="0.2">
      <c r="BI369" s="1029" t="s">
        <v>690</v>
      </c>
      <c r="BJ369" t="s">
        <v>643</v>
      </c>
      <c r="BK369">
        <v>17.899999999999999</v>
      </c>
      <c r="BL369">
        <v>1299.9000000000001</v>
      </c>
    </row>
    <row r="370" spans="61:64" x14ac:dyDescent="0.2">
      <c r="BI370" s="1029" t="s">
        <v>712</v>
      </c>
      <c r="BJ370" t="s">
        <v>643</v>
      </c>
      <c r="BK370">
        <v>17.3</v>
      </c>
      <c r="BL370">
        <v>1683.7</v>
      </c>
    </row>
    <row r="371" spans="61:64" x14ac:dyDescent="0.2">
      <c r="BI371" s="1029" t="s">
        <v>732</v>
      </c>
      <c r="BJ371" t="s">
        <v>643</v>
      </c>
      <c r="BK371">
        <v>14.8</v>
      </c>
      <c r="BL371">
        <v>1807.3</v>
      </c>
    </row>
    <row r="372" spans="61:64" x14ac:dyDescent="0.2">
      <c r="BI372" s="1029" t="s">
        <v>749</v>
      </c>
      <c r="BJ372" t="s">
        <v>643</v>
      </c>
      <c r="BK372">
        <v>19.100000000000001</v>
      </c>
      <c r="BL372">
        <v>1477.1</v>
      </c>
    </row>
    <row r="373" spans="61:64" x14ac:dyDescent="0.2">
      <c r="BI373" s="1029" t="s">
        <v>765</v>
      </c>
      <c r="BJ373" t="s">
        <v>643</v>
      </c>
      <c r="BK373">
        <v>16.3</v>
      </c>
      <c r="BL373">
        <v>1823</v>
      </c>
    </row>
    <row r="374" spans="61:64" x14ac:dyDescent="0.2">
      <c r="BI374" s="1029" t="s">
        <v>780</v>
      </c>
      <c r="BJ374" t="s">
        <v>643</v>
      </c>
      <c r="BK374">
        <v>18.5</v>
      </c>
      <c r="BL374">
        <v>1630.7</v>
      </c>
    </row>
    <row r="375" spans="61:64" x14ac:dyDescent="0.2">
      <c r="BI375" s="1029" t="s">
        <v>792</v>
      </c>
      <c r="BJ375" t="s">
        <v>643</v>
      </c>
      <c r="BK375">
        <v>17</v>
      </c>
      <c r="BL375">
        <v>1510.8</v>
      </c>
    </row>
    <row r="376" spans="61:64" x14ac:dyDescent="0.2">
      <c r="BI376" s="1029" t="s">
        <v>804</v>
      </c>
      <c r="BJ376" t="s">
        <v>643</v>
      </c>
      <c r="BK376">
        <v>17.899999999999999</v>
      </c>
      <c r="BL376">
        <v>1758.7</v>
      </c>
    </row>
    <row r="377" spans="61:64" x14ac:dyDescent="0.2">
      <c r="BI377" s="1029" t="s">
        <v>814</v>
      </c>
      <c r="BJ377" t="s">
        <v>643</v>
      </c>
      <c r="BK377">
        <v>19.5</v>
      </c>
      <c r="BL377">
        <v>1806.7</v>
      </c>
    </row>
    <row r="378" spans="61:64" x14ac:dyDescent="0.2">
      <c r="BI378" s="1029" t="s">
        <v>823</v>
      </c>
      <c r="BJ378" t="s">
        <v>643</v>
      </c>
      <c r="BK378">
        <v>20.399999999999999</v>
      </c>
      <c r="BL378">
        <v>1369.4</v>
      </c>
    </row>
    <row r="379" spans="61:64" x14ac:dyDescent="0.2">
      <c r="BI379" s="1029" t="s">
        <v>832</v>
      </c>
      <c r="BJ379" t="s">
        <v>643</v>
      </c>
      <c r="BK379">
        <v>16.8</v>
      </c>
      <c r="BL379">
        <v>1691.1</v>
      </c>
    </row>
    <row r="380" spans="61:64" x14ac:dyDescent="0.2">
      <c r="BI380" s="1029" t="s">
        <v>841</v>
      </c>
      <c r="BJ380" t="s">
        <v>643</v>
      </c>
      <c r="BK380">
        <v>18.2</v>
      </c>
      <c r="BL380">
        <v>1747.8</v>
      </c>
    </row>
    <row r="381" spans="61:64" x14ac:dyDescent="0.2">
      <c r="BI381" s="1029" t="s">
        <v>850</v>
      </c>
      <c r="BJ381" t="s">
        <v>643</v>
      </c>
      <c r="BK381">
        <v>17.7</v>
      </c>
      <c r="BL381">
        <v>1803.1</v>
      </c>
    </row>
    <row r="382" spans="61:64" x14ac:dyDescent="0.2">
      <c r="BI382" s="1029" t="s">
        <v>858</v>
      </c>
      <c r="BJ382" t="s">
        <v>643</v>
      </c>
      <c r="BK382">
        <v>17.8</v>
      </c>
      <c r="BL382">
        <v>1367</v>
      </c>
    </row>
    <row r="383" spans="61:64" x14ac:dyDescent="0.2">
      <c r="BI383" s="1029" t="s">
        <v>865</v>
      </c>
      <c r="BJ383" t="s">
        <v>643</v>
      </c>
      <c r="BK383">
        <v>19.5</v>
      </c>
      <c r="BL383">
        <v>1320.2</v>
      </c>
    </row>
    <row r="384" spans="61:64" x14ac:dyDescent="0.2">
      <c r="BI384" s="1029" t="s">
        <v>871</v>
      </c>
      <c r="BJ384" t="s">
        <v>643</v>
      </c>
      <c r="BK384">
        <v>18.2</v>
      </c>
      <c r="BL384">
        <v>1233.5999999999999</v>
      </c>
    </row>
    <row r="385" spans="61:64" x14ac:dyDescent="0.2">
      <c r="BI385" s="1029" t="s">
        <v>876</v>
      </c>
      <c r="BJ385" t="s">
        <v>643</v>
      </c>
      <c r="BK385">
        <v>18.8</v>
      </c>
      <c r="BL385">
        <v>1616.8</v>
      </c>
    </row>
    <row r="386" spans="61:64" x14ac:dyDescent="0.2">
      <c r="BI386" s="1029" t="s">
        <v>880</v>
      </c>
      <c r="BJ386" t="s">
        <v>643</v>
      </c>
      <c r="BK386">
        <v>16.600000000000001</v>
      </c>
      <c r="BL386">
        <v>1228.9000000000001</v>
      </c>
    </row>
    <row r="387" spans="61:64" x14ac:dyDescent="0.2">
      <c r="BI387" s="1029" t="s">
        <v>883</v>
      </c>
      <c r="BJ387" t="s">
        <v>643</v>
      </c>
      <c r="BK387">
        <v>18.2</v>
      </c>
      <c r="BL387">
        <v>1313.9</v>
      </c>
    </row>
    <row r="388" spans="61:64" x14ac:dyDescent="0.2">
      <c r="BI388" s="1029" t="s">
        <v>886</v>
      </c>
      <c r="BJ388" t="s">
        <v>643</v>
      </c>
      <c r="BK388">
        <v>19.8</v>
      </c>
      <c r="BL388">
        <v>1770.9</v>
      </c>
    </row>
    <row r="389" spans="61:64" x14ac:dyDescent="0.2">
      <c r="BI389" s="1029" t="s">
        <v>889</v>
      </c>
      <c r="BJ389" t="s">
        <v>643</v>
      </c>
      <c r="BK389">
        <v>19.100000000000001</v>
      </c>
      <c r="BL389">
        <v>1349.8</v>
      </c>
    </row>
    <row r="390" spans="61:64" x14ac:dyDescent="0.2">
      <c r="BI390" s="1029" t="s">
        <v>892</v>
      </c>
      <c r="BJ390" t="s">
        <v>643</v>
      </c>
      <c r="BK390">
        <v>19</v>
      </c>
      <c r="BL390">
        <v>1363.2</v>
      </c>
    </row>
    <row r="391" spans="61:64" x14ac:dyDescent="0.2">
      <c r="BI391" s="1029" t="s">
        <v>895</v>
      </c>
      <c r="BJ391" t="s">
        <v>643</v>
      </c>
      <c r="BK391">
        <v>19.7</v>
      </c>
      <c r="BL391">
        <v>1647.4</v>
      </c>
    </row>
    <row r="392" spans="61:64" x14ac:dyDescent="0.2">
      <c r="BI392" s="1029" t="s">
        <v>923</v>
      </c>
      <c r="BJ392" t="s">
        <v>644</v>
      </c>
      <c r="BK392">
        <v>19.7</v>
      </c>
      <c r="BL392">
        <v>1158.8</v>
      </c>
    </row>
    <row r="393" spans="61:64" x14ac:dyDescent="0.2">
      <c r="BI393" s="1029" t="s">
        <v>691</v>
      </c>
      <c r="BJ393" t="s">
        <v>644</v>
      </c>
      <c r="BK393">
        <v>19.600000000000001</v>
      </c>
      <c r="BL393">
        <v>1646.5</v>
      </c>
    </row>
    <row r="394" spans="61:64" x14ac:dyDescent="0.2">
      <c r="BI394" s="1029" t="s">
        <v>713</v>
      </c>
      <c r="BJ394" t="s">
        <v>644</v>
      </c>
      <c r="BK394">
        <v>16.600000000000001</v>
      </c>
      <c r="BL394">
        <v>1826.5</v>
      </c>
    </row>
    <row r="395" spans="61:64" x14ac:dyDescent="0.2">
      <c r="BI395" s="1029" t="s">
        <v>733</v>
      </c>
      <c r="BJ395" t="s">
        <v>644</v>
      </c>
      <c r="BK395">
        <v>18.7</v>
      </c>
      <c r="BL395">
        <v>1653.9</v>
      </c>
    </row>
    <row r="396" spans="61:64" x14ac:dyDescent="0.2">
      <c r="BI396" s="1029" t="s">
        <v>750</v>
      </c>
      <c r="BJ396" t="s">
        <v>644</v>
      </c>
      <c r="BK396">
        <v>20.399999999999999</v>
      </c>
      <c r="BL396">
        <v>1517.8</v>
      </c>
    </row>
    <row r="397" spans="61:64" x14ac:dyDescent="0.2">
      <c r="BI397" s="1029" t="s">
        <v>1331</v>
      </c>
      <c r="BJ397" t="s">
        <v>644</v>
      </c>
      <c r="BK397">
        <v>20.2</v>
      </c>
      <c r="BL397">
        <v>1668</v>
      </c>
    </row>
    <row r="398" spans="61:64" x14ac:dyDescent="0.2">
      <c r="BI398" s="1029" t="s">
        <v>766</v>
      </c>
      <c r="BJ398" t="s">
        <v>644</v>
      </c>
      <c r="BK398">
        <v>16.3</v>
      </c>
      <c r="BL398">
        <v>1689.4</v>
      </c>
    </row>
    <row r="399" spans="61:64" x14ac:dyDescent="0.2">
      <c r="BI399" s="1029" t="s">
        <v>781</v>
      </c>
      <c r="BJ399" t="s">
        <v>644</v>
      </c>
      <c r="BK399">
        <v>15.6</v>
      </c>
      <c r="BL399">
        <v>1483.7</v>
      </c>
    </row>
    <row r="400" spans="61:64" x14ac:dyDescent="0.2">
      <c r="BI400" s="1029" t="s">
        <v>793</v>
      </c>
      <c r="BJ400" t="s">
        <v>644</v>
      </c>
      <c r="BK400">
        <v>19.899999999999999</v>
      </c>
      <c r="BL400">
        <v>1339.4</v>
      </c>
    </row>
    <row r="401" spans="61:64" x14ac:dyDescent="0.2">
      <c r="BI401" s="1029" t="s">
        <v>805</v>
      </c>
      <c r="BJ401" t="s">
        <v>644</v>
      </c>
      <c r="BK401">
        <v>18.7</v>
      </c>
      <c r="BL401">
        <v>1476</v>
      </c>
    </row>
    <row r="402" spans="61:64" x14ac:dyDescent="0.2">
      <c r="BI402" s="1029" t="s">
        <v>815</v>
      </c>
      <c r="BJ402" t="s">
        <v>644</v>
      </c>
      <c r="BK402">
        <v>17.3</v>
      </c>
      <c r="BL402">
        <v>1720.6</v>
      </c>
    </row>
    <row r="403" spans="61:64" x14ac:dyDescent="0.2">
      <c r="BI403" s="1029" t="s">
        <v>824</v>
      </c>
      <c r="BJ403" t="s">
        <v>644</v>
      </c>
      <c r="BK403">
        <v>13.3</v>
      </c>
      <c r="BL403">
        <v>1609.3</v>
      </c>
    </row>
    <row r="404" spans="61:64" x14ac:dyDescent="0.2">
      <c r="BI404" s="1029" t="s">
        <v>833</v>
      </c>
      <c r="BJ404" t="s">
        <v>644</v>
      </c>
      <c r="BK404">
        <v>19.399999999999999</v>
      </c>
      <c r="BL404">
        <v>1635.8</v>
      </c>
    </row>
    <row r="405" spans="61:64" x14ac:dyDescent="0.2">
      <c r="BI405" s="1029" t="s">
        <v>842</v>
      </c>
      <c r="BJ405" t="s">
        <v>644</v>
      </c>
      <c r="BK405">
        <v>17.5</v>
      </c>
      <c r="BL405">
        <v>2227.4</v>
      </c>
    </row>
    <row r="406" spans="61:64" x14ac:dyDescent="0.2">
      <c r="BI406" s="1029" t="s">
        <v>669</v>
      </c>
      <c r="BJ406" t="s">
        <v>645</v>
      </c>
      <c r="BK406">
        <v>26</v>
      </c>
      <c r="BL406">
        <v>1695.2</v>
      </c>
    </row>
    <row r="407" spans="61:64" x14ac:dyDescent="0.2">
      <c r="BI407" s="1029" t="s">
        <v>692</v>
      </c>
      <c r="BJ407" t="s">
        <v>645</v>
      </c>
      <c r="BK407">
        <v>23.9</v>
      </c>
      <c r="BL407">
        <v>1206.4000000000001</v>
      </c>
    </row>
    <row r="408" spans="61:64" x14ac:dyDescent="0.2">
      <c r="BI408" s="1029" t="s">
        <v>714</v>
      </c>
      <c r="BJ408" t="s">
        <v>645</v>
      </c>
      <c r="BK408">
        <v>25.4</v>
      </c>
      <c r="BL408">
        <v>1301.8</v>
      </c>
    </row>
    <row r="409" spans="61:64" x14ac:dyDescent="0.2">
      <c r="BI409" s="1029" t="s">
        <v>1088</v>
      </c>
      <c r="BJ409" t="s">
        <v>646</v>
      </c>
      <c r="BK409">
        <v>23.2</v>
      </c>
      <c r="BL409">
        <v>1165</v>
      </c>
    </row>
    <row r="410" spans="61:64" x14ac:dyDescent="0.2">
      <c r="BI410" s="1029" t="s">
        <v>1089</v>
      </c>
      <c r="BJ410" t="s">
        <v>646</v>
      </c>
      <c r="BK410">
        <v>21.5</v>
      </c>
      <c r="BL410">
        <v>1346</v>
      </c>
    </row>
    <row r="411" spans="61:64" x14ac:dyDescent="0.2">
      <c r="BI411" s="1029" t="s">
        <v>1090</v>
      </c>
      <c r="BJ411" t="s">
        <v>646</v>
      </c>
      <c r="BK411">
        <v>23.3</v>
      </c>
      <c r="BL411">
        <v>1263</v>
      </c>
    </row>
    <row r="412" spans="61:64" x14ac:dyDescent="0.2">
      <c r="BI412" s="1029" t="s">
        <v>1091</v>
      </c>
      <c r="BJ412" t="s">
        <v>646</v>
      </c>
      <c r="BK412">
        <v>20.7</v>
      </c>
      <c r="BL412">
        <v>1517</v>
      </c>
    </row>
    <row r="413" spans="61:64" x14ac:dyDescent="0.2">
      <c r="BI413" s="1029" t="s">
        <v>1092</v>
      </c>
      <c r="BJ413" t="s">
        <v>646</v>
      </c>
      <c r="BK413">
        <v>22.8</v>
      </c>
      <c r="BL413">
        <v>1228</v>
      </c>
    </row>
    <row r="414" spans="61:64" x14ac:dyDescent="0.2">
      <c r="BI414" s="1029" t="s">
        <v>1093</v>
      </c>
      <c r="BJ414" t="s">
        <v>646</v>
      </c>
      <c r="BK414">
        <v>22</v>
      </c>
      <c r="BL414">
        <v>1261</v>
      </c>
    </row>
    <row r="415" spans="61:64" x14ac:dyDescent="0.2">
      <c r="BI415" s="1029" t="s">
        <v>1094</v>
      </c>
      <c r="BJ415" t="s">
        <v>646</v>
      </c>
      <c r="BK415">
        <v>21.1</v>
      </c>
      <c r="BL415">
        <v>1389</v>
      </c>
    </row>
    <row r="416" spans="61:64" x14ac:dyDescent="0.2">
      <c r="BI416" s="1029" t="s">
        <v>1095</v>
      </c>
      <c r="BJ416" t="s">
        <v>646</v>
      </c>
      <c r="BK416">
        <v>21.3</v>
      </c>
      <c r="BL416">
        <v>1326</v>
      </c>
    </row>
    <row r="417" spans="61:64" x14ac:dyDescent="0.2">
      <c r="BI417" s="1029" t="s">
        <v>1096</v>
      </c>
      <c r="BJ417" t="s">
        <v>646</v>
      </c>
      <c r="BK417">
        <v>23.7</v>
      </c>
      <c r="BL417">
        <v>1132</v>
      </c>
    </row>
    <row r="418" spans="61:64" x14ac:dyDescent="0.2">
      <c r="BI418" s="1029" t="s">
        <v>1097</v>
      </c>
      <c r="BJ418" t="s">
        <v>646</v>
      </c>
      <c r="BK418">
        <v>21.3</v>
      </c>
      <c r="BL418">
        <v>1254</v>
      </c>
    </row>
    <row r="419" spans="61:64" x14ac:dyDescent="0.2">
      <c r="BI419" s="1029" t="s">
        <v>1098</v>
      </c>
      <c r="BJ419" t="s">
        <v>646</v>
      </c>
      <c r="BK419">
        <v>24</v>
      </c>
      <c r="BL419">
        <v>1124</v>
      </c>
    </row>
    <row r="420" spans="61:64" x14ac:dyDescent="0.2">
      <c r="BI420" s="1029" t="s">
        <v>1099</v>
      </c>
      <c r="BJ420" t="s">
        <v>646</v>
      </c>
      <c r="BK420">
        <v>20.6</v>
      </c>
      <c r="BL420">
        <v>1262</v>
      </c>
    </row>
    <row r="421" spans="61:64" x14ac:dyDescent="0.2">
      <c r="BI421" s="1029" t="s">
        <v>1100</v>
      </c>
      <c r="BJ421" t="s">
        <v>646</v>
      </c>
      <c r="BK421">
        <v>21.8</v>
      </c>
      <c r="BL421">
        <v>1243</v>
      </c>
    </row>
    <row r="422" spans="61:64" x14ac:dyDescent="0.2">
      <c r="BI422" s="1029" t="s">
        <v>1101</v>
      </c>
      <c r="BJ422" t="s">
        <v>646</v>
      </c>
      <c r="BK422">
        <v>21.8</v>
      </c>
      <c r="BL422">
        <v>1328</v>
      </c>
    </row>
    <row r="423" spans="61:64" x14ac:dyDescent="0.2">
      <c r="BI423" s="1029" t="s">
        <v>1102</v>
      </c>
      <c r="BJ423" t="s">
        <v>646</v>
      </c>
      <c r="BK423">
        <v>18.899999999999999</v>
      </c>
      <c r="BL423">
        <v>1405</v>
      </c>
    </row>
    <row r="424" spans="61:64" x14ac:dyDescent="0.2">
      <c r="BI424" s="1029" t="s">
        <v>1103</v>
      </c>
      <c r="BJ424" t="s">
        <v>646</v>
      </c>
      <c r="BK424">
        <v>21.8</v>
      </c>
      <c r="BL424">
        <v>1332</v>
      </c>
    </row>
    <row r="425" spans="61:64" x14ac:dyDescent="0.2">
      <c r="BI425" s="1029" t="s">
        <v>1104</v>
      </c>
      <c r="BJ425" t="s">
        <v>646</v>
      </c>
      <c r="BK425">
        <v>21.4</v>
      </c>
      <c r="BL425">
        <v>1441</v>
      </c>
    </row>
    <row r="426" spans="61:64" x14ac:dyDescent="0.2">
      <c r="BI426" s="1029" t="s">
        <v>670</v>
      </c>
      <c r="BJ426" t="s">
        <v>646</v>
      </c>
      <c r="BK426">
        <v>22.8</v>
      </c>
      <c r="BL426">
        <v>1255.2</v>
      </c>
    </row>
    <row r="427" spans="61:64" x14ac:dyDescent="0.2">
      <c r="BI427" s="1029" t="s">
        <v>1105</v>
      </c>
      <c r="BJ427" t="s">
        <v>646</v>
      </c>
      <c r="BK427">
        <v>20.9</v>
      </c>
      <c r="BL427">
        <v>1284</v>
      </c>
    </row>
    <row r="428" spans="61:64" x14ac:dyDescent="0.2">
      <c r="BI428" s="1029" t="s">
        <v>1106</v>
      </c>
      <c r="BJ428" t="s">
        <v>646</v>
      </c>
      <c r="BK428">
        <v>19.899999999999999</v>
      </c>
      <c r="BL428">
        <v>1349</v>
      </c>
    </row>
    <row r="429" spans="61:64" x14ac:dyDescent="0.2">
      <c r="BI429" s="1029" t="s">
        <v>1107</v>
      </c>
      <c r="BJ429" t="s">
        <v>646</v>
      </c>
      <c r="BK429">
        <v>23.4</v>
      </c>
      <c r="BL429">
        <v>1155</v>
      </c>
    </row>
    <row r="430" spans="61:64" x14ac:dyDescent="0.2">
      <c r="BI430" s="1029" t="s">
        <v>693</v>
      </c>
      <c r="BJ430" t="s">
        <v>646</v>
      </c>
      <c r="BK430">
        <v>19.8</v>
      </c>
      <c r="BL430">
        <v>1451.9</v>
      </c>
    </row>
    <row r="431" spans="61:64" x14ac:dyDescent="0.2">
      <c r="BI431" s="1029" t="s">
        <v>715</v>
      </c>
      <c r="BJ431" t="s">
        <v>646</v>
      </c>
      <c r="BK431">
        <v>22.6</v>
      </c>
      <c r="BL431">
        <v>1425</v>
      </c>
    </row>
    <row r="432" spans="61:64" x14ac:dyDescent="0.2">
      <c r="BI432" s="1029" t="s">
        <v>1108</v>
      </c>
      <c r="BJ432" t="s">
        <v>646</v>
      </c>
      <c r="BK432">
        <v>23</v>
      </c>
      <c r="BL432">
        <v>1197</v>
      </c>
    </row>
    <row r="433" spans="61:64" x14ac:dyDescent="0.2">
      <c r="BI433" s="1029" t="s">
        <v>1109</v>
      </c>
      <c r="BJ433" t="s">
        <v>646</v>
      </c>
      <c r="BK433">
        <v>18</v>
      </c>
      <c r="BL433">
        <v>1894</v>
      </c>
    </row>
    <row r="434" spans="61:64" x14ac:dyDescent="0.2">
      <c r="BI434" s="1029" t="s">
        <v>734</v>
      </c>
      <c r="BJ434" t="s">
        <v>646</v>
      </c>
      <c r="BK434">
        <v>23.3</v>
      </c>
      <c r="BL434">
        <v>1159.5999999999999</v>
      </c>
    </row>
    <row r="435" spans="61:64" x14ac:dyDescent="0.2">
      <c r="BI435" s="1029" t="s">
        <v>1110</v>
      </c>
      <c r="BJ435" t="s">
        <v>646</v>
      </c>
      <c r="BK435">
        <v>20.6</v>
      </c>
      <c r="BL435">
        <v>1402</v>
      </c>
    </row>
    <row r="436" spans="61:64" x14ac:dyDescent="0.2">
      <c r="BI436" s="1029" t="s">
        <v>1111</v>
      </c>
      <c r="BJ436" t="s">
        <v>646</v>
      </c>
      <c r="BK436">
        <v>21.2</v>
      </c>
      <c r="BL436">
        <v>1211</v>
      </c>
    </row>
    <row r="437" spans="61:64" x14ac:dyDescent="0.2">
      <c r="BI437" s="1029" t="s">
        <v>1112</v>
      </c>
      <c r="BJ437" t="s">
        <v>646</v>
      </c>
      <c r="BK437">
        <v>21.6</v>
      </c>
      <c r="BL437">
        <v>1170</v>
      </c>
    </row>
    <row r="438" spans="61:64" x14ac:dyDescent="0.2">
      <c r="BI438" s="1029" t="s">
        <v>1113</v>
      </c>
      <c r="BJ438" t="s">
        <v>646</v>
      </c>
      <c r="BK438">
        <v>23</v>
      </c>
      <c r="BL438">
        <v>1296</v>
      </c>
    </row>
    <row r="439" spans="61:64" x14ac:dyDescent="0.2">
      <c r="BI439" s="1029" t="s">
        <v>1114</v>
      </c>
      <c r="BJ439" t="s">
        <v>646</v>
      </c>
      <c r="BK439">
        <v>20.8</v>
      </c>
      <c r="BL439">
        <v>1395</v>
      </c>
    </row>
    <row r="440" spans="61:64" x14ac:dyDescent="0.2">
      <c r="BI440" s="1029" t="s">
        <v>1115</v>
      </c>
      <c r="BJ440" t="s">
        <v>646</v>
      </c>
      <c r="BK440">
        <v>23.8</v>
      </c>
      <c r="BL440">
        <v>1245</v>
      </c>
    </row>
    <row r="441" spans="61:64" x14ac:dyDescent="0.2">
      <c r="BI441" s="1029" t="s">
        <v>1116</v>
      </c>
      <c r="BJ441" t="s">
        <v>646</v>
      </c>
      <c r="BK441">
        <v>20.9</v>
      </c>
      <c r="BL441">
        <v>1134</v>
      </c>
    </row>
    <row r="442" spans="61:64" x14ac:dyDescent="0.2">
      <c r="BI442" s="1029" t="s">
        <v>1117</v>
      </c>
      <c r="BJ442" t="s">
        <v>646</v>
      </c>
      <c r="BK442">
        <v>23.5</v>
      </c>
      <c r="BL442">
        <v>1226</v>
      </c>
    </row>
    <row r="443" spans="61:64" x14ac:dyDescent="0.2">
      <c r="BI443" s="1029" t="s">
        <v>1118</v>
      </c>
      <c r="BJ443" t="s">
        <v>646</v>
      </c>
      <c r="BK443">
        <v>20.2</v>
      </c>
      <c r="BL443">
        <v>1302</v>
      </c>
    </row>
    <row r="444" spans="61:64" x14ac:dyDescent="0.2">
      <c r="BI444" s="1029" t="s">
        <v>1119</v>
      </c>
      <c r="BJ444" t="s">
        <v>646</v>
      </c>
      <c r="BK444">
        <v>23</v>
      </c>
      <c r="BL444">
        <v>1245</v>
      </c>
    </row>
    <row r="445" spans="61:64" x14ac:dyDescent="0.2">
      <c r="BI445" s="1029" t="s">
        <v>1120</v>
      </c>
      <c r="BJ445" t="s">
        <v>646</v>
      </c>
      <c r="BK445">
        <v>21.6</v>
      </c>
      <c r="BL445">
        <v>1322</v>
      </c>
    </row>
    <row r="446" spans="61:64" x14ac:dyDescent="0.2">
      <c r="BI446" s="1029" t="s">
        <v>1121</v>
      </c>
      <c r="BJ446" t="s">
        <v>646</v>
      </c>
      <c r="BK446">
        <v>22.2</v>
      </c>
      <c r="BL446">
        <v>1524</v>
      </c>
    </row>
    <row r="447" spans="61:64" x14ac:dyDescent="0.2">
      <c r="BI447" s="1029" t="s">
        <v>1122</v>
      </c>
      <c r="BJ447" t="s">
        <v>646</v>
      </c>
      <c r="BK447">
        <v>23</v>
      </c>
      <c r="BL447">
        <v>1338</v>
      </c>
    </row>
    <row r="448" spans="61:64" x14ac:dyDescent="0.2">
      <c r="BI448" s="1029" t="s">
        <v>1123</v>
      </c>
      <c r="BJ448" t="s">
        <v>646</v>
      </c>
      <c r="BK448">
        <v>21.6</v>
      </c>
      <c r="BL448">
        <v>1420</v>
      </c>
    </row>
    <row r="449" spans="61:64" x14ac:dyDescent="0.2">
      <c r="BI449" s="1029" t="s">
        <v>1124</v>
      </c>
      <c r="BJ449" t="s">
        <v>646</v>
      </c>
      <c r="BK449">
        <v>20.6</v>
      </c>
      <c r="BL449">
        <v>1516</v>
      </c>
    </row>
    <row r="450" spans="61:64" x14ac:dyDescent="0.2">
      <c r="BI450" s="1029" t="s">
        <v>1125</v>
      </c>
      <c r="BJ450" t="s">
        <v>646</v>
      </c>
      <c r="BK450">
        <v>22.8</v>
      </c>
      <c r="BL450">
        <v>1334</v>
      </c>
    </row>
    <row r="451" spans="61:64" x14ac:dyDescent="0.2">
      <c r="BI451" s="1029" t="s">
        <v>751</v>
      </c>
      <c r="BJ451" t="s">
        <v>646</v>
      </c>
      <c r="BK451">
        <v>20.7</v>
      </c>
      <c r="BL451">
        <v>1357.6</v>
      </c>
    </row>
    <row r="452" spans="61:64" x14ac:dyDescent="0.2">
      <c r="BI452" s="1029" t="s">
        <v>767</v>
      </c>
      <c r="BJ452" t="s">
        <v>646</v>
      </c>
      <c r="BK452">
        <v>14.2</v>
      </c>
      <c r="BL452">
        <v>1852.5</v>
      </c>
    </row>
    <row r="453" spans="61:64" x14ac:dyDescent="0.2">
      <c r="BI453" s="1029" t="s">
        <v>1126</v>
      </c>
      <c r="BJ453" t="s">
        <v>646</v>
      </c>
      <c r="BK453">
        <v>24.1</v>
      </c>
      <c r="BL453">
        <v>2261</v>
      </c>
    </row>
    <row r="454" spans="61:64" x14ac:dyDescent="0.2">
      <c r="BI454" s="1029" t="s">
        <v>1127</v>
      </c>
      <c r="BJ454" t="s">
        <v>646</v>
      </c>
      <c r="BK454">
        <v>22</v>
      </c>
      <c r="BL454">
        <v>1197</v>
      </c>
    </row>
    <row r="455" spans="61:64" x14ac:dyDescent="0.2">
      <c r="BI455" s="1029" t="s">
        <v>1128</v>
      </c>
      <c r="BJ455" t="s">
        <v>646</v>
      </c>
      <c r="BK455">
        <v>20.100000000000001</v>
      </c>
      <c r="BL455">
        <v>1210</v>
      </c>
    </row>
    <row r="456" spans="61:64" x14ac:dyDescent="0.2">
      <c r="BI456" s="1029" t="s">
        <v>1129</v>
      </c>
      <c r="BJ456" t="s">
        <v>646</v>
      </c>
      <c r="BK456">
        <v>24.9</v>
      </c>
      <c r="BL456">
        <v>2443</v>
      </c>
    </row>
    <row r="457" spans="61:64" x14ac:dyDescent="0.2">
      <c r="BI457" s="1029" t="s">
        <v>782</v>
      </c>
      <c r="BJ457" t="s">
        <v>646</v>
      </c>
      <c r="BK457">
        <v>22.8</v>
      </c>
      <c r="BL457">
        <v>1361.8</v>
      </c>
    </row>
    <row r="458" spans="61:64" x14ac:dyDescent="0.2">
      <c r="BI458" s="1029" t="s">
        <v>1130</v>
      </c>
      <c r="BJ458" t="s">
        <v>646</v>
      </c>
      <c r="BK458">
        <v>23.3</v>
      </c>
      <c r="BL458">
        <v>1321</v>
      </c>
    </row>
    <row r="459" spans="61:64" x14ac:dyDescent="0.2">
      <c r="BI459" s="1029" t="s">
        <v>1131</v>
      </c>
      <c r="BJ459" t="s">
        <v>646</v>
      </c>
      <c r="BK459">
        <v>21.6</v>
      </c>
      <c r="BL459">
        <v>1240</v>
      </c>
    </row>
    <row r="460" spans="61:64" x14ac:dyDescent="0.2">
      <c r="BI460" s="1029" t="s">
        <v>1132</v>
      </c>
      <c r="BJ460" t="s">
        <v>646</v>
      </c>
      <c r="BK460">
        <v>20.5</v>
      </c>
      <c r="BL460">
        <v>1138</v>
      </c>
    </row>
    <row r="461" spans="61:64" x14ac:dyDescent="0.2">
      <c r="BI461" s="1029" t="s">
        <v>1133</v>
      </c>
      <c r="BJ461" t="s">
        <v>646</v>
      </c>
      <c r="BK461">
        <v>21.4</v>
      </c>
      <c r="BL461">
        <v>1170</v>
      </c>
    </row>
    <row r="462" spans="61:64" x14ac:dyDescent="0.2">
      <c r="BI462" s="1029" t="s">
        <v>1134</v>
      </c>
      <c r="BJ462" t="s">
        <v>646</v>
      </c>
      <c r="BK462">
        <v>21.2</v>
      </c>
      <c r="BL462">
        <v>1186</v>
      </c>
    </row>
    <row r="463" spans="61:64" x14ac:dyDescent="0.2">
      <c r="BI463" s="1029" t="s">
        <v>1135</v>
      </c>
      <c r="BJ463" t="s">
        <v>646</v>
      </c>
      <c r="BK463">
        <v>21.6</v>
      </c>
      <c r="BL463">
        <v>1386</v>
      </c>
    </row>
    <row r="464" spans="61:64" x14ac:dyDescent="0.2">
      <c r="BI464" s="1029" t="s">
        <v>1136</v>
      </c>
      <c r="BJ464" t="s">
        <v>646</v>
      </c>
      <c r="BK464">
        <v>22.8</v>
      </c>
      <c r="BL464">
        <v>1295</v>
      </c>
    </row>
    <row r="465" spans="61:64" x14ac:dyDescent="0.2">
      <c r="BI465" s="1029" t="s">
        <v>1137</v>
      </c>
      <c r="BJ465" t="s">
        <v>646</v>
      </c>
      <c r="BK465">
        <v>22.2</v>
      </c>
      <c r="BL465">
        <v>1166</v>
      </c>
    </row>
    <row r="466" spans="61:64" x14ac:dyDescent="0.2">
      <c r="BI466" s="1029" t="s">
        <v>1138</v>
      </c>
      <c r="BJ466" t="s">
        <v>646</v>
      </c>
      <c r="BK466">
        <v>23.6</v>
      </c>
      <c r="BL466">
        <v>1185</v>
      </c>
    </row>
    <row r="467" spans="61:64" x14ac:dyDescent="0.2">
      <c r="BI467" s="1029" t="s">
        <v>1139</v>
      </c>
      <c r="BJ467" t="s">
        <v>646</v>
      </c>
      <c r="BK467">
        <v>21.9</v>
      </c>
      <c r="BL467">
        <v>1341</v>
      </c>
    </row>
    <row r="468" spans="61:64" x14ac:dyDescent="0.2">
      <c r="BI468" s="1029" t="s">
        <v>1140</v>
      </c>
      <c r="BJ468" t="s">
        <v>646</v>
      </c>
      <c r="BK468">
        <v>21.9</v>
      </c>
      <c r="BL468">
        <v>1256</v>
      </c>
    </row>
    <row r="469" spans="61:64" x14ac:dyDescent="0.2">
      <c r="BI469" s="1029" t="s">
        <v>794</v>
      </c>
      <c r="BJ469" t="s">
        <v>646</v>
      </c>
      <c r="BK469">
        <v>18.2</v>
      </c>
      <c r="BL469">
        <v>1300.0999999999999</v>
      </c>
    </row>
    <row r="470" spans="61:64" x14ac:dyDescent="0.2">
      <c r="BI470" s="1029" t="s">
        <v>1141</v>
      </c>
      <c r="BJ470" t="s">
        <v>646</v>
      </c>
      <c r="BK470">
        <v>21.1</v>
      </c>
      <c r="BL470">
        <v>1442</v>
      </c>
    </row>
    <row r="471" spans="61:64" x14ac:dyDescent="0.2">
      <c r="BI471" s="1029" t="s">
        <v>1142</v>
      </c>
      <c r="BJ471" t="s">
        <v>646</v>
      </c>
      <c r="BK471">
        <v>22.1</v>
      </c>
      <c r="BL471">
        <v>1445</v>
      </c>
    </row>
    <row r="472" spans="61:64" x14ac:dyDescent="0.2">
      <c r="BI472" s="1029" t="s">
        <v>1143</v>
      </c>
      <c r="BJ472" t="s">
        <v>646</v>
      </c>
      <c r="BK472">
        <v>25.1</v>
      </c>
      <c r="BL472">
        <v>3283</v>
      </c>
    </row>
    <row r="473" spans="61:64" x14ac:dyDescent="0.2">
      <c r="BI473" s="1029" t="s">
        <v>1144</v>
      </c>
      <c r="BJ473" t="s">
        <v>646</v>
      </c>
      <c r="BK473">
        <v>18</v>
      </c>
      <c r="BL473">
        <v>1458</v>
      </c>
    </row>
    <row r="474" spans="61:64" x14ac:dyDescent="0.2">
      <c r="BI474" s="1029" t="s">
        <v>1145</v>
      </c>
      <c r="BJ474" t="s">
        <v>646</v>
      </c>
      <c r="BK474">
        <v>22.3</v>
      </c>
      <c r="BL474">
        <v>1249</v>
      </c>
    </row>
    <row r="475" spans="61:64" x14ac:dyDescent="0.2">
      <c r="BI475" s="1029" t="s">
        <v>1146</v>
      </c>
      <c r="BJ475" t="s">
        <v>646</v>
      </c>
      <c r="BK475">
        <v>21.7</v>
      </c>
      <c r="BL475">
        <v>1348</v>
      </c>
    </row>
    <row r="476" spans="61:64" x14ac:dyDescent="0.2">
      <c r="BI476" s="1029" t="s">
        <v>1147</v>
      </c>
      <c r="BJ476" t="s">
        <v>646</v>
      </c>
      <c r="BK476">
        <v>21.2</v>
      </c>
      <c r="BL476">
        <v>1286</v>
      </c>
    </row>
    <row r="477" spans="61:64" x14ac:dyDescent="0.2">
      <c r="BI477" s="1029" t="s">
        <v>1148</v>
      </c>
      <c r="BJ477" t="s">
        <v>646</v>
      </c>
      <c r="BK477">
        <v>21.2</v>
      </c>
      <c r="BL477">
        <v>1303</v>
      </c>
    </row>
    <row r="478" spans="61:64" x14ac:dyDescent="0.2">
      <c r="BI478" s="1029" t="s">
        <v>1149</v>
      </c>
      <c r="BJ478" t="s">
        <v>646</v>
      </c>
      <c r="BK478">
        <v>23.6</v>
      </c>
      <c r="BL478">
        <v>1193</v>
      </c>
    </row>
    <row r="479" spans="61:64" x14ac:dyDescent="0.2">
      <c r="BI479" s="1029" t="s">
        <v>1150</v>
      </c>
      <c r="BJ479" t="s">
        <v>646</v>
      </c>
      <c r="BK479">
        <v>22.3</v>
      </c>
      <c r="BL479">
        <v>1195</v>
      </c>
    </row>
    <row r="480" spans="61:64" x14ac:dyDescent="0.2">
      <c r="BI480" s="1029" t="s">
        <v>1151</v>
      </c>
      <c r="BJ480" t="s">
        <v>646</v>
      </c>
      <c r="BK480">
        <v>24</v>
      </c>
      <c r="BL480">
        <v>1499</v>
      </c>
    </row>
    <row r="481" spans="61:64" x14ac:dyDescent="0.2">
      <c r="BI481" s="1029" t="s">
        <v>1152</v>
      </c>
      <c r="BJ481" t="s">
        <v>646</v>
      </c>
      <c r="BK481">
        <v>21.6</v>
      </c>
      <c r="BL481">
        <v>1171</v>
      </c>
    </row>
    <row r="482" spans="61:64" x14ac:dyDescent="0.2">
      <c r="BI482" s="1029" t="s">
        <v>1153</v>
      </c>
      <c r="BJ482" t="s">
        <v>646</v>
      </c>
      <c r="BK482">
        <v>21.3</v>
      </c>
      <c r="BL482">
        <v>1495</v>
      </c>
    </row>
    <row r="483" spans="61:64" x14ac:dyDescent="0.2">
      <c r="BI483" s="1029" t="s">
        <v>1154</v>
      </c>
      <c r="BJ483" t="s">
        <v>646</v>
      </c>
      <c r="BK483">
        <v>23.5</v>
      </c>
      <c r="BL483">
        <v>1216</v>
      </c>
    </row>
    <row r="484" spans="61:64" x14ac:dyDescent="0.2">
      <c r="BI484" s="1029" t="s">
        <v>1155</v>
      </c>
      <c r="BJ484" t="s">
        <v>646</v>
      </c>
      <c r="BK484">
        <v>23.3</v>
      </c>
      <c r="BL484">
        <v>1153</v>
      </c>
    </row>
    <row r="485" spans="61:64" x14ac:dyDescent="0.2">
      <c r="BI485" s="1029" t="s">
        <v>806</v>
      </c>
      <c r="BJ485" t="s">
        <v>646</v>
      </c>
      <c r="BK485">
        <v>20.5</v>
      </c>
      <c r="BL485">
        <v>1642.9</v>
      </c>
    </row>
    <row r="486" spans="61:64" x14ac:dyDescent="0.2">
      <c r="BI486" s="1029" t="s">
        <v>1156</v>
      </c>
      <c r="BJ486" t="s">
        <v>646</v>
      </c>
      <c r="BK486">
        <v>20.3</v>
      </c>
      <c r="BL486">
        <v>1373</v>
      </c>
    </row>
    <row r="487" spans="61:64" x14ac:dyDescent="0.2">
      <c r="BI487" s="1029" t="s">
        <v>1157</v>
      </c>
      <c r="BJ487" t="s">
        <v>646</v>
      </c>
      <c r="BK487">
        <v>21.4</v>
      </c>
      <c r="BL487">
        <v>1303</v>
      </c>
    </row>
    <row r="488" spans="61:64" x14ac:dyDescent="0.2">
      <c r="BI488" s="1029" t="s">
        <v>1158</v>
      </c>
      <c r="BJ488" t="s">
        <v>646</v>
      </c>
      <c r="BK488">
        <v>23.1</v>
      </c>
      <c r="BL488">
        <v>1128</v>
      </c>
    </row>
    <row r="489" spans="61:64" x14ac:dyDescent="0.2">
      <c r="BI489" s="1029" t="s">
        <v>1159</v>
      </c>
      <c r="BJ489" t="s">
        <v>646</v>
      </c>
      <c r="BK489">
        <v>23</v>
      </c>
      <c r="BL489">
        <v>1235</v>
      </c>
    </row>
    <row r="490" spans="61:64" x14ac:dyDescent="0.2">
      <c r="BI490" s="1029" t="s">
        <v>1160</v>
      </c>
      <c r="BJ490" t="s">
        <v>646</v>
      </c>
      <c r="BK490">
        <v>23.2</v>
      </c>
      <c r="BL490">
        <v>1312</v>
      </c>
    </row>
    <row r="491" spans="61:64" x14ac:dyDescent="0.2">
      <c r="BI491" s="1029" t="s">
        <v>1161</v>
      </c>
      <c r="BJ491" t="s">
        <v>646</v>
      </c>
      <c r="BK491">
        <v>21.4</v>
      </c>
      <c r="BL491">
        <v>1329</v>
      </c>
    </row>
    <row r="492" spans="61:64" x14ac:dyDescent="0.2">
      <c r="BI492" s="1029" t="s">
        <v>1162</v>
      </c>
      <c r="BJ492" t="s">
        <v>646</v>
      </c>
      <c r="BK492">
        <v>22.7</v>
      </c>
      <c r="BL492">
        <v>1174</v>
      </c>
    </row>
    <row r="493" spans="61:64" x14ac:dyDescent="0.2">
      <c r="BI493" s="1029" t="s">
        <v>1163</v>
      </c>
      <c r="BJ493" t="s">
        <v>646</v>
      </c>
      <c r="BK493">
        <v>21.2</v>
      </c>
      <c r="BL493">
        <v>1265</v>
      </c>
    </row>
    <row r="494" spans="61:64" x14ac:dyDescent="0.2">
      <c r="BI494" s="1029" t="s">
        <v>1164</v>
      </c>
      <c r="BJ494" t="s">
        <v>646</v>
      </c>
      <c r="BK494">
        <v>21.9</v>
      </c>
      <c r="BL494">
        <v>1316</v>
      </c>
    </row>
    <row r="495" spans="61:64" x14ac:dyDescent="0.2">
      <c r="BI495" s="1029" t="s">
        <v>1165</v>
      </c>
      <c r="BJ495" t="s">
        <v>646</v>
      </c>
      <c r="BK495">
        <v>22.3</v>
      </c>
      <c r="BL495">
        <v>1308</v>
      </c>
    </row>
    <row r="496" spans="61:64" x14ac:dyDescent="0.2">
      <c r="BI496" s="1029" t="s">
        <v>1166</v>
      </c>
      <c r="BJ496" t="s">
        <v>646</v>
      </c>
      <c r="BK496">
        <v>24.7</v>
      </c>
      <c r="BL496">
        <v>2210</v>
      </c>
    </row>
    <row r="497" spans="61:64" x14ac:dyDescent="0.2">
      <c r="BI497" s="1029" t="s">
        <v>1167</v>
      </c>
      <c r="BJ497" t="s">
        <v>646</v>
      </c>
      <c r="BK497">
        <v>20.2</v>
      </c>
      <c r="BL497">
        <v>1477</v>
      </c>
    </row>
    <row r="498" spans="61:64" x14ac:dyDescent="0.2">
      <c r="BI498" s="1029" t="s">
        <v>1168</v>
      </c>
      <c r="BJ498" t="s">
        <v>646</v>
      </c>
      <c r="BK498">
        <v>23.1</v>
      </c>
      <c r="BL498">
        <v>1254</v>
      </c>
    </row>
    <row r="499" spans="61:64" x14ac:dyDescent="0.2">
      <c r="BI499" s="1029" t="s">
        <v>1169</v>
      </c>
      <c r="BJ499" t="s">
        <v>646</v>
      </c>
      <c r="BK499">
        <v>21.4</v>
      </c>
      <c r="BL499">
        <v>1249</v>
      </c>
    </row>
    <row r="500" spans="61:64" x14ac:dyDescent="0.2">
      <c r="BI500" s="1029" t="s">
        <v>1170</v>
      </c>
      <c r="BJ500" t="s">
        <v>646</v>
      </c>
      <c r="BK500">
        <v>22.7</v>
      </c>
      <c r="BL500">
        <v>1259</v>
      </c>
    </row>
    <row r="501" spans="61:64" x14ac:dyDescent="0.2">
      <c r="BI501" s="1029" t="s">
        <v>1171</v>
      </c>
      <c r="BJ501" t="s">
        <v>646</v>
      </c>
      <c r="BK501">
        <v>23.1</v>
      </c>
      <c r="BL501">
        <v>1222</v>
      </c>
    </row>
    <row r="502" spans="61:64" x14ac:dyDescent="0.2">
      <c r="BI502" s="1029" t="s">
        <v>1172</v>
      </c>
      <c r="BJ502" t="s">
        <v>646</v>
      </c>
      <c r="BK502">
        <v>19.3</v>
      </c>
      <c r="BL502">
        <v>1428</v>
      </c>
    </row>
    <row r="503" spans="61:64" x14ac:dyDescent="0.2">
      <c r="BI503" s="1029" t="s">
        <v>1173</v>
      </c>
      <c r="BJ503" t="s">
        <v>646</v>
      </c>
      <c r="BK503">
        <v>24.3</v>
      </c>
      <c r="BL503">
        <v>1241</v>
      </c>
    </row>
    <row r="504" spans="61:64" x14ac:dyDescent="0.2">
      <c r="BI504" s="1029" t="s">
        <v>1174</v>
      </c>
      <c r="BJ504" t="s">
        <v>646</v>
      </c>
      <c r="BK504">
        <v>23</v>
      </c>
      <c r="BL504">
        <v>1469</v>
      </c>
    </row>
    <row r="505" spans="61:64" x14ac:dyDescent="0.2">
      <c r="BI505" s="1029" t="s">
        <v>1175</v>
      </c>
      <c r="BJ505" t="s">
        <v>646</v>
      </c>
      <c r="BK505">
        <v>23.2</v>
      </c>
      <c r="BL505">
        <v>1524</v>
      </c>
    </row>
    <row r="506" spans="61:64" x14ac:dyDescent="0.2">
      <c r="BI506" s="1029" t="s">
        <v>816</v>
      </c>
      <c r="BJ506" t="s">
        <v>646</v>
      </c>
      <c r="BK506">
        <v>21.6</v>
      </c>
      <c r="BL506">
        <v>1976.4</v>
      </c>
    </row>
    <row r="507" spans="61:64" x14ac:dyDescent="0.2">
      <c r="BI507" s="1029" t="s">
        <v>1176</v>
      </c>
      <c r="BJ507" t="s">
        <v>646</v>
      </c>
      <c r="BK507">
        <v>24.8</v>
      </c>
      <c r="BL507">
        <v>1504</v>
      </c>
    </row>
    <row r="508" spans="61:64" x14ac:dyDescent="0.2">
      <c r="BI508" s="1029" t="s">
        <v>1177</v>
      </c>
      <c r="BJ508" t="s">
        <v>646</v>
      </c>
      <c r="BK508">
        <v>25.2</v>
      </c>
      <c r="BL508">
        <v>1156</v>
      </c>
    </row>
    <row r="509" spans="61:64" x14ac:dyDescent="0.2">
      <c r="BI509" s="1029" t="s">
        <v>1178</v>
      </c>
      <c r="BJ509" t="s">
        <v>646</v>
      </c>
      <c r="BK509">
        <v>22.7</v>
      </c>
      <c r="BL509">
        <v>1271</v>
      </c>
    </row>
    <row r="510" spans="61:64" x14ac:dyDescent="0.2">
      <c r="BI510" s="1029" t="s">
        <v>1179</v>
      </c>
      <c r="BJ510" t="s">
        <v>646</v>
      </c>
      <c r="BK510">
        <v>21.5</v>
      </c>
      <c r="BL510">
        <v>1340</v>
      </c>
    </row>
    <row r="511" spans="61:64" x14ac:dyDescent="0.2">
      <c r="BI511" s="1029" t="s">
        <v>1180</v>
      </c>
      <c r="BJ511" t="s">
        <v>646</v>
      </c>
      <c r="BK511">
        <v>21.6</v>
      </c>
      <c r="BL511">
        <v>1237</v>
      </c>
    </row>
    <row r="512" spans="61:64" x14ac:dyDescent="0.2">
      <c r="BI512" s="1029" t="s">
        <v>1181</v>
      </c>
      <c r="BJ512" t="s">
        <v>646</v>
      </c>
      <c r="BK512">
        <v>23.3</v>
      </c>
      <c r="BL512">
        <v>1217</v>
      </c>
    </row>
    <row r="513" spans="61:64" x14ac:dyDescent="0.2">
      <c r="BI513" s="1029" t="s">
        <v>1182</v>
      </c>
      <c r="BJ513" t="s">
        <v>646</v>
      </c>
      <c r="BK513">
        <v>20.7</v>
      </c>
      <c r="BL513">
        <v>1172</v>
      </c>
    </row>
    <row r="514" spans="61:64" x14ac:dyDescent="0.2">
      <c r="BI514" s="1029" t="s">
        <v>1183</v>
      </c>
      <c r="BJ514" t="s">
        <v>646</v>
      </c>
      <c r="BK514">
        <v>23.3</v>
      </c>
      <c r="BL514">
        <v>1251</v>
      </c>
    </row>
    <row r="515" spans="61:64" x14ac:dyDescent="0.2">
      <c r="BI515" s="1029" t="s">
        <v>1184</v>
      </c>
      <c r="BJ515" t="s">
        <v>646</v>
      </c>
      <c r="BK515">
        <v>24.6</v>
      </c>
      <c r="BL515">
        <v>2002</v>
      </c>
    </row>
    <row r="516" spans="61:64" x14ac:dyDescent="0.2">
      <c r="BI516" s="1029" t="s">
        <v>1185</v>
      </c>
      <c r="BJ516" t="s">
        <v>646</v>
      </c>
      <c r="BK516">
        <v>17.600000000000001</v>
      </c>
      <c r="BL516">
        <v>1439</v>
      </c>
    </row>
    <row r="517" spans="61:64" x14ac:dyDescent="0.2">
      <c r="BI517" s="1029" t="s">
        <v>1186</v>
      </c>
      <c r="BJ517" t="s">
        <v>646</v>
      </c>
      <c r="BK517">
        <v>20.399999999999999</v>
      </c>
      <c r="BL517">
        <v>1182</v>
      </c>
    </row>
    <row r="518" spans="61:64" x14ac:dyDescent="0.2">
      <c r="BI518" s="1029" t="s">
        <v>825</v>
      </c>
      <c r="BJ518" t="s">
        <v>646</v>
      </c>
      <c r="BK518">
        <v>19.2</v>
      </c>
      <c r="BL518">
        <v>1326.6</v>
      </c>
    </row>
    <row r="519" spans="61:64" x14ac:dyDescent="0.2">
      <c r="BI519" s="1029" t="s">
        <v>1187</v>
      </c>
      <c r="BJ519" t="s">
        <v>646</v>
      </c>
      <c r="BK519">
        <v>21.5</v>
      </c>
      <c r="BL519">
        <v>13453</v>
      </c>
    </row>
    <row r="520" spans="61:64" x14ac:dyDescent="0.2">
      <c r="BI520" s="1029" t="s">
        <v>1188</v>
      </c>
      <c r="BJ520" t="s">
        <v>646</v>
      </c>
      <c r="BK520">
        <v>21.4</v>
      </c>
      <c r="BL520">
        <v>1173</v>
      </c>
    </row>
    <row r="521" spans="61:64" x14ac:dyDescent="0.2">
      <c r="BI521" s="1029" t="s">
        <v>1189</v>
      </c>
      <c r="BJ521" t="s">
        <v>646</v>
      </c>
      <c r="BK521">
        <v>22.5</v>
      </c>
      <c r="BL521">
        <v>1207</v>
      </c>
    </row>
    <row r="522" spans="61:64" x14ac:dyDescent="0.2">
      <c r="BI522" s="1029" t="s">
        <v>1190</v>
      </c>
      <c r="BJ522" t="s">
        <v>646</v>
      </c>
      <c r="BK522">
        <v>17</v>
      </c>
      <c r="BL522">
        <v>1549</v>
      </c>
    </row>
    <row r="523" spans="61:64" x14ac:dyDescent="0.2">
      <c r="BI523" s="1029" t="s">
        <v>1191</v>
      </c>
      <c r="BJ523" t="s">
        <v>646</v>
      </c>
      <c r="BK523">
        <v>24.2</v>
      </c>
      <c r="BL523">
        <v>1902</v>
      </c>
    </row>
    <row r="524" spans="61:64" x14ac:dyDescent="0.2">
      <c r="BI524" s="1029" t="s">
        <v>1192</v>
      </c>
      <c r="BJ524" t="s">
        <v>646</v>
      </c>
      <c r="BK524">
        <v>20.399999999999999</v>
      </c>
      <c r="BL524">
        <v>1318</v>
      </c>
    </row>
    <row r="525" spans="61:64" x14ac:dyDescent="0.2">
      <c r="BI525" s="1029" t="s">
        <v>1193</v>
      </c>
      <c r="BJ525" t="s">
        <v>646</v>
      </c>
      <c r="BK525">
        <v>19.899999999999999</v>
      </c>
      <c r="BL525">
        <v>1308</v>
      </c>
    </row>
    <row r="526" spans="61:64" x14ac:dyDescent="0.2">
      <c r="BI526" s="1029" t="s">
        <v>1194</v>
      </c>
      <c r="BJ526" t="s">
        <v>646</v>
      </c>
      <c r="BK526">
        <v>20.9</v>
      </c>
      <c r="BL526">
        <v>1125</v>
      </c>
    </row>
    <row r="527" spans="61:64" x14ac:dyDescent="0.2">
      <c r="BI527" s="1029" t="s">
        <v>1195</v>
      </c>
      <c r="BJ527" t="s">
        <v>646</v>
      </c>
      <c r="BK527">
        <v>20.7</v>
      </c>
      <c r="BL527">
        <v>1340</v>
      </c>
    </row>
    <row r="528" spans="61:64" x14ac:dyDescent="0.2">
      <c r="BI528" s="1029" t="s">
        <v>1196</v>
      </c>
      <c r="BJ528" t="s">
        <v>646</v>
      </c>
      <c r="BK528">
        <v>21.5</v>
      </c>
      <c r="BL528">
        <v>1331</v>
      </c>
    </row>
    <row r="529" spans="61:64" x14ac:dyDescent="0.2">
      <c r="BI529" s="1029" t="s">
        <v>834</v>
      </c>
      <c r="BJ529" t="s">
        <v>646</v>
      </c>
      <c r="BK529">
        <v>22.3</v>
      </c>
      <c r="BL529">
        <v>1333</v>
      </c>
    </row>
    <row r="530" spans="61:64" x14ac:dyDescent="0.2">
      <c r="BI530" s="1029" t="s">
        <v>1197</v>
      </c>
      <c r="BJ530" t="s">
        <v>646</v>
      </c>
      <c r="BK530">
        <v>21.4</v>
      </c>
      <c r="BL530">
        <v>1239</v>
      </c>
    </row>
    <row r="531" spans="61:64" x14ac:dyDescent="0.2">
      <c r="BI531" s="1029" t="s">
        <v>1198</v>
      </c>
      <c r="BJ531" t="s">
        <v>646</v>
      </c>
      <c r="BK531">
        <v>23</v>
      </c>
      <c r="BL531">
        <v>1514</v>
      </c>
    </row>
    <row r="532" spans="61:64" x14ac:dyDescent="0.2">
      <c r="BI532" s="1029" t="s">
        <v>1199</v>
      </c>
      <c r="BJ532" t="s">
        <v>646</v>
      </c>
      <c r="BK532">
        <v>21.7</v>
      </c>
      <c r="BL532">
        <v>1309</v>
      </c>
    </row>
    <row r="533" spans="61:64" x14ac:dyDescent="0.2">
      <c r="BI533" s="1029" t="s">
        <v>1200</v>
      </c>
      <c r="BJ533" t="s">
        <v>646</v>
      </c>
      <c r="BK533">
        <v>23.4</v>
      </c>
      <c r="BL533">
        <v>1333</v>
      </c>
    </row>
    <row r="534" spans="61:64" x14ac:dyDescent="0.2">
      <c r="BI534" s="1029" t="s">
        <v>1201</v>
      </c>
      <c r="BJ534" t="s">
        <v>646</v>
      </c>
      <c r="BK534">
        <v>22.1</v>
      </c>
      <c r="BL534">
        <v>1417</v>
      </c>
    </row>
    <row r="535" spans="61:64" x14ac:dyDescent="0.2">
      <c r="BI535" s="1029" t="s">
        <v>1202</v>
      </c>
      <c r="BJ535" t="s">
        <v>646</v>
      </c>
      <c r="BK535">
        <v>21.1</v>
      </c>
      <c r="BL535">
        <v>1530</v>
      </c>
    </row>
    <row r="536" spans="61:64" x14ac:dyDescent="0.2">
      <c r="BI536" s="1029" t="s">
        <v>1203</v>
      </c>
      <c r="BJ536" t="s">
        <v>646</v>
      </c>
      <c r="BK536">
        <v>21.3</v>
      </c>
      <c r="BL536">
        <v>1409</v>
      </c>
    </row>
    <row r="537" spans="61:64" x14ac:dyDescent="0.2">
      <c r="BI537" s="1029" t="s">
        <v>1204</v>
      </c>
      <c r="BJ537" t="s">
        <v>646</v>
      </c>
      <c r="BK537">
        <v>19.8</v>
      </c>
      <c r="BL537">
        <v>1539</v>
      </c>
    </row>
    <row r="538" spans="61:64" x14ac:dyDescent="0.2">
      <c r="BI538" s="1029" t="s">
        <v>1205</v>
      </c>
      <c r="BJ538" t="s">
        <v>646</v>
      </c>
      <c r="BK538">
        <v>24.4</v>
      </c>
      <c r="BL538">
        <v>1573</v>
      </c>
    </row>
    <row r="539" spans="61:64" x14ac:dyDescent="0.2">
      <c r="BI539" s="1029" t="s">
        <v>1206</v>
      </c>
      <c r="BJ539" t="s">
        <v>646</v>
      </c>
      <c r="BK539">
        <v>22.8</v>
      </c>
      <c r="BL539">
        <v>1178</v>
      </c>
    </row>
    <row r="540" spans="61:64" x14ac:dyDescent="0.2">
      <c r="BI540" s="1029" t="s">
        <v>1207</v>
      </c>
      <c r="BJ540" t="s">
        <v>646</v>
      </c>
      <c r="BK540">
        <v>19.8</v>
      </c>
      <c r="BL540">
        <v>1258</v>
      </c>
    </row>
    <row r="541" spans="61:64" x14ac:dyDescent="0.2">
      <c r="BI541" s="1029" t="s">
        <v>1208</v>
      </c>
      <c r="BJ541" t="s">
        <v>646</v>
      </c>
      <c r="BK541">
        <v>22</v>
      </c>
      <c r="BL541">
        <v>1161</v>
      </c>
    </row>
    <row r="542" spans="61:64" x14ac:dyDescent="0.2">
      <c r="BI542" s="1029" t="s">
        <v>1209</v>
      </c>
      <c r="BJ542" t="s">
        <v>646</v>
      </c>
      <c r="BK542">
        <v>21.8</v>
      </c>
      <c r="BL542">
        <v>1303</v>
      </c>
    </row>
    <row r="543" spans="61:64" x14ac:dyDescent="0.2">
      <c r="BI543" s="1029" t="s">
        <v>1210</v>
      </c>
      <c r="BJ543" t="s">
        <v>646</v>
      </c>
      <c r="BK543">
        <v>21.1</v>
      </c>
      <c r="BL543">
        <v>1359</v>
      </c>
    </row>
    <row r="544" spans="61:64" x14ac:dyDescent="0.2">
      <c r="BI544" s="1029" t="s">
        <v>843</v>
      </c>
      <c r="BJ544" t="s">
        <v>646</v>
      </c>
      <c r="BK544">
        <v>22.5</v>
      </c>
      <c r="BL544">
        <v>1338.3</v>
      </c>
    </row>
    <row r="545" spans="61:64" x14ac:dyDescent="0.2">
      <c r="BI545" s="1029" t="s">
        <v>1211</v>
      </c>
      <c r="BJ545" t="s">
        <v>646</v>
      </c>
      <c r="BK545">
        <v>22</v>
      </c>
      <c r="BL545">
        <v>1384</v>
      </c>
    </row>
    <row r="546" spans="61:64" x14ac:dyDescent="0.2">
      <c r="BI546" s="1029" t="s">
        <v>1212</v>
      </c>
      <c r="BJ546" t="s">
        <v>646</v>
      </c>
      <c r="BK546">
        <v>23.1</v>
      </c>
      <c r="BL546">
        <v>1160</v>
      </c>
    </row>
    <row r="547" spans="61:64" x14ac:dyDescent="0.2">
      <c r="BI547" s="1029" t="s">
        <v>1213</v>
      </c>
      <c r="BJ547" t="s">
        <v>646</v>
      </c>
      <c r="BK547">
        <v>22.6</v>
      </c>
      <c r="BL547">
        <v>1239</v>
      </c>
    </row>
    <row r="548" spans="61:64" x14ac:dyDescent="0.2">
      <c r="BI548" s="1029" t="s">
        <v>1214</v>
      </c>
      <c r="BJ548" t="s">
        <v>646</v>
      </c>
      <c r="BK548">
        <v>23.6</v>
      </c>
      <c r="BL548">
        <v>1096</v>
      </c>
    </row>
    <row r="549" spans="61:64" x14ac:dyDescent="0.2">
      <c r="BI549" s="1029" t="s">
        <v>1215</v>
      </c>
      <c r="BJ549" t="s">
        <v>646</v>
      </c>
      <c r="BK549">
        <v>20.9</v>
      </c>
      <c r="BL549">
        <v>1424</v>
      </c>
    </row>
    <row r="550" spans="61:64" x14ac:dyDescent="0.2">
      <c r="BI550" s="1029" t="s">
        <v>1216</v>
      </c>
      <c r="BJ550" t="s">
        <v>646</v>
      </c>
      <c r="BK550">
        <v>22.6</v>
      </c>
      <c r="BL550">
        <v>1165</v>
      </c>
    </row>
    <row r="551" spans="61:64" x14ac:dyDescent="0.2">
      <c r="BI551" s="1029" t="s">
        <v>1217</v>
      </c>
      <c r="BJ551" t="s">
        <v>646</v>
      </c>
      <c r="BK551">
        <v>21.4</v>
      </c>
      <c r="BL551">
        <v>1301</v>
      </c>
    </row>
    <row r="552" spans="61:64" x14ac:dyDescent="0.2">
      <c r="BI552" s="1029" t="s">
        <v>1218</v>
      </c>
      <c r="BJ552" t="s">
        <v>646</v>
      </c>
      <c r="BK552">
        <v>22.5</v>
      </c>
      <c r="BL552">
        <v>1308</v>
      </c>
    </row>
    <row r="553" spans="61:64" x14ac:dyDescent="0.2">
      <c r="BI553" s="1029" t="s">
        <v>1219</v>
      </c>
      <c r="BJ553" t="s">
        <v>646</v>
      </c>
      <c r="BK553">
        <v>19.600000000000001</v>
      </c>
      <c r="BL553">
        <v>1316</v>
      </c>
    </row>
    <row r="554" spans="61:64" x14ac:dyDescent="0.2">
      <c r="BI554" s="1029" t="s">
        <v>1220</v>
      </c>
      <c r="BJ554" t="s">
        <v>646</v>
      </c>
      <c r="BK554">
        <v>22.8</v>
      </c>
      <c r="BL554">
        <v>1140</v>
      </c>
    </row>
    <row r="555" spans="61:64" x14ac:dyDescent="0.2">
      <c r="BI555" s="1029" t="s">
        <v>1221</v>
      </c>
      <c r="BJ555" t="s">
        <v>646</v>
      </c>
      <c r="BK555">
        <v>24.4</v>
      </c>
      <c r="BL555">
        <v>1635</v>
      </c>
    </row>
    <row r="556" spans="61:64" x14ac:dyDescent="0.2">
      <c r="BI556" s="1029" t="s">
        <v>1222</v>
      </c>
      <c r="BJ556" t="s">
        <v>646</v>
      </c>
      <c r="BK556">
        <v>23.6</v>
      </c>
      <c r="BL556">
        <v>1093</v>
      </c>
    </row>
    <row r="557" spans="61:64" x14ac:dyDescent="0.2">
      <c r="BI557" s="1029" t="s">
        <v>1223</v>
      </c>
      <c r="BJ557" t="s">
        <v>646</v>
      </c>
      <c r="BK557">
        <v>22.8</v>
      </c>
      <c r="BL557">
        <v>1168</v>
      </c>
    </row>
    <row r="558" spans="61:64" x14ac:dyDescent="0.2">
      <c r="BI558" s="1029" t="s">
        <v>1224</v>
      </c>
      <c r="BJ558" t="s">
        <v>646</v>
      </c>
      <c r="BK558">
        <v>22.4</v>
      </c>
      <c r="BL558">
        <v>1527</v>
      </c>
    </row>
    <row r="559" spans="61:64" x14ac:dyDescent="0.2">
      <c r="BI559" s="1029" t="s">
        <v>1225</v>
      </c>
      <c r="BJ559" t="s">
        <v>646</v>
      </c>
      <c r="BK559">
        <v>21.7</v>
      </c>
      <c r="BL559">
        <v>1325</v>
      </c>
    </row>
    <row r="560" spans="61:64" x14ac:dyDescent="0.2">
      <c r="BI560" s="1029" t="s">
        <v>851</v>
      </c>
      <c r="BJ560" t="s">
        <v>646</v>
      </c>
      <c r="BK560">
        <v>16.8</v>
      </c>
      <c r="BL560">
        <v>1207</v>
      </c>
    </row>
    <row r="561" spans="61:64" x14ac:dyDescent="0.2">
      <c r="BI561" s="1029" t="s">
        <v>1226</v>
      </c>
      <c r="BJ561" t="s">
        <v>646</v>
      </c>
      <c r="BK561">
        <v>24.6</v>
      </c>
      <c r="BL561">
        <v>2741</v>
      </c>
    </row>
    <row r="562" spans="61:64" x14ac:dyDescent="0.2">
      <c r="BI562" s="1029" t="s">
        <v>1227</v>
      </c>
      <c r="BJ562" t="s">
        <v>646</v>
      </c>
      <c r="BK562">
        <v>20.9</v>
      </c>
      <c r="BL562">
        <v>1503</v>
      </c>
    </row>
    <row r="563" spans="61:64" x14ac:dyDescent="0.2">
      <c r="BI563" s="1029" t="s">
        <v>1228</v>
      </c>
      <c r="BJ563" t="s">
        <v>646</v>
      </c>
      <c r="BK563">
        <v>21.7</v>
      </c>
      <c r="BL563">
        <v>1317</v>
      </c>
    </row>
    <row r="564" spans="61:64" x14ac:dyDescent="0.2">
      <c r="BI564" s="1029" t="s">
        <v>1229</v>
      </c>
      <c r="BJ564" t="s">
        <v>646</v>
      </c>
      <c r="BK564">
        <v>22.6</v>
      </c>
      <c r="BL564">
        <v>1395</v>
      </c>
    </row>
    <row r="565" spans="61:64" x14ac:dyDescent="0.2">
      <c r="BI565" s="1029" t="s">
        <v>1230</v>
      </c>
      <c r="BJ565" t="s">
        <v>646</v>
      </c>
      <c r="BK565">
        <v>24.1</v>
      </c>
      <c r="BL565">
        <v>1021</v>
      </c>
    </row>
    <row r="566" spans="61:64" x14ac:dyDescent="0.2">
      <c r="BI566" s="1029" t="s">
        <v>1231</v>
      </c>
      <c r="BJ566" t="s">
        <v>646</v>
      </c>
      <c r="BK566">
        <v>21.9</v>
      </c>
      <c r="BL566">
        <v>1245</v>
      </c>
    </row>
    <row r="567" spans="61:64" x14ac:dyDescent="0.2">
      <c r="BI567" s="1029" t="s">
        <v>1232</v>
      </c>
      <c r="BJ567" t="s">
        <v>646</v>
      </c>
      <c r="BK567">
        <v>20.2</v>
      </c>
      <c r="BL567">
        <v>2223</v>
      </c>
    </row>
    <row r="568" spans="61:64" x14ac:dyDescent="0.2">
      <c r="BI568" s="1029" t="s">
        <v>1233</v>
      </c>
      <c r="BJ568" t="s">
        <v>646</v>
      </c>
      <c r="BK568">
        <v>20.100000000000001</v>
      </c>
      <c r="BL568">
        <v>1377</v>
      </c>
    </row>
    <row r="569" spans="61:64" x14ac:dyDescent="0.2">
      <c r="BI569" s="1029" t="s">
        <v>1234</v>
      </c>
      <c r="BJ569" t="s">
        <v>646</v>
      </c>
      <c r="BK569">
        <v>23</v>
      </c>
      <c r="BL569" t="s">
        <v>1332</v>
      </c>
    </row>
    <row r="570" spans="61:64" x14ac:dyDescent="0.2">
      <c r="BI570" s="1029" t="s">
        <v>1235</v>
      </c>
      <c r="BJ570" t="s">
        <v>646</v>
      </c>
      <c r="BK570">
        <v>20.399999999999999</v>
      </c>
      <c r="BL570">
        <v>1275</v>
      </c>
    </row>
    <row r="571" spans="61:64" x14ac:dyDescent="0.2">
      <c r="BI571" s="1029" t="s">
        <v>1236</v>
      </c>
      <c r="BJ571" t="s">
        <v>646</v>
      </c>
      <c r="BK571">
        <v>19.399999999999999</v>
      </c>
      <c r="BL571">
        <v>1368</v>
      </c>
    </row>
    <row r="572" spans="61:64" x14ac:dyDescent="0.2">
      <c r="BI572" s="1029" t="s">
        <v>1237</v>
      </c>
      <c r="BJ572" t="s">
        <v>646</v>
      </c>
      <c r="BK572">
        <v>23.6</v>
      </c>
      <c r="BL572">
        <v>1173</v>
      </c>
    </row>
    <row r="573" spans="61:64" x14ac:dyDescent="0.2">
      <c r="BI573" s="1029" t="s">
        <v>1238</v>
      </c>
      <c r="BJ573" t="s">
        <v>646</v>
      </c>
      <c r="BK573">
        <v>22.9</v>
      </c>
      <c r="BL573">
        <v>1314</v>
      </c>
    </row>
    <row r="574" spans="61:64" x14ac:dyDescent="0.2">
      <c r="BI574" s="1029" t="s">
        <v>1239</v>
      </c>
      <c r="BJ574" t="s">
        <v>646</v>
      </c>
      <c r="BK574">
        <v>21.8</v>
      </c>
      <c r="BL574">
        <v>1283</v>
      </c>
    </row>
    <row r="575" spans="61:64" x14ac:dyDescent="0.2">
      <c r="BI575" s="1029" t="s">
        <v>1240</v>
      </c>
      <c r="BJ575" t="s">
        <v>646</v>
      </c>
      <c r="BK575">
        <v>23.2</v>
      </c>
      <c r="BL575">
        <v>1134</v>
      </c>
    </row>
    <row r="576" spans="61:64" x14ac:dyDescent="0.2">
      <c r="BI576" s="1029" t="s">
        <v>1241</v>
      </c>
      <c r="BJ576" t="s">
        <v>646</v>
      </c>
      <c r="BK576">
        <v>22.6</v>
      </c>
      <c r="BL576">
        <v>1472</v>
      </c>
    </row>
    <row r="577" spans="61:64" x14ac:dyDescent="0.2">
      <c r="BI577" s="1029" t="s">
        <v>1242</v>
      </c>
      <c r="BJ577" t="s">
        <v>646</v>
      </c>
      <c r="BK577">
        <v>23.4</v>
      </c>
      <c r="BL577">
        <v>1285</v>
      </c>
    </row>
    <row r="578" spans="61:64" x14ac:dyDescent="0.2">
      <c r="BI578" s="1029" t="s">
        <v>1243</v>
      </c>
      <c r="BJ578" t="s">
        <v>646</v>
      </c>
      <c r="BK578">
        <v>23.4</v>
      </c>
      <c r="BL578">
        <v>1307</v>
      </c>
    </row>
    <row r="579" spans="61:64" x14ac:dyDescent="0.2">
      <c r="BI579" s="1029" t="s">
        <v>1244</v>
      </c>
      <c r="BJ579" t="s">
        <v>646</v>
      </c>
      <c r="BK579">
        <v>21.9</v>
      </c>
      <c r="BL579">
        <v>1203</v>
      </c>
    </row>
    <row r="580" spans="61:64" x14ac:dyDescent="0.2">
      <c r="BI580" s="1029" t="s">
        <v>1245</v>
      </c>
      <c r="BJ580" t="s">
        <v>646</v>
      </c>
      <c r="BK580">
        <v>22.3</v>
      </c>
      <c r="BL580">
        <v>1516</v>
      </c>
    </row>
    <row r="581" spans="61:64" x14ac:dyDescent="0.2">
      <c r="BI581" s="1029" t="s">
        <v>1246</v>
      </c>
      <c r="BJ581" t="s">
        <v>646</v>
      </c>
      <c r="BK581">
        <v>23</v>
      </c>
      <c r="BL581">
        <v>1226</v>
      </c>
    </row>
    <row r="582" spans="61:64" x14ac:dyDescent="0.2">
      <c r="BI582" s="1029" t="s">
        <v>1247</v>
      </c>
      <c r="BJ582" t="s">
        <v>646</v>
      </c>
      <c r="BK582">
        <v>22.2</v>
      </c>
      <c r="BL582">
        <v>1237</v>
      </c>
    </row>
    <row r="583" spans="61:64" x14ac:dyDescent="0.2">
      <c r="BI583" s="1029" t="s">
        <v>1248</v>
      </c>
      <c r="BJ583" t="s">
        <v>646</v>
      </c>
      <c r="BK583">
        <v>23.3</v>
      </c>
      <c r="BL583">
        <v>1229</v>
      </c>
    </row>
    <row r="584" spans="61:64" x14ac:dyDescent="0.2">
      <c r="BI584" s="1029" t="s">
        <v>1249</v>
      </c>
      <c r="BJ584" t="s">
        <v>646</v>
      </c>
      <c r="BK584">
        <v>24.4</v>
      </c>
      <c r="BL584">
        <v>1102</v>
      </c>
    </row>
    <row r="585" spans="61:64" x14ac:dyDescent="0.2">
      <c r="BI585" s="1029" t="s">
        <v>1250</v>
      </c>
      <c r="BJ585" t="s">
        <v>646</v>
      </c>
      <c r="BK585">
        <v>22.4</v>
      </c>
      <c r="BL585">
        <v>1255</v>
      </c>
    </row>
    <row r="586" spans="61:64" x14ac:dyDescent="0.2">
      <c r="BI586" s="1029" t="s">
        <v>859</v>
      </c>
      <c r="BJ586" t="s">
        <v>646</v>
      </c>
      <c r="BK586">
        <v>20.8</v>
      </c>
      <c r="BL586">
        <v>1102.4000000000001</v>
      </c>
    </row>
    <row r="587" spans="61:64" x14ac:dyDescent="0.2">
      <c r="BI587" s="1029" t="s">
        <v>1251</v>
      </c>
      <c r="BJ587" t="s">
        <v>646</v>
      </c>
      <c r="BK587">
        <v>22.1</v>
      </c>
      <c r="BL587">
        <v>1516</v>
      </c>
    </row>
    <row r="588" spans="61:64" x14ac:dyDescent="0.2">
      <c r="BI588" s="1029" t="s">
        <v>1252</v>
      </c>
      <c r="BJ588" t="s">
        <v>646</v>
      </c>
      <c r="BK588">
        <v>21.6</v>
      </c>
      <c r="BL588">
        <v>1339</v>
      </c>
    </row>
    <row r="589" spans="61:64" x14ac:dyDescent="0.2">
      <c r="BI589" s="1029" t="s">
        <v>1253</v>
      </c>
      <c r="BJ589" t="s">
        <v>646</v>
      </c>
      <c r="BK589">
        <v>23.6</v>
      </c>
      <c r="BL589">
        <v>1266</v>
      </c>
    </row>
    <row r="590" spans="61:64" x14ac:dyDescent="0.2">
      <c r="BI590" s="1029" t="s">
        <v>1254</v>
      </c>
      <c r="BJ590" t="s">
        <v>646</v>
      </c>
      <c r="BK590">
        <v>24.7</v>
      </c>
      <c r="BL590">
        <v>1128</v>
      </c>
    </row>
    <row r="591" spans="61:64" x14ac:dyDescent="0.2">
      <c r="BI591" s="1029" t="s">
        <v>1255</v>
      </c>
      <c r="BJ591" t="s">
        <v>646</v>
      </c>
      <c r="BK591">
        <v>19.7</v>
      </c>
      <c r="BL591">
        <v>1238</v>
      </c>
    </row>
    <row r="592" spans="61:64" x14ac:dyDescent="0.2">
      <c r="BI592" s="1029" t="s">
        <v>1256</v>
      </c>
      <c r="BJ592" t="s">
        <v>646</v>
      </c>
      <c r="BK592">
        <v>22.1</v>
      </c>
      <c r="BL592">
        <v>1255</v>
      </c>
    </row>
    <row r="593" spans="61:64" x14ac:dyDescent="0.2">
      <c r="BI593" s="1029" t="s">
        <v>1257</v>
      </c>
      <c r="BJ593" t="s">
        <v>646</v>
      </c>
      <c r="BK593">
        <v>22.8</v>
      </c>
      <c r="BL593">
        <v>1388</v>
      </c>
    </row>
    <row r="594" spans="61:64" x14ac:dyDescent="0.2">
      <c r="BI594" s="1029" t="s">
        <v>1258</v>
      </c>
      <c r="BJ594" t="s">
        <v>646</v>
      </c>
      <c r="BK594">
        <v>19.8</v>
      </c>
      <c r="BL594">
        <v>1532</v>
      </c>
    </row>
    <row r="595" spans="61:64" x14ac:dyDescent="0.2">
      <c r="BI595" s="1029" t="s">
        <v>1259</v>
      </c>
      <c r="BJ595" t="s">
        <v>646</v>
      </c>
      <c r="BK595">
        <v>19.399999999999999</v>
      </c>
      <c r="BL595">
        <v>1450</v>
      </c>
    </row>
    <row r="596" spans="61:64" x14ac:dyDescent="0.2">
      <c r="BI596" s="1029" t="s">
        <v>1260</v>
      </c>
      <c r="BJ596" t="s">
        <v>646</v>
      </c>
      <c r="BK596">
        <v>19.5</v>
      </c>
      <c r="BL596">
        <v>1485</v>
      </c>
    </row>
    <row r="597" spans="61:64" x14ac:dyDescent="0.2">
      <c r="BI597" s="1029" t="s">
        <v>1261</v>
      </c>
      <c r="BJ597" t="s">
        <v>646</v>
      </c>
      <c r="BK597">
        <v>21.6</v>
      </c>
      <c r="BL597">
        <v>1230</v>
      </c>
    </row>
    <row r="598" spans="61:64" x14ac:dyDescent="0.2">
      <c r="BI598" s="1029" t="s">
        <v>1262</v>
      </c>
      <c r="BJ598" t="s">
        <v>646</v>
      </c>
      <c r="BK598">
        <v>21.3</v>
      </c>
      <c r="BL598">
        <v>1155</v>
      </c>
    </row>
    <row r="599" spans="61:64" x14ac:dyDescent="0.2">
      <c r="BI599" s="1029" t="s">
        <v>1263</v>
      </c>
      <c r="BJ599" t="s">
        <v>646</v>
      </c>
      <c r="BK599">
        <v>22.8</v>
      </c>
      <c r="BL599">
        <v>1202</v>
      </c>
    </row>
    <row r="600" spans="61:64" x14ac:dyDescent="0.2">
      <c r="BI600" s="1029" t="s">
        <v>1264</v>
      </c>
      <c r="BJ600" t="s">
        <v>646</v>
      </c>
      <c r="BK600">
        <v>21.7</v>
      </c>
      <c r="BL600">
        <v>1343</v>
      </c>
    </row>
    <row r="601" spans="61:64" x14ac:dyDescent="0.2">
      <c r="BI601" s="1029" t="s">
        <v>1265</v>
      </c>
      <c r="BJ601" t="s">
        <v>1333</v>
      </c>
      <c r="BK601">
        <v>23</v>
      </c>
      <c r="BL601">
        <v>1373</v>
      </c>
    </row>
    <row r="602" spans="61:64" x14ac:dyDescent="0.2">
      <c r="BI602" s="1029" t="s">
        <v>1266</v>
      </c>
      <c r="BJ602" t="s">
        <v>646</v>
      </c>
      <c r="BK602">
        <v>23.3</v>
      </c>
      <c r="BL602">
        <v>1168</v>
      </c>
    </row>
    <row r="603" spans="61:64" x14ac:dyDescent="0.2">
      <c r="BI603" s="1029" t="s">
        <v>866</v>
      </c>
      <c r="BJ603" t="s">
        <v>646</v>
      </c>
      <c r="BK603">
        <v>22.7</v>
      </c>
      <c r="BL603">
        <v>1360.6</v>
      </c>
    </row>
    <row r="604" spans="61:64" x14ac:dyDescent="0.2">
      <c r="BI604" s="1029" t="s">
        <v>1267</v>
      </c>
      <c r="BJ604" t="s">
        <v>646</v>
      </c>
      <c r="BK604">
        <v>23.2</v>
      </c>
      <c r="BL604">
        <v>1142</v>
      </c>
    </row>
    <row r="605" spans="61:64" x14ac:dyDescent="0.2">
      <c r="BI605" s="1029" t="s">
        <v>1268</v>
      </c>
      <c r="BJ605" t="s">
        <v>646</v>
      </c>
      <c r="BK605">
        <v>23.4</v>
      </c>
      <c r="BL605">
        <v>1088</v>
      </c>
    </row>
    <row r="606" spans="61:64" x14ac:dyDescent="0.2">
      <c r="BI606" s="1029" t="s">
        <v>1269</v>
      </c>
      <c r="BJ606" t="s">
        <v>646</v>
      </c>
      <c r="BK606">
        <v>22.5</v>
      </c>
      <c r="BL606">
        <v>1424</v>
      </c>
    </row>
    <row r="607" spans="61:64" x14ac:dyDescent="0.2">
      <c r="BI607" s="1029" t="s">
        <v>1270</v>
      </c>
      <c r="BJ607" t="s">
        <v>646</v>
      </c>
      <c r="BK607">
        <v>22.1</v>
      </c>
      <c r="BL607">
        <v>1213</v>
      </c>
    </row>
    <row r="608" spans="61:64" x14ac:dyDescent="0.2">
      <c r="BI608" s="1029" t="s">
        <v>1271</v>
      </c>
      <c r="BJ608" t="s">
        <v>646</v>
      </c>
      <c r="BK608">
        <v>22.4</v>
      </c>
      <c r="BL608">
        <v>1205</v>
      </c>
    </row>
    <row r="609" spans="61:64" x14ac:dyDescent="0.2">
      <c r="BI609" s="1029" t="s">
        <v>1272</v>
      </c>
      <c r="BJ609" t="s">
        <v>646</v>
      </c>
      <c r="BK609">
        <v>19.899999999999999</v>
      </c>
      <c r="BL609">
        <v>1312</v>
      </c>
    </row>
    <row r="610" spans="61:64" x14ac:dyDescent="0.2">
      <c r="BI610" s="1029" t="s">
        <v>1273</v>
      </c>
      <c r="BJ610" t="s">
        <v>646</v>
      </c>
      <c r="BK610">
        <v>23.3</v>
      </c>
      <c r="BL610">
        <v>1176</v>
      </c>
    </row>
    <row r="611" spans="61:64" x14ac:dyDescent="0.2">
      <c r="BI611" s="1029" t="s">
        <v>93</v>
      </c>
      <c r="BJ611" t="s">
        <v>646</v>
      </c>
      <c r="BK611">
        <v>24.1</v>
      </c>
      <c r="BL611">
        <v>1687</v>
      </c>
    </row>
    <row r="612" spans="61:64" x14ac:dyDescent="0.2">
      <c r="BI612" s="1029" t="s">
        <v>1274</v>
      </c>
      <c r="BJ612" t="s">
        <v>646</v>
      </c>
      <c r="BK612">
        <v>23.3</v>
      </c>
      <c r="BL612">
        <v>1343</v>
      </c>
    </row>
    <row r="613" spans="61:64" x14ac:dyDescent="0.2">
      <c r="BI613" s="1029" t="s">
        <v>1275</v>
      </c>
      <c r="BJ613" t="s">
        <v>646</v>
      </c>
      <c r="BK613">
        <v>22</v>
      </c>
      <c r="BL613">
        <v>1291</v>
      </c>
    </row>
    <row r="614" spans="61:64" x14ac:dyDescent="0.2">
      <c r="BI614" s="1029" t="s">
        <v>1276</v>
      </c>
      <c r="BJ614" t="s">
        <v>646</v>
      </c>
      <c r="BK614">
        <v>21</v>
      </c>
      <c r="BL614">
        <v>1263</v>
      </c>
    </row>
    <row r="615" spans="61:64" x14ac:dyDescent="0.2">
      <c r="BI615" s="1029" t="s">
        <v>1277</v>
      </c>
      <c r="BJ615" t="s">
        <v>646</v>
      </c>
      <c r="BK615">
        <v>21.6</v>
      </c>
      <c r="BL615">
        <v>1252</v>
      </c>
    </row>
    <row r="616" spans="61:64" x14ac:dyDescent="0.2">
      <c r="BI616" s="1029" t="s">
        <v>1278</v>
      </c>
      <c r="BJ616" t="s">
        <v>646</v>
      </c>
      <c r="BK616">
        <v>22.4</v>
      </c>
      <c r="BL616">
        <v>1529</v>
      </c>
    </row>
    <row r="617" spans="61:64" x14ac:dyDescent="0.2">
      <c r="BI617" s="1029" t="s">
        <v>1279</v>
      </c>
      <c r="BJ617" t="s">
        <v>646</v>
      </c>
      <c r="BK617">
        <v>19.2</v>
      </c>
      <c r="BL617">
        <v>3126</v>
      </c>
    </row>
    <row r="618" spans="61:64" x14ac:dyDescent="0.2">
      <c r="BI618" s="1029" t="s">
        <v>1280</v>
      </c>
      <c r="BJ618" t="s">
        <v>646</v>
      </c>
      <c r="BK618">
        <v>21.4</v>
      </c>
      <c r="BL618">
        <v>842</v>
      </c>
    </row>
    <row r="619" spans="61:64" x14ac:dyDescent="0.2">
      <c r="BI619" s="1029" t="s">
        <v>1281</v>
      </c>
      <c r="BJ619" t="s">
        <v>646</v>
      </c>
      <c r="BK619">
        <v>22.9</v>
      </c>
      <c r="BL619">
        <v>1217</v>
      </c>
    </row>
    <row r="620" spans="61:64" x14ac:dyDescent="0.2">
      <c r="BI620" s="1029" t="s">
        <v>1282</v>
      </c>
      <c r="BJ620" t="s">
        <v>646</v>
      </c>
      <c r="BK620">
        <v>22.4</v>
      </c>
      <c r="BL620">
        <v>1258</v>
      </c>
    </row>
    <row r="621" spans="61:64" x14ac:dyDescent="0.2">
      <c r="BI621" s="1029" t="s">
        <v>1283</v>
      </c>
      <c r="BJ621" t="s">
        <v>646</v>
      </c>
      <c r="BK621">
        <v>21.8</v>
      </c>
      <c r="BL621">
        <v>1258</v>
      </c>
    </row>
    <row r="622" spans="61:64" x14ac:dyDescent="0.2">
      <c r="BI622" s="1029" t="s">
        <v>1284</v>
      </c>
      <c r="BJ622" t="s">
        <v>646</v>
      </c>
      <c r="BK622">
        <v>22</v>
      </c>
      <c r="BL622">
        <v>1214</v>
      </c>
    </row>
    <row r="623" spans="61:64" x14ac:dyDescent="0.2">
      <c r="BI623" s="1029" t="s">
        <v>1285</v>
      </c>
      <c r="BJ623" t="s">
        <v>646</v>
      </c>
      <c r="BK623">
        <v>20.399999999999999</v>
      </c>
      <c r="BL623">
        <v>1277</v>
      </c>
    </row>
    <row r="624" spans="61:64" x14ac:dyDescent="0.2">
      <c r="BI624" s="1029" t="s">
        <v>1286</v>
      </c>
      <c r="BJ624" t="s">
        <v>646</v>
      </c>
      <c r="BK624">
        <v>21.8</v>
      </c>
      <c r="BL624">
        <v>1330</v>
      </c>
    </row>
    <row r="625" spans="61:64" x14ac:dyDescent="0.2">
      <c r="BI625" s="1029" t="s">
        <v>1287</v>
      </c>
      <c r="BJ625" t="s">
        <v>646</v>
      </c>
      <c r="BK625">
        <v>22.2</v>
      </c>
      <c r="BL625">
        <v>1349</v>
      </c>
    </row>
    <row r="626" spans="61:64" x14ac:dyDescent="0.2">
      <c r="BI626" s="1029" t="s">
        <v>1288</v>
      </c>
      <c r="BJ626" t="s">
        <v>646</v>
      </c>
      <c r="BK626">
        <v>20.8</v>
      </c>
      <c r="BL626">
        <v>1338</v>
      </c>
    </row>
    <row r="627" spans="61:64" x14ac:dyDescent="0.2">
      <c r="BI627" s="1029" t="s">
        <v>872</v>
      </c>
      <c r="BJ627" t="s">
        <v>646</v>
      </c>
      <c r="BK627">
        <v>20.6</v>
      </c>
      <c r="BL627">
        <v>1633</v>
      </c>
    </row>
    <row r="628" spans="61:64" x14ac:dyDescent="0.2">
      <c r="BI628" s="1029" t="s">
        <v>1289</v>
      </c>
      <c r="BJ628" t="s">
        <v>646</v>
      </c>
      <c r="BK628">
        <v>21.1</v>
      </c>
      <c r="BL628">
        <v>1478</v>
      </c>
    </row>
    <row r="629" spans="61:64" x14ac:dyDescent="0.2">
      <c r="BI629" s="1029" t="s">
        <v>1290</v>
      </c>
      <c r="BJ629" t="s">
        <v>646</v>
      </c>
      <c r="BK629">
        <v>21.4</v>
      </c>
      <c r="BL629">
        <v>1355</v>
      </c>
    </row>
    <row r="630" spans="61:64" x14ac:dyDescent="0.2">
      <c r="BI630" s="1029" t="s">
        <v>1291</v>
      </c>
      <c r="BJ630" t="s">
        <v>646</v>
      </c>
      <c r="BK630">
        <v>23</v>
      </c>
      <c r="BL630">
        <v>1141</v>
      </c>
    </row>
    <row r="631" spans="61:64" x14ac:dyDescent="0.2">
      <c r="BI631" s="1029" t="s">
        <v>877</v>
      </c>
      <c r="BJ631" t="s">
        <v>646</v>
      </c>
      <c r="BK631">
        <v>22.3</v>
      </c>
      <c r="BL631">
        <v>1990.6</v>
      </c>
    </row>
    <row r="632" spans="61:64" x14ac:dyDescent="0.2">
      <c r="BI632" s="1029" t="s">
        <v>1292</v>
      </c>
      <c r="BJ632" t="s">
        <v>646</v>
      </c>
      <c r="BK632">
        <v>19.600000000000001</v>
      </c>
      <c r="BL632">
        <v>1986</v>
      </c>
    </row>
    <row r="633" spans="61:64" x14ac:dyDescent="0.2">
      <c r="BI633" s="1029" t="s">
        <v>1293</v>
      </c>
      <c r="BJ633" t="s">
        <v>646</v>
      </c>
      <c r="BK633">
        <v>20.3</v>
      </c>
      <c r="BL633">
        <v>1340</v>
      </c>
    </row>
    <row r="634" spans="61:64" x14ac:dyDescent="0.2">
      <c r="BI634" s="1029" t="s">
        <v>1294</v>
      </c>
      <c r="BJ634" t="s">
        <v>646</v>
      </c>
      <c r="BK634">
        <v>20.100000000000001</v>
      </c>
      <c r="BL634">
        <v>1289</v>
      </c>
    </row>
    <row r="635" spans="61:64" x14ac:dyDescent="0.2">
      <c r="BI635" s="1029" t="s">
        <v>881</v>
      </c>
      <c r="BJ635" t="s">
        <v>646</v>
      </c>
      <c r="BK635">
        <v>20.5</v>
      </c>
      <c r="BL635">
        <v>1548.3</v>
      </c>
    </row>
    <row r="636" spans="61:64" x14ac:dyDescent="0.2">
      <c r="BI636" s="1029" t="s">
        <v>1295</v>
      </c>
      <c r="BJ636" t="s">
        <v>646</v>
      </c>
      <c r="BK636">
        <v>20.9</v>
      </c>
      <c r="BL636">
        <v>1484</v>
      </c>
    </row>
    <row r="637" spans="61:64" x14ac:dyDescent="0.2">
      <c r="BI637" s="1029" t="s">
        <v>1296</v>
      </c>
      <c r="BJ637" t="s">
        <v>646</v>
      </c>
      <c r="BK637">
        <v>22</v>
      </c>
      <c r="BL637">
        <v>1546</v>
      </c>
    </row>
    <row r="638" spans="61:64" x14ac:dyDescent="0.2">
      <c r="BI638" s="1029" t="s">
        <v>1297</v>
      </c>
      <c r="BJ638" t="s">
        <v>646</v>
      </c>
      <c r="BK638">
        <v>21.6</v>
      </c>
      <c r="BL638">
        <v>1435</v>
      </c>
    </row>
    <row r="639" spans="61:64" x14ac:dyDescent="0.2">
      <c r="BI639" s="1029" t="s">
        <v>1298</v>
      </c>
      <c r="BJ639" t="s">
        <v>646</v>
      </c>
      <c r="BK639">
        <v>23.5</v>
      </c>
      <c r="BL639">
        <v>1240</v>
      </c>
    </row>
    <row r="640" spans="61:64" x14ac:dyDescent="0.2">
      <c r="BI640" s="1029" t="s">
        <v>884</v>
      </c>
      <c r="BJ640" t="s">
        <v>646</v>
      </c>
      <c r="BK640">
        <v>19.3</v>
      </c>
      <c r="BL640">
        <v>1155</v>
      </c>
    </row>
    <row r="641" spans="61:64" x14ac:dyDescent="0.2">
      <c r="BI641" s="1029" t="s">
        <v>1299</v>
      </c>
      <c r="BJ641" t="s">
        <v>646</v>
      </c>
      <c r="BK641">
        <v>20</v>
      </c>
      <c r="BL641">
        <v>1193</v>
      </c>
    </row>
    <row r="642" spans="61:64" x14ac:dyDescent="0.2">
      <c r="BI642" s="1029" t="s">
        <v>1300</v>
      </c>
      <c r="BJ642" t="s">
        <v>646</v>
      </c>
      <c r="BK642">
        <v>21</v>
      </c>
      <c r="BL642">
        <v>1369</v>
      </c>
    </row>
    <row r="643" spans="61:64" x14ac:dyDescent="0.2">
      <c r="BI643" s="1029" t="s">
        <v>1301</v>
      </c>
      <c r="BJ643" t="s">
        <v>646</v>
      </c>
      <c r="BK643">
        <v>20.399999999999999</v>
      </c>
      <c r="BL643">
        <v>1174</v>
      </c>
    </row>
    <row r="644" spans="61:64" x14ac:dyDescent="0.2">
      <c r="BI644" s="1029" t="s">
        <v>887</v>
      </c>
      <c r="BJ644" t="s">
        <v>646</v>
      </c>
      <c r="BK644">
        <v>19.2</v>
      </c>
      <c r="BL644">
        <v>1441</v>
      </c>
    </row>
    <row r="645" spans="61:64" x14ac:dyDescent="0.2">
      <c r="BI645" s="1029" t="s">
        <v>1302</v>
      </c>
      <c r="BJ645" t="s">
        <v>646</v>
      </c>
      <c r="BK645">
        <v>19.5</v>
      </c>
      <c r="BL645">
        <v>1339</v>
      </c>
    </row>
    <row r="646" spans="61:64" x14ac:dyDescent="0.2">
      <c r="BI646" s="1029" t="s">
        <v>1303</v>
      </c>
      <c r="BJ646" t="s">
        <v>646</v>
      </c>
      <c r="BK646">
        <v>24.7</v>
      </c>
      <c r="BL646">
        <v>1476</v>
      </c>
    </row>
    <row r="647" spans="61:64" x14ac:dyDescent="0.2">
      <c r="BI647" s="1029" t="s">
        <v>890</v>
      </c>
      <c r="BJ647" t="s">
        <v>646</v>
      </c>
      <c r="BK647">
        <v>21.8</v>
      </c>
      <c r="BL647">
        <v>1489.3</v>
      </c>
    </row>
    <row r="648" spans="61:64" x14ac:dyDescent="0.2">
      <c r="BI648" s="1029" t="s">
        <v>1304</v>
      </c>
      <c r="BJ648" t="s">
        <v>646</v>
      </c>
      <c r="BK648">
        <v>24.7</v>
      </c>
      <c r="BL648">
        <v>2997</v>
      </c>
    </row>
    <row r="649" spans="61:64" x14ac:dyDescent="0.2">
      <c r="BI649" s="1029" t="s">
        <v>1305</v>
      </c>
      <c r="BJ649" t="s">
        <v>646</v>
      </c>
      <c r="BK649">
        <v>21</v>
      </c>
      <c r="BL649">
        <v>1112</v>
      </c>
    </row>
    <row r="650" spans="61:64" x14ac:dyDescent="0.2">
      <c r="BI650" s="1029" t="s">
        <v>1306</v>
      </c>
      <c r="BJ650" t="s">
        <v>646</v>
      </c>
      <c r="BK650">
        <v>20.2</v>
      </c>
      <c r="BL650">
        <v>1216</v>
      </c>
    </row>
    <row r="651" spans="61:64" x14ac:dyDescent="0.2">
      <c r="BI651" s="1029" t="s">
        <v>1307</v>
      </c>
      <c r="BJ651" t="s">
        <v>646</v>
      </c>
      <c r="BK651">
        <v>19.399999999999999</v>
      </c>
      <c r="BL651">
        <v>1536</v>
      </c>
    </row>
    <row r="652" spans="61:64" x14ac:dyDescent="0.2">
      <c r="BI652" s="1029" t="s">
        <v>893</v>
      </c>
      <c r="BJ652" t="s">
        <v>646</v>
      </c>
      <c r="BK652">
        <v>21.4</v>
      </c>
      <c r="BL652">
        <v>1452.8</v>
      </c>
    </row>
    <row r="653" spans="61:64" x14ac:dyDescent="0.2">
      <c r="BI653" s="1029" t="s">
        <v>1308</v>
      </c>
      <c r="BJ653" t="s">
        <v>646</v>
      </c>
      <c r="BK653">
        <v>24.3</v>
      </c>
      <c r="BL653">
        <v>1582</v>
      </c>
    </row>
    <row r="654" spans="61:64" x14ac:dyDescent="0.2">
      <c r="BI654" s="1029" t="s">
        <v>1309</v>
      </c>
      <c r="BJ654" t="s">
        <v>646</v>
      </c>
      <c r="BK654">
        <v>22.7</v>
      </c>
      <c r="BL654">
        <v>1266</v>
      </c>
    </row>
    <row r="655" spans="61:64" x14ac:dyDescent="0.2">
      <c r="BI655" s="1029" t="s">
        <v>896</v>
      </c>
      <c r="BJ655" t="s">
        <v>646</v>
      </c>
      <c r="BK655">
        <v>20.8</v>
      </c>
      <c r="BL655">
        <v>1330.4</v>
      </c>
    </row>
    <row r="656" spans="61:64" x14ac:dyDescent="0.2">
      <c r="BI656" s="1029" t="s">
        <v>1310</v>
      </c>
      <c r="BJ656" t="s">
        <v>646</v>
      </c>
      <c r="BK656">
        <v>20.100000000000001</v>
      </c>
      <c r="BL656">
        <v>1310</v>
      </c>
    </row>
    <row r="657" spans="61:64" x14ac:dyDescent="0.2">
      <c r="BI657" s="1029" t="s">
        <v>1311</v>
      </c>
      <c r="BJ657" t="s">
        <v>646</v>
      </c>
      <c r="BK657">
        <v>21.3</v>
      </c>
      <c r="BL657">
        <v>1263</v>
      </c>
    </row>
    <row r="658" spans="61:64" x14ac:dyDescent="0.2">
      <c r="BI658" s="1029" t="s">
        <v>1312</v>
      </c>
      <c r="BJ658" t="s">
        <v>646</v>
      </c>
      <c r="BK658">
        <v>22.5</v>
      </c>
      <c r="BL658">
        <v>1340</v>
      </c>
    </row>
    <row r="659" spans="61:64" x14ac:dyDescent="0.2">
      <c r="BI659" s="1029" t="s">
        <v>1313</v>
      </c>
      <c r="BJ659" t="s">
        <v>646</v>
      </c>
      <c r="BK659">
        <v>23.3</v>
      </c>
      <c r="BL659">
        <v>1223</v>
      </c>
    </row>
    <row r="660" spans="61:64" x14ac:dyDescent="0.2">
      <c r="BI660" s="1029" t="s">
        <v>1314</v>
      </c>
      <c r="BJ660" t="s">
        <v>646</v>
      </c>
      <c r="BK660">
        <v>18.600000000000001</v>
      </c>
      <c r="BL660">
        <v>1920</v>
      </c>
    </row>
    <row r="661" spans="61:64" x14ac:dyDescent="0.2">
      <c r="BI661" s="1029" t="s">
        <v>1315</v>
      </c>
      <c r="BJ661" t="s">
        <v>646</v>
      </c>
      <c r="BK661">
        <v>21.1</v>
      </c>
      <c r="BL661">
        <v>1209</v>
      </c>
    </row>
    <row r="662" spans="61:64" x14ac:dyDescent="0.2">
      <c r="BI662" s="1029" t="s">
        <v>1316</v>
      </c>
      <c r="BJ662" t="s">
        <v>646</v>
      </c>
      <c r="BK662">
        <v>21.2</v>
      </c>
      <c r="BL662">
        <v>1253</v>
      </c>
    </row>
    <row r="663" spans="61:64" x14ac:dyDescent="0.2">
      <c r="BI663" s="1029" t="s">
        <v>898</v>
      </c>
      <c r="BJ663" t="s">
        <v>646</v>
      </c>
      <c r="BK663">
        <v>20.399999999999999</v>
      </c>
      <c r="BL663">
        <v>1396.8</v>
      </c>
    </row>
    <row r="664" spans="61:64" x14ac:dyDescent="0.2">
      <c r="BI664" s="1029" t="s">
        <v>898</v>
      </c>
      <c r="BJ664" t="s">
        <v>646</v>
      </c>
      <c r="BK664">
        <v>21.6</v>
      </c>
      <c r="BL664">
        <v>1310</v>
      </c>
    </row>
    <row r="665" spans="61:64" x14ac:dyDescent="0.2">
      <c r="BI665" s="1029" t="s">
        <v>1317</v>
      </c>
      <c r="BJ665" t="s">
        <v>646</v>
      </c>
      <c r="BK665">
        <v>20.3</v>
      </c>
      <c r="BL665">
        <v>1381</v>
      </c>
    </row>
    <row r="666" spans="61:64" x14ac:dyDescent="0.2">
      <c r="BI666" s="1029" t="s">
        <v>1318</v>
      </c>
      <c r="BJ666" t="s">
        <v>646</v>
      </c>
      <c r="BK666">
        <v>23.4</v>
      </c>
      <c r="BL666">
        <v>1131</v>
      </c>
    </row>
    <row r="667" spans="61:64" x14ac:dyDescent="0.2">
      <c r="BI667" s="1029" t="s">
        <v>1319</v>
      </c>
      <c r="BJ667" t="s">
        <v>646</v>
      </c>
      <c r="BK667">
        <v>21.6</v>
      </c>
      <c r="BL667">
        <v>1168</v>
      </c>
    </row>
    <row r="668" spans="61:64" x14ac:dyDescent="0.2">
      <c r="BI668" s="1029" t="s">
        <v>1320</v>
      </c>
      <c r="BJ668" t="s">
        <v>646</v>
      </c>
      <c r="BK668">
        <v>20.6</v>
      </c>
      <c r="BL668">
        <v>1319</v>
      </c>
    </row>
    <row r="669" spans="61:64" x14ac:dyDescent="0.2">
      <c r="BI669" s="1029" t="s">
        <v>900</v>
      </c>
      <c r="BJ669" t="s">
        <v>646</v>
      </c>
      <c r="BK669">
        <v>20.399999999999999</v>
      </c>
      <c r="BL669">
        <v>1415.5</v>
      </c>
    </row>
    <row r="670" spans="61:64" x14ac:dyDescent="0.2">
      <c r="BI670" s="1029" t="s">
        <v>1321</v>
      </c>
      <c r="BJ670" t="s">
        <v>646</v>
      </c>
      <c r="BK670">
        <v>22.6</v>
      </c>
      <c r="BL670">
        <v>1240</v>
      </c>
    </row>
    <row r="671" spans="61:64" x14ac:dyDescent="0.2">
      <c r="BI671" s="1029" t="s">
        <v>902</v>
      </c>
      <c r="BJ671" t="s">
        <v>646</v>
      </c>
      <c r="BK671">
        <v>21.7</v>
      </c>
      <c r="BL671">
        <v>2597.3000000000002</v>
      </c>
    </row>
    <row r="672" spans="61:64" x14ac:dyDescent="0.2">
      <c r="BI672" s="1029" t="s">
        <v>1322</v>
      </c>
      <c r="BJ672" t="s">
        <v>646</v>
      </c>
      <c r="BK672">
        <v>24</v>
      </c>
      <c r="BL672">
        <v>1130</v>
      </c>
    </row>
    <row r="673" spans="61:64" x14ac:dyDescent="0.2">
      <c r="BI673" s="1029" t="s">
        <v>1323</v>
      </c>
      <c r="BJ673" t="s">
        <v>646</v>
      </c>
      <c r="BK673">
        <v>22.3</v>
      </c>
      <c r="BL673">
        <v>1214</v>
      </c>
    </row>
    <row r="674" spans="61:64" x14ac:dyDescent="0.2">
      <c r="BI674" s="1029" t="s">
        <v>1324</v>
      </c>
      <c r="BJ674" t="s">
        <v>646</v>
      </c>
      <c r="BK674">
        <v>23.5</v>
      </c>
      <c r="BL674">
        <v>1156</v>
      </c>
    </row>
    <row r="675" spans="61:64" x14ac:dyDescent="0.2">
      <c r="BI675" s="1029" t="s">
        <v>1325</v>
      </c>
      <c r="BJ675" t="s">
        <v>646</v>
      </c>
      <c r="BK675">
        <v>19.899999999999999</v>
      </c>
      <c r="BL675">
        <v>1466</v>
      </c>
    </row>
    <row r="676" spans="61:64" x14ac:dyDescent="0.2">
      <c r="BI676" s="1029" t="s">
        <v>1326</v>
      </c>
      <c r="BJ676" t="s">
        <v>646</v>
      </c>
      <c r="BK676">
        <v>21.6</v>
      </c>
      <c r="BL676">
        <v>1313</v>
      </c>
    </row>
    <row r="677" spans="61:64" x14ac:dyDescent="0.2">
      <c r="BI677" s="1029" t="s">
        <v>1327</v>
      </c>
      <c r="BJ677" t="s">
        <v>646</v>
      </c>
      <c r="BK677">
        <v>20.6</v>
      </c>
      <c r="BL677">
        <v>1249</v>
      </c>
    </row>
    <row r="678" spans="61:64" x14ac:dyDescent="0.2">
      <c r="BI678" s="1029" t="s">
        <v>1328</v>
      </c>
      <c r="BJ678" t="s">
        <v>646</v>
      </c>
      <c r="BK678">
        <v>23.1</v>
      </c>
      <c r="BL678">
        <v>1313</v>
      </c>
    </row>
    <row r="679" spans="61:64" x14ac:dyDescent="0.2">
      <c r="BI679" s="1029" t="s">
        <v>1329</v>
      </c>
      <c r="BJ679" t="s">
        <v>646</v>
      </c>
      <c r="BK679">
        <v>21.3</v>
      </c>
      <c r="BL679">
        <v>1287</v>
      </c>
    </row>
    <row r="680" spans="61:64" x14ac:dyDescent="0.2">
      <c r="BI680" s="1029" t="s">
        <v>904</v>
      </c>
      <c r="BJ680" t="s">
        <v>646</v>
      </c>
      <c r="BK680">
        <v>23.5</v>
      </c>
      <c r="BL680">
        <v>1229.9000000000001</v>
      </c>
    </row>
    <row r="681" spans="61:64" x14ac:dyDescent="0.2">
      <c r="BI681" s="1029" t="s">
        <v>1330</v>
      </c>
      <c r="BJ681" t="s">
        <v>646</v>
      </c>
      <c r="BK681">
        <v>23</v>
      </c>
      <c r="BL681">
        <v>1278</v>
      </c>
    </row>
    <row r="682" spans="61:64" x14ac:dyDescent="0.2">
      <c r="BI682" s="1029" t="s">
        <v>671</v>
      </c>
      <c r="BJ682" t="s">
        <v>647</v>
      </c>
      <c r="BK682">
        <v>25</v>
      </c>
      <c r="BL682">
        <v>1301.2</v>
      </c>
    </row>
    <row r="683" spans="61:64" x14ac:dyDescent="0.2">
      <c r="BI683" s="1029" t="s">
        <v>694</v>
      </c>
      <c r="BJ683" t="s">
        <v>647</v>
      </c>
      <c r="BK683">
        <v>25</v>
      </c>
      <c r="BL683">
        <v>1298.2</v>
      </c>
    </row>
    <row r="684" spans="61:64" x14ac:dyDescent="0.2">
      <c r="BI684" s="1029" t="s">
        <v>716</v>
      </c>
      <c r="BJ684" t="s">
        <v>647</v>
      </c>
      <c r="BK684">
        <v>25.9</v>
      </c>
      <c r="BL684">
        <v>1720.5</v>
      </c>
    </row>
    <row r="685" spans="61:64" x14ac:dyDescent="0.2">
      <c r="BI685" s="1029" t="s">
        <v>735</v>
      </c>
      <c r="BJ685" t="s">
        <v>647</v>
      </c>
      <c r="BK685">
        <v>25.6</v>
      </c>
      <c r="BL685">
        <v>1601</v>
      </c>
    </row>
    <row r="686" spans="61:64" x14ac:dyDescent="0.2">
      <c r="BI686" s="1029" t="s">
        <v>752</v>
      </c>
      <c r="BJ686" t="s">
        <v>647</v>
      </c>
      <c r="BK686">
        <v>26.1</v>
      </c>
      <c r="BL686">
        <v>1661.1</v>
      </c>
    </row>
    <row r="687" spans="61:64" x14ac:dyDescent="0.2">
      <c r="BI687" s="1029" t="s">
        <v>768</v>
      </c>
      <c r="BJ687" t="s">
        <v>647</v>
      </c>
      <c r="BK687">
        <v>24.6</v>
      </c>
      <c r="BL687">
        <v>1615.2</v>
      </c>
    </row>
  </sheetData>
  <sortState ref="BC2:BC25">
    <sortCondition ref="BC2"/>
  </sortState>
  <mergeCells count="5">
    <mergeCell ref="Y2:AC2"/>
    <mergeCell ref="N1:O1"/>
    <mergeCell ref="J1:K1"/>
    <mergeCell ref="R1:S1"/>
    <mergeCell ref="V1:W1"/>
  </mergeCell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70C0"/>
    <outlinePr summaryBelow="0" summaryRight="0"/>
  </sheetPr>
  <dimension ref="A1:P415"/>
  <sheetViews>
    <sheetView showGridLines="0" topLeftCell="A136" zoomScale="70" zoomScaleNormal="70" workbookViewId="0">
      <selection activeCell="B160" sqref="B160:F163"/>
    </sheetView>
  </sheetViews>
  <sheetFormatPr defaultColWidth="9.140625" defaultRowHeight="12.75" zeroHeight="1" outlineLevelRow="1" x14ac:dyDescent="0.2"/>
  <cols>
    <col min="1" max="1" width="5.7109375" style="290" customWidth="1"/>
    <col min="2" max="2" width="10.5703125" style="290" customWidth="1"/>
    <col min="3" max="3" width="46.85546875" style="290" customWidth="1"/>
    <col min="4" max="4" width="42.7109375" style="290" customWidth="1"/>
    <col min="5" max="8" width="13.7109375" style="290" customWidth="1"/>
    <col min="9" max="9" width="18.85546875" style="290" bestFit="1" customWidth="1"/>
    <col min="10" max="10" width="18.7109375" style="290" bestFit="1" customWidth="1"/>
    <col min="11" max="11" width="18.85546875" style="290" bestFit="1" customWidth="1"/>
    <col min="12" max="12" width="20.5703125" style="290" bestFit="1" customWidth="1"/>
    <col min="13" max="13" width="12.140625" style="290" customWidth="1"/>
    <col min="14" max="14" width="12.5703125" style="290" customWidth="1"/>
    <col min="15" max="15" width="23.140625" style="290" bestFit="1" customWidth="1"/>
    <col min="16" max="16" width="25.85546875" style="290" customWidth="1"/>
    <col min="17" max="17" width="10" style="195" customWidth="1"/>
    <col min="18" max="26" width="9.140625" style="195" customWidth="1"/>
    <col min="27" max="16384" width="9.140625" style="195"/>
  </cols>
  <sheetData>
    <row r="1" spans="2:6" x14ac:dyDescent="0.2"/>
    <row r="2" spans="2:6" ht="13.5" customHeight="1" x14ac:dyDescent="0.2">
      <c r="D2" s="321"/>
    </row>
    <row r="3" spans="2:6" ht="15.75" customHeight="1" x14ac:dyDescent="0.2"/>
    <row r="4" spans="2:6" ht="15.75" customHeight="1" x14ac:dyDescent="0.2"/>
    <row r="5" spans="2:6" ht="15.75" customHeight="1" x14ac:dyDescent="0.2"/>
    <row r="6" spans="2:6" ht="15.75" customHeight="1" x14ac:dyDescent="0.2"/>
    <row r="7" spans="2:6" ht="15.75" customHeight="1" x14ac:dyDescent="0.2"/>
    <row r="8" spans="2:6" ht="15.75" customHeight="1" x14ac:dyDescent="0.2"/>
    <row r="9" spans="2:6" ht="15" customHeight="1" x14ac:dyDescent="0.2"/>
    <row r="10" spans="2:6" ht="9.9499999999999993" customHeight="1" x14ac:dyDescent="0.2"/>
    <row r="11" spans="2:6" ht="15" customHeight="1" x14ac:dyDescent="0.3">
      <c r="B11" s="351" t="s">
        <v>2183</v>
      </c>
    </row>
    <row r="12" spans="2:6" ht="12" customHeight="1" x14ac:dyDescent="0.2"/>
    <row r="13" spans="2:6" ht="15" customHeight="1" x14ac:dyDescent="0.2">
      <c r="C13" s="355" t="s">
        <v>142</v>
      </c>
      <c r="D13" s="1247">
        <f>IF(OR(Ano="Selecione",Ano=0),"Escolha o ano do inventário na Página 'Introdução'",Ano)</f>
        <v>2030</v>
      </c>
      <c r="E13" s="1247"/>
      <c r="F13" s="323"/>
    </row>
    <row r="14" spans="2:6" ht="12" customHeight="1" x14ac:dyDescent="0.2">
      <c r="C14" s="324"/>
      <c r="D14" s="299"/>
    </row>
    <row r="15" spans="2:6" ht="15" customHeight="1" x14ac:dyDescent="0.25">
      <c r="B15" s="359" t="s">
        <v>4</v>
      </c>
      <c r="C15" s="356"/>
      <c r="D15" s="299"/>
    </row>
    <row r="16" spans="2:6" ht="15" customHeight="1" x14ac:dyDescent="0.25">
      <c r="B16" s="357" t="s">
        <v>2176</v>
      </c>
      <c r="C16" s="356"/>
      <c r="D16" s="299"/>
    </row>
    <row r="17" spans="1:16" ht="15" customHeight="1" x14ac:dyDescent="0.25">
      <c r="B17" s="357" t="s">
        <v>1398</v>
      </c>
      <c r="C17" s="356"/>
      <c r="D17" s="299"/>
    </row>
    <row r="18" spans="1:16" ht="15" customHeight="1" x14ac:dyDescent="0.25">
      <c r="B18" s="357" t="s">
        <v>1399</v>
      </c>
      <c r="C18" s="356"/>
      <c r="D18" s="299"/>
    </row>
    <row r="19" spans="1:16" ht="15" customHeight="1" x14ac:dyDescent="0.25">
      <c r="B19" s="357" t="s">
        <v>2177</v>
      </c>
      <c r="C19" s="356"/>
      <c r="D19" s="299"/>
    </row>
    <row r="20" spans="1:16" ht="15" customHeight="1" x14ac:dyDescent="0.2">
      <c r="B20" s="195"/>
      <c r="C20" s="324"/>
      <c r="D20" s="299"/>
    </row>
    <row r="21" spans="1:16" ht="18" customHeight="1" x14ac:dyDescent="0.25">
      <c r="A21" s="325"/>
      <c r="B21" s="358" t="s">
        <v>590</v>
      </c>
      <c r="C21" s="326"/>
      <c r="D21" s="326"/>
      <c r="E21" s="327"/>
      <c r="F21" s="327"/>
      <c r="G21" s="328"/>
      <c r="H21" s="328"/>
      <c r="I21" s="328"/>
      <c r="J21" s="328"/>
      <c r="K21" s="328"/>
      <c r="L21" s="328"/>
      <c r="M21" s="328"/>
      <c r="N21" s="329"/>
      <c r="O21" s="303"/>
      <c r="P21" s="303"/>
    </row>
    <row r="22" spans="1:16" ht="15" customHeight="1" x14ac:dyDescent="0.25">
      <c r="B22" s="322"/>
      <c r="I22" s="303"/>
      <c r="J22" s="303"/>
      <c r="K22" s="303"/>
      <c r="L22" s="303"/>
      <c r="M22" s="303"/>
      <c r="N22" s="303"/>
    </row>
    <row r="23" spans="1:16" ht="15" customHeight="1" x14ac:dyDescent="0.25">
      <c r="B23" s="292" t="s">
        <v>124</v>
      </c>
      <c r="I23" s="303"/>
      <c r="J23" s="303"/>
      <c r="K23" s="303"/>
      <c r="L23" s="303"/>
      <c r="M23" s="303"/>
      <c r="N23" s="303"/>
    </row>
    <row r="24" spans="1:16" ht="15" customHeight="1" x14ac:dyDescent="0.25">
      <c r="B24" s="205" t="s">
        <v>2178</v>
      </c>
      <c r="C24" s="205"/>
      <c r="I24" s="303"/>
      <c r="J24" s="303"/>
      <c r="K24" s="303"/>
      <c r="L24" s="303"/>
      <c r="M24" s="303"/>
      <c r="N24" s="303"/>
    </row>
    <row r="25" spans="1:16" ht="15" customHeight="1" x14ac:dyDescent="0.25">
      <c r="B25" s="360" t="s">
        <v>1338</v>
      </c>
      <c r="C25" s="205"/>
      <c r="I25" s="303"/>
      <c r="J25" s="303"/>
      <c r="K25" s="303"/>
      <c r="L25" s="303"/>
      <c r="M25" s="303"/>
      <c r="N25" s="303"/>
    </row>
    <row r="26" spans="1:16" ht="15" customHeight="1" x14ac:dyDescent="0.25">
      <c r="B26" s="360" t="s">
        <v>1832</v>
      </c>
      <c r="C26" s="205"/>
      <c r="I26" s="303"/>
      <c r="J26" s="303"/>
      <c r="K26" s="303"/>
      <c r="L26" s="303"/>
      <c r="M26" s="303"/>
      <c r="N26" s="303"/>
    </row>
    <row r="27" spans="1:16" ht="15" customHeight="1" x14ac:dyDescent="0.25">
      <c r="B27" s="206" t="s">
        <v>2179</v>
      </c>
      <c r="C27" s="205"/>
      <c r="I27" s="303"/>
      <c r="J27" s="303"/>
      <c r="K27" s="303"/>
      <c r="L27" s="303"/>
      <c r="M27" s="303"/>
      <c r="N27" s="303"/>
    </row>
    <row r="28" spans="1:16" ht="15" customHeight="1" x14ac:dyDescent="0.25">
      <c r="B28" s="206"/>
      <c r="C28" s="205"/>
      <c r="I28" s="303"/>
      <c r="J28" s="303"/>
      <c r="K28" s="303"/>
      <c r="L28" s="303"/>
      <c r="M28" s="303"/>
      <c r="N28" s="303"/>
    </row>
    <row r="29" spans="1:16" ht="15" customHeight="1" x14ac:dyDescent="0.25">
      <c r="B29" s="203" t="s">
        <v>1837</v>
      </c>
      <c r="C29" s="205"/>
      <c r="I29" s="303"/>
      <c r="J29" s="303"/>
      <c r="K29" s="303"/>
      <c r="L29" s="303"/>
      <c r="M29" s="303"/>
      <c r="N29" s="303"/>
    </row>
    <row r="30" spans="1:16" ht="15" customHeight="1" x14ac:dyDescent="0.2">
      <c r="B30" s="330"/>
      <c r="C30" s="332" t="s">
        <v>1838</v>
      </c>
      <c r="I30" s="303"/>
      <c r="J30" s="303"/>
      <c r="K30" s="303"/>
      <c r="L30" s="303"/>
      <c r="M30" s="303"/>
      <c r="N30" s="303"/>
    </row>
    <row r="31" spans="1:16" ht="15" customHeight="1" x14ac:dyDescent="0.2">
      <c r="B31" s="330"/>
      <c r="C31" s="333" t="s">
        <v>612</v>
      </c>
      <c r="I31" s="303"/>
      <c r="J31" s="303"/>
      <c r="K31" s="303"/>
      <c r="L31" s="303"/>
      <c r="M31" s="303"/>
      <c r="N31" s="303"/>
    </row>
    <row r="32" spans="1:16" ht="15" customHeight="1" x14ac:dyDescent="0.2">
      <c r="B32" s="330"/>
      <c r="C32" s="334" t="s">
        <v>1839</v>
      </c>
      <c r="I32" s="303"/>
      <c r="J32" s="303"/>
      <c r="K32" s="303"/>
      <c r="L32" s="303"/>
      <c r="M32" s="303"/>
      <c r="N32" s="303"/>
    </row>
    <row r="33" spans="1:16" ht="15" customHeight="1" x14ac:dyDescent="0.2">
      <c r="B33" s="330"/>
      <c r="C33" s="334" t="s">
        <v>1840</v>
      </c>
      <c r="I33" s="303"/>
      <c r="J33" s="303"/>
      <c r="K33" s="303"/>
      <c r="L33" s="303"/>
      <c r="M33" s="303"/>
      <c r="N33" s="303"/>
    </row>
    <row r="34" spans="1:16" ht="12" customHeight="1" x14ac:dyDescent="0.2">
      <c r="B34" s="335"/>
      <c r="C34" s="303"/>
      <c r="D34" s="303"/>
      <c r="I34" s="303"/>
      <c r="J34" s="303"/>
      <c r="K34" s="303"/>
      <c r="L34" s="303"/>
      <c r="M34" s="303"/>
      <c r="N34" s="303"/>
    </row>
    <row r="35" spans="1:16" ht="24.95" customHeight="1" x14ac:dyDescent="0.2">
      <c r="C35" s="209" t="s">
        <v>259</v>
      </c>
      <c r="D35" s="1263" t="s">
        <v>139</v>
      </c>
      <c r="E35" s="1264"/>
      <c r="F35" s="1265"/>
      <c r="G35" s="1244" t="str">
        <f>IF(D35=0,"Escolha o setor de atividade para que os fatores corretos possam ser considerados!",IF(D35=Listas!D2,"Escolha o setor de atividade para que os fatores corretos possam ser considerados!",""))</f>
        <v/>
      </c>
      <c r="H35" s="1245"/>
      <c r="I35" s="1245"/>
      <c r="J35" s="303"/>
      <c r="K35" s="303"/>
      <c r="L35" s="303"/>
      <c r="M35" s="303"/>
      <c r="N35" s="303"/>
      <c r="O35" s="336"/>
      <c r="P35" s="337"/>
    </row>
    <row r="36" spans="1:16" ht="15" customHeight="1" x14ac:dyDescent="0.2">
      <c r="I36" s="303"/>
      <c r="J36" s="303"/>
      <c r="K36" s="303"/>
      <c r="L36" s="303"/>
      <c r="M36" s="303"/>
      <c r="N36" s="303"/>
    </row>
    <row r="37" spans="1:16" ht="15" customHeight="1" x14ac:dyDescent="0.25">
      <c r="B37" s="203" t="s">
        <v>20</v>
      </c>
      <c r="I37" s="303"/>
      <c r="J37" s="303"/>
      <c r="K37" s="303"/>
      <c r="L37" s="303"/>
      <c r="M37" s="303"/>
      <c r="N37" s="303"/>
    </row>
    <row r="38" spans="1:16" ht="15" customHeight="1" x14ac:dyDescent="0.25">
      <c r="B38" s="361" t="s">
        <v>1841</v>
      </c>
      <c r="C38" s="205"/>
      <c r="I38" s="303"/>
      <c r="J38" s="303"/>
      <c r="K38" s="303"/>
      <c r="L38" s="303"/>
      <c r="M38" s="303"/>
      <c r="N38" s="303"/>
    </row>
    <row r="39" spans="1:16" ht="15" customHeight="1" x14ac:dyDescent="0.25">
      <c r="B39" s="361" t="s">
        <v>192</v>
      </c>
      <c r="C39" s="205"/>
      <c r="I39" s="303"/>
      <c r="J39" s="303"/>
      <c r="K39" s="303"/>
      <c r="L39" s="303"/>
      <c r="M39" s="303"/>
      <c r="N39" s="303"/>
    </row>
    <row r="40" spans="1:16" ht="15" customHeight="1" x14ac:dyDescent="0.25">
      <c r="B40" s="361" t="s">
        <v>193</v>
      </c>
      <c r="C40" s="205"/>
      <c r="I40" s="303"/>
      <c r="J40" s="303"/>
      <c r="K40" s="303"/>
      <c r="L40" s="303"/>
      <c r="M40" s="303"/>
      <c r="N40" s="303"/>
    </row>
    <row r="41" spans="1:16" ht="15" customHeight="1" x14ac:dyDescent="0.25">
      <c r="B41" s="361" t="s">
        <v>194</v>
      </c>
      <c r="C41" s="205"/>
      <c r="I41" s="303"/>
      <c r="J41" s="303"/>
      <c r="K41" s="303"/>
      <c r="L41" s="303"/>
      <c r="M41" s="303"/>
      <c r="N41" s="303"/>
    </row>
    <row r="42" spans="1:16" ht="15" customHeight="1" x14ac:dyDescent="0.25">
      <c r="B42" s="361" t="s">
        <v>261</v>
      </c>
      <c r="C42" s="205"/>
      <c r="I42" s="303"/>
      <c r="J42" s="303"/>
      <c r="K42" s="303"/>
      <c r="L42" s="303"/>
      <c r="M42" s="303"/>
      <c r="N42" s="303"/>
    </row>
    <row r="43" spans="1:16" ht="15" customHeight="1" x14ac:dyDescent="0.2">
      <c r="B43" s="330"/>
      <c r="C43" s="330"/>
      <c r="I43" s="303"/>
      <c r="J43" s="303"/>
      <c r="K43" s="303"/>
      <c r="L43" s="303"/>
      <c r="M43" s="303"/>
      <c r="N43" s="303"/>
    </row>
    <row r="44" spans="1:16" s="237" customFormat="1" ht="15" customHeight="1" x14ac:dyDescent="0.25">
      <c r="A44" s="205"/>
      <c r="B44" s="362" t="s">
        <v>125</v>
      </c>
      <c r="C44" s="363"/>
      <c r="D44" s="363"/>
      <c r="E44" s="363"/>
      <c r="F44" s="363"/>
      <c r="G44" s="205"/>
      <c r="H44" s="205"/>
      <c r="I44" s="312"/>
      <c r="J44" s="312"/>
      <c r="K44" s="312"/>
      <c r="L44" s="312"/>
      <c r="M44" s="312"/>
      <c r="N44" s="312"/>
      <c r="O44" s="205"/>
      <c r="P44" s="205"/>
    </row>
    <row r="45" spans="1:16" s="237" customFormat="1" ht="15" customHeight="1" x14ac:dyDescent="0.25">
      <c r="A45" s="205"/>
      <c r="B45" s="1249" t="s">
        <v>1842</v>
      </c>
      <c r="C45" s="1249" t="s">
        <v>66</v>
      </c>
      <c r="D45" s="1249" t="s">
        <v>431</v>
      </c>
      <c r="E45" s="1249" t="s">
        <v>19</v>
      </c>
      <c r="F45" s="1255" t="s">
        <v>96</v>
      </c>
      <c r="G45" s="364"/>
      <c r="H45" s="364"/>
      <c r="I45" s="312"/>
      <c r="J45" s="312"/>
      <c r="K45" s="312"/>
      <c r="L45" s="312"/>
      <c r="M45" s="312"/>
      <c r="N45" s="312"/>
      <c r="O45" s="205"/>
      <c r="P45" s="205"/>
    </row>
    <row r="46" spans="1:16" s="237" customFormat="1" ht="15" customHeight="1" x14ac:dyDescent="0.25">
      <c r="A46" s="205"/>
      <c r="B46" s="1250"/>
      <c r="C46" s="1250"/>
      <c r="D46" s="1250"/>
      <c r="E46" s="1250"/>
      <c r="F46" s="1256"/>
      <c r="G46" s="364"/>
      <c r="H46" s="364"/>
      <c r="I46" s="312"/>
      <c r="J46" s="312"/>
      <c r="K46" s="312"/>
      <c r="L46" s="312"/>
      <c r="M46" s="312"/>
      <c r="N46" s="205"/>
      <c r="O46" s="205"/>
      <c r="P46" s="205"/>
    </row>
    <row r="47" spans="1:16" s="237" customFormat="1" ht="15" customHeight="1" x14ac:dyDescent="0.25">
      <c r="A47" s="205"/>
      <c r="B47" s="365" t="s">
        <v>2180</v>
      </c>
      <c r="C47" s="365" t="s">
        <v>2181</v>
      </c>
      <c r="D47" s="365" t="s">
        <v>1787</v>
      </c>
      <c r="E47" s="1174">
        <v>5000</v>
      </c>
      <c r="F47" s="366" t="s">
        <v>2182</v>
      </c>
      <c r="G47" s="367" t="s">
        <v>266</v>
      </c>
      <c r="H47" s="368"/>
      <c r="I47" s="312"/>
      <c r="J47" s="312"/>
      <c r="K47" s="312"/>
      <c r="L47" s="312"/>
      <c r="M47" s="312"/>
      <c r="N47" s="205"/>
      <c r="O47" s="205"/>
      <c r="P47" s="205"/>
    </row>
    <row r="48" spans="1:16" s="237" customFormat="1" ht="15" customHeight="1" x14ac:dyDescent="0.25">
      <c r="A48" s="205"/>
      <c r="B48" s="369"/>
      <c r="C48" s="369"/>
      <c r="D48" s="370"/>
      <c r="E48" s="371"/>
      <c r="F48" s="372" t="str">
        <f>IF($D48="","",VLOOKUP(D48,'Fatores de Emissão'!$C$19:$E$72,3,FALSE))</f>
        <v/>
      </c>
      <c r="G48" s="368"/>
      <c r="H48" s="368"/>
      <c r="I48" s="312"/>
      <c r="J48" s="312"/>
      <c r="K48" s="312"/>
      <c r="L48" s="312"/>
      <c r="M48" s="312"/>
      <c r="N48" s="205"/>
      <c r="O48" s="205"/>
      <c r="P48" s="205"/>
    </row>
    <row r="49" spans="1:16" s="237" customFormat="1" ht="15" customHeight="1" x14ac:dyDescent="0.25">
      <c r="A49" s="205"/>
      <c r="B49" s="369"/>
      <c r="C49" s="369"/>
      <c r="D49" s="370"/>
      <c r="E49" s="371"/>
      <c r="F49" s="372" t="str">
        <f>IF($D49="","",VLOOKUP(D49,'Fatores de Emissão'!$C$19:$E$72,3,FALSE))</f>
        <v/>
      </c>
      <c r="G49" s="312"/>
      <c r="H49" s="312"/>
      <c r="I49" s="312"/>
      <c r="J49" s="312"/>
      <c r="K49" s="312"/>
      <c r="L49" s="312"/>
      <c r="M49" s="312"/>
      <c r="N49" s="205"/>
      <c r="O49" s="205"/>
      <c r="P49" s="205"/>
    </row>
    <row r="50" spans="1:16" s="237" customFormat="1" ht="15" customHeight="1" x14ac:dyDescent="0.25">
      <c r="A50" s="205"/>
      <c r="B50" s="369"/>
      <c r="C50" s="369"/>
      <c r="D50" s="370"/>
      <c r="E50" s="371"/>
      <c r="F50" s="372" t="str">
        <f>IF($D50="","",VLOOKUP(D50,'Fatores de Emissão'!$C$19:$E$72,3,FALSE))</f>
        <v/>
      </c>
      <c r="G50" s="312"/>
      <c r="H50" s="312"/>
      <c r="I50" s="312"/>
      <c r="J50" s="312"/>
      <c r="K50" s="312"/>
      <c r="L50" s="312"/>
      <c r="M50" s="312"/>
      <c r="N50" s="205"/>
      <c r="O50" s="205"/>
      <c r="P50" s="205"/>
    </row>
    <row r="51" spans="1:16" s="237" customFormat="1" ht="15" customHeight="1" x14ac:dyDescent="0.25">
      <c r="A51" s="205"/>
      <c r="B51" s="369"/>
      <c r="C51" s="369"/>
      <c r="D51" s="370"/>
      <c r="E51" s="371"/>
      <c r="F51" s="372" t="str">
        <f>IF($D51="","",VLOOKUP(D51,'Fatores de Emissão'!$C$19:$E$72,3,FALSE))</f>
        <v/>
      </c>
      <c r="G51" s="312"/>
      <c r="H51" s="312"/>
      <c r="I51" s="312"/>
      <c r="J51" s="312"/>
      <c r="K51" s="312"/>
      <c r="L51" s="312"/>
      <c r="M51" s="312"/>
      <c r="N51" s="205"/>
      <c r="O51" s="205"/>
      <c r="P51" s="205"/>
    </row>
    <row r="52" spans="1:16" s="237" customFormat="1" ht="15" customHeight="1" x14ac:dyDescent="0.25">
      <c r="A52" s="205"/>
      <c r="B52" s="369"/>
      <c r="C52" s="369"/>
      <c r="D52" s="370"/>
      <c r="E52" s="371"/>
      <c r="F52" s="372" t="str">
        <f>IF($D52="","",VLOOKUP(D52,'Fatores de Emissão'!$C$19:$E$72,3,FALSE))</f>
        <v/>
      </c>
      <c r="G52" s="312"/>
      <c r="H52" s="312"/>
      <c r="I52" s="312"/>
      <c r="J52" s="312"/>
      <c r="K52" s="312"/>
      <c r="L52" s="312"/>
      <c r="M52" s="312"/>
      <c r="N52" s="205"/>
      <c r="O52" s="205"/>
      <c r="P52" s="205"/>
    </row>
    <row r="53" spans="1:16" s="237" customFormat="1" ht="15" customHeight="1" x14ac:dyDescent="0.25">
      <c r="A53" s="205"/>
      <c r="B53" s="369"/>
      <c r="C53" s="369"/>
      <c r="D53" s="370"/>
      <c r="E53" s="371"/>
      <c r="F53" s="372" t="str">
        <f>IF($D53="","",VLOOKUP(D53,'Fatores de Emissão'!$C$19:$E$72,3,FALSE))</f>
        <v/>
      </c>
      <c r="G53" s="373"/>
      <c r="H53" s="373"/>
      <c r="I53" s="373"/>
      <c r="J53" s="373"/>
      <c r="K53" s="373"/>
      <c r="L53" s="373"/>
      <c r="M53" s="373"/>
      <c r="N53" s="363"/>
      <c r="O53" s="205"/>
      <c r="P53" s="205"/>
    </row>
    <row r="54" spans="1:16" s="237" customFormat="1" ht="15" customHeight="1" x14ac:dyDescent="0.25">
      <c r="A54" s="205"/>
      <c r="B54" s="369"/>
      <c r="C54" s="369"/>
      <c r="D54" s="370"/>
      <c r="E54" s="371"/>
      <c r="F54" s="372" t="str">
        <f>IF($D54="","",VLOOKUP(D54,'Fatores de Emissão'!$C$19:$E$72,3,FALSE))</f>
        <v/>
      </c>
      <c r="G54" s="373"/>
      <c r="H54" s="373"/>
      <c r="I54" s="373"/>
      <c r="J54" s="373"/>
      <c r="K54" s="373"/>
      <c r="L54" s="373"/>
      <c r="M54" s="373"/>
      <c r="N54" s="363"/>
      <c r="O54" s="205"/>
      <c r="P54" s="205"/>
    </row>
    <row r="55" spans="1:16" s="237" customFormat="1" ht="15" customHeight="1" x14ac:dyDescent="0.25">
      <c r="A55" s="205"/>
      <c r="B55" s="369"/>
      <c r="C55" s="369"/>
      <c r="D55" s="370"/>
      <c r="E55" s="371"/>
      <c r="F55" s="372" t="str">
        <f>IF($D55="","",VLOOKUP(D55,'Fatores de Emissão'!$C$19:$E$72,3,FALSE))</f>
        <v/>
      </c>
      <c r="G55" s="373"/>
      <c r="H55" s="373"/>
      <c r="I55" s="373"/>
      <c r="J55" s="373"/>
      <c r="K55" s="373"/>
      <c r="L55" s="373"/>
      <c r="M55" s="373"/>
      <c r="N55" s="363"/>
      <c r="O55" s="205"/>
      <c r="P55" s="205"/>
    </row>
    <row r="56" spans="1:16" s="237" customFormat="1" ht="15" customHeight="1" x14ac:dyDescent="0.25">
      <c r="A56" s="205"/>
      <c r="B56" s="369"/>
      <c r="C56" s="369"/>
      <c r="D56" s="370"/>
      <c r="E56" s="371"/>
      <c r="F56" s="372" t="str">
        <f>IF($D56="","",VLOOKUP(D56,'Fatores de Emissão'!$C$19:$E$72,3,FALSE))</f>
        <v/>
      </c>
      <c r="G56" s="373"/>
      <c r="H56" s="373"/>
      <c r="I56" s="373"/>
      <c r="J56" s="373"/>
      <c r="K56" s="373"/>
      <c r="L56" s="373"/>
      <c r="M56" s="373"/>
      <c r="N56" s="363"/>
      <c r="O56" s="205"/>
      <c r="P56" s="205"/>
    </row>
    <row r="57" spans="1:16" s="237" customFormat="1" ht="15" customHeight="1" collapsed="1" x14ac:dyDescent="0.25">
      <c r="A57" s="205"/>
      <c r="B57" s="369"/>
      <c r="C57" s="369"/>
      <c r="D57" s="370"/>
      <c r="E57" s="371"/>
      <c r="F57" s="372" t="str">
        <f>IF($D57="","",VLOOKUP(D57,'Fatores de Emissão'!$C$19:$E$72,3,FALSE))</f>
        <v/>
      </c>
      <c r="G57" s="373"/>
      <c r="H57" s="373"/>
      <c r="I57" s="373"/>
      <c r="J57" s="373"/>
      <c r="K57" s="373"/>
      <c r="L57" s="373"/>
      <c r="M57" s="373"/>
      <c r="N57" s="363"/>
      <c r="O57" s="205"/>
      <c r="P57" s="205"/>
    </row>
    <row r="58" spans="1:16" s="237" customFormat="1" ht="15" hidden="1" customHeight="1" outlineLevel="1" x14ac:dyDescent="0.25">
      <c r="A58" s="205"/>
      <c r="B58" s="369"/>
      <c r="C58" s="369"/>
      <c r="D58" s="370"/>
      <c r="E58" s="371"/>
      <c r="F58" s="372" t="str">
        <f>IF($D58="","",VLOOKUP(D58,'Fatores de Emissão'!$C$19:$E$72,3,FALSE))</f>
        <v/>
      </c>
      <c r="G58" s="373"/>
      <c r="H58" s="373"/>
      <c r="I58" s="373"/>
      <c r="J58" s="373"/>
      <c r="K58" s="373"/>
      <c r="L58" s="373"/>
      <c r="M58" s="373"/>
      <c r="N58" s="363"/>
      <c r="O58" s="205"/>
      <c r="P58" s="205"/>
    </row>
    <row r="59" spans="1:16" s="237" customFormat="1" ht="15" hidden="1" customHeight="1" outlineLevel="1" x14ac:dyDescent="0.25">
      <c r="A59" s="205"/>
      <c r="B59" s="369"/>
      <c r="C59" s="369"/>
      <c r="D59" s="370"/>
      <c r="E59" s="371"/>
      <c r="F59" s="372" t="str">
        <f>IF($D59="","",VLOOKUP(D59,'Fatores de Emissão'!$C$19:$E$72,3,FALSE))</f>
        <v/>
      </c>
      <c r="G59" s="373"/>
      <c r="H59" s="373"/>
      <c r="I59" s="373"/>
      <c r="J59" s="373"/>
      <c r="K59" s="373"/>
      <c r="L59" s="373"/>
      <c r="M59" s="373"/>
      <c r="N59" s="363"/>
      <c r="O59" s="205"/>
      <c r="P59" s="205"/>
    </row>
    <row r="60" spans="1:16" s="237" customFormat="1" ht="15" hidden="1" customHeight="1" outlineLevel="1" x14ac:dyDescent="0.25">
      <c r="A60" s="205"/>
      <c r="B60" s="369"/>
      <c r="C60" s="369"/>
      <c r="D60" s="370"/>
      <c r="E60" s="371"/>
      <c r="F60" s="372" t="str">
        <f>IF($D60="","",VLOOKUP(D60,'Fatores de Emissão'!$C$19:$E$72,3,FALSE))</f>
        <v/>
      </c>
      <c r="G60" s="373"/>
      <c r="H60" s="373"/>
      <c r="I60" s="373"/>
      <c r="J60" s="373"/>
      <c r="K60" s="373"/>
      <c r="L60" s="373"/>
      <c r="M60" s="373"/>
      <c r="N60" s="363"/>
      <c r="O60" s="205"/>
      <c r="P60" s="205"/>
    </row>
    <row r="61" spans="1:16" s="237" customFormat="1" ht="15" hidden="1" customHeight="1" outlineLevel="1" x14ac:dyDescent="0.25">
      <c r="A61" s="205"/>
      <c r="B61" s="369"/>
      <c r="C61" s="369"/>
      <c r="D61" s="370"/>
      <c r="E61" s="371"/>
      <c r="F61" s="372" t="str">
        <f>IF($D61="","",VLOOKUP(D61,'Fatores de Emissão'!$C$19:$E$72,3,FALSE))</f>
        <v/>
      </c>
      <c r="G61" s="373"/>
      <c r="H61" s="373"/>
      <c r="I61" s="373"/>
      <c r="J61" s="373"/>
      <c r="K61" s="373"/>
      <c r="L61" s="373"/>
      <c r="M61" s="373"/>
      <c r="N61" s="363"/>
      <c r="O61" s="205"/>
      <c r="P61" s="205"/>
    </row>
    <row r="62" spans="1:16" s="237" customFormat="1" ht="15" hidden="1" customHeight="1" outlineLevel="1" x14ac:dyDescent="0.25">
      <c r="A62" s="205"/>
      <c r="B62" s="369"/>
      <c r="C62" s="369"/>
      <c r="D62" s="370"/>
      <c r="E62" s="371"/>
      <c r="F62" s="372" t="str">
        <f>IF($D62="","",VLOOKUP(D62,'Fatores de Emissão'!$C$19:$E$72,3,FALSE))</f>
        <v/>
      </c>
      <c r="G62" s="373"/>
      <c r="H62" s="373"/>
      <c r="I62" s="373"/>
      <c r="J62" s="373"/>
      <c r="K62" s="373"/>
      <c r="L62" s="373"/>
      <c r="M62" s="373"/>
      <c r="N62" s="363"/>
      <c r="O62" s="205"/>
      <c r="P62" s="205"/>
    </row>
    <row r="63" spans="1:16" s="237" customFormat="1" ht="15" hidden="1" customHeight="1" outlineLevel="1" x14ac:dyDescent="0.25">
      <c r="A63" s="205"/>
      <c r="B63" s="369"/>
      <c r="C63" s="369"/>
      <c r="D63" s="370"/>
      <c r="E63" s="371"/>
      <c r="F63" s="372" t="str">
        <f>IF($D63="","",VLOOKUP(D63,'Fatores de Emissão'!$C$19:$E$72,3,FALSE))</f>
        <v/>
      </c>
      <c r="G63" s="373"/>
      <c r="H63" s="373"/>
      <c r="I63" s="373"/>
      <c r="J63" s="373"/>
      <c r="K63" s="373"/>
      <c r="L63" s="373"/>
      <c r="M63" s="373"/>
      <c r="N63" s="363"/>
      <c r="O63" s="205"/>
      <c r="P63" s="205"/>
    </row>
    <row r="64" spans="1:16" s="237" customFormat="1" ht="15" hidden="1" customHeight="1" outlineLevel="1" x14ac:dyDescent="0.25">
      <c r="A64" s="205"/>
      <c r="B64" s="369"/>
      <c r="C64" s="369"/>
      <c r="D64" s="370"/>
      <c r="E64" s="371"/>
      <c r="F64" s="372" t="str">
        <f>IF($D64="","",VLOOKUP(D64,'Fatores de Emissão'!$C$19:$E$72,3,FALSE))</f>
        <v/>
      </c>
      <c r="G64" s="373"/>
      <c r="H64" s="373"/>
      <c r="I64" s="373"/>
      <c r="J64" s="373"/>
      <c r="K64" s="373"/>
      <c r="L64" s="373"/>
      <c r="M64" s="373"/>
      <c r="N64" s="363"/>
      <c r="O64" s="205"/>
      <c r="P64" s="205"/>
    </row>
    <row r="65" spans="1:16" s="237" customFormat="1" ht="15" hidden="1" customHeight="1" outlineLevel="1" x14ac:dyDescent="0.25">
      <c r="A65" s="205"/>
      <c r="B65" s="369"/>
      <c r="C65" s="369"/>
      <c r="D65" s="370"/>
      <c r="E65" s="371"/>
      <c r="F65" s="372" t="str">
        <f>IF($D65="","",VLOOKUP(D65,'Fatores de Emissão'!$C$19:$E$72,3,FALSE))</f>
        <v/>
      </c>
      <c r="G65" s="373"/>
      <c r="H65" s="373"/>
      <c r="I65" s="373"/>
      <c r="J65" s="373"/>
      <c r="K65" s="373"/>
      <c r="L65" s="373"/>
      <c r="M65" s="373"/>
      <c r="N65" s="363"/>
      <c r="O65" s="205"/>
      <c r="P65" s="205"/>
    </row>
    <row r="66" spans="1:16" s="237" customFormat="1" ht="15" hidden="1" customHeight="1" outlineLevel="1" x14ac:dyDescent="0.25">
      <c r="A66" s="205"/>
      <c r="B66" s="369"/>
      <c r="C66" s="369"/>
      <c r="D66" s="370"/>
      <c r="E66" s="371"/>
      <c r="F66" s="372" t="str">
        <f>IF($D66="","",VLOOKUP(D66,'Fatores de Emissão'!$C$19:$E$72,3,FALSE))</f>
        <v/>
      </c>
      <c r="G66" s="373"/>
      <c r="H66" s="373"/>
      <c r="I66" s="373"/>
      <c r="J66" s="373"/>
      <c r="K66" s="373"/>
      <c r="L66" s="373"/>
      <c r="M66" s="373"/>
      <c r="N66" s="363"/>
      <c r="O66" s="205"/>
      <c r="P66" s="205"/>
    </row>
    <row r="67" spans="1:16" s="237" customFormat="1" ht="15" hidden="1" customHeight="1" outlineLevel="1" x14ac:dyDescent="0.25">
      <c r="A67" s="205"/>
      <c r="B67" s="369"/>
      <c r="C67" s="369"/>
      <c r="D67" s="370"/>
      <c r="E67" s="371"/>
      <c r="F67" s="372" t="str">
        <f>IF($D67="","",VLOOKUP(D67,'Fatores de Emissão'!$C$19:$E$72,3,FALSE))</f>
        <v/>
      </c>
      <c r="G67" s="373"/>
      <c r="H67" s="373"/>
      <c r="I67" s="373"/>
      <c r="J67" s="373"/>
      <c r="K67" s="373"/>
      <c r="L67" s="373"/>
      <c r="M67" s="373"/>
      <c r="N67" s="363"/>
      <c r="O67" s="205"/>
      <c r="P67" s="205"/>
    </row>
    <row r="68" spans="1:16" s="237" customFormat="1" ht="15" hidden="1" customHeight="1" outlineLevel="1" x14ac:dyDescent="0.25">
      <c r="A68" s="205"/>
      <c r="B68" s="369"/>
      <c r="C68" s="369"/>
      <c r="D68" s="370"/>
      <c r="E68" s="371"/>
      <c r="F68" s="372" t="str">
        <f>IF($D68="","",VLOOKUP(D68,'Fatores de Emissão'!$C$19:$E$72,3,FALSE))</f>
        <v/>
      </c>
      <c r="G68" s="373"/>
      <c r="H68" s="373"/>
      <c r="I68" s="373"/>
      <c r="J68" s="373"/>
      <c r="K68" s="373"/>
      <c r="L68" s="373"/>
      <c r="M68" s="373"/>
      <c r="N68" s="363"/>
      <c r="O68" s="205"/>
      <c r="P68" s="205"/>
    </row>
    <row r="69" spans="1:16" s="237" customFormat="1" ht="15" hidden="1" customHeight="1" outlineLevel="1" x14ac:dyDescent="0.25">
      <c r="A69" s="205"/>
      <c r="B69" s="369"/>
      <c r="C69" s="369"/>
      <c r="D69" s="370"/>
      <c r="E69" s="371"/>
      <c r="F69" s="372" t="str">
        <f>IF($D69="","",VLOOKUP(D69,'Fatores de Emissão'!$C$19:$E$72,3,FALSE))</f>
        <v/>
      </c>
      <c r="G69" s="373"/>
      <c r="H69" s="373"/>
      <c r="I69" s="373"/>
      <c r="J69" s="373"/>
      <c r="K69" s="373"/>
      <c r="L69" s="373"/>
      <c r="M69" s="373"/>
      <c r="N69" s="363"/>
      <c r="O69" s="205"/>
      <c r="P69" s="205"/>
    </row>
    <row r="70" spans="1:16" s="237" customFormat="1" ht="15" hidden="1" customHeight="1" outlineLevel="1" x14ac:dyDescent="0.25">
      <c r="A70" s="205"/>
      <c r="B70" s="369"/>
      <c r="C70" s="374"/>
      <c r="D70" s="370"/>
      <c r="E70" s="371"/>
      <c r="F70" s="372" t="str">
        <f>IF($D70="","",VLOOKUP(D70,'Fatores de Emissão'!$C$19:$E$72,3,FALSE))</f>
        <v/>
      </c>
      <c r="G70" s="373"/>
      <c r="H70" s="373"/>
      <c r="I70" s="373"/>
      <c r="J70" s="373"/>
      <c r="K70" s="373"/>
      <c r="L70" s="373"/>
      <c r="M70" s="373"/>
      <c r="N70" s="363"/>
      <c r="O70" s="205"/>
      <c r="P70" s="205"/>
    </row>
    <row r="71" spans="1:16" s="237" customFormat="1" ht="15" hidden="1" customHeight="1" outlineLevel="1" x14ac:dyDescent="0.25">
      <c r="A71" s="205"/>
      <c r="B71" s="369"/>
      <c r="C71" s="374"/>
      <c r="D71" s="370"/>
      <c r="E71" s="371"/>
      <c r="F71" s="372" t="str">
        <f>IF($D71="","",VLOOKUP(D71,'Fatores de Emissão'!$C$19:$E$72,3,FALSE))</f>
        <v/>
      </c>
      <c r="G71" s="373"/>
      <c r="H71" s="373"/>
      <c r="I71" s="373"/>
      <c r="J71" s="373"/>
      <c r="K71" s="373"/>
      <c r="L71" s="373"/>
      <c r="M71" s="373"/>
      <c r="N71" s="363"/>
      <c r="O71" s="205"/>
      <c r="P71" s="205"/>
    </row>
    <row r="72" spans="1:16" s="237" customFormat="1" ht="15" hidden="1" customHeight="1" outlineLevel="1" x14ac:dyDescent="0.25">
      <c r="A72" s="205"/>
      <c r="B72" s="369"/>
      <c r="C72" s="374"/>
      <c r="D72" s="370"/>
      <c r="E72" s="371"/>
      <c r="F72" s="372" t="str">
        <f>IF($D72="","",VLOOKUP(D72,'Fatores de Emissão'!$C$19:$E$72,3,FALSE))</f>
        <v/>
      </c>
      <c r="G72" s="373"/>
      <c r="H72" s="373"/>
      <c r="I72" s="373"/>
      <c r="J72" s="373"/>
      <c r="K72" s="373"/>
      <c r="L72" s="373"/>
      <c r="M72" s="373"/>
      <c r="N72" s="363"/>
      <c r="O72" s="205"/>
      <c r="P72" s="205"/>
    </row>
    <row r="73" spans="1:16" s="237" customFormat="1" ht="15" hidden="1" customHeight="1" outlineLevel="1" x14ac:dyDescent="0.25">
      <c r="A73" s="205"/>
      <c r="B73" s="369"/>
      <c r="C73" s="374"/>
      <c r="D73" s="370"/>
      <c r="E73" s="371"/>
      <c r="F73" s="372" t="str">
        <f>IF($D73="","",VLOOKUP(D73,'Fatores de Emissão'!$C$19:$E$72,3,FALSE))</f>
        <v/>
      </c>
      <c r="G73" s="373"/>
      <c r="H73" s="373"/>
      <c r="I73" s="373"/>
      <c r="J73" s="373"/>
      <c r="K73" s="373"/>
      <c r="L73" s="373"/>
      <c r="M73" s="373"/>
      <c r="N73" s="363"/>
      <c r="O73" s="205"/>
      <c r="P73" s="205"/>
    </row>
    <row r="74" spans="1:16" s="237" customFormat="1" ht="15" hidden="1" customHeight="1" outlineLevel="1" x14ac:dyDescent="0.25">
      <c r="A74" s="205"/>
      <c r="B74" s="369"/>
      <c r="C74" s="374"/>
      <c r="D74" s="370"/>
      <c r="E74" s="371"/>
      <c r="F74" s="372" t="str">
        <f>IF($D74="","",VLOOKUP(D74,'Fatores de Emissão'!$C$19:$E$72,3,FALSE))</f>
        <v/>
      </c>
      <c r="G74" s="373"/>
      <c r="H74" s="373"/>
      <c r="I74" s="373"/>
      <c r="J74" s="373"/>
      <c r="K74" s="373"/>
      <c r="L74" s="373"/>
      <c r="M74" s="373"/>
      <c r="N74" s="363"/>
      <c r="O74" s="205"/>
      <c r="P74" s="205"/>
    </row>
    <row r="75" spans="1:16" s="237" customFormat="1" ht="15" hidden="1" customHeight="1" outlineLevel="1" x14ac:dyDescent="0.25">
      <c r="A75" s="205"/>
      <c r="B75" s="369"/>
      <c r="C75" s="374"/>
      <c r="D75" s="370"/>
      <c r="E75" s="371"/>
      <c r="F75" s="372" t="str">
        <f>IF($D75="","",VLOOKUP(D75,'Fatores de Emissão'!$C$19:$E$72,3,FALSE))</f>
        <v/>
      </c>
      <c r="G75" s="373"/>
      <c r="H75" s="373"/>
      <c r="I75" s="373"/>
      <c r="J75" s="373"/>
      <c r="K75" s="373"/>
      <c r="L75" s="373"/>
      <c r="M75" s="373"/>
      <c r="N75" s="363"/>
      <c r="O75" s="205"/>
      <c r="P75" s="205"/>
    </row>
    <row r="76" spans="1:16" s="237" customFormat="1" ht="15" hidden="1" customHeight="1" outlineLevel="1" x14ac:dyDescent="0.25">
      <c r="A76" s="205"/>
      <c r="B76" s="369"/>
      <c r="C76" s="374"/>
      <c r="D76" s="370"/>
      <c r="E76" s="371"/>
      <c r="F76" s="372" t="str">
        <f>IF($D76="","",VLOOKUP(D76,'Fatores de Emissão'!$C$19:$E$72,3,FALSE))</f>
        <v/>
      </c>
      <c r="G76" s="373"/>
      <c r="H76" s="373"/>
      <c r="I76" s="373"/>
      <c r="J76" s="373"/>
      <c r="K76" s="373"/>
      <c r="L76" s="373"/>
      <c r="M76" s="373"/>
      <c r="N76" s="363"/>
      <c r="O76" s="205"/>
      <c r="P76" s="205"/>
    </row>
    <row r="77" spans="1:16" s="237" customFormat="1" ht="15" hidden="1" customHeight="1" outlineLevel="1" x14ac:dyDescent="0.25">
      <c r="A77" s="205"/>
      <c r="B77" s="369"/>
      <c r="C77" s="374"/>
      <c r="D77" s="370"/>
      <c r="E77" s="371"/>
      <c r="F77" s="372" t="str">
        <f>IF($D77="","",VLOOKUP(D77,'Fatores de Emissão'!$C$19:$E$72,3,FALSE))</f>
        <v/>
      </c>
      <c r="G77" s="373"/>
      <c r="H77" s="373"/>
      <c r="I77" s="373"/>
      <c r="J77" s="373"/>
      <c r="K77" s="373"/>
      <c r="L77" s="373"/>
      <c r="M77" s="373"/>
      <c r="N77" s="363"/>
      <c r="O77" s="205"/>
      <c r="P77" s="205"/>
    </row>
    <row r="78" spans="1:16" s="237" customFormat="1" ht="15" hidden="1" customHeight="1" outlineLevel="1" x14ac:dyDescent="0.25">
      <c r="A78" s="205"/>
      <c r="B78" s="369"/>
      <c r="C78" s="374"/>
      <c r="D78" s="370"/>
      <c r="E78" s="371"/>
      <c r="F78" s="372" t="str">
        <f>IF($D78="","",VLOOKUP(D78,'Fatores de Emissão'!$C$19:$E$72,3,FALSE))</f>
        <v/>
      </c>
      <c r="G78" s="373"/>
      <c r="H78" s="373"/>
      <c r="I78" s="373"/>
      <c r="J78" s="373"/>
      <c r="K78" s="373"/>
      <c r="L78" s="373"/>
      <c r="M78" s="373"/>
      <c r="N78" s="363"/>
      <c r="O78" s="205"/>
      <c r="P78" s="205"/>
    </row>
    <row r="79" spans="1:16" s="237" customFormat="1" ht="15" hidden="1" customHeight="1" outlineLevel="1" x14ac:dyDescent="0.25">
      <c r="A79" s="205"/>
      <c r="B79" s="369"/>
      <c r="C79" s="374"/>
      <c r="D79" s="370"/>
      <c r="E79" s="371"/>
      <c r="F79" s="372" t="str">
        <f>IF($D79="","",VLOOKUP(D79,'Fatores de Emissão'!$C$19:$E$72,3,FALSE))</f>
        <v/>
      </c>
      <c r="G79" s="373"/>
      <c r="H79" s="373"/>
      <c r="I79" s="373"/>
      <c r="J79" s="373"/>
      <c r="K79" s="373"/>
      <c r="L79" s="373"/>
      <c r="M79" s="373"/>
      <c r="N79" s="363"/>
      <c r="O79" s="205"/>
      <c r="P79" s="205"/>
    </row>
    <row r="80" spans="1:16" s="237" customFormat="1" ht="15" hidden="1" customHeight="1" outlineLevel="1" x14ac:dyDescent="0.25">
      <c r="A80" s="205"/>
      <c r="B80" s="369"/>
      <c r="C80" s="374"/>
      <c r="D80" s="370"/>
      <c r="E80" s="371"/>
      <c r="F80" s="372" t="str">
        <f>IF($D80="","",VLOOKUP(D80,'Fatores de Emissão'!$C$19:$E$72,3,FALSE))</f>
        <v/>
      </c>
      <c r="G80" s="373"/>
      <c r="H80" s="373"/>
      <c r="I80" s="373"/>
      <c r="J80" s="373"/>
      <c r="K80" s="373"/>
      <c r="L80" s="373"/>
      <c r="M80" s="373"/>
      <c r="N80" s="363"/>
      <c r="O80" s="205"/>
      <c r="P80" s="205"/>
    </row>
    <row r="81" spans="1:16" s="237" customFormat="1" ht="15" hidden="1" customHeight="1" outlineLevel="1" x14ac:dyDescent="0.25">
      <c r="A81" s="205"/>
      <c r="B81" s="369"/>
      <c r="C81" s="374"/>
      <c r="D81" s="370"/>
      <c r="E81" s="371"/>
      <c r="F81" s="372" t="str">
        <f>IF($D81="","",VLOOKUP(D81,'Fatores de Emissão'!$C$19:$E$72,3,FALSE))</f>
        <v/>
      </c>
      <c r="G81" s="373"/>
      <c r="H81" s="373"/>
      <c r="I81" s="373"/>
      <c r="J81" s="373"/>
      <c r="K81" s="373"/>
      <c r="L81" s="373"/>
      <c r="M81" s="373"/>
      <c r="N81" s="363"/>
      <c r="O81" s="205"/>
      <c r="P81" s="205"/>
    </row>
    <row r="82" spans="1:16" s="237" customFormat="1" ht="15" hidden="1" customHeight="1" outlineLevel="1" x14ac:dyDescent="0.25">
      <c r="A82" s="205"/>
      <c r="B82" s="369"/>
      <c r="C82" s="374"/>
      <c r="D82" s="370"/>
      <c r="E82" s="371"/>
      <c r="F82" s="372" t="str">
        <f>IF($D82="","",VLOOKUP(D82,'Fatores de Emissão'!$C$19:$E$72,3,FALSE))</f>
        <v/>
      </c>
      <c r="G82" s="373"/>
      <c r="H82" s="373"/>
      <c r="I82" s="373"/>
      <c r="J82" s="373"/>
      <c r="K82" s="373"/>
      <c r="L82" s="373"/>
      <c r="M82" s="373"/>
      <c r="N82" s="363"/>
      <c r="O82" s="205"/>
      <c r="P82" s="205"/>
    </row>
    <row r="83" spans="1:16" s="237" customFormat="1" ht="15" hidden="1" customHeight="1" outlineLevel="1" x14ac:dyDescent="0.25">
      <c r="A83" s="205"/>
      <c r="B83" s="369"/>
      <c r="C83" s="374"/>
      <c r="D83" s="370"/>
      <c r="E83" s="371"/>
      <c r="F83" s="372" t="str">
        <f>IF($D83="","",VLOOKUP(D83,'Fatores de Emissão'!$C$19:$E$72,3,FALSE))</f>
        <v/>
      </c>
      <c r="G83" s="373"/>
      <c r="H83" s="373"/>
      <c r="I83" s="373"/>
      <c r="J83" s="373"/>
      <c r="K83" s="373"/>
      <c r="L83" s="373"/>
      <c r="M83" s="373"/>
      <c r="N83" s="363"/>
      <c r="O83" s="205"/>
      <c r="P83" s="205"/>
    </row>
    <row r="84" spans="1:16" s="237" customFormat="1" ht="15" hidden="1" customHeight="1" outlineLevel="1" x14ac:dyDescent="0.25">
      <c r="A84" s="205"/>
      <c r="B84" s="369"/>
      <c r="C84" s="374"/>
      <c r="D84" s="370"/>
      <c r="E84" s="371"/>
      <c r="F84" s="372" t="str">
        <f>IF($D84="","",VLOOKUP(D84,'Fatores de Emissão'!$C$19:$E$72,3,FALSE))</f>
        <v/>
      </c>
      <c r="G84" s="373"/>
      <c r="H84" s="373"/>
      <c r="I84" s="373"/>
      <c r="J84" s="373"/>
      <c r="K84" s="373"/>
      <c r="L84" s="373"/>
      <c r="M84" s="373"/>
      <c r="N84" s="363"/>
      <c r="O84" s="205"/>
      <c r="P84" s="205"/>
    </row>
    <row r="85" spans="1:16" s="237" customFormat="1" ht="15" hidden="1" customHeight="1" outlineLevel="1" x14ac:dyDescent="0.25">
      <c r="A85" s="205"/>
      <c r="B85" s="369"/>
      <c r="C85" s="374"/>
      <c r="D85" s="370"/>
      <c r="E85" s="371"/>
      <c r="F85" s="372" t="str">
        <f>IF($D85="","",VLOOKUP(D85,'Fatores de Emissão'!$C$19:$E$72,3,FALSE))</f>
        <v/>
      </c>
      <c r="G85" s="373"/>
      <c r="H85" s="373"/>
      <c r="I85" s="373"/>
      <c r="J85" s="373"/>
      <c r="K85" s="373"/>
      <c r="L85" s="373"/>
      <c r="M85" s="373"/>
      <c r="N85" s="363"/>
      <c r="O85" s="205"/>
      <c r="P85" s="205"/>
    </row>
    <row r="86" spans="1:16" s="237" customFormat="1" ht="15" hidden="1" customHeight="1" outlineLevel="1" x14ac:dyDescent="0.25">
      <c r="A86" s="205"/>
      <c r="B86" s="369"/>
      <c r="C86" s="374"/>
      <c r="D86" s="370"/>
      <c r="E86" s="371"/>
      <c r="F86" s="372" t="str">
        <f>IF($D86="","",VLOOKUP(D86,'Fatores de Emissão'!$C$19:$E$72,3,FALSE))</f>
        <v/>
      </c>
      <c r="G86" s="373"/>
      <c r="H86" s="373"/>
      <c r="I86" s="373"/>
      <c r="J86" s="373"/>
      <c r="K86" s="373"/>
      <c r="L86" s="373"/>
      <c r="M86" s="373"/>
      <c r="N86" s="363"/>
      <c r="O86" s="205"/>
      <c r="P86" s="205"/>
    </row>
    <row r="87" spans="1:16" s="237" customFormat="1" ht="15" hidden="1" customHeight="1" outlineLevel="1" x14ac:dyDescent="0.25">
      <c r="A87" s="205"/>
      <c r="B87" s="369"/>
      <c r="C87" s="374"/>
      <c r="D87" s="370"/>
      <c r="E87" s="371"/>
      <c r="F87" s="372" t="str">
        <f>IF($D87="","",VLOOKUP(D87,'Fatores de Emissão'!$C$19:$E$72,3,FALSE))</f>
        <v/>
      </c>
      <c r="G87" s="373"/>
      <c r="H87" s="373"/>
      <c r="I87" s="373"/>
      <c r="J87" s="373"/>
      <c r="K87" s="373"/>
      <c r="L87" s="373"/>
      <c r="M87" s="373"/>
      <c r="N87" s="363"/>
      <c r="O87" s="205"/>
      <c r="P87" s="205"/>
    </row>
    <row r="88" spans="1:16" s="237" customFormat="1" ht="15" hidden="1" customHeight="1" outlineLevel="1" x14ac:dyDescent="0.25">
      <c r="A88" s="205"/>
      <c r="B88" s="369"/>
      <c r="C88" s="374"/>
      <c r="D88" s="370"/>
      <c r="E88" s="371"/>
      <c r="F88" s="372" t="str">
        <f>IF($D88="","",VLOOKUP(D88,'Fatores de Emissão'!$C$19:$E$72,3,FALSE))</f>
        <v/>
      </c>
      <c r="G88" s="373"/>
      <c r="H88" s="373"/>
      <c r="I88" s="373"/>
      <c r="J88" s="373"/>
      <c r="K88" s="373"/>
      <c r="L88" s="373"/>
      <c r="M88" s="373"/>
      <c r="N88" s="363"/>
      <c r="O88" s="205"/>
      <c r="P88" s="205"/>
    </row>
    <row r="89" spans="1:16" s="237" customFormat="1" ht="15" hidden="1" customHeight="1" outlineLevel="1" x14ac:dyDescent="0.25">
      <c r="A89" s="205"/>
      <c r="B89" s="369"/>
      <c r="C89" s="374"/>
      <c r="D89" s="370"/>
      <c r="E89" s="371"/>
      <c r="F89" s="372" t="str">
        <f>IF($D89="","",VLOOKUP(D89,'Fatores de Emissão'!$C$19:$E$72,3,FALSE))</f>
        <v/>
      </c>
      <c r="G89" s="373"/>
      <c r="H89" s="373"/>
      <c r="I89" s="373"/>
      <c r="J89" s="373"/>
      <c r="K89" s="373"/>
      <c r="L89" s="373"/>
      <c r="M89" s="373"/>
      <c r="N89" s="363"/>
      <c r="O89" s="205"/>
      <c r="P89" s="205"/>
    </row>
    <row r="90" spans="1:16" s="237" customFormat="1" ht="15" hidden="1" customHeight="1" outlineLevel="1" x14ac:dyDescent="0.25">
      <c r="A90" s="205"/>
      <c r="B90" s="369"/>
      <c r="C90" s="374"/>
      <c r="D90" s="370"/>
      <c r="E90" s="371"/>
      <c r="F90" s="372" t="str">
        <f>IF($D90="","",VLOOKUP(D90,'Fatores de Emissão'!$C$19:$E$72,3,FALSE))</f>
        <v/>
      </c>
      <c r="G90" s="373"/>
      <c r="H90" s="373"/>
      <c r="I90" s="373"/>
      <c r="J90" s="373"/>
      <c r="K90" s="373"/>
      <c r="L90" s="373"/>
      <c r="M90" s="373"/>
      <c r="N90" s="363"/>
      <c r="O90" s="205"/>
      <c r="P90" s="205"/>
    </row>
    <row r="91" spans="1:16" s="237" customFormat="1" ht="15" customHeight="1" collapsed="1" x14ac:dyDescent="0.25">
      <c r="A91" s="205"/>
      <c r="B91" s="205"/>
      <c r="C91" s="203"/>
      <c r="D91" s="375"/>
      <c r="E91" s="205"/>
      <c r="F91" s="205"/>
      <c r="G91" s="312"/>
      <c r="H91" s="205"/>
      <c r="I91" s="312"/>
      <c r="J91" s="312"/>
      <c r="K91" s="312"/>
      <c r="L91" s="312"/>
      <c r="M91" s="312"/>
      <c r="N91" s="205"/>
      <c r="O91" s="205"/>
      <c r="P91" s="205"/>
    </row>
    <row r="92" spans="1:16" s="237" customFormat="1" ht="15" customHeight="1" x14ac:dyDescent="0.25">
      <c r="A92" s="205"/>
      <c r="B92" s="205"/>
      <c r="C92" s="203"/>
      <c r="D92" s="375"/>
      <c r="E92" s="205"/>
      <c r="F92" s="205"/>
      <c r="G92" s="312"/>
      <c r="H92" s="205"/>
      <c r="I92" s="312"/>
      <c r="J92" s="312"/>
      <c r="K92" s="312"/>
      <c r="L92" s="312"/>
      <c r="M92" s="312"/>
      <c r="N92" s="205"/>
    </row>
    <row r="93" spans="1:16" s="237" customFormat="1" ht="15" customHeight="1" x14ac:dyDescent="0.25">
      <c r="A93" s="205"/>
      <c r="B93" s="217" t="s">
        <v>434</v>
      </c>
      <c r="C93" s="203"/>
      <c r="D93" s="375"/>
      <c r="E93" s="205"/>
      <c r="F93" s="205"/>
      <c r="G93" s="312"/>
      <c r="H93" s="205"/>
      <c r="I93" s="312"/>
      <c r="J93" s="312"/>
      <c r="K93" s="312"/>
      <c r="L93" s="312"/>
      <c r="M93" s="312"/>
      <c r="N93" s="205"/>
    </row>
    <row r="94" spans="1:16" s="237" customFormat="1" ht="15" customHeight="1" x14ac:dyDescent="0.25">
      <c r="A94" s="205"/>
      <c r="B94" s="1243" t="s">
        <v>18</v>
      </c>
      <c r="C94" s="1243" t="s">
        <v>255</v>
      </c>
      <c r="D94" s="1243" t="s">
        <v>15</v>
      </c>
      <c r="E94" s="1243" t="s">
        <v>143</v>
      </c>
      <c r="F94" s="1257" t="s">
        <v>262</v>
      </c>
      <c r="G94" s="1258"/>
      <c r="H94" s="1259"/>
      <c r="I94" s="1243" t="s">
        <v>1400</v>
      </c>
      <c r="J94" s="1243" t="s">
        <v>1401</v>
      </c>
      <c r="K94" s="1243" t="s">
        <v>1402</v>
      </c>
      <c r="L94" s="1243" t="s">
        <v>1403</v>
      </c>
      <c r="M94" s="312"/>
      <c r="N94" s="1246" t="s">
        <v>2192</v>
      </c>
      <c r="O94" s="1246"/>
      <c r="P94" s="1175" t="s">
        <v>2193</v>
      </c>
    </row>
    <row r="95" spans="1:16" s="237" customFormat="1" ht="15" customHeight="1" x14ac:dyDescent="0.25">
      <c r="A95" s="205"/>
      <c r="B95" s="1243"/>
      <c r="C95" s="1243"/>
      <c r="D95" s="1243"/>
      <c r="E95" s="1243"/>
      <c r="F95" s="1260" t="str">
        <f>IF(D35=0,"Selecione o setor",IF(D35=Listas!D2,"Selecione o setor no Passo 1",""))</f>
        <v/>
      </c>
      <c r="G95" s="1261"/>
      <c r="H95" s="1262"/>
      <c r="I95" s="1243"/>
      <c r="J95" s="1243"/>
      <c r="K95" s="1243"/>
      <c r="L95" s="1243"/>
      <c r="M95" s="312"/>
      <c r="N95" s="1242" t="s">
        <v>2194</v>
      </c>
      <c r="O95" s="1242" t="s">
        <v>143</v>
      </c>
      <c r="P95" s="1242" t="s">
        <v>115</v>
      </c>
    </row>
    <row r="96" spans="1:16" s="237" customFormat="1" ht="15" customHeight="1" x14ac:dyDescent="0.25">
      <c r="A96" s="205"/>
      <c r="B96" s="1243"/>
      <c r="C96" s="1243"/>
      <c r="D96" s="1243"/>
      <c r="E96" s="1243"/>
      <c r="F96" s="376" t="s">
        <v>1404</v>
      </c>
      <c r="G96" s="376" t="s">
        <v>1405</v>
      </c>
      <c r="H96" s="377" t="s">
        <v>1406</v>
      </c>
      <c r="I96" s="378" t="s">
        <v>115</v>
      </c>
      <c r="J96" s="379" t="s">
        <v>115</v>
      </c>
      <c r="K96" s="380" t="s">
        <v>115</v>
      </c>
      <c r="L96" s="379" t="s">
        <v>115</v>
      </c>
      <c r="M96" s="312"/>
      <c r="N96" s="1242"/>
      <c r="O96" s="1242"/>
      <c r="P96" s="1242"/>
    </row>
    <row r="97" spans="1:16" s="237" customFormat="1" ht="15" customHeight="1" x14ac:dyDescent="0.25">
      <c r="A97" s="205"/>
      <c r="B97" s="381">
        <f>'Fatores de Emissão'!B19</f>
        <v>1</v>
      </c>
      <c r="C97" s="381" t="str">
        <f>'Fatores de Emissão'!C19</f>
        <v>Antracite</v>
      </c>
      <c r="D97" s="383">
        <f>SUMIF($D$48:$D$90,$C97,$E$48:$E$90)</f>
        <v>0</v>
      </c>
      <c r="E97" s="382" t="str">
        <f>'Fatores de Emissão'!E19</f>
        <v>Toneladas</v>
      </c>
      <c r="F97" s="1095">
        <f>'Fatores de Emissão'!L19*1000</f>
        <v>2624.61</v>
      </c>
      <c r="G97" s="1097">
        <f>HLOOKUP($D$35,'Fatores de Emissão'!$M$18:$Q$55,$B97+1,FALSE)*1000</f>
        <v>2.6699999999999998E-2</v>
      </c>
      <c r="H97" s="1097">
        <f>HLOOKUP($D$35,'Fatores de Emissão'!$S$18:$V$55,$B97+1,FALSE)*1000</f>
        <v>4.0049999999999995E-2</v>
      </c>
      <c r="I97" s="384">
        <f>IF(ISERROR($D97*F97),"",$D97*F97)</f>
        <v>0</v>
      </c>
      <c r="J97" s="384">
        <f t="shared" ref="J97:K112" si="0">IF(ISERROR($D97*G97),0,$D97*G97)</f>
        <v>0</v>
      </c>
      <c r="K97" s="384">
        <f t="shared" si="0"/>
        <v>0</v>
      </c>
      <c r="L97" s="384">
        <f t="shared" ref="L97:L133" si="1">IF(ISERROR(I97+J97*gwp_CH4+K97*gwp_N2O),"",I97+J97*gwp_CH4+K97*gwp_N2O)</f>
        <v>0</v>
      </c>
      <c r="M97" s="314"/>
      <c r="N97" s="1176" t="str">
        <f>IF(VLOOKUP($C97,'Fatores de Emissão'!$C$19:$Y$55,22,FALSE)="","",VLOOKUP($C97,'Fatores de Emissão'!$C$19:$Y$55,22,FALSE))</f>
        <v/>
      </c>
      <c r="O97" s="1177" t="str">
        <f>IF(VLOOKUP($C97,'Fatores de Emissão'!$C$19:$Y$55,22,FALSE)="","",VLOOKUP($C97,'Fatores de Emissão'!$C$19:$Y$55,23,FALSE))</f>
        <v/>
      </c>
      <c r="P97" s="1177"/>
    </row>
    <row r="98" spans="1:16" s="237" customFormat="1" ht="15" customHeight="1" x14ac:dyDescent="0.25">
      <c r="A98" s="205"/>
      <c r="B98" s="381">
        <f>'Fatores de Emissão'!B20</f>
        <v>2</v>
      </c>
      <c r="C98" s="381" t="str">
        <f>'Fatores de Emissão'!C20</f>
        <v>Alcatrão</v>
      </c>
      <c r="D98" s="383">
        <f t="shared" ref="D98:D133" si="2">SUMIF($D$48:$D$90,$C98,$E$48:$E$90)</f>
        <v>0</v>
      </c>
      <c r="E98" s="382" t="str">
        <f>'Fatores de Emissão'!E20</f>
        <v>Toneladas</v>
      </c>
      <c r="F98" s="1095">
        <f>'Fatores de Emissão'!L20*1000</f>
        <v>2259.6</v>
      </c>
      <c r="G98" s="1097">
        <f>HLOOKUP($D$35,'Fatores de Emissão'!$M$18:$Q$55,$B98+1,FALSE)*1000</f>
        <v>2.8000000000000001E-2</v>
      </c>
      <c r="H98" s="1097">
        <f>HLOOKUP($D$35,'Fatores de Emissão'!$S$18:$V$55,$B98+1,FALSE)*1000</f>
        <v>4.1999999999999996E-2</v>
      </c>
      <c r="I98" s="384">
        <f t="shared" ref="I98:I133" si="3">IF(ISERROR($D98*F98),"",$D98*F98)</f>
        <v>0</v>
      </c>
      <c r="J98" s="384">
        <f t="shared" si="0"/>
        <v>0</v>
      </c>
      <c r="K98" s="384">
        <f t="shared" si="0"/>
        <v>0</v>
      </c>
      <c r="L98" s="384">
        <f t="shared" si="1"/>
        <v>0</v>
      </c>
      <c r="M98" s="314"/>
      <c r="N98" s="1176" t="str">
        <f>IF(VLOOKUP($C98,'Fatores de Emissão'!$C$19:$Y$55,22,FALSE)="","",VLOOKUP($C98,'Fatores de Emissão'!$C$19:$Y$55,22,FALSE))</f>
        <v/>
      </c>
      <c r="O98" s="1177" t="str">
        <f>IF(VLOOKUP($C98,'Fatores de Emissão'!$C$19:$Y$55,22,FALSE)="","",VLOOKUP($C98,'Fatores de Emissão'!$C$19:$Y$55,23,FALSE))</f>
        <v/>
      </c>
      <c r="P98" s="1177"/>
    </row>
    <row r="99" spans="1:16" s="237" customFormat="1" ht="15" customHeight="1" x14ac:dyDescent="0.25">
      <c r="A99" s="205"/>
      <c r="B99" s="381">
        <f>'Fatores de Emissão'!B21</f>
        <v>3</v>
      </c>
      <c r="C99" s="381" t="str">
        <f>'Fatores de Emissão'!C21</f>
        <v>Betume</v>
      </c>
      <c r="D99" s="383">
        <f t="shared" si="2"/>
        <v>0</v>
      </c>
      <c r="E99" s="382" t="str">
        <f>'Fatores de Emissão'!E21</f>
        <v>Toneladas</v>
      </c>
      <c r="F99" s="1095">
        <f>'Fatores de Emissão'!L21*1000</f>
        <v>3244.14</v>
      </c>
      <c r="G99" s="1097">
        <f>HLOOKUP($D$35,'Fatores de Emissão'!$M$18:$Q$55,$B99+1,FALSE)*1000</f>
        <v>0.1206</v>
      </c>
      <c r="H99" s="1097">
        <f>HLOOKUP($D$35,'Fatores de Emissão'!$S$18:$V$55,$B99+1,FALSE)*1000</f>
        <v>2.4119999999999999E-2</v>
      </c>
      <c r="I99" s="384">
        <f t="shared" si="3"/>
        <v>0</v>
      </c>
      <c r="J99" s="384">
        <f t="shared" si="0"/>
        <v>0</v>
      </c>
      <c r="K99" s="384">
        <f t="shared" si="0"/>
        <v>0</v>
      </c>
      <c r="L99" s="384">
        <f t="shared" si="1"/>
        <v>0</v>
      </c>
      <c r="M99" s="314"/>
      <c r="N99" s="1176" t="str">
        <f>IF(VLOOKUP($C99,'Fatores de Emissão'!$C$19:$Y$55,22,FALSE)="","",VLOOKUP($C99,'Fatores de Emissão'!$C$19:$Y$55,22,FALSE))</f>
        <v/>
      </c>
      <c r="O99" s="1177" t="str">
        <f>IF(VLOOKUP($C99,'Fatores de Emissão'!$C$19:$Y$55,22,FALSE)="","",VLOOKUP($C99,'Fatores de Emissão'!$C$19:$Y$55,23,FALSE))</f>
        <v/>
      </c>
      <c r="P99" s="1177"/>
    </row>
    <row r="100" spans="1:16" s="237" customFormat="1" ht="15" customHeight="1" x14ac:dyDescent="0.25">
      <c r="A100" s="205"/>
      <c r="B100" s="381">
        <f>'Fatores de Emissão'!B22</f>
        <v>4</v>
      </c>
      <c r="C100" s="381" t="str">
        <f>'Fatores de Emissão'!C22</f>
        <v>Briquetes de Lignite Castanha</v>
      </c>
      <c r="D100" s="383">
        <f t="shared" si="2"/>
        <v>0</v>
      </c>
      <c r="E100" s="382" t="str">
        <f>'Fatores de Emissão'!E22</f>
        <v>Toneladas</v>
      </c>
      <c r="F100" s="1095">
        <f>'Fatores de Emissão'!L22*1000</f>
        <v>2018.25</v>
      </c>
      <c r="G100" s="1097">
        <f>HLOOKUP($D$35,'Fatores de Emissão'!$M$18:$Q$55,$B100+1,FALSE)*1000</f>
        <v>2.07E-2</v>
      </c>
      <c r="H100" s="1097">
        <f>HLOOKUP($D$35,'Fatores de Emissão'!$S$18:$V$55,$B100+1,FALSE)*1000</f>
        <v>3.1049999999999994E-2</v>
      </c>
      <c r="I100" s="384">
        <f t="shared" si="3"/>
        <v>0</v>
      </c>
      <c r="J100" s="384">
        <f t="shared" si="0"/>
        <v>0</v>
      </c>
      <c r="K100" s="384">
        <f t="shared" si="0"/>
        <v>0</v>
      </c>
      <c r="L100" s="384">
        <f t="shared" si="1"/>
        <v>0</v>
      </c>
      <c r="M100" s="314"/>
      <c r="N100" s="1176" t="str">
        <f>IF(VLOOKUP($C100,'Fatores de Emissão'!$C$19:$Y$55,22,FALSE)="","",VLOOKUP($C100,'Fatores de Emissão'!$C$19:$Y$55,22,FALSE))</f>
        <v/>
      </c>
      <c r="O100" s="1177" t="str">
        <f>IF(VLOOKUP($C100,'Fatores de Emissão'!$C$19:$Y$55,22,FALSE)="","",VLOOKUP($C100,'Fatores de Emissão'!$C$19:$Y$55,23,FALSE))</f>
        <v/>
      </c>
      <c r="P100" s="1177"/>
    </row>
    <row r="101" spans="1:16" s="237" customFormat="1" ht="15" customHeight="1" x14ac:dyDescent="0.25">
      <c r="A101" s="205"/>
      <c r="B101" s="381">
        <f>'Fatores de Emissão'!B23</f>
        <v>5</v>
      </c>
      <c r="C101" s="381" t="str">
        <f>'Fatores de Emissão'!C23</f>
        <v>Carvão Sub-betuminoso</v>
      </c>
      <c r="D101" s="383">
        <f t="shared" si="2"/>
        <v>0</v>
      </c>
      <c r="E101" s="382" t="str">
        <f>'Fatores de Emissão'!E23</f>
        <v>Toneladas</v>
      </c>
      <c r="F101" s="1095">
        <f>'Fatores de Emissão'!L23*1000</f>
        <v>1816.2899999999997</v>
      </c>
      <c r="G101" s="1097">
        <f>HLOOKUP($D$35,'Fatores de Emissão'!$M$18:$Q$55,$B101+1,FALSE)*1000</f>
        <v>1.89E-2</v>
      </c>
      <c r="H101" s="1097">
        <f>HLOOKUP($D$35,'Fatores de Emissão'!$S$18:$V$55,$B101+1,FALSE)*1000</f>
        <v>2.8349999999999997E-2</v>
      </c>
      <c r="I101" s="384">
        <f t="shared" si="3"/>
        <v>0</v>
      </c>
      <c r="J101" s="384">
        <f t="shared" si="0"/>
        <v>0</v>
      </c>
      <c r="K101" s="384">
        <f t="shared" si="0"/>
        <v>0</v>
      </c>
      <c r="L101" s="384">
        <f t="shared" si="1"/>
        <v>0</v>
      </c>
      <c r="M101" s="314"/>
      <c r="N101" s="1176" t="str">
        <f>IF(VLOOKUP($C101,'Fatores de Emissão'!$C$19:$Y$55,22,FALSE)="","",VLOOKUP($C101,'Fatores de Emissão'!$C$19:$Y$55,22,FALSE))</f>
        <v/>
      </c>
      <c r="O101" s="1177" t="str">
        <f>IF(VLOOKUP($C101,'Fatores de Emissão'!$C$19:$Y$55,22,FALSE)="","",VLOOKUP($C101,'Fatores de Emissão'!$C$19:$Y$55,23,FALSE))</f>
        <v/>
      </c>
      <c r="P101" s="1177"/>
    </row>
    <row r="102" spans="1:16" s="237" customFormat="1" ht="15" customHeight="1" x14ac:dyDescent="0.25">
      <c r="A102" s="205"/>
      <c r="B102" s="381">
        <f>'Fatores de Emissão'!B24</f>
        <v>6</v>
      </c>
      <c r="C102" s="381" t="str">
        <f>'Fatores de Emissão'!C24</f>
        <v>Ceras Parafínicas e Outros Produtos Petrolíferos</v>
      </c>
      <c r="D102" s="383">
        <f t="shared" si="2"/>
        <v>0</v>
      </c>
      <c r="E102" s="382" t="str">
        <f>'Fatores de Emissão'!E24</f>
        <v>Toneladas</v>
      </c>
      <c r="F102" s="1095">
        <f>'Fatores de Emissão'!L24*1000</f>
        <v>2946.66</v>
      </c>
      <c r="G102" s="1097">
        <f>HLOOKUP($D$35,'Fatores de Emissão'!$M$18:$Q$55,$B102+1,FALSE)*1000</f>
        <v>0.1206</v>
      </c>
      <c r="H102" s="1097">
        <f>HLOOKUP($D$35,'Fatores de Emissão'!$S$18:$V$55,$B102+1,FALSE)*1000</f>
        <v>2.4119999999999999E-2</v>
      </c>
      <c r="I102" s="384">
        <f t="shared" si="3"/>
        <v>0</v>
      </c>
      <c r="J102" s="384">
        <f t="shared" si="0"/>
        <v>0</v>
      </c>
      <c r="K102" s="384">
        <f t="shared" si="0"/>
        <v>0</v>
      </c>
      <c r="L102" s="384">
        <f t="shared" si="1"/>
        <v>0</v>
      </c>
      <c r="M102" s="314"/>
      <c r="N102" s="1176" t="str">
        <f>IF(VLOOKUP($C102,'Fatores de Emissão'!$C$19:$Y$55,22,FALSE)="","",VLOOKUP($C102,'Fatores de Emissão'!$C$19:$Y$55,22,FALSE))</f>
        <v/>
      </c>
      <c r="O102" s="1177" t="str">
        <f>IF(VLOOKUP($C102,'Fatores de Emissão'!$C$19:$Y$55,22,FALSE)="","",VLOOKUP($C102,'Fatores de Emissão'!$C$19:$Y$55,23,FALSE))</f>
        <v/>
      </c>
      <c r="P102" s="1177"/>
    </row>
    <row r="103" spans="1:16" s="237" customFormat="1" ht="15" customHeight="1" x14ac:dyDescent="0.25">
      <c r="A103" s="205"/>
      <c r="B103" s="381">
        <f>'Fatores de Emissão'!B25</f>
        <v>7</v>
      </c>
      <c r="C103" s="381" t="str">
        <f>'Fatores de Emissão'!C25</f>
        <v>Combustível para Motor (Gasolina)</v>
      </c>
      <c r="D103" s="383">
        <f t="shared" si="2"/>
        <v>0</v>
      </c>
      <c r="E103" s="382" t="str">
        <f>'Fatores de Emissão'!E25</f>
        <v>Litros</v>
      </c>
      <c r="F103" s="1095">
        <f>'Fatores de Emissão'!L25*1000</f>
        <v>2.2717925999999995</v>
      </c>
      <c r="G103" s="1097">
        <f>HLOOKUP($D$35,'Fatores de Emissão'!$M$18:$Q$55,$B103+1,FALSE)*1000</f>
        <v>9.8345999999999983E-5</v>
      </c>
      <c r="H103" s="1097">
        <f>HLOOKUP($D$35,'Fatores de Emissão'!$S$18:$V$55,$B103+1,FALSE)*1000</f>
        <v>1.9669199999999998E-5</v>
      </c>
      <c r="I103" s="384">
        <f t="shared" si="3"/>
        <v>0</v>
      </c>
      <c r="J103" s="384">
        <f t="shared" si="0"/>
        <v>0</v>
      </c>
      <c r="K103" s="384">
        <f t="shared" si="0"/>
        <v>0</v>
      </c>
      <c r="L103" s="384">
        <f t="shared" si="1"/>
        <v>0</v>
      </c>
      <c r="M103" s="314"/>
      <c r="N103" s="1176">
        <f>IF(VLOOKUP($C103,'Fatores de Emissão'!$C$19:$Y$55,22,FALSE)="","",VLOOKUP($C103,'Fatores de Emissão'!$C$19:$Y$55,22,FALSE))</f>
        <v>1.7831841740713317E-4</v>
      </c>
      <c r="O103" s="1177" t="str">
        <f>IF(VLOOKUP($C103,'Fatores de Emissão'!$C$19:$Y$55,22,FALSE)="","",VLOOKUP($C103,'Fatores de Emissão'!$C$19:$Y$55,23,FALSE))</f>
        <v>t CO2/ litro combustível</v>
      </c>
      <c r="P103" s="1178">
        <f>N103*D103*1000</f>
        <v>0</v>
      </c>
    </row>
    <row r="104" spans="1:16" s="237" customFormat="1" ht="15" customHeight="1" x14ac:dyDescent="0.25">
      <c r="A104" s="205"/>
      <c r="B104" s="381">
        <f>'Fatores de Emissão'!B26</f>
        <v>8</v>
      </c>
      <c r="C104" s="381" t="str">
        <f>'Fatores de Emissão'!C26</f>
        <v>Coque de Carvão</v>
      </c>
      <c r="D104" s="383">
        <f t="shared" si="2"/>
        <v>0</v>
      </c>
      <c r="E104" s="382" t="str">
        <f>'Fatores de Emissão'!E26</f>
        <v>Toneladas</v>
      </c>
      <c r="F104" s="1095">
        <f>'Fatores de Emissão'!L26*1000</f>
        <v>2667.7200000000003</v>
      </c>
      <c r="G104" s="1097">
        <f>HLOOKUP($D$35,'Fatores de Emissão'!$M$18:$Q$55,$B104+1,FALSE)*1000</f>
        <v>2.8199999999999999E-2</v>
      </c>
      <c r="H104" s="1097">
        <f>HLOOKUP($D$35,'Fatores de Emissão'!$S$18:$V$55,$B104+1,FALSE)*1000</f>
        <v>4.2299999999999997E-2</v>
      </c>
      <c r="I104" s="384">
        <f t="shared" si="3"/>
        <v>0</v>
      </c>
      <c r="J104" s="384">
        <f t="shared" si="0"/>
        <v>0</v>
      </c>
      <c r="K104" s="384">
        <f t="shared" si="0"/>
        <v>0</v>
      </c>
      <c r="L104" s="384">
        <f t="shared" si="1"/>
        <v>0</v>
      </c>
      <c r="M104" s="314"/>
      <c r="N104" s="1176" t="str">
        <f>IF(VLOOKUP($C104,'Fatores de Emissão'!$C$19:$Y$55,22,FALSE)="","",VLOOKUP($C104,'Fatores de Emissão'!$C$19:$Y$55,22,FALSE))</f>
        <v/>
      </c>
      <c r="O104" s="1177" t="str">
        <f>IF(VLOOKUP($C104,'Fatores de Emissão'!$C$19:$Y$55,22,FALSE)="","",VLOOKUP($C104,'Fatores de Emissão'!$C$19:$Y$55,23,FALSE))</f>
        <v/>
      </c>
      <c r="P104" s="1178"/>
    </row>
    <row r="105" spans="1:16" s="237" customFormat="1" ht="15" customHeight="1" x14ac:dyDescent="0.25">
      <c r="A105" s="205"/>
      <c r="B105" s="381">
        <f>'Fatores de Emissão'!B27</f>
        <v>9</v>
      </c>
      <c r="C105" s="381" t="str">
        <f>'Fatores de Emissão'!C27</f>
        <v>Coque de Forno ou Lignite</v>
      </c>
      <c r="D105" s="383">
        <f t="shared" si="2"/>
        <v>0</v>
      </c>
      <c r="E105" s="382" t="str">
        <f>'Fatores de Emissão'!E27</f>
        <v>Toneladas</v>
      </c>
      <c r="F105" s="1095">
        <f>'Fatores de Emissão'!L27*1000</f>
        <v>3017.3999999999996</v>
      </c>
      <c r="G105" s="1097">
        <f>HLOOKUP($D$35,'Fatores de Emissão'!$M$18:$Q$55,$B105+1,FALSE)*1000</f>
        <v>2.8199999999999999E-2</v>
      </c>
      <c r="H105" s="1097">
        <f>HLOOKUP($D$35,'Fatores de Emissão'!$S$18:$V$55,$B105+1,FALSE)*1000</f>
        <v>4.2299999999999997E-2</v>
      </c>
      <c r="I105" s="384">
        <f t="shared" si="3"/>
        <v>0</v>
      </c>
      <c r="J105" s="384">
        <f t="shared" si="0"/>
        <v>0</v>
      </c>
      <c r="K105" s="384">
        <f t="shared" si="0"/>
        <v>0</v>
      </c>
      <c r="L105" s="384">
        <f t="shared" si="1"/>
        <v>0</v>
      </c>
      <c r="M105" s="314"/>
      <c r="N105" s="1176" t="str">
        <f>IF(VLOOKUP($C105,'Fatores de Emissão'!$C$19:$Y$55,22,FALSE)="","",VLOOKUP($C105,'Fatores de Emissão'!$C$19:$Y$55,22,FALSE))</f>
        <v/>
      </c>
      <c r="O105" s="1177" t="str">
        <f>IF(VLOOKUP($C105,'Fatores de Emissão'!$C$19:$Y$55,22,FALSE)="","",VLOOKUP($C105,'Fatores de Emissão'!$C$19:$Y$55,23,FALSE))</f>
        <v/>
      </c>
      <c r="P105" s="1178"/>
    </row>
    <row r="106" spans="1:16" s="237" customFormat="1" ht="15" customHeight="1" x14ac:dyDescent="0.25">
      <c r="A106" s="205"/>
      <c r="B106" s="381">
        <f>'Fatores de Emissão'!B28</f>
        <v>10</v>
      </c>
      <c r="C106" s="381" t="str">
        <f>'Fatores de Emissão'!C28</f>
        <v>Coque de Petróleo</v>
      </c>
      <c r="D106" s="383">
        <f t="shared" si="2"/>
        <v>0</v>
      </c>
      <c r="E106" s="382" t="str">
        <f>'Fatores de Emissão'!E28</f>
        <v>Toneladas</v>
      </c>
      <c r="F106" s="1095">
        <f>'Fatores de Emissão'!L28*1000</f>
        <v>3168.7499999999995</v>
      </c>
      <c r="G106" s="1097">
        <f>HLOOKUP($D$35,'Fatores de Emissão'!$M$18:$Q$55,$B106+1,FALSE)*1000</f>
        <v>9.7500000000000003E-2</v>
      </c>
      <c r="H106" s="1097">
        <f>HLOOKUP($D$35,'Fatores de Emissão'!$S$18:$V$55,$B106+1,FALSE)*1000</f>
        <v>1.95E-2</v>
      </c>
      <c r="I106" s="384">
        <f t="shared" si="3"/>
        <v>0</v>
      </c>
      <c r="J106" s="384">
        <f t="shared" si="0"/>
        <v>0</v>
      </c>
      <c r="K106" s="384">
        <f t="shared" si="0"/>
        <v>0</v>
      </c>
      <c r="L106" s="384">
        <f t="shared" si="1"/>
        <v>0</v>
      </c>
      <c r="M106" s="314"/>
      <c r="N106" s="1176" t="str">
        <f>IF(VLOOKUP($C106,'Fatores de Emissão'!$C$19:$Y$55,22,FALSE)="","",VLOOKUP($C106,'Fatores de Emissão'!$C$19:$Y$55,22,FALSE))</f>
        <v/>
      </c>
      <c r="O106" s="1177" t="str">
        <f>IF(VLOOKUP($C106,'Fatores de Emissão'!$C$19:$Y$55,22,FALSE)="","",VLOOKUP($C106,'Fatores de Emissão'!$C$19:$Y$55,23,FALSE))</f>
        <v/>
      </c>
      <c r="P106" s="1178"/>
    </row>
    <row r="107" spans="1:16" s="237" customFormat="1" ht="15" customHeight="1" x14ac:dyDescent="0.25">
      <c r="A107" s="205"/>
      <c r="B107" s="381">
        <f>'Fatores de Emissão'!B29</f>
        <v>11</v>
      </c>
      <c r="C107" s="381" t="str">
        <f>'Fatores de Emissão'!C29</f>
        <v>Etano</v>
      </c>
      <c r="D107" s="383">
        <f t="shared" si="2"/>
        <v>0</v>
      </c>
      <c r="E107" s="382" t="str">
        <f>'Fatores de Emissão'!E29</f>
        <v>m³</v>
      </c>
      <c r="F107" s="1095">
        <f>'Fatores de Emissão'!L29*1000</f>
        <v>3.7157120000000003</v>
      </c>
      <c r="G107" s="1097">
        <f>HLOOKUP($D$35,'Fatores de Emissão'!$M$18:$Q$55,$B107+1,FALSE)*1000</f>
        <v>6.0319999999999998E-5</v>
      </c>
      <c r="H107" s="1097">
        <f>HLOOKUP($D$35,'Fatores de Emissão'!$S$18:$V$55,$B107+1,FALSE)*1000</f>
        <v>6.032E-6</v>
      </c>
      <c r="I107" s="384">
        <f t="shared" si="3"/>
        <v>0</v>
      </c>
      <c r="J107" s="384">
        <f t="shared" si="0"/>
        <v>0</v>
      </c>
      <c r="K107" s="384">
        <f t="shared" si="0"/>
        <v>0</v>
      </c>
      <c r="L107" s="384">
        <f t="shared" si="1"/>
        <v>0</v>
      </c>
      <c r="M107" s="314"/>
      <c r="N107" s="1176" t="str">
        <f>IF(VLOOKUP($C107,'Fatores de Emissão'!$C$19:$Y$55,22,FALSE)="","",VLOOKUP($C107,'Fatores de Emissão'!$C$19:$Y$55,22,FALSE))</f>
        <v/>
      </c>
      <c r="O107" s="1177" t="str">
        <f>IF(VLOOKUP($C107,'Fatores de Emissão'!$C$19:$Y$55,22,FALSE)="","",VLOOKUP($C107,'Fatores de Emissão'!$C$19:$Y$55,23,FALSE))</f>
        <v/>
      </c>
      <c r="P107" s="1178"/>
    </row>
    <row r="108" spans="1:16" s="237" customFormat="1" ht="15" customHeight="1" x14ac:dyDescent="0.25">
      <c r="A108" s="205"/>
      <c r="B108" s="381">
        <f>'Fatores de Emissão'!B30</f>
        <v>12</v>
      </c>
      <c r="C108" s="381" t="str">
        <f>'Fatores de Emissão'!C30</f>
        <v>Fuelóleo Pesado</v>
      </c>
      <c r="D108" s="383">
        <f t="shared" si="2"/>
        <v>0</v>
      </c>
      <c r="E108" s="382" t="str">
        <f>'Fatores de Emissão'!E30</f>
        <v>Litros</v>
      </c>
      <c r="F108" s="1095">
        <f>'Fatores de Emissão'!L30*1000</f>
        <v>2.9393423999999992</v>
      </c>
      <c r="G108" s="1097">
        <f>HLOOKUP($D$35,'Fatores de Emissão'!$M$18:$Q$55,$B108+1,FALSE)*1000</f>
        <v>1.13928E-4</v>
      </c>
      <c r="H108" s="1097">
        <f>HLOOKUP($D$35,'Fatores de Emissão'!$S$18:$V$55,$B108+1,FALSE)*1000</f>
        <v>2.2785599999999994E-5</v>
      </c>
      <c r="I108" s="384">
        <f t="shared" si="3"/>
        <v>0</v>
      </c>
      <c r="J108" s="384">
        <f t="shared" si="0"/>
        <v>0</v>
      </c>
      <c r="K108" s="384">
        <f t="shared" si="0"/>
        <v>0</v>
      </c>
      <c r="L108" s="384">
        <f t="shared" si="1"/>
        <v>0</v>
      </c>
      <c r="M108" s="314"/>
      <c r="N108" s="1176" t="str">
        <f>IF(VLOOKUP($C108,'Fatores de Emissão'!$C$19:$Y$55,22,FALSE)="","",VLOOKUP($C108,'Fatores de Emissão'!$C$19:$Y$55,22,FALSE))</f>
        <v/>
      </c>
      <c r="O108" s="1177" t="str">
        <f>IF(VLOOKUP($C108,'Fatores de Emissão'!$C$19:$Y$55,22,FALSE)="","",VLOOKUP($C108,'Fatores de Emissão'!$C$19:$Y$55,23,FALSE))</f>
        <v/>
      </c>
      <c r="P108" s="1178"/>
    </row>
    <row r="109" spans="1:16" s="237" customFormat="1" ht="15" customHeight="1" x14ac:dyDescent="0.25">
      <c r="A109" s="205"/>
      <c r="B109" s="381">
        <f>'Fatores de Emissão'!B31</f>
        <v>13</v>
      </c>
      <c r="C109" s="381" t="str">
        <f>'Fatores de Emissão'!C31</f>
        <v>Gás de Alto Forno</v>
      </c>
      <c r="D109" s="383">
        <f t="shared" si="2"/>
        <v>0</v>
      </c>
      <c r="E109" s="382" t="str">
        <f>'Fatores de Emissão'!E31</f>
        <v>Toneladas</v>
      </c>
      <c r="F109" s="1095">
        <f>'Fatores de Emissão'!L31*1000</f>
        <v>642.20000000000005</v>
      </c>
      <c r="G109" s="1097">
        <f>HLOOKUP($D$35,'Fatores de Emissão'!$M$18:$Q$55,$B109+1,FALSE)*1000</f>
        <v>2.47E-3</v>
      </c>
      <c r="H109" s="1097">
        <f>HLOOKUP($D$35,'Fatores de Emissão'!$S$18:$V$55,$B109+1,FALSE)*1000</f>
        <v>2.4700000000000004E-4</v>
      </c>
      <c r="I109" s="384">
        <f t="shared" si="3"/>
        <v>0</v>
      </c>
      <c r="J109" s="384">
        <f t="shared" si="0"/>
        <v>0</v>
      </c>
      <c r="K109" s="384">
        <f t="shared" si="0"/>
        <v>0</v>
      </c>
      <c r="L109" s="384">
        <f t="shared" si="1"/>
        <v>0</v>
      </c>
      <c r="M109" s="314"/>
      <c r="N109" s="1176" t="str">
        <f>IF(VLOOKUP($C109,'Fatores de Emissão'!$C$19:$Y$55,22,FALSE)="","",VLOOKUP($C109,'Fatores de Emissão'!$C$19:$Y$55,22,FALSE))</f>
        <v/>
      </c>
      <c r="O109" s="1177" t="str">
        <f>IF(VLOOKUP($C109,'Fatores de Emissão'!$C$19:$Y$55,22,FALSE)="","",VLOOKUP($C109,'Fatores de Emissão'!$C$19:$Y$55,23,FALSE))</f>
        <v/>
      </c>
      <c r="P109" s="1178"/>
    </row>
    <row r="110" spans="1:16" s="237" customFormat="1" ht="15" customHeight="1" x14ac:dyDescent="0.25">
      <c r="A110" s="205"/>
      <c r="B110" s="381">
        <f>'Fatores de Emissão'!B32</f>
        <v>14</v>
      </c>
      <c r="C110" s="381" t="str">
        <f>'Fatores de Emissão'!C32</f>
        <v xml:space="preserve">Gás de Coqueria </v>
      </c>
      <c r="D110" s="383">
        <f t="shared" si="2"/>
        <v>0</v>
      </c>
      <c r="E110" s="382" t="str">
        <f>'Fatores de Emissão'!E32</f>
        <v>Toneladas</v>
      </c>
      <c r="F110" s="1095">
        <f>'Fatores de Emissão'!L32*1000</f>
        <v>3017.3999999999996</v>
      </c>
      <c r="G110" s="1097">
        <f>HLOOKUP($D$35,'Fatores de Emissão'!$M$18:$Q$55,$B110+1,FALSE)*1000</f>
        <v>2.8199999999999999E-2</v>
      </c>
      <c r="H110" s="1097">
        <f>HLOOKUP($D$35,'Fatores de Emissão'!$S$18:$V$55,$B110+1,FALSE)*1000</f>
        <v>2.82E-3</v>
      </c>
      <c r="I110" s="384">
        <f t="shared" si="3"/>
        <v>0</v>
      </c>
      <c r="J110" s="384">
        <f t="shared" si="0"/>
        <v>0</v>
      </c>
      <c r="K110" s="384">
        <f t="shared" si="0"/>
        <v>0</v>
      </c>
      <c r="L110" s="384">
        <f t="shared" si="1"/>
        <v>0</v>
      </c>
      <c r="M110" s="314"/>
      <c r="N110" s="1176" t="str">
        <f>IF(VLOOKUP($C110,'Fatores de Emissão'!$C$19:$Y$55,22,FALSE)="","",VLOOKUP($C110,'Fatores de Emissão'!$C$19:$Y$55,22,FALSE))</f>
        <v/>
      </c>
      <c r="O110" s="1177" t="str">
        <f>IF(VLOOKUP($C110,'Fatores de Emissão'!$C$19:$Y$55,22,FALSE)="","",VLOOKUP($C110,'Fatores de Emissão'!$C$19:$Y$55,23,FALSE))</f>
        <v/>
      </c>
      <c r="P110" s="1178"/>
    </row>
    <row r="111" spans="1:16" s="237" customFormat="1" ht="15" customHeight="1" x14ac:dyDescent="0.25">
      <c r="A111" s="205"/>
      <c r="B111" s="381">
        <f>'Fatores de Emissão'!B33</f>
        <v>15</v>
      </c>
      <c r="C111" s="381" t="str">
        <f>'Fatores de Emissão'!C33</f>
        <v>Gás de Fábricas de Gás</v>
      </c>
      <c r="D111" s="383">
        <f t="shared" si="2"/>
        <v>0</v>
      </c>
      <c r="E111" s="382" t="str">
        <f>'Fatores de Emissão'!E33</f>
        <v>Toneladas</v>
      </c>
      <c r="F111" s="1095">
        <f>'Fatores de Emissão'!L33*1000</f>
        <v>1718.2800000000002</v>
      </c>
      <c r="G111" s="1097">
        <f>HLOOKUP($D$35,'Fatores de Emissão'!$M$18:$Q$55,$B111+1,FALSE)*1000</f>
        <v>3.8699999999999998E-2</v>
      </c>
      <c r="H111" s="1097">
        <f>HLOOKUP($D$35,'Fatores de Emissão'!$S$18:$V$55,$B111+1,FALSE)*1000</f>
        <v>3.8700000000000002E-3</v>
      </c>
      <c r="I111" s="384">
        <f t="shared" si="3"/>
        <v>0</v>
      </c>
      <c r="J111" s="384">
        <f t="shared" si="0"/>
        <v>0</v>
      </c>
      <c r="K111" s="384">
        <f t="shared" si="0"/>
        <v>0</v>
      </c>
      <c r="L111" s="384">
        <f t="shared" si="1"/>
        <v>0</v>
      </c>
      <c r="M111" s="314"/>
      <c r="N111" s="1176" t="str">
        <f>IF(VLOOKUP($C111,'Fatores de Emissão'!$C$19:$Y$55,22,FALSE)="","",VLOOKUP($C111,'Fatores de Emissão'!$C$19:$Y$55,22,FALSE))</f>
        <v/>
      </c>
      <c r="O111" s="1177" t="str">
        <f>IF(VLOOKUP($C111,'Fatores de Emissão'!$C$19:$Y$55,22,FALSE)="","",VLOOKUP($C111,'Fatores de Emissão'!$C$19:$Y$55,23,FALSE))</f>
        <v/>
      </c>
      <c r="P111" s="1178"/>
    </row>
    <row r="112" spans="1:16" s="237" customFormat="1" ht="15" customHeight="1" x14ac:dyDescent="0.25">
      <c r="A112" s="205"/>
      <c r="B112" s="381">
        <f>'Fatores de Emissão'!B34</f>
        <v>16</v>
      </c>
      <c r="C112" s="381" t="str">
        <f>'Fatores de Emissão'!C34</f>
        <v>Gás de forno de acearia a oxigénio</v>
      </c>
      <c r="D112" s="383">
        <f t="shared" si="2"/>
        <v>0</v>
      </c>
      <c r="E112" s="382" t="str">
        <f>'Fatores de Emissão'!E34</f>
        <v>Toneladas</v>
      </c>
      <c r="F112" s="1095">
        <f>'Fatores de Emissão'!L34*1000</f>
        <v>1284.9199999999998</v>
      </c>
      <c r="G112" s="1097">
        <f>HLOOKUP($D$35,'Fatores de Emissão'!$M$18:$Q$55,$B112+1,FALSE)*1000</f>
        <v>7.0599999999999994E-3</v>
      </c>
      <c r="H112" s="1097">
        <f>HLOOKUP($D$35,'Fatores de Emissão'!$S$18:$V$55,$B112+1,FALSE)*1000</f>
        <v>7.0599999999999992E-4</v>
      </c>
      <c r="I112" s="384">
        <f t="shared" si="3"/>
        <v>0</v>
      </c>
      <c r="J112" s="384">
        <f t="shared" si="0"/>
        <v>0</v>
      </c>
      <c r="K112" s="384">
        <f t="shared" si="0"/>
        <v>0</v>
      </c>
      <c r="L112" s="384">
        <f t="shared" si="1"/>
        <v>0</v>
      </c>
      <c r="M112" s="314"/>
      <c r="N112" s="1176" t="str">
        <f>IF(VLOOKUP($C112,'Fatores de Emissão'!$C$19:$Y$55,22,FALSE)="","",VLOOKUP($C112,'Fatores de Emissão'!$C$19:$Y$55,22,FALSE))</f>
        <v/>
      </c>
      <c r="O112" s="1177" t="str">
        <f>IF(VLOOKUP($C112,'Fatores de Emissão'!$C$19:$Y$55,22,FALSE)="","",VLOOKUP($C112,'Fatores de Emissão'!$C$19:$Y$55,23,FALSE))</f>
        <v/>
      </c>
      <c r="P112" s="1178"/>
    </row>
    <row r="113" spans="1:16" s="237" customFormat="1" ht="15" customHeight="1" x14ac:dyDescent="0.25">
      <c r="A113" s="205"/>
      <c r="B113" s="381">
        <f>'Fatores de Emissão'!B35</f>
        <v>17</v>
      </c>
      <c r="C113" s="381" t="str">
        <f>'Fatores de Emissão'!C35</f>
        <v>Gás de Petróleo Liquefeito (GPL)</v>
      </c>
      <c r="D113" s="383">
        <f t="shared" si="2"/>
        <v>0</v>
      </c>
      <c r="E113" s="382" t="str">
        <f>'Fatores de Emissão'!E35</f>
        <v>Litros</v>
      </c>
      <c r="F113" s="1095">
        <f>'Fatores de Emissão'!L35*1000</f>
        <v>1.6117002</v>
      </c>
      <c r="G113" s="1097">
        <f>HLOOKUP($D$35,'Fatores de Emissão'!$M$18:$Q$55,$B113+1,FALSE)*1000</f>
        <v>2.5542E-5</v>
      </c>
      <c r="H113" s="1097">
        <f>HLOOKUP($D$35,'Fatores de Emissão'!$S$18:$V$55,$B113+1,FALSE)*1000</f>
        <v>2.5541999999999996E-6</v>
      </c>
      <c r="I113" s="384">
        <f t="shared" si="3"/>
        <v>0</v>
      </c>
      <c r="J113" s="384">
        <f t="shared" ref="J113:K133" si="4">IF(ISERROR($D113*G113),0,$D113*G113)</f>
        <v>0</v>
      </c>
      <c r="K113" s="384">
        <f t="shared" si="4"/>
        <v>0</v>
      </c>
      <c r="L113" s="384">
        <f t="shared" si="1"/>
        <v>0</v>
      </c>
      <c r="M113" s="314"/>
      <c r="N113" s="1176" t="str">
        <f>IF(VLOOKUP($C113,'Fatores de Emissão'!$C$19:$Y$55,22,FALSE)="","",VLOOKUP($C113,'Fatores de Emissão'!$C$19:$Y$55,22,FALSE))</f>
        <v/>
      </c>
      <c r="O113" s="1177" t="str">
        <f>IF(VLOOKUP($C113,'Fatores de Emissão'!$C$19:$Y$55,22,FALSE)="","",VLOOKUP($C113,'Fatores de Emissão'!$C$19:$Y$55,23,FALSE))</f>
        <v/>
      </c>
      <c r="P113" s="1178"/>
    </row>
    <row r="114" spans="1:16" s="237" customFormat="1" ht="15" customHeight="1" x14ac:dyDescent="0.25">
      <c r="A114" s="205"/>
      <c r="B114" s="381">
        <f>'Fatores de Emissão'!B36</f>
        <v>18</v>
      </c>
      <c r="C114" s="381" t="str">
        <f>'Fatores de Emissão'!C36</f>
        <v>Gás de Refinaria</v>
      </c>
      <c r="D114" s="383">
        <f t="shared" si="2"/>
        <v>0</v>
      </c>
      <c r="E114" s="382" t="str">
        <f>'Fatores de Emissão'!E36</f>
        <v>Toneladas</v>
      </c>
      <c r="F114" s="1095">
        <f>'Fatores de Emissão'!L36*1000</f>
        <v>2851.2</v>
      </c>
      <c r="G114" s="1097">
        <f>HLOOKUP($D$35,'Fatores de Emissão'!$M$18:$Q$55,$B114+1,FALSE)*1000</f>
        <v>4.9499999999999995E-2</v>
      </c>
      <c r="H114" s="1097">
        <f>HLOOKUP($D$35,'Fatores de Emissão'!$S$18:$V$55,$B114+1,FALSE)*1000</f>
        <v>4.9500000000000004E-3</v>
      </c>
      <c r="I114" s="384">
        <f t="shared" si="3"/>
        <v>0</v>
      </c>
      <c r="J114" s="384">
        <f t="shared" si="4"/>
        <v>0</v>
      </c>
      <c r="K114" s="384">
        <f t="shared" si="4"/>
        <v>0</v>
      </c>
      <c r="L114" s="384">
        <f t="shared" si="1"/>
        <v>0</v>
      </c>
      <c r="M114" s="314"/>
      <c r="N114" s="1176" t="str">
        <f>IF(VLOOKUP($C114,'Fatores de Emissão'!$C$19:$Y$55,22,FALSE)="","",VLOOKUP($C114,'Fatores de Emissão'!$C$19:$Y$55,22,FALSE))</f>
        <v/>
      </c>
      <c r="O114" s="1177" t="str">
        <f>IF(VLOOKUP($C114,'Fatores de Emissão'!$C$19:$Y$55,22,FALSE)="","",VLOOKUP($C114,'Fatores de Emissão'!$C$19:$Y$55,23,FALSE))</f>
        <v/>
      </c>
      <c r="P114" s="1178"/>
    </row>
    <row r="115" spans="1:16" s="237" customFormat="1" ht="15" customHeight="1" x14ac:dyDescent="0.25">
      <c r="A115" s="205"/>
      <c r="B115" s="381">
        <f>'Fatores de Emissão'!B37</f>
        <v>19</v>
      </c>
      <c r="C115" s="381" t="str">
        <f>'Fatores de Emissão'!C37</f>
        <v>Gás Natural</v>
      </c>
      <c r="D115" s="383">
        <f t="shared" si="2"/>
        <v>0</v>
      </c>
      <c r="E115" s="382" t="str">
        <f>'Fatores de Emissão'!E37</f>
        <v>m3</v>
      </c>
      <c r="F115" s="1095">
        <f>'Fatores de Emissão'!L37*1000</f>
        <v>2.4295207639999998</v>
      </c>
      <c r="G115" s="1097">
        <f>HLOOKUP($D$35,'Fatores de Emissão'!$M$18:$Q$55,$B115+1,FALSE)*1000</f>
        <v>0</v>
      </c>
      <c r="H115" s="1097">
        <f>HLOOKUP($D$35,'Fatores de Emissão'!$S$18:$V$55,$B115+1,FALSE)*1000</f>
        <v>0</v>
      </c>
      <c r="I115" s="384">
        <f t="shared" si="3"/>
        <v>0</v>
      </c>
      <c r="J115" s="384">
        <f t="shared" si="4"/>
        <v>0</v>
      </c>
      <c r="K115" s="384">
        <f t="shared" si="4"/>
        <v>0</v>
      </c>
      <c r="L115" s="384">
        <f t="shared" si="1"/>
        <v>0</v>
      </c>
      <c r="M115" s="314"/>
      <c r="N115" s="1176">
        <f>IF(VLOOKUP($C115,'Fatores de Emissão'!$C$19:$Y$55,22,FALSE)="","",VLOOKUP($C115,'Fatores de Emissão'!$C$19:$Y$55,22,FALSE))</f>
        <v>1.759262433046875E-5</v>
      </c>
      <c r="O115" s="1177" t="str">
        <f>IF(VLOOKUP($C115,'Fatores de Emissão'!$C$19:$Y$55,22,FALSE)="","",VLOOKUP($C115,'Fatores de Emissão'!$C$19:$Y$55,23,FALSE))</f>
        <v>t CO2eq/ m3</v>
      </c>
      <c r="P115" s="1178">
        <f t="shared" ref="P115:P119" si="5">N115*D115*1000</f>
        <v>0</v>
      </c>
    </row>
    <row r="116" spans="1:16" s="237" customFormat="1" ht="15" customHeight="1" x14ac:dyDescent="0.25">
      <c r="A116" s="205"/>
      <c r="B116" s="381">
        <f>'Fatores de Emissão'!B38</f>
        <v>20</v>
      </c>
      <c r="C116" s="381" t="str">
        <f>'Fatores de Emissão'!C38</f>
        <v>Gás Natural (superior a 93% de metano)</v>
      </c>
      <c r="D116" s="383">
        <f t="shared" si="2"/>
        <v>0</v>
      </c>
      <c r="E116" s="382" t="str">
        <f>'Fatores de Emissão'!E38</f>
        <v>m³</v>
      </c>
      <c r="F116" s="1095">
        <f>'Fatores de Emissão'!L38*1000</f>
        <v>1.8849599999999997</v>
      </c>
      <c r="G116" s="1097">
        <f>HLOOKUP($D$35,'Fatores de Emissão'!$M$18:$Q$55,$B116+1,FALSE)*1000</f>
        <v>3.3599999999999997E-5</v>
      </c>
      <c r="H116" s="1097">
        <f>HLOOKUP($D$35,'Fatores de Emissão'!$S$18:$V$55,$B116+1,FALSE)*1000</f>
        <v>3.3600000000000004E-6</v>
      </c>
      <c r="I116" s="384">
        <f t="shared" si="3"/>
        <v>0</v>
      </c>
      <c r="J116" s="384">
        <f t="shared" si="4"/>
        <v>0</v>
      </c>
      <c r="K116" s="384">
        <f t="shared" si="4"/>
        <v>0</v>
      </c>
      <c r="L116" s="384">
        <f t="shared" si="1"/>
        <v>0</v>
      </c>
      <c r="M116" s="314"/>
      <c r="N116" s="1176">
        <f>IF(VLOOKUP($C116,'Fatores de Emissão'!$C$19:$Y$55,22,FALSE)="","",VLOOKUP($C116,'Fatores de Emissão'!$C$19:$Y$55,22,FALSE))</f>
        <v>1.759262433046875E-5</v>
      </c>
      <c r="O116" s="1177" t="str">
        <f>IF(VLOOKUP($C116,'Fatores de Emissão'!$C$19:$Y$55,22,FALSE)="","",VLOOKUP($C116,'Fatores de Emissão'!$C$19:$Y$55,23,FALSE))</f>
        <v>t CO2eq/ m3</v>
      </c>
      <c r="P116" s="1178">
        <f t="shared" si="5"/>
        <v>0</v>
      </c>
    </row>
    <row r="117" spans="1:16" s="237" customFormat="1" ht="15" customHeight="1" x14ac:dyDescent="0.25">
      <c r="A117" s="205"/>
      <c r="B117" s="381">
        <f>'Fatores de Emissão'!B39</f>
        <v>21</v>
      </c>
      <c r="C117" s="381" t="str">
        <f>'Fatores de Emissão'!C39</f>
        <v>Gás Natural Liquefeito</v>
      </c>
      <c r="D117" s="383">
        <f t="shared" si="2"/>
        <v>0</v>
      </c>
      <c r="E117" s="382" t="str">
        <f>'Fatores de Emissão'!E39</f>
        <v>Toneladas</v>
      </c>
      <c r="F117" s="1095">
        <f>'Fatores de Emissão'!L39*1000</f>
        <v>2837.64</v>
      </c>
      <c r="G117" s="1097">
        <f>HLOOKUP($D$35,'Fatores de Emissão'!$M$18:$Q$55,$B117+1,FALSE)*1000</f>
        <v>0.13260000000000002</v>
      </c>
      <c r="H117" s="1097">
        <f>HLOOKUP($D$35,'Fatores de Emissão'!$S$18:$V$55,$B117+1,FALSE)*1000</f>
        <v>2.6519999999999998E-2</v>
      </c>
      <c r="I117" s="384">
        <f t="shared" si="3"/>
        <v>0</v>
      </c>
      <c r="J117" s="384">
        <f t="shared" si="4"/>
        <v>0</v>
      </c>
      <c r="K117" s="384">
        <f t="shared" si="4"/>
        <v>0</v>
      </c>
      <c r="L117" s="384">
        <f t="shared" si="1"/>
        <v>0</v>
      </c>
      <c r="M117" s="314"/>
      <c r="N117" s="1176"/>
      <c r="O117" s="1177"/>
      <c r="P117" s="1178"/>
    </row>
    <row r="118" spans="1:16" s="237" customFormat="1" ht="15" customHeight="1" x14ac:dyDescent="0.25">
      <c r="A118" s="205"/>
      <c r="B118" s="381">
        <f>'Fatores de Emissão'!B40</f>
        <v>22</v>
      </c>
      <c r="C118" s="381" t="str">
        <f>'Fatores de Emissão'!C40</f>
        <v>Gasóleo/ Diesel</v>
      </c>
      <c r="D118" s="383">
        <f t="shared" si="2"/>
        <v>0</v>
      </c>
      <c r="E118" s="382" t="str">
        <f>'Fatores de Emissão'!E40</f>
        <v>Litros</v>
      </c>
      <c r="F118" s="1095">
        <f>'Fatores de Emissão'!L40*1000</f>
        <v>2.6764920000000001</v>
      </c>
      <c r="G118" s="1097">
        <f>HLOOKUP($D$35,'Fatores de Emissão'!$M$18:$Q$55,$B118+1,FALSE)*1000</f>
        <v>1.0836E-4</v>
      </c>
      <c r="H118" s="1097">
        <f>HLOOKUP($D$35,'Fatores de Emissão'!$S$18:$V$55,$B118+1,FALSE)*1000</f>
        <v>2.1671999999999999E-5</v>
      </c>
      <c r="I118" s="384">
        <f t="shared" si="3"/>
        <v>0</v>
      </c>
      <c r="J118" s="384">
        <f t="shared" si="4"/>
        <v>0</v>
      </c>
      <c r="K118" s="384">
        <f t="shared" si="4"/>
        <v>0</v>
      </c>
      <c r="L118" s="384">
        <f t="shared" si="1"/>
        <v>0</v>
      </c>
      <c r="M118" s="314"/>
      <c r="N118" s="1176">
        <f>IF(VLOOKUP($C118,'Fatores de Emissão'!$C$19:$Y$55,22,FALSE)="","",VLOOKUP($C118,'Fatores de Emissão'!$C$19:$Y$55,22,FALSE))</f>
        <v>1.9966891688263604E-4</v>
      </c>
      <c r="O118" s="1177" t="str">
        <f>IF(VLOOKUP($C118,'Fatores de Emissão'!$C$19:$Y$55,22,FALSE)="","",VLOOKUP($C118,'Fatores de Emissão'!$C$19:$Y$55,23,FALSE))</f>
        <v>t CO2/ litro combustível</v>
      </c>
      <c r="P118" s="1178">
        <f t="shared" si="5"/>
        <v>0</v>
      </c>
    </row>
    <row r="119" spans="1:16" s="237" customFormat="1" ht="15" customHeight="1" x14ac:dyDescent="0.25">
      <c r="A119" s="205"/>
      <c r="B119" s="381">
        <f>'Fatores de Emissão'!B41</f>
        <v>23</v>
      </c>
      <c r="C119" s="381" t="str">
        <f>'Fatores de Emissão'!C41</f>
        <v>Gasolina de Aviação</v>
      </c>
      <c r="D119" s="383">
        <f t="shared" si="2"/>
        <v>0</v>
      </c>
      <c r="E119" s="382" t="str">
        <f>'Fatores de Emissão'!E41</f>
        <v>Litros</v>
      </c>
      <c r="F119" s="1095">
        <f>'Fatores de Emissão'!L41*1000</f>
        <v>2.2017099999999998</v>
      </c>
      <c r="G119" s="1097">
        <f>HLOOKUP($D$35,'Fatores de Emissão'!$M$18:$Q$55,$B119+1,FALSE)*1000</f>
        <v>9.4358999999999982E-5</v>
      </c>
      <c r="H119" s="1097">
        <f>HLOOKUP($D$35,'Fatores de Emissão'!$S$18:$V$55,$B119+1,FALSE)*1000</f>
        <v>1.8871799999999998E-5</v>
      </c>
      <c r="I119" s="384">
        <f>IF(ISERROR($D119*F119),0,$D119*F119)</f>
        <v>0</v>
      </c>
      <c r="J119" s="384">
        <f t="shared" si="4"/>
        <v>0</v>
      </c>
      <c r="K119" s="384">
        <f t="shared" si="4"/>
        <v>0</v>
      </c>
      <c r="L119" s="384">
        <f t="shared" si="1"/>
        <v>0</v>
      </c>
      <c r="M119" s="314"/>
      <c r="N119" s="1176">
        <f>IF(VLOOKUP($C119,'Fatores de Emissão'!$C$19:$Y$55,22,FALSE)="","",VLOOKUP($C119,'Fatores de Emissão'!$C$19:$Y$55,22,FALSE))</f>
        <v>1.7831841740713317E-4</v>
      </c>
      <c r="O119" s="1177" t="str">
        <f>IF(VLOOKUP($C119,'Fatores de Emissão'!$C$19:$Y$55,22,FALSE)="","",VLOOKUP($C119,'Fatores de Emissão'!$C$19:$Y$55,23,FALSE))</f>
        <v>t CO2/ litro combustível</v>
      </c>
      <c r="P119" s="1178">
        <f t="shared" si="5"/>
        <v>0</v>
      </c>
    </row>
    <row r="120" spans="1:16" s="237" customFormat="1" ht="15" customHeight="1" x14ac:dyDescent="0.25">
      <c r="A120" s="205"/>
      <c r="B120" s="381">
        <f>'Fatores de Emissão'!B42</f>
        <v>24</v>
      </c>
      <c r="C120" s="381" t="str">
        <f>'Fatores de Emissão'!C42</f>
        <v>Gasolina para Motores de Reação (Jet B)</v>
      </c>
      <c r="D120" s="383">
        <f t="shared" si="2"/>
        <v>0</v>
      </c>
      <c r="E120" s="382" t="str">
        <f>'Fatores de Emissão'!E42</f>
        <v>Toneladas</v>
      </c>
      <c r="F120" s="1095">
        <f>'Fatores de Emissão'!L42*1000</f>
        <v>3101</v>
      </c>
      <c r="G120" s="1097">
        <f>HLOOKUP($D$35,'Fatores de Emissão'!$M$18:$Q$55,$B120+1,FALSE)*1000</f>
        <v>0.13289999999999999</v>
      </c>
      <c r="H120" s="1097">
        <f>HLOOKUP($D$35,'Fatores de Emissão'!$S$18:$V$55,$B120+1,FALSE)*1000</f>
        <v>2.6579999999999996E-2</v>
      </c>
      <c r="I120" s="384">
        <f t="shared" si="3"/>
        <v>0</v>
      </c>
      <c r="J120" s="384">
        <f t="shared" si="4"/>
        <v>0</v>
      </c>
      <c r="K120" s="384">
        <f t="shared" si="4"/>
        <v>0</v>
      </c>
      <c r="L120" s="384">
        <f t="shared" si="1"/>
        <v>0</v>
      </c>
      <c r="M120" s="314"/>
      <c r="N120" s="1176"/>
      <c r="O120" s="1177"/>
      <c r="P120" s="1178"/>
    </row>
    <row r="121" spans="1:16" s="237" customFormat="1" ht="15" customHeight="1" x14ac:dyDescent="0.25">
      <c r="A121" s="205"/>
      <c r="B121" s="381">
        <f>'Fatores de Emissão'!B43</f>
        <v>25</v>
      </c>
      <c r="C121" s="381" t="str">
        <f>'Fatores de Emissão'!C43</f>
        <v>Lignite Castanha</v>
      </c>
      <c r="D121" s="383">
        <f t="shared" si="2"/>
        <v>0</v>
      </c>
      <c r="E121" s="382" t="str">
        <f>'Fatores de Emissão'!E43</f>
        <v>Toneladas</v>
      </c>
      <c r="F121" s="1095">
        <f>'Fatores de Emissão'!L43*1000</f>
        <v>1201.8999999999999</v>
      </c>
      <c r="G121" s="1097">
        <f>HLOOKUP($D$35,'Fatores de Emissão'!$M$18:$Q$55,$B121+1,FALSE)*1000</f>
        <v>1.1899999999999999E-2</v>
      </c>
      <c r="H121" s="1097">
        <f>HLOOKUP($D$35,'Fatores de Emissão'!$S$18:$V$55,$B121+1,FALSE)*1000</f>
        <v>1.7850000000000001E-2</v>
      </c>
      <c r="I121" s="384">
        <f t="shared" si="3"/>
        <v>0</v>
      </c>
      <c r="J121" s="384">
        <f t="shared" si="4"/>
        <v>0</v>
      </c>
      <c r="K121" s="384">
        <f t="shared" si="4"/>
        <v>0</v>
      </c>
      <c r="L121" s="384">
        <f t="shared" si="1"/>
        <v>0</v>
      </c>
      <c r="M121" s="314"/>
      <c r="N121" s="1176" t="str">
        <f>IF(VLOOKUP($C121,'Fatores de Emissão'!$C$19:$Y$55,22,FALSE)="","",VLOOKUP($C121,'Fatores de Emissão'!$C$19:$Y$55,22,FALSE))</f>
        <v/>
      </c>
      <c r="O121" s="1177" t="str">
        <f>IF(VLOOKUP($C121,'Fatores de Emissão'!$C$19:$Y$55,22,FALSE)="","",VLOOKUP($C121,'Fatores de Emissão'!$C$19:$Y$55,23,FALSE))</f>
        <v/>
      </c>
      <c r="P121" s="1179"/>
    </row>
    <row r="122" spans="1:16" s="237" customFormat="1" ht="15" customHeight="1" x14ac:dyDescent="0.25">
      <c r="A122" s="205"/>
      <c r="B122" s="381">
        <f>'Fatores de Emissão'!B44</f>
        <v>26</v>
      </c>
      <c r="C122" s="381" t="str">
        <f>'Fatores de Emissão'!C44</f>
        <v>Lignite Negra</v>
      </c>
      <c r="D122" s="383">
        <f t="shared" si="2"/>
        <v>0</v>
      </c>
      <c r="E122" s="382" t="str">
        <f>'Fatores de Emissão'!E44</f>
        <v>Toneladas</v>
      </c>
      <c r="F122" s="1095">
        <f>'Fatores de Emissão'!L44*1000</f>
        <v>3017.3999999999996</v>
      </c>
      <c r="G122" s="1097">
        <f>HLOOKUP($D$35,'Fatores de Emissão'!$M$18:$Q$55,$B122+1,FALSE)*1000</f>
        <v>2.8199999999999999E-2</v>
      </c>
      <c r="H122" s="1097">
        <f>HLOOKUP($D$35,'Fatores de Emissão'!$S$18:$V$55,$B122+1,FALSE)*1000</f>
        <v>4.2299999999999997E-2</v>
      </c>
      <c r="I122" s="384">
        <f t="shared" si="3"/>
        <v>0</v>
      </c>
      <c r="J122" s="384">
        <f t="shared" si="4"/>
        <v>0</v>
      </c>
      <c r="K122" s="384">
        <f t="shared" si="4"/>
        <v>0</v>
      </c>
      <c r="L122" s="384">
        <f t="shared" si="1"/>
        <v>0</v>
      </c>
      <c r="M122" s="314"/>
      <c r="N122" s="1176" t="str">
        <f>IF(VLOOKUP($C122,'Fatores de Emissão'!$C$19:$Y$55,22,FALSE)="","",VLOOKUP($C122,'Fatores de Emissão'!$C$19:$Y$55,22,FALSE))</f>
        <v/>
      </c>
      <c r="O122" s="1177" t="str">
        <f>IF(VLOOKUP($C122,'Fatores de Emissão'!$C$19:$Y$55,22,FALSE)="","",VLOOKUP($C122,'Fatores de Emissão'!$C$19:$Y$55,23,FALSE))</f>
        <v/>
      </c>
      <c r="P122" s="1179"/>
    </row>
    <row r="123" spans="1:16" s="237" customFormat="1" ht="15" customHeight="1" x14ac:dyDescent="0.25">
      <c r="A123" s="205"/>
      <c r="B123" s="381">
        <f>'Fatores de Emissão'!B45</f>
        <v>27</v>
      </c>
      <c r="C123" s="381" t="str">
        <f>'Fatores de Emissão'!C45</f>
        <v>Lubrificantes</v>
      </c>
      <c r="D123" s="383">
        <f t="shared" si="2"/>
        <v>0</v>
      </c>
      <c r="E123" s="382" t="str">
        <f>'Fatores de Emissão'!E45</f>
        <v>Litros</v>
      </c>
      <c r="F123" s="1095">
        <f>'Fatores de Emissão'!L45*1000</f>
        <v>2.9466599999999996</v>
      </c>
      <c r="G123" s="1097">
        <f>HLOOKUP($D$35,'Fatores de Emissão'!$M$18:$Q$55,$B123+1,FALSE)*1000</f>
        <v>1.206E-4</v>
      </c>
      <c r="H123" s="1097">
        <f>HLOOKUP($D$35,'Fatores de Emissão'!$S$18:$V$55,$B123+1,FALSE)*1000</f>
        <v>2.4119999999999999E-5</v>
      </c>
      <c r="I123" s="384">
        <f t="shared" si="3"/>
        <v>0</v>
      </c>
      <c r="J123" s="384">
        <f t="shared" si="4"/>
        <v>0</v>
      </c>
      <c r="K123" s="384">
        <f t="shared" si="4"/>
        <v>0</v>
      </c>
      <c r="L123" s="384">
        <f t="shared" si="1"/>
        <v>0</v>
      </c>
      <c r="M123" s="314"/>
      <c r="N123" s="1176" t="str">
        <f>IF(VLOOKUP($C123,'Fatores de Emissão'!$C$19:$Y$55,22,FALSE)="","",VLOOKUP($C123,'Fatores de Emissão'!$C$19:$Y$55,22,FALSE))</f>
        <v/>
      </c>
      <c r="O123" s="1177" t="str">
        <f>IF(VLOOKUP($C123,'Fatores de Emissão'!$C$19:$Y$55,22,FALSE)="","",VLOOKUP($C123,'Fatores de Emissão'!$C$19:$Y$55,23,FALSE))</f>
        <v/>
      </c>
      <c r="P123" s="1179"/>
    </row>
    <row r="124" spans="1:16" s="237" customFormat="1" ht="15" customHeight="1" x14ac:dyDescent="0.25">
      <c r="A124" s="205"/>
      <c r="B124" s="381">
        <f>'Fatores de Emissão'!B46</f>
        <v>28</v>
      </c>
      <c r="C124" s="381" t="str">
        <f>'Fatores de Emissão'!C46</f>
        <v>Matérias -primas para Refinaria</v>
      </c>
      <c r="D124" s="383">
        <f t="shared" si="2"/>
        <v>0</v>
      </c>
      <c r="E124" s="382" t="str">
        <f>'Fatores de Emissão'!E46</f>
        <v>Toneladas</v>
      </c>
      <c r="F124" s="1095">
        <f>'Fatores de Emissão'!L46*1000</f>
        <v>3151.9</v>
      </c>
      <c r="G124" s="1097">
        <f>HLOOKUP($D$35,'Fatores de Emissão'!$M$18:$Q$55,$B124+1,FALSE)*1000</f>
        <v>0.129</v>
      </c>
      <c r="H124" s="1097">
        <f>HLOOKUP($D$35,'Fatores de Emissão'!$S$18:$V$55,$B124+1,FALSE)*1000</f>
        <v>2.58E-2</v>
      </c>
      <c r="I124" s="384">
        <f t="shared" si="3"/>
        <v>0</v>
      </c>
      <c r="J124" s="384">
        <f t="shared" si="4"/>
        <v>0</v>
      </c>
      <c r="K124" s="384">
        <f t="shared" si="4"/>
        <v>0</v>
      </c>
      <c r="L124" s="384">
        <f t="shared" si="1"/>
        <v>0</v>
      </c>
      <c r="M124" s="314"/>
      <c r="N124" s="1176" t="str">
        <f>IF(VLOOKUP($C124,'Fatores de Emissão'!$C$19:$Y$55,22,FALSE)="","",VLOOKUP($C124,'Fatores de Emissão'!$C$19:$Y$55,22,FALSE))</f>
        <v/>
      </c>
      <c r="O124" s="1177" t="str">
        <f>IF(VLOOKUP($C124,'Fatores de Emissão'!$C$19:$Y$55,22,FALSE)="","",VLOOKUP($C124,'Fatores de Emissão'!$C$19:$Y$55,23,FALSE))</f>
        <v/>
      </c>
      <c r="P124" s="1179"/>
    </row>
    <row r="125" spans="1:16" s="237" customFormat="1" ht="15" customHeight="1" x14ac:dyDescent="0.25">
      <c r="A125" s="205"/>
      <c r="B125" s="381">
        <f>'Fatores de Emissão'!B47</f>
        <v>29</v>
      </c>
      <c r="C125" s="381" t="str">
        <f>'Fatores de Emissão'!C47</f>
        <v>Nafta Química / Condensados de Gasolina</v>
      </c>
      <c r="D125" s="383">
        <f t="shared" si="2"/>
        <v>0</v>
      </c>
      <c r="E125" s="382" t="str">
        <f>'Fatores de Emissão'!E47</f>
        <v>Litros</v>
      </c>
      <c r="F125" s="1095">
        <f>'Fatores de Emissão'!L47*1000</f>
        <v>2.5116245000000004</v>
      </c>
      <c r="G125" s="1097">
        <f>HLOOKUP($D$35,'Fatores de Emissão'!$M$18:$Q$55,$B125+1,FALSE)*1000</f>
        <v>1.0279500000000001E-4</v>
      </c>
      <c r="H125" s="1097">
        <f>HLOOKUP($D$35,'Fatores de Emissão'!$S$18:$V$55,$B125+1,FALSE)*1000</f>
        <v>2.0559000000000001E-5</v>
      </c>
      <c r="I125" s="384">
        <f t="shared" si="3"/>
        <v>0</v>
      </c>
      <c r="J125" s="384">
        <f t="shared" si="4"/>
        <v>0</v>
      </c>
      <c r="K125" s="384">
        <f t="shared" si="4"/>
        <v>0</v>
      </c>
      <c r="L125" s="384">
        <f t="shared" si="1"/>
        <v>0</v>
      </c>
      <c r="M125" s="314"/>
      <c r="N125" s="1176" t="str">
        <f>IF(VLOOKUP($C125,'Fatores de Emissão'!$C$19:$Y$55,22,FALSE)="","",VLOOKUP($C125,'Fatores de Emissão'!$C$19:$Y$55,22,FALSE))</f>
        <v/>
      </c>
      <c r="O125" s="1177" t="str">
        <f>IF(VLOOKUP($C125,'Fatores de Emissão'!$C$19:$Y$55,22,FALSE)="","",VLOOKUP($C125,'Fatores de Emissão'!$C$19:$Y$55,23,FALSE))</f>
        <v/>
      </c>
      <c r="P125" s="1179"/>
    </row>
    <row r="126" spans="1:16" s="237" customFormat="1" ht="15" customHeight="1" x14ac:dyDescent="0.25">
      <c r="A126" s="205"/>
      <c r="B126" s="381">
        <f>'Fatores de Emissão'!B48</f>
        <v>30</v>
      </c>
      <c r="C126" s="381" t="str">
        <f>'Fatores de Emissão'!C48</f>
        <v>Óleo de Xisto</v>
      </c>
      <c r="D126" s="383">
        <f t="shared" si="2"/>
        <v>0</v>
      </c>
      <c r="E126" s="382" t="str">
        <f>'Fatores de Emissão'!E48</f>
        <v>Litros</v>
      </c>
      <c r="F126" s="1095">
        <f>'Fatores de Emissão'!L48*1000</f>
        <v>2.7927300000000002</v>
      </c>
      <c r="G126" s="1097">
        <f>HLOOKUP($D$35,'Fatores de Emissão'!$M$18:$Q$55,$B126+1,FALSE)*1000</f>
        <v>1.1430000000000001E-4</v>
      </c>
      <c r="H126" s="1097">
        <f>HLOOKUP($D$35,'Fatores de Emissão'!$S$18:$V$55,$B126+1,FALSE)*1000</f>
        <v>2.2860000000000001E-5</v>
      </c>
      <c r="I126" s="384">
        <f>IF(ISERROR($D126*F126),0,$D126*F126)</f>
        <v>0</v>
      </c>
      <c r="J126" s="384">
        <f t="shared" si="4"/>
        <v>0</v>
      </c>
      <c r="K126" s="384">
        <f t="shared" si="4"/>
        <v>0</v>
      </c>
      <c r="L126" s="384">
        <f t="shared" si="1"/>
        <v>0</v>
      </c>
      <c r="M126" s="314"/>
      <c r="N126" s="1176" t="str">
        <f>IF(VLOOKUP($C126,'Fatores de Emissão'!$C$19:$Y$55,22,FALSE)="","",VLOOKUP($C126,'Fatores de Emissão'!$C$19:$Y$55,22,FALSE))</f>
        <v/>
      </c>
      <c r="O126" s="1177" t="str">
        <f>IF(VLOOKUP($C126,'Fatores de Emissão'!$C$19:$Y$55,22,FALSE)="","",VLOOKUP($C126,'Fatores de Emissão'!$C$19:$Y$55,23,FALSE))</f>
        <v/>
      </c>
      <c r="P126" s="1179"/>
    </row>
    <row r="127" spans="1:16" s="237" customFormat="1" ht="15" customHeight="1" x14ac:dyDescent="0.25">
      <c r="A127" s="205"/>
      <c r="B127" s="381">
        <f>'Fatores de Emissão'!B49</f>
        <v>31</v>
      </c>
      <c r="C127" s="381" t="str">
        <f>'Fatores de Emissão'!C49</f>
        <v>Óleos Usados</v>
      </c>
      <c r="D127" s="383">
        <f t="shared" si="2"/>
        <v>0</v>
      </c>
      <c r="E127" s="382" t="str">
        <f>'Fatores de Emissão'!E49</f>
        <v>Toneladas</v>
      </c>
      <c r="F127" s="1095">
        <f>'Fatores de Emissão'!L49*1000</f>
        <v>2946.66</v>
      </c>
      <c r="G127" s="1097">
        <f>HLOOKUP($D$35,'Fatores de Emissão'!$M$18:$Q$55,$B127+1,FALSE)*1000</f>
        <v>1.206</v>
      </c>
      <c r="H127" s="1097">
        <f>HLOOKUP($D$35,'Fatores de Emissão'!$S$18:$V$55,$B127+1,FALSE)*1000</f>
        <v>0.1608</v>
      </c>
      <c r="I127" s="384">
        <f t="shared" si="3"/>
        <v>0</v>
      </c>
      <c r="J127" s="384">
        <f t="shared" si="4"/>
        <v>0</v>
      </c>
      <c r="K127" s="384">
        <f t="shared" si="4"/>
        <v>0</v>
      </c>
      <c r="L127" s="384">
        <f t="shared" si="1"/>
        <v>0</v>
      </c>
      <c r="M127" s="314"/>
      <c r="N127" s="1176" t="str">
        <f>IF(VLOOKUP($C127,'Fatores de Emissão'!$C$19:$Y$55,22,FALSE)="","",VLOOKUP($C127,'Fatores de Emissão'!$C$19:$Y$55,22,FALSE))</f>
        <v/>
      </c>
      <c r="O127" s="1177" t="str">
        <f>IF(VLOOKUP($C127,'Fatores de Emissão'!$C$19:$Y$55,22,FALSE)="","",VLOOKUP($C127,'Fatores de Emissão'!$C$19:$Y$55,23,FALSE))</f>
        <v/>
      </c>
      <c r="P127" s="1179"/>
    </row>
    <row r="128" spans="1:16" s="237" customFormat="1" ht="15" customHeight="1" x14ac:dyDescent="0.25">
      <c r="A128" s="205"/>
      <c r="B128" s="381">
        <f>'Fatores de Emissão'!B50</f>
        <v>32</v>
      </c>
      <c r="C128" s="381" t="str">
        <f>'Fatores de Emissão'!C50</f>
        <v>Orimulsão</v>
      </c>
      <c r="D128" s="383">
        <f t="shared" si="2"/>
        <v>0</v>
      </c>
      <c r="E128" s="382" t="str">
        <f>'Fatores de Emissão'!E50</f>
        <v>Toneladas</v>
      </c>
      <c r="F128" s="1095">
        <f>'Fatores de Emissão'!L50*1000</f>
        <v>2117.4999999999995</v>
      </c>
      <c r="G128" s="1097">
        <f>HLOOKUP($D$35,'Fatores de Emissão'!$M$18:$Q$55,$B128+1,FALSE)*1000</f>
        <v>8.2500000000000004E-2</v>
      </c>
      <c r="H128" s="1097">
        <f>HLOOKUP($D$35,'Fatores de Emissão'!$S$18:$V$55,$B128+1,FALSE)*1000</f>
        <v>1.6499999999999997E-2</v>
      </c>
      <c r="I128" s="384">
        <f t="shared" si="3"/>
        <v>0</v>
      </c>
      <c r="J128" s="384">
        <f t="shared" si="4"/>
        <v>0</v>
      </c>
      <c r="K128" s="384">
        <f t="shared" si="4"/>
        <v>0</v>
      </c>
      <c r="L128" s="384">
        <f t="shared" si="1"/>
        <v>0</v>
      </c>
      <c r="M128" s="314"/>
      <c r="N128" s="1176" t="str">
        <f>IF(VLOOKUP($C128,'Fatores de Emissão'!$C$19:$Y$55,22,FALSE)="","",VLOOKUP($C128,'Fatores de Emissão'!$C$19:$Y$55,22,FALSE))</f>
        <v/>
      </c>
      <c r="O128" s="1177" t="str">
        <f>IF(VLOOKUP($C128,'Fatores de Emissão'!$C$19:$Y$55,22,FALSE)="","",VLOOKUP($C128,'Fatores de Emissão'!$C$19:$Y$55,23,FALSE))</f>
        <v/>
      </c>
      <c r="P128" s="1179"/>
    </row>
    <row r="129" spans="1:16" s="237" customFormat="1" ht="15" customHeight="1" x14ac:dyDescent="0.25">
      <c r="A129" s="205"/>
      <c r="B129" s="381">
        <f>'Fatores de Emissão'!B51</f>
        <v>33</v>
      </c>
      <c r="C129" s="381" t="str">
        <f>'Fatores de Emissão'!C51</f>
        <v>Outros Carvões Betuminosos</v>
      </c>
      <c r="D129" s="383">
        <f t="shared" si="2"/>
        <v>0</v>
      </c>
      <c r="E129" s="382" t="str">
        <f>'Fatores de Emissão'!E51</f>
        <v>Toneladas</v>
      </c>
      <c r="F129" s="1095">
        <f>'Fatores de Emissão'!L51*1000</f>
        <v>2440.6799999999998</v>
      </c>
      <c r="G129" s="1097">
        <f>HLOOKUP($D$35,'Fatores de Emissão'!$M$18:$Q$55,$B129+1,FALSE)*1000</f>
        <v>2.58E-2</v>
      </c>
      <c r="H129" s="1097">
        <f>HLOOKUP($D$35,'Fatores de Emissão'!$S$18:$V$55,$B129+1,FALSE)*1000</f>
        <v>3.8699999999999998E-2</v>
      </c>
      <c r="I129" s="384">
        <f t="shared" si="3"/>
        <v>0</v>
      </c>
      <c r="J129" s="384">
        <f t="shared" si="4"/>
        <v>0</v>
      </c>
      <c r="K129" s="384">
        <f t="shared" si="4"/>
        <v>0</v>
      </c>
      <c r="L129" s="384">
        <f t="shared" si="1"/>
        <v>0</v>
      </c>
      <c r="M129" s="314"/>
      <c r="N129" s="1176" t="str">
        <f>IF(VLOOKUP($C129,'Fatores de Emissão'!$C$19:$Y$55,22,FALSE)="","",VLOOKUP($C129,'Fatores de Emissão'!$C$19:$Y$55,22,FALSE))</f>
        <v/>
      </c>
      <c r="O129" s="1177" t="str">
        <f>IF(VLOOKUP($C129,'Fatores de Emissão'!$C$19:$Y$55,22,FALSE)="","",VLOOKUP($C129,'Fatores de Emissão'!$C$19:$Y$55,23,FALSE))</f>
        <v/>
      </c>
      <c r="P129" s="1179"/>
    </row>
    <row r="130" spans="1:16" s="237" customFormat="1" ht="15" customHeight="1" x14ac:dyDescent="0.25">
      <c r="A130" s="205"/>
      <c r="B130" s="381">
        <f>'Fatores de Emissão'!B52</f>
        <v>34</v>
      </c>
      <c r="C130" s="381" t="str">
        <f>'Fatores de Emissão'!C52</f>
        <v>Petróleo Bruto</v>
      </c>
      <c r="D130" s="383">
        <f>SUMIF($D$48:$D$90,$C130,$E$48:$E$90)</f>
        <v>0</v>
      </c>
      <c r="E130" s="382" t="str">
        <f>'Fatores de Emissão'!E52</f>
        <v>Litros</v>
      </c>
      <c r="F130" s="1095">
        <f>'Fatores de Emissão'!L52*1000</f>
        <v>2.4804720000000002</v>
      </c>
      <c r="G130" s="1097">
        <f>HLOOKUP($D$35,'Fatores de Emissão'!$M$18:$Q$55,$B130+1,FALSE)*1000</f>
        <v>1.0151999999999999E-4</v>
      </c>
      <c r="H130" s="1097">
        <f>HLOOKUP($D$35,'Fatores de Emissão'!$S$18:$V$55,$B130+1,FALSE)*1000</f>
        <v>2.0304000000000001E-5</v>
      </c>
      <c r="I130" s="384">
        <f t="shared" si="3"/>
        <v>0</v>
      </c>
      <c r="J130" s="384">
        <f t="shared" si="4"/>
        <v>0</v>
      </c>
      <c r="K130" s="384">
        <f t="shared" si="4"/>
        <v>0</v>
      </c>
      <c r="L130" s="384">
        <f t="shared" si="1"/>
        <v>0</v>
      </c>
      <c r="M130" s="314"/>
      <c r="N130" s="1176" t="str">
        <f>IF(VLOOKUP($C130,'Fatores de Emissão'!$C$19:$Y$55,22,FALSE)="","",VLOOKUP($C130,'Fatores de Emissão'!$C$19:$Y$55,22,FALSE))</f>
        <v/>
      </c>
      <c r="O130" s="1177" t="str">
        <f>IF(VLOOKUP($C130,'Fatores de Emissão'!$C$19:$Y$55,22,FALSE)="","",VLOOKUP($C130,'Fatores de Emissão'!$C$19:$Y$55,23,FALSE))</f>
        <v/>
      </c>
      <c r="P130" s="1179"/>
    </row>
    <row r="131" spans="1:16" s="237" customFormat="1" ht="15" customHeight="1" x14ac:dyDescent="0.25">
      <c r="A131" s="205"/>
      <c r="B131" s="381">
        <f>'Fatores de Emissão'!B53</f>
        <v>35</v>
      </c>
      <c r="C131" s="381" t="str">
        <f>'Fatores de Emissão'!C53</f>
        <v>Querosene para Motores de Reação (Jet A)</v>
      </c>
      <c r="D131" s="383">
        <f t="shared" si="2"/>
        <v>0</v>
      </c>
      <c r="E131" s="382" t="str">
        <f>'Fatores de Emissão'!E53</f>
        <v>Litros</v>
      </c>
      <c r="F131" s="1095">
        <f>'Fatores de Emissão'!L53*1000</f>
        <v>2.4909885000000003</v>
      </c>
      <c r="G131" s="1097">
        <f>HLOOKUP($D$35,'Fatores de Emissão'!$M$18:$Q$55,$B131+1,FALSE)*1000</f>
        <v>1.04517E-4</v>
      </c>
      <c r="H131" s="1097">
        <f>HLOOKUP($D$35,'Fatores de Emissão'!$S$18:$V$55,$B131+1,FALSE)*1000</f>
        <v>2.09034E-5</v>
      </c>
      <c r="I131" s="384">
        <f t="shared" si="3"/>
        <v>0</v>
      </c>
      <c r="J131" s="384">
        <f t="shared" si="4"/>
        <v>0</v>
      </c>
      <c r="K131" s="384">
        <f t="shared" si="4"/>
        <v>0</v>
      </c>
      <c r="L131" s="384">
        <f t="shared" si="1"/>
        <v>0</v>
      </c>
      <c r="M131" s="314"/>
      <c r="N131" s="1176" t="str">
        <f>IF(VLOOKUP($C131,'Fatores de Emissão'!$C$19:$Y$55,22,FALSE)="","",VLOOKUP($C131,'Fatores de Emissão'!$C$19:$Y$55,22,FALSE))</f>
        <v/>
      </c>
      <c r="O131" s="1177" t="str">
        <f>IF(VLOOKUP($C131,'Fatores de Emissão'!$C$19:$Y$55,22,FALSE)="","",VLOOKUP($C131,'Fatores de Emissão'!$C$19:$Y$55,23,FALSE))</f>
        <v/>
      </c>
      <c r="P131" s="1179"/>
    </row>
    <row r="132" spans="1:16" s="237" customFormat="1" ht="15" customHeight="1" x14ac:dyDescent="0.25">
      <c r="A132" s="205"/>
      <c r="B132" s="381">
        <f>'Fatores de Emissão'!B54</f>
        <v>36</v>
      </c>
      <c r="C132" s="381" t="str">
        <f>'Fatores de Emissão'!C54</f>
        <v>Resíduos Urbanos (fração não biodegradável)</v>
      </c>
      <c r="D132" s="383">
        <f t="shared" si="2"/>
        <v>0</v>
      </c>
      <c r="E132" s="382" t="str">
        <f>'Fatores de Emissão'!E54</f>
        <v>Toneladas</v>
      </c>
      <c r="F132" s="1095">
        <f>'Fatores de Emissão'!L54*1000</f>
        <v>916.99999999999989</v>
      </c>
      <c r="G132" s="1097">
        <f>HLOOKUP($D$35,'Fatores de Emissão'!$M$18:$Q$55,$B132+1,FALSE)*1000</f>
        <v>0.3</v>
      </c>
      <c r="H132" s="1097">
        <f>HLOOKUP($D$35,'Fatores de Emissão'!$S$18:$V$55,$B132+1,FALSE)*1000</f>
        <v>3.9999999999999994E-2</v>
      </c>
      <c r="I132" s="384">
        <f t="shared" si="3"/>
        <v>0</v>
      </c>
      <c r="J132" s="384">
        <f t="shared" si="4"/>
        <v>0</v>
      </c>
      <c r="K132" s="384">
        <f t="shared" si="4"/>
        <v>0</v>
      </c>
      <c r="L132" s="384">
        <f t="shared" si="1"/>
        <v>0</v>
      </c>
      <c r="M132" s="314"/>
      <c r="N132" s="1176" t="str">
        <f>IF(VLOOKUP($C132,'Fatores de Emissão'!$C$19:$Y$55,22,FALSE)="","",VLOOKUP($C132,'Fatores de Emissão'!$C$19:$Y$55,22,FALSE))</f>
        <v/>
      </c>
      <c r="O132" s="1177" t="str">
        <f>IF(VLOOKUP($C132,'Fatores de Emissão'!$C$19:$Y$55,22,FALSE)="","",VLOOKUP($C132,'Fatores de Emissão'!$C$19:$Y$55,23,FALSE))</f>
        <v/>
      </c>
      <c r="P132" s="1179"/>
    </row>
    <row r="133" spans="1:16" s="237" customFormat="1" ht="15" customHeight="1" x14ac:dyDescent="0.25">
      <c r="A133" s="205"/>
      <c r="B133" s="381">
        <f>'Fatores de Emissão'!B55</f>
        <v>37</v>
      </c>
      <c r="C133" s="381" t="str">
        <f>'Fatores de Emissão'!C55</f>
        <v>Xisto Betuminoso e Areias Betuminosas</v>
      </c>
      <c r="D133" s="383">
        <f t="shared" si="2"/>
        <v>0</v>
      </c>
      <c r="E133" s="382" t="str">
        <f>'Fatores de Emissão'!E55</f>
        <v>Toneladas</v>
      </c>
      <c r="F133" s="1095">
        <f>'Fatores de Emissão'!L55*1000</f>
        <v>952.3</v>
      </c>
      <c r="G133" s="1097">
        <f>HLOOKUP($D$35,'Fatores de Emissão'!$M$18:$Q$55,$B133+1,FALSE)*1000</f>
        <v>8.8999999999999999E-3</v>
      </c>
      <c r="H133" s="1097">
        <f>HLOOKUP($D$35,'Fatores de Emissão'!$S$18:$V$55,$B133+1,FALSE)*1000</f>
        <v>1.3350000000000001E-2</v>
      </c>
      <c r="I133" s="384">
        <f t="shared" si="3"/>
        <v>0</v>
      </c>
      <c r="J133" s="384">
        <f t="shared" si="4"/>
        <v>0</v>
      </c>
      <c r="K133" s="384">
        <f t="shared" si="4"/>
        <v>0</v>
      </c>
      <c r="L133" s="384">
        <f t="shared" si="1"/>
        <v>0</v>
      </c>
      <c r="M133" s="314"/>
      <c r="N133" s="1176" t="str">
        <f>IF(VLOOKUP($C133,'Fatores de Emissão'!$C$19:$Y$55,22,FALSE)="","",VLOOKUP($C133,'Fatores de Emissão'!$C$19:$Y$55,22,FALSE))</f>
        <v/>
      </c>
      <c r="O133" s="1177" t="str">
        <f>IF(VLOOKUP($C133,'Fatores de Emissão'!$C$19:$Y$55,22,FALSE)="","",VLOOKUP($C133,'Fatores de Emissão'!$C$19:$Y$55,23,FALSE))</f>
        <v/>
      </c>
      <c r="P133" s="1179"/>
    </row>
    <row r="134" spans="1:16" s="237" customFormat="1" ht="15" customHeight="1" x14ac:dyDescent="0.25">
      <c r="A134" s="205"/>
      <c r="B134" s="1243" t="s">
        <v>1843</v>
      </c>
      <c r="C134" s="1243"/>
      <c r="D134" s="1243"/>
      <c r="E134" s="385"/>
      <c r="F134" s="386"/>
      <c r="G134" s="340"/>
      <c r="H134" s="341"/>
      <c r="I134" s="387">
        <f>IF(ISERROR(SUM(I97:I133)),0,SUM(I97:I133))</f>
        <v>0</v>
      </c>
      <c r="J134" s="387">
        <f>IF(ISERROR(SUM(J97:J133)),0,SUM(J97:J133))</f>
        <v>0</v>
      </c>
      <c r="K134" s="387">
        <f>IF(ISERROR(SUM(K97:K133)),0,SUM(K97:K133))</f>
        <v>0</v>
      </c>
      <c r="L134" s="387">
        <f>IF(ISERROR(SUM(L97:L133)),0,SUM(L97:L133))</f>
        <v>0</v>
      </c>
      <c r="M134" s="205"/>
      <c r="N134" s="1180"/>
      <c r="O134" s="1181"/>
      <c r="P134" s="1181">
        <f>SUM(P97:P133)</f>
        <v>0</v>
      </c>
    </row>
    <row r="135" spans="1:16" s="237" customFormat="1" ht="15" customHeight="1" x14ac:dyDescent="0.25">
      <c r="A135" s="205"/>
      <c r="B135" s="389">
        <f>'Fatores de Emissão'!B61</f>
        <v>38</v>
      </c>
      <c r="C135" s="389" t="str">
        <f>'Fatores de Emissão'!C61</f>
        <v>Biodiesel</v>
      </c>
      <c r="D135" s="391">
        <f>SUMIF($D$48:$D$90,C135,$E$48:$E$90)</f>
        <v>0</v>
      </c>
      <c r="E135" s="390" t="str">
        <f>'Fatores de Emissão'!E61</f>
        <v>Toneladas</v>
      </c>
      <c r="F135" s="1096">
        <f>'Fatores de Emissão'!L61*1000</f>
        <v>1911.6</v>
      </c>
      <c r="G135" s="1098">
        <f>HLOOKUP($D$35,'Fatores de Emissão'!$M$60:$Q$72,$B135-36,FALSE)*1000</f>
        <v>8.0999999999999989E-2</v>
      </c>
      <c r="H135" s="1098">
        <f>HLOOKUP($D$35,'Fatores de Emissão'!$S$60:$V$72,$B135-36,FALSE)*1000</f>
        <v>1.6199999999999996E-2</v>
      </c>
      <c r="I135" s="384">
        <f>IF(ISERROR($D135*F135),0,$D135*F135)</f>
        <v>0</v>
      </c>
      <c r="J135" s="384">
        <f t="shared" ref="J135:J146" si="6">IF(ISERROR($D135*G135),0,$D135*G135)</f>
        <v>0</v>
      </c>
      <c r="K135" s="384">
        <f t="shared" ref="K135:K146" si="7">IF(ISERROR($D135*H135),0,$D135*H135)</f>
        <v>0</v>
      </c>
      <c r="L135" s="384">
        <f t="shared" ref="L135:L146" si="8">IF(ISERROR(I135+J135*gwp_CH4+K135*gwp_N2O),"",I135+J135*gwp_CH4+K135*gwp_N2O)</f>
        <v>0</v>
      </c>
      <c r="M135" s="312"/>
      <c r="N135" s="1177"/>
      <c r="O135" s="1177"/>
      <c r="P135" s="1177"/>
    </row>
    <row r="136" spans="1:16" s="237" customFormat="1" ht="15" customHeight="1" x14ac:dyDescent="0.25">
      <c r="A136" s="205"/>
      <c r="B136" s="389">
        <f>'Fatores de Emissão'!B62</f>
        <v>39</v>
      </c>
      <c r="C136" s="389" t="str">
        <f>'Fatores de Emissão'!C62</f>
        <v>Biogasolina</v>
      </c>
      <c r="D136" s="391">
        <f t="shared" ref="D136:D146" si="9">SUMIF($D$48:$D$90,C136,$E$48:$E$90)</f>
        <v>0</v>
      </c>
      <c r="E136" s="390" t="str">
        <f>'Fatores de Emissão'!E62</f>
        <v>Toneladas</v>
      </c>
      <c r="F136" s="1096">
        <f>'Fatores de Emissão'!L62*1000</f>
        <v>1911.6</v>
      </c>
      <c r="G136" s="1098">
        <f>HLOOKUP($D$35,'Fatores de Emissão'!$M$60:$Q$72,$B136-36,FALSE)*1000</f>
        <v>8.0999999999999989E-2</v>
      </c>
      <c r="H136" s="1098">
        <f>HLOOKUP($D$35,'Fatores de Emissão'!$S$60:$V$72,$B136-36,FALSE)*1000</f>
        <v>1.6199999999999996E-2</v>
      </c>
      <c r="I136" s="384">
        <f t="shared" ref="I136:I146" si="10">IF(ISERROR($D136*F136),0,$D136*F136)</f>
        <v>0</v>
      </c>
      <c r="J136" s="384">
        <f t="shared" si="6"/>
        <v>0</v>
      </c>
      <c r="K136" s="384">
        <f t="shared" si="7"/>
        <v>0</v>
      </c>
      <c r="L136" s="384">
        <f t="shared" si="8"/>
        <v>0</v>
      </c>
      <c r="M136" s="312"/>
      <c r="N136" s="1177"/>
      <c r="O136" s="1177"/>
      <c r="P136" s="1177"/>
    </row>
    <row r="137" spans="1:16" s="237" customFormat="1" ht="15" customHeight="1" x14ac:dyDescent="0.25">
      <c r="A137" s="205"/>
      <c r="B137" s="389">
        <f>'Fatores de Emissão'!B63</f>
        <v>40</v>
      </c>
      <c r="C137" s="389" t="str">
        <f>'Fatores de Emissão'!C63</f>
        <v>Carvão Vegetal</v>
      </c>
      <c r="D137" s="391">
        <f t="shared" si="9"/>
        <v>0</v>
      </c>
      <c r="E137" s="390" t="str">
        <f>'Fatores de Emissão'!E63</f>
        <v>Toneladas</v>
      </c>
      <c r="F137" s="1096">
        <f>'Fatores de Emissão'!L63*1000</f>
        <v>3304</v>
      </c>
      <c r="G137" s="1098">
        <f>HLOOKUP($D$35,'Fatores de Emissão'!$M$60:$Q$72,$B137-36,FALSE)*1000</f>
        <v>5.8999999999999995</v>
      </c>
      <c r="H137" s="1098">
        <f>HLOOKUP($D$35,'Fatores de Emissão'!$S$60:$V$72,$B137-36,FALSE)*1000</f>
        <v>0.11799999999999999</v>
      </c>
      <c r="I137" s="384">
        <f t="shared" si="10"/>
        <v>0</v>
      </c>
      <c r="J137" s="384">
        <f t="shared" si="6"/>
        <v>0</v>
      </c>
      <c r="K137" s="384">
        <f t="shared" si="7"/>
        <v>0</v>
      </c>
      <c r="L137" s="384">
        <f t="shared" si="8"/>
        <v>0</v>
      </c>
      <c r="M137" s="312"/>
      <c r="N137" s="1177"/>
      <c r="O137" s="1177"/>
      <c r="P137" s="1177"/>
    </row>
    <row r="138" spans="1:16" s="237" customFormat="1" ht="15" customHeight="1" x14ac:dyDescent="0.25">
      <c r="A138" s="205"/>
      <c r="B138" s="389">
        <f>'Fatores de Emissão'!B64</f>
        <v>41</v>
      </c>
      <c r="C138" s="389" t="str">
        <f>'Fatores de Emissão'!C64</f>
        <v>Gases de Aterro</v>
      </c>
      <c r="D138" s="391">
        <f t="shared" si="9"/>
        <v>0</v>
      </c>
      <c r="E138" s="390" t="str">
        <f>'Fatores de Emissão'!E64</f>
        <v xml:space="preserve">   m3</v>
      </c>
      <c r="F138" s="1096">
        <f>'Fatores de Emissão'!L64*1000</f>
        <v>2.4766560000000002</v>
      </c>
      <c r="G138" s="1098">
        <f>HLOOKUP($D$35,'Fatores de Emissão'!$M$60:$Q$72,$B138-36,FALSE)*1000</f>
        <v>4.5360000000000006E-5</v>
      </c>
      <c r="H138" s="1098">
        <f>HLOOKUP($D$35,'Fatores de Emissão'!$S$60:$V$72,$B138-36,FALSE)*1000</f>
        <v>4.5360000000000003E-6</v>
      </c>
      <c r="I138" s="384">
        <f t="shared" si="10"/>
        <v>0</v>
      </c>
      <c r="J138" s="384">
        <f t="shared" si="6"/>
        <v>0</v>
      </c>
      <c r="K138" s="384">
        <f t="shared" si="7"/>
        <v>0</v>
      </c>
      <c r="L138" s="384">
        <f t="shared" si="8"/>
        <v>0</v>
      </c>
      <c r="M138" s="312"/>
      <c r="N138" s="1177"/>
      <c r="O138" s="1177"/>
      <c r="P138" s="1177"/>
    </row>
    <row r="139" spans="1:16" s="237" customFormat="1" ht="15" customHeight="1" x14ac:dyDescent="0.25">
      <c r="A139" s="205"/>
      <c r="B139" s="389">
        <f>'Fatores de Emissão'!B65</f>
        <v>42</v>
      </c>
      <c r="C139" s="389" t="str">
        <f>'Fatores de Emissão'!C65</f>
        <v>Gases de Lamas de Depuração</v>
      </c>
      <c r="D139" s="391">
        <f t="shared" si="9"/>
        <v>0</v>
      </c>
      <c r="E139" s="390" t="str">
        <f>'Fatores de Emissão'!E65</f>
        <v>Toneladas</v>
      </c>
      <c r="F139" s="1096">
        <f>'Fatores de Emissão'!L65*1000</f>
        <v>2751.84</v>
      </c>
      <c r="G139" s="1098">
        <f>HLOOKUP($D$35,'Fatores de Emissão'!$M$60:$Q$72,$B139-36,FALSE)*1000</f>
        <v>5.04E-2</v>
      </c>
      <c r="H139" s="1098">
        <f>HLOOKUP($D$35,'Fatores de Emissão'!$S$60:$V$72,$B139-36,FALSE)*1000</f>
        <v>5.0400000000000002E-3</v>
      </c>
      <c r="I139" s="384">
        <f t="shared" si="10"/>
        <v>0</v>
      </c>
      <c r="J139" s="384">
        <f t="shared" si="6"/>
        <v>0</v>
      </c>
      <c r="K139" s="384">
        <f t="shared" si="7"/>
        <v>0</v>
      </c>
      <c r="L139" s="384">
        <f t="shared" si="8"/>
        <v>0</v>
      </c>
      <c r="M139" s="312"/>
      <c r="N139" s="1177"/>
      <c r="O139" s="1177"/>
      <c r="P139" s="1177"/>
    </row>
    <row r="140" spans="1:16" s="237" customFormat="1" ht="15" customHeight="1" x14ac:dyDescent="0.25">
      <c r="A140" s="205"/>
      <c r="B140" s="389">
        <f>'Fatores de Emissão'!B66</f>
        <v>43</v>
      </c>
      <c r="C140" s="389" t="str">
        <f>'Fatores de Emissão'!C66</f>
        <v>Licor Negro</v>
      </c>
      <c r="D140" s="391">
        <f t="shared" si="9"/>
        <v>0</v>
      </c>
      <c r="E140" s="390" t="str">
        <f>'Fatores de Emissão'!E66</f>
        <v>Toneladas</v>
      </c>
      <c r="F140" s="1096">
        <f>'Fatores de Emissão'!L66*1000</f>
        <v>1124.54</v>
      </c>
      <c r="G140" s="1098">
        <f>HLOOKUP($D$35,'Fatores de Emissão'!$M$60:$Q$72,$B140-36,FALSE)*1000</f>
        <v>3.5400000000000008E-2</v>
      </c>
      <c r="H140" s="1098">
        <f>HLOOKUP($D$35,'Fatores de Emissão'!$S$60:$V$72,$B140-36,FALSE)*1000</f>
        <v>2.3599999999999999E-2</v>
      </c>
      <c r="I140" s="384">
        <f t="shared" si="10"/>
        <v>0</v>
      </c>
      <c r="J140" s="384">
        <f t="shared" si="6"/>
        <v>0</v>
      </c>
      <c r="K140" s="384">
        <f t="shared" si="7"/>
        <v>0</v>
      </c>
      <c r="L140" s="384">
        <f t="shared" si="8"/>
        <v>0</v>
      </c>
      <c r="M140" s="312"/>
      <c r="N140" s="1177"/>
      <c r="O140" s="1177"/>
      <c r="P140" s="1177"/>
    </row>
    <row r="141" spans="1:16" s="237" customFormat="1" ht="15" customHeight="1" x14ac:dyDescent="0.25">
      <c r="A141" s="205"/>
      <c r="B141" s="389">
        <f>'Fatores de Emissão'!B67</f>
        <v>44</v>
      </c>
      <c r="C141" s="389" t="str">
        <f>'Fatores de Emissão'!C67</f>
        <v>Madeira / resíduos de Madeira</v>
      </c>
      <c r="D141" s="391">
        <f t="shared" si="9"/>
        <v>0</v>
      </c>
      <c r="E141" s="390" t="str">
        <f>'Fatores de Emissão'!E67</f>
        <v>Toneladas</v>
      </c>
      <c r="F141" s="1096">
        <f>'Fatores de Emissão'!L67*1000</f>
        <v>1747.1999999999998</v>
      </c>
      <c r="G141" s="1098">
        <f>HLOOKUP($D$35,'Fatores de Emissão'!$M$60:$Q$72,$B141-36,FALSE)*1000</f>
        <v>0.46799999999999997</v>
      </c>
      <c r="H141" s="1098">
        <f>HLOOKUP($D$35,'Fatores de Emissão'!$S$60:$V$72,$B141-36,FALSE)*1000</f>
        <v>6.2399999999999997E-2</v>
      </c>
      <c r="I141" s="384">
        <f t="shared" si="10"/>
        <v>0</v>
      </c>
      <c r="J141" s="384">
        <f t="shared" si="6"/>
        <v>0</v>
      </c>
      <c r="K141" s="384">
        <f t="shared" si="7"/>
        <v>0</v>
      </c>
      <c r="L141" s="384">
        <f t="shared" si="8"/>
        <v>0</v>
      </c>
      <c r="M141" s="312"/>
      <c r="N141" s="1177"/>
      <c r="O141" s="1177"/>
      <c r="P141" s="1177"/>
    </row>
    <row r="142" spans="1:16" s="237" customFormat="1" ht="15" customHeight="1" x14ac:dyDescent="0.25">
      <c r="A142" s="205"/>
      <c r="B142" s="389">
        <f>'Fatores de Emissão'!B68</f>
        <v>45</v>
      </c>
      <c r="C142" s="389" t="str">
        <f>'Fatores de Emissão'!C68</f>
        <v>Outra Biomassa Primária Sólida</v>
      </c>
      <c r="D142" s="391">
        <f t="shared" si="9"/>
        <v>0</v>
      </c>
      <c r="E142" s="390" t="str">
        <f>'Fatores de Emissão'!E68</f>
        <v>Toneladas</v>
      </c>
      <c r="F142" s="1096">
        <f>'Fatores de Emissão'!L68*1000</f>
        <v>1160</v>
      </c>
      <c r="G142" s="1098">
        <f>HLOOKUP($D$35,'Fatores de Emissão'!$M$60:$Q$72,$B142-36,FALSE)*1000</f>
        <v>0.34799999999999998</v>
      </c>
      <c r="H142" s="1098">
        <f>HLOOKUP($D$35,'Fatores de Emissão'!$S$60:$V$72,$B142-36,FALSE)*1000</f>
        <v>4.6399999999999997E-2</v>
      </c>
      <c r="I142" s="384">
        <f t="shared" si="10"/>
        <v>0</v>
      </c>
      <c r="J142" s="384">
        <f t="shared" si="6"/>
        <v>0</v>
      </c>
      <c r="K142" s="384">
        <f t="shared" si="7"/>
        <v>0</v>
      </c>
      <c r="L142" s="384">
        <f t="shared" si="8"/>
        <v>0</v>
      </c>
      <c r="M142" s="312"/>
      <c r="N142" s="1177"/>
      <c r="O142" s="1177"/>
      <c r="P142" s="1177"/>
    </row>
    <row r="143" spans="1:16" s="237" customFormat="1" ht="15" customHeight="1" x14ac:dyDescent="0.25">
      <c r="A143" s="205"/>
      <c r="B143" s="389">
        <f>'Fatores de Emissão'!B69</f>
        <v>46</v>
      </c>
      <c r="C143" s="389" t="str">
        <f>'Fatores de Emissão'!C69</f>
        <v>Outros Biocombustíveis Líquidos</v>
      </c>
      <c r="D143" s="391">
        <f t="shared" si="9"/>
        <v>0</v>
      </c>
      <c r="E143" s="390" t="str">
        <f>'Fatores de Emissão'!E69</f>
        <v>Toneladas</v>
      </c>
      <c r="F143" s="1096">
        <f>'Fatores de Emissão'!L69*1000</f>
        <v>2181.04</v>
      </c>
      <c r="G143" s="1098">
        <f>HLOOKUP($D$35,'Fatores de Emissão'!$M$60:$Q$72,$B143-36,FALSE)*1000</f>
        <v>8.2199999999999981E-2</v>
      </c>
      <c r="H143" s="1098">
        <f>HLOOKUP($D$35,'Fatores de Emissão'!$S$60:$V$72,$B143-36,FALSE)*1000</f>
        <v>1.644E-2</v>
      </c>
      <c r="I143" s="384">
        <f t="shared" si="10"/>
        <v>0</v>
      </c>
      <c r="J143" s="384">
        <f t="shared" si="6"/>
        <v>0</v>
      </c>
      <c r="K143" s="384">
        <f t="shared" si="7"/>
        <v>0</v>
      </c>
      <c r="L143" s="384">
        <f t="shared" si="8"/>
        <v>0</v>
      </c>
      <c r="M143" s="312"/>
      <c r="N143" s="1177"/>
      <c r="O143" s="1177"/>
      <c r="P143" s="1177"/>
    </row>
    <row r="144" spans="1:16" s="237" customFormat="1" ht="15" customHeight="1" x14ac:dyDescent="0.25">
      <c r="A144" s="205"/>
      <c r="B144" s="389">
        <f>'Fatores de Emissão'!B70</f>
        <v>47</v>
      </c>
      <c r="C144" s="389" t="str">
        <f>'Fatores de Emissão'!C70</f>
        <v>Outros Biogases</v>
      </c>
      <c r="D144" s="391">
        <f t="shared" si="9"/>
        <v>0</v>
      </c>
      <c r="E144" s="390" t="str">
        <f>'Fatores de Emissão'!E70</f>
        <v>Toneladas</v>
      </c>
      <c r="F144" s="1096">
        <f>'Fatores de Emissão'!L70*1000</f>
        <v>2751.84</v>
      </c>
      <c r="G144" s="1098">
        <f>HLOOKUP($D$35,'Fatores de Emissão'!$M$60:$Q$72,$B144-36,FALSE)*1000</f>
        <v>5.04E-2</v>
      </c>
      <c r="H144" s="1098">
        <f>HLOOKUP($D$35,'Fatores de Emissão'!$S$60:$V$72,$B144-36,FALSE)*1000</f>
        <v>5.0400000000000002E-3</v>
      </c>
      <c r="I144" s="384">
        <f t="shared" si="10"/>
        <v>0</v>
      </c>
      <c r="J144" s="384">
        <f t="shared" si="6"/>
        <v>0</v>
      </c>
      <c r="K144" s="384">
        <f t="shared" si="7"/>
        <v>0</v>
      </c>
      <c r="L144" s="384">
        <f t="shared" si="8"/>
        <v>0</v>
      </c>
      <c r="M144" s="312"/>
      <c r="N144" s="1177"/>
      <c r="O144" s="1177"/>
      <c r="P144" s="1177"/>
    </row>
    <row r="145" spans="1:16" s="237" customFormat="1" ht="15" customHeight="1" x14ac:dyDescent="0.25">
      <c r="A145" s="205"/>
      <c r="B145" s="389">
        <f>'Fatores de Emissão'!B71</f>
        <v>48</v>
      </c>
      <c r="C145" s="389" t="str">
        <f>'Fatores de Emissão'!C71</f>
        <v>Resíduos Municipais (fração biodegradável)</v>
      </c>
      <c r="D145" s="391">
        <f t="shared" si="9"/>
        <v>0</v>
      </c>
      <c r="E145" s="390" t="str">
        <f>'Fatores de Emissão'!E71</f>
        <v>Toneladas</v>
      </c>
      <c r="F145" s="1096">
        <f>'Fatores de Emissão'!L71*1000</f>
        <v>1160</v>
      </c>
      <c r="G145" s="1098">
        <f>HLOOKUP($D$35,'Fatores de Emissão'!$M$60:$Q$72,$B145-36,FALSE)*1000</f>
        <v>0.34799999999999998</v>
      </c>
      <c r="H145" s="1098">
        <f>HLOOKUP($D$35,'Fatores de Emissão'!$S$60:$V$72,$B145-36,FALSE)*1000</f>
        <v>4.6399999999999997E-2</v>
      </c>
      <c r="I145" s="384">
        <f t="shared" si="10"/>
        <v>0</v>
      </c>
      <c r="J145" s="384">
        <f t="shared" si="6"/>
        <v>0</v>
      </c>
      <c r="K145" s="384">
        <f t="shared" si="7"/>
        <v>0</v>
      </c>
      <c r="L145" s="384">
        <f t="shared" si="8"/>
        <v>0</v>
      </c>
      <c r="M145" s="373"/>
      <c r="N145" s="586"/>
      <c r="O145" s="1177"/>
      <c r="P145" s="1177"/>
    </row>
    <row r="146" spans="1:16" s="237" customFormat="1" ht="15" customHeight="1" x14ac:dyDescent="0.25">
      <c r="A146" s="205"/>
      <c r="B146" s="389">
        <f>'Fatores de Emissão'!B72</f>
        <v>49</v>
      </c>
      <c r="C146" s="389" t="str">
        <f>'Fatores de Emissão'!C72</f>
        <v>Turfa</v>
      </c>
      <c r="D146" s="391">
        <f t="shared" si="9"/>
        <v>0</v>
      </c>
      <c r="E146" s="390" t="str">
        <f>'Fatores de Emissão'!E72</f>
        <v>Toneladas</v>
      </c>
      <c r="F146" s="1096">
        <f>'Fatores de Emissão'!L72*1000</f>
        <v>1034.56</v>
      </c>
      <c r="G146" s="1098">
        <f>HLOOKUP($D$35,'Fatores de Emissão'!$M$60:$Q$72,$B146-36,FALSE)*1000</f>
        <v>9.7599999999999996E-3</v>
      </c>
      <c r="H146" s="1098">
        <f>HLOOKUP($D$35,'Fatores de Emissão'!$S$60:$V$72,$B146-36,FALSE)*1000</f>
        <v>1.464E-2</v>
      </c>
      <c r="I146" s="384">
        <f t="shared" si="10"/>
        <v>0</v>
      </c>
      <c r="J146" s="384">
        <f t="shared" si="6"/>
        <v>0</v>
      </c>
      <c r="K146" s="384">
        <f t="shared" si="7"/>
        <v>0</v>
      </c>
      <c r="L146" s="384">
        <f t="shared" si="8"/>
        <v>0</v>
      </c>
      <c r="M146" s="373"/>
      <c r="N146" s="586"/>
      <c r="O146" s="1177"/>
      <c r="P146" s="1177"/>
    </row>
    <row r="147" spans="1:16" s="237" customFormat="1" ht="15" customHeight="1" x14ac:dyDescent="0.25">
      <c r="A147" s="205"/>
      <c r="B147" s="1243" t="s">
        <v>1844</v>
      </c>
      <c r="C147" s="1243"/>
      <c r="D147" s="1243"/>
      <c r="E147" s="392"/>
      <c r="F147" s="386"/>
      <c r="G147" s="344"/>
      <c r="H147" s="345"/>
      <c r="I147" s="393">
        <f>IF(ISERROR(SUM(I$135:I$146)),0,SUM(I$135:I$146))</f>
        <v>0</v>
      </c>
      <c r="J147" s="393">
        <f>IF(ISERROR(SUM(J$135:J$146)),0,SUM(J$135:J$146))</f>
        <v>0</v>
      </c>
      <c r="K147" s="393">
        <f>IF(ISERROR(SUM(K$135:K$146)),0,SUM(K$135:K$146))</f>
        <v>0</v>
      </c>
      <c r="L147" s="393">
        <f>IF(ISERROR(SUM(L$135:L$146)),0,SUM(L$135:L$146))</f>
        <v>0</v>
      </c>
      <c r="M147" s="373"/>
      <c r="N147" s="1181"/>
      <c r="O147" s="1181"/>
      <c r="P147" s="1181"/>
    </row>
    <row r="148" spans="1:16" s="237" customFormat="1" ht="15" customHeight="1" x14ac:dyDescent="0.25">
      <c r="A148" s="205"/>
      <c r="B148" s="314"/>
      <c r="C148" s="314"/>
      <c r="D148" s="394"/>
      <c r="E148" s="314"/>
      <c r="F148" s="346"/>
      <c r="G148" s="346"/>
      <c r="H148" s="346"/>
      <c r="I148" s="395"/>
      <c r="J148" s="395"/>
      <c r="K148" s="395"/>
      <c r="L148" s="312"/>
      <c r="M148" s="312"/>
      <c r="N148" s="312"/>
      <c r="O148" s="205"/>
      <c r="P148" s="205"/>
    </row>
    <row r="149" spans="1:16" s="237" customFormat="1" ht="15" customHeight="1" collapsed="1" x14ac:dyDescent="0.25">
      <c r="A149" s="205"/>
      <c r="B149" s="314"/>
      <c r="C149" s="314"/>
      <c r="D149" s="394"/>
      <c r="E149" s="314"/>
      <c r="F149" s="346"/>
      <c r="G149" s="346"/>
      <c r="H149" s="346"/>
      <c r="I149" s="395"/>
      <c r="J149" s="395"/>
      <c r="K149" s="395"/>
      <c r="L149" s="312"/>
      <c r="M149" s="312"/>
      <c r="N149" s="312"/>
      <c r="O149" s="205"/>
      <c r="P149" s="205"/>
    </row>
    <row r="150" spans="1:16" s="237" customFormat="1" ht="18" customHeight="1" x14ac:dyDescent="0.25">
      <c r="A150" s="396"/>
      <c r="B150" s="408" t="s">
        <v>276</v>
      </c>
      <c r="C150" s="397"/>
      <c r="D150" s="398"/>
      <c r="E150" s="397"/>
      <c r="F150" s="397"/>
      <c r="G150" s="397"/>
      <c r="H150" s="397"/>
      <c r="I150" s="397"/>
      <c r="J150" s="397"/>
      <c r="K150" s="397"/>
      <c r="L150" s="397"/>
      <c r="M150" s="397"/>
      <c r="N150" s="399"/>
      <c r="O150" s="400"/>
      <c r="P150" s="400"/>
    </row>
    <row r="151" spans="1:16" s="237" customFormat="1" ht="15" customHeight="1" x14ac:dyDescent="0.25">
      <c r="A151" s="205"/>
      <c r="B151" s="205"/>
      <c r="C151" s="312"/>
      <c r="D151" s="312"/>
      <c r="E151" s="312"/>
      <c r="F151" s="312"/>
      <c r="G151" s="312"/>
      <c r="H151" s="205"/>
      <c r="I151" s="312"/>
      <c r="J151" s="312"/>
      <c r="K151" s="312"/>
      <c r="L151" s="312"/>
      <c r="M151" s="312"/>
      <c r="N151" s="312"/>
      <c r="O151" s="205"/>
      <c r="P151" s="205"/>
    </row>
    <row r="152" spans="1:16" s="237" customFormat="1" ht="15" customHeight="1" x14ac:dyDescent="0.25">
      <c r="A152" s="205"/>
      <c r="B152" s="401" t="s">
        <v>277</v>
      </c>
      <c r="C152" s="312"/>
      <c r="D152" s="402"/>
      <c r="E152" s="402"/>
      <c r="F152" s="402"/>
      <c r="G152" s="395"/>
      <c r="H152" s="395"/>
      <c r="I152" s="312"/>
      <c r="J152" s="312"/>
      <c r="K152" s="312"/>
      <c r="L152" s="312"/>
      <c r="M152" s="312"/>
      <c r="N152" s="312"/>
      <c r="O152" s="205"/>
      <c r="P152" s="205"/>
    </row>
    <row r="153" spans="1:16" s="237" customFormat="1" ht="5.0999999999999996" customHeight="1" thickBot="1" x14ac:dyDescent="0.3">
      <c r="A153" s="205"/>
      <c r="B153" s="205"/>
      <c r="C153" s="205"/>
      <c r="D153" s="205"/>
      <c r="E153" s="205"/>
      <c r="F153" s="205"/>
      <c r="G153" s="205"/>
      <c r="H153" s="205"/>
      <c r="I153" s="312"/>
      <c r="J153" s="312"/>
      <c r="K153" s="312"/>
      <c r="L153" s="312"/>
      <c r="M153" s="312"/>
      <c r="N153" s="312"/>
      <c r="O153" s="205"/>
      <c r="P153" s="205"/>
    </row>
    <row r="154" spans="1:16" s="237" customFormat="1" ht="30" customHeight="1" thickBot="1" x14ac:dyDescent="0.3">
      <c r="A154" s="205"/>
      <c r="B154" s="409" t="s">
        <v>1407</v>
      </c>
      <c r="C154" s="403"/>
      <c r="D154" s="404"/>
      <c r="E154" s="1253">
        <f>($I$134+(($J$134+$J$147)*gwp_CH4)+(($K$134+$K$147)*gwp_N2O))/1000</f>
        <v>0</v>
      </c>
      <c r="F154" s="1254"/>
      <c r="G154" s="405"/>
      <c r="H154" s="405"/>
      <c r="I154" s="363"/>
      <c r="J154" s="405"/>
      <c r="K154" s="405"/>
      <c r="L154" s="373"/>
      <c r="M154" s="373"/>
      <c r="N154" s="373"/>
      <c r="O154" s="205"/>
      <c r="P154" s="205"/>
    </row>
    <row r="155" spans="1:16" s="237" customFormat="1" ht="5.0999999999999996" customHeight="1" thickBot="1" x14ac:dyDescent="0.3">
      <c r="A155" s="205"/>
      <c r="B155" s="205"/>
      <c r="C155" s="205"/>
      <c r="D155" s="205"/>
      <c r="E155" s="406"/>
      <c r="F155" s="406"/>
      <c r="G155" s="205"/>
      <c r="H155" s="205"/>
      <c r="I155" s="312"/>
      <c r="J155" s="312"/>
      <c r="K155" s="312"/>
      <c r="L155" s="312"/>
      <c r="M155" s="312"/>
      <c r="N155" s="312"/>
      <c r="O155" s="205"/>
      <c r="P155" s="205"/>
    </row>
    <row r="156" spans="1:16" s="237" customFormat="1" ht="30" customHeight="1" thickBot="1" x14ac:dyDescent="0.3">
      <c r="A156" s="205"/>
      <c r="B156" s="410" t="s">
        <v>1504</v>
      </c>
      <c r="C156" s="407"/>
      <c r="D156" s="407"/>
      <c r="E156" s="1251">
        <f>I147/1000</f>
        <v>0</v>
      </c>
      <c r="F156" s="1252"/>
      <c r="G156" s="405"/>
      <c r="H156" s="405"/>
      <c r="I156" s="373"/>
      <c r="J156" s="373"/>
      <c r="K156" s="373"/>
      <c r="L156" s="373"/>
      <c r="M156" s="373"/>
      <c r="N156" s="373"/>
      <c r="O156" s="205"/>
      <c r="P156" s="205"/>
    </row>
    <row r="157" spans="1:16" ht="15" customHeight="1" x14ac:dyDescent="0.2">
      <c r="F157" s="330"/>
      <c r="I157" s="303"/>
      <c r="J157" s="303"/>
      <c r="K157" s="303"/>
      <c r="L157" s="303"/>
      <c r="M157" s="303"/>
      <c r="N157" s="303"/>
    </row>
    <row r="158" spans="1:16" ht="15" customHeight="1" x14ac:dyDescent="0.2">
      <c r="I158" s="303"/>
      <c r="J158" s="303"/>
      <c r="K158" s="303"/>
      <c r="L158" s="303"/>
      <c r="M158" s="303"/>
      <c r="N158" s="303"/>
    </row>
    <row r="159" spans="1:16" ht="15" customHeight="1" x14ac:dyDescent="0.2">
      <c r="B159" s="349"/>
      <c r="C159" s="350"/>
      <c r="D159" s="350"/>
      <c r="E159" s="350"/>
      <c r="F159" s="350"/>
      <c r="I159" s="303"/>
      <c r="J159" s="303"/>
      <c r="K159" s="303"/>
      <c r="L159" s="303"/>
      <c r="M159" s="303"/>
      <c r="N159" s="303"/>
    </row>
    <row r="160" spans="1:16" ht="15" customHeight="1" x14ac:dyDescent="0.2">
      <c r="A160" s="331"/>
      <c r="B160" s="1248"/>
      <c r="C160" s="1248"/>
      <c r="D160" s="1248"/>
      <c r="E160" s="1248"/>
      <c r="F160" s="1248"/>
      <c r="G160" s="331"/>
      <c r="H160" s="331"/>
      <c r="I160" s="331"/>
      <c r="J160" s="331"/>
      <c r="K160" s="331"/>
      <c r="L160" s="331"/>
      <c r="M160" s="331"/>
      <c r="N160" s="331"/>
      <c r="O160" s="331"/>
      <c r="P160" s="331"/>
    </row>
    <row r="161" spans="1:16" ht="15" customHeight="1" x14ac:dyDescent="0.2">
      <c r="A161" s="331"/>
      <c r="B161" s="1248"/>
      <c r="C161" s="1248"/>
      <c r="D161" s="1248"/>
      <c r="E161" s="1248"/>
      <c r="F161" s="1248"/>
      <c r="G161" s="331"/>
      <c r="H161" s="331"/>
      <c r="I161" s="331"/>
      <c r="J161" s="331"/>
      <c r="K161" s="331"/>
      <c r="L161" s="331"/>
      <c r="M161" s="331"/>
      <c r="N161" s="331"/>
      <c r="O161" s="331"/>
      <c r="P161" s="331"/>
    </row>
    <row r="162" spans="1:16" ht="15" customHeight="1" x14ac:dyDescent="0.2">
      <c r="A162" s="331"/>
      <c r="B162" s="1248"/>
      <c r="C162" s="1248"/>
      <c r="D162" s="1248"/>
      <c r="E162" s="1248"/>
      <c r="F162" s="1248"/>
      <c r="G162" s="331"/>
      <c r="H162" s="331"/>
      <c r="I162" s="331"/>
      <c r="J162" s="331"/>
      <c r="K162" s="331"/>
      <c r="L162" s="331"/>
      <c r="M162" s="331"/>
      <c r="N162" s="331"/>
      <c r="O162" s="331"/>
      <c r="P162" s="331"/>
    </row>
    <row r="163" spans="1:16" ht="15" customHeight="1" x14ac:dyDescent="0.2">
      <c r="A163" s="331"/>
      <c r="B163" s="1248"/>
      <c r="C163" s="1248"/>
      <c r="D163" s="1248"/>
      <c r="E163" s="1248"/>
      <c r="F163" s="1248"/>
      <c r="G163" s="331"/>
      <c r="H163" s="331"/>
      <c r="I163" s="331"/>
      <c r="J163" s="331"/>
      <c r="K163" s="331"/>
      <c r="L163" s="331"/>
      <c r="M163" s="331"/>
      <c r="N163" s="331"/>
      <c r="O163" s="331"/>
      <c r="P163" s="331"/>
    </row>
    <row r="164" spans="1:16" ht="24.95" customHeight="1" x14ac:dyDescent="0.2"/>
    <row r="165" spans="1:16" hidden="1" x14ac:dyDescent="0.2"/>
    <row r="166" spans="1:16" hidden="1" x14ac:dyDescent="0.2"/>
    <row r="167" spans="1:16" hidden="1" x14ac:dyDescent="0.2"/>
    <row r="168" spans="1:16" hidden="1" x14ac:dyDescent="0.2"/>
    <row r="169" spans="1:16" hidden="1" x14ac:dyDescent="0.2"/>
    <row r="170" spans="1:16" hidden="1" x14ac:dyDescent="0.2"/>
    <row r="171" spans="1:16" hidden="1" x14ac:dyDescent="0.2"/>
    <row r="172" spans="1:16" hidden="1" x14ac:dyDescent="0.2"/>
    <row r="173" spans="1:16" hidden="1" x14ac:dyDescent="0.2"/>
    <row r="174" spans="1:16" hidden="1" x14ac:dyDescent="0.2"/>
    <row r="175" spans="1:16" hidden="1" x14ac:dyDescent="0.2"/>
    <row r="176" spans="1:1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x14ac:dyDescent="0.2"/>
    <row r="407" x14ac:dyDescent="0.2"/>
    <row r="408" x14ac:dyDescent="0.2"/>
    <row r="409" x14ac:dyDescent="0.2"/>
    <row r="410" x14ac:dyDescent="0.2"/>
    <row r="411" x14ac:dyDescent="0.2"/>
    <row r="412" x14ac:dyDescent="0.2"/>
    <row r="413" x14ac:dyDescent="0.2"/>
    <row r="414" x14ac:dyDescent="0.2"/>
    <row r="415" x14ac:dyDescent="0.2"/>
  </sheetData>
  <sheetProtection formatCells="0" formatColumns="0" formatRows="0" insertColumns="0" insertRows="0" insertHyperlinks="0" deleteColumns="0" deleteRows="0" sort="0" autoFilter="0" pivotTables="0"/>
  <sortState ref="O40:O93">
    <sortCondition ref="O40"/>
  </sortState>
  <mergeCells count="27">
    <mergeCell ref="D13:E13"/>
    <mergeCell ref="B134:D134"/>
    <mergeCell ref="B147:D147"/>
    <mergeCell ref="B160:F163"/>
    <mergeCell ref="D45:D46"/>
    <mergeCell ref="E156:F156"/>
    <mergeCell ref="E154:F154"/>
    <mergeCell ref="B45:B46"/>
    <mergeCell ref="C45:C46"/>
    <mergeCell ref="E45:E46"/>
    <mergeCell ref="F45:F46"/>
    <mergeCell ref="F94:H94"/>
    <mergeCell ref="F95:H95"/>
    <mergeCell ref="D35:F35"/>
    <mergeCell ref="B94:B96"/>
    <mergeCell ref="C94:C96"/>
    <mergeCell ref="G35:I35"/>
    <mergeCell ref="I94:I95"/>
    <mergeCell ref="N94:O94"/>
    <mergeCell ref="N95:N96"/>
    <mergeCell ref="O95:O96"/>
    <mergeCell ref="P95:P96"/>
    <mergeCell ref="J94:J95"/>
    <mergeCell ref="K94:K95"/>
    <mergeCell ref="L94:L95"/>
    <mergeCell ref="D94:D96"/>
    <mergeCell ref="E94:E96"/>
  </mergeCells>
  <phoneticPr fontId="8" type="noConversion"/>
  <conditionalFormatting sqref="G35">
    <cfRule type="cellIs" dxfId="11347" priority="30" stopIfTrue="1" operator="equal">
      <formula>"ESCOLHA O SETOR DE ATIVIDADE PARA QUE OS FATORES CORRETOS POSSAM SER CONSIDERADOS!"</formula>
    </cfRule>
  </conditionalFormatting>
  <conditionalFormatting sqref="D13">
    <cfRule type="containsText" dxfId="11346" priority="15" stopIfTrue="1" operator="containsText" text="Escolha">
      <formula>NOT(ISERROR(SEARCH("Escolha",D13)))</formula>
    </cfRule>
  </conditionalFormatting>
  <conditionalFormatting sqref="D13">
    <cfRule type="expression" dxfId="11345" priority="13" stopIfTrue="1">
      <formula>NOT(ISERROR(SEARCH("ESCOLHA",D13)))</formula>
    </cfRule>
  </conditionalFormatting>
  <dataValidations count="2">
    <dataValidation type="custom" allowBlank="1" showInputMessage="1" showErrorMessage="1" errorTitle="Qual o ano considerado?" error="Escolha o ano do inventário na aba &quot;Introdução&quot; para que os fatores de emissão corretos possam ser considerados." sqref="E48:E90">
      <formula1>$D$13&lt;&gt;"ESCOLHA O ANO DO INVENTÁRIO NA ABA 'INTRODUÇÃO'"</formula1>
    </dataValidation>
    <dataValidation type="list" allowBlank="1" showInputMessage="1" showErrorMessage="1" errorTitle="Selecione o setor" error="Selecione o setor na lista suspensa" sqref="D35:F35">
      <formula1>lista_setor</formula1>
    </dataValidation>
  </dataValidations>
  <pageMargins left="0.25" right="0.25" top="0.25" bottom="0.5" header="0.5" footer="0.25"/>
  <pageSetup paperSize="9" scale="54" orientation="landscape" r:id="rId1"/>
  <headerFooter alignWithMargins="0">
    <oddFooter>&amp;L&amp;"Arial,Italic"&amp;9EPA Climate Leaders Simplified GHG Emissions Calculator (Direct 1.0)&amp;R&amp;"Arial,Italic"&amp;9&amp;P of &amp;N</oddFooter>
  </headerFooter>
  <rowBreaks count="2" manualBreakCount="2">
    <brk id="93" max="16" man="1"/>
    <brk id="160" max="16" man="1"/>
  </rowBreaks>
  <colBreaks count="1" manualBreakCount="1">
    <brk id="12" max="159" man="1"/>
  </colBreaks>
  <ignoredErrors>
    <ignoredError sqref="I119 I126" 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'Fatores de Emissão'!$CE$19:$CE$67</xm:f>
          </x14:formula1>
          <xm:sqref>D48:D90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70C0"/>
    <outlinePr summaryBelow="0" summaryRight="0"/>
    <pageSetUpPr fitToPage="1"/>
  </sheetPr>
  <dimension ref="A1:BT780"/>
  <sheetViews>
    <sheetView showGridLines="0" view="pageBreakPreview" zoomScale="60" zoomScaleNormal="80" workbookViewId="0">
      <selection activeCell="G301" sqref="G301"/>
    </sheetView>
  </sheetViews>
  <sheetFormatPr defaultColWidth="0" defaultRowHeight="12.75" zeroHeight="1" outlineLevelRow="2" x14ac:dyDescent="0.2"/>
  <cols>
    <col min="1" max="1" width="10.7109375" style="195" customWidth="1"/>
    <col min="2" max="2" width="15.42578125" style="195" customWidth="1"/>
    <col min="3" max="3" width="23.42578125" style="195" customWidth="1"/>
    <col min="4" max="4" width="73.140625" style="195" customWidth="1"/>
    <col min="5" max="5" width="13.140625" style="195" customWidth="1"/>
    <col min="6" max="6" width="37.7109375" style="195" bestFit="1" customWidth="1"/>
    <col min="7" max="7" width="13.5703125" style="195" customWidth="1"/>
    <col min="8" max="8" width="16.140625" style="195" customWidth="1"/>
    <col min="9" max="9" width="15.28515625" style="195" customWidth="1"/>
    <col min="10" max="10" width="16.5703125" style="195" customWidth="1"/>
    <col min="11" max="16" width="10.7109375" style="195" customWidth="1"/>
    <col min="17" max="17" width="23.7109375" style="195" customWidth="1"/>
    <col min="18" max="18" width="19.28515625" style="195" customWidth="1"/>
    <col min="19" max="19" width="13.42578125" style="195" customWidth="1"/>
    <col min="20" max="20" width="23.42578125" style="195" bestFit="1" customWidth="1"/>
    <col min="21" max="21" width="17" style="195" bestFit="1" customWidth="1"/>
    <col min="22" max="22" width="15" style="195" customWidth="1"/>
    <col min="23" max="23" width="10.5703125" style="195" bestFit="1" customWidth="1"/>
    <col min="24" max="24" width="10.42578125" style="195" bestFit="1" customWidth="1"/>
    <col min="25" max="25" width="10.5703125" style="195" bestFit="1" customWidth="1"/>
    <col min="26" max="26" width="10.28515625" style="195" bestFit="1" customWidth="1"/>
    <col min="27" max="27" width="10.5703125" style="195" customWidth="1"/>
    <col min="28" max="28" width="11.5703125" style="195" customWidth="1"/>
    <col min="29" max="29" width="10.5703125" style="195" customWidth="1"/>
    <col min="30" max="30" width="8.7109375" style="195" customWidth="1"/>
    <col min="31" max="31" width="10" style="195" bestFit="1" customWidth="1"/>
    <col min="32" max="32" width="8.7109375" style="195" customWidth="1"/>
    <col min="33" max="33" width="10.85546875" style="195" customWidth="1"/>
    <col min="34" max="34" width="10.7109375" style="195" customWidth="1"/>
    <col min="35" max="35" width="24.7109375" style="195" customWidth="1"/>
    <col min="36" max="36" width="20.7109375" style="195" customWidth="1"/>
    <col min="37" max="46" width="8.7109375" style="195" customWidth="1"/>
    <col min="47" max="47" width="10.7109375" style="195" customWidth="1"/>
    <col min="48" max="49" width="23.42578125" style="195" customWidth="1"/>
    <col min="50" max="50" width="15.140625" style="195" customWidth="1"/>
    <col min="51" max="53" width="15.7109375" style="195" customWidth="1"/>
    <col min="54" max="55" width="13.140625" style="195" customWidth="1"/>
    <col min="56" max="56" width="15.5703125" style="195" customWidth="1"/>
    <col min="57" max="57" width="15.7109375" style="195" customWidth="1"/>
    <col min="58" max="58" width="19.42578125" style="195" customWidth="1"/>
    <col min="59" max="61" width="10.7109375" style="195" customWidth="1"/>
    <col min="62" max="62" width="12.7109375" style="195" customWidth="1"/>
    <col min="63" max="64" width="24.42578125" style="195" customWidth="1"/>
    <col min="65" max="66" width="17.140625" style="195" customWidth="1"/>
    <col min="67" max="70" width="12.5703125" style="195" customWidth="1"/>
    <col min="71" max="71" width="15" style="195" customWidth="1"/>
    <col min="72" max="72" width="9.140625" style="195" customWidth="1"/>
    <col min="73" max="88" width="9.140625" style="195" hidden="1" customWidth="1"/>
    <col min="89" max="16384" width="9.140625" style="195" hidden="1"/>
  </cols>
  <sheetData>
    <row r="1" spans="1:28" x14ac:dyDescent="0.2">
      <c r="A1" s="339"/>
      <c r="B1" s="339"/>
      <c r="C1" s="339"/>
      <c r="D1" s="339"/>
      <c r="E1" s="339"/>
      <c r="F1" s="339"/>
      <c r="G1" s="339"/>
      <c r="H1" s="339"/>
      <c r="I1" s="339"/>
      <c r="J1" s="339"/>
      <c r="K1" s="339"/>
      <c r="L1" s="339"/>
      <c r="M1" s="339"/>
      <c r="N1" s="339"/>
      <c r="O1" s="339"/>
      <c r="P1" s="339"/>
      <c r="Q1" s="339"/>
      <c r="R1" s="339"/>
      <c r="S1" s="339"/>
      <c r="T1" s="339"/>
      <c r="U1" s="339"/>
      <c r="V1" s="339"/>
      <c r="W1" s="339"/>
      <c r="X1" s="339"/>
      <c r="Y1" s="339"/>
      <c r="Z1" s="339"/>
      <c r="AA1" s="339"/>
      <c r="AB1" s="339"/>
    </row>
    <row r="2" spans="1:28" x14ac:dyDescent="0.2">
      <c r="A2" s="290"/>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row>
    <row r="3" spans="1:28" ht="14.1" customHeight="1" x14ac:dyDescent="0.2">
      <c r="A3" s="290"/>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row>
    <row r="4" spans="1:28" ht="15.75" customHeight="1" x14ac:dyDescent="0.2">
      <c r="A4" s="290"/>
      <c r="B4" s="290"/>
      <c r="C4" s="290"/>
      <c r="D4" s="290"/>
      <c r="E4" s="290"/>
      <c r="F4" s="290"/>
      <c r="G4" s="290"/>
      <c r="H4" s="290"/>
      <c r="I4" s="290"/>
      <c r="J4" s="290"/>
      <c r="K4" s="290"/>
      <c r="L4" s="290"/>
      <c r="M4" s="290"/>
      <c r="N4" s="290"/>
      <c r="O4" s="290"/>
      <c r="P4" s="290"/>
      <c r="Q4" s="290"/>
      <c r="R4" s="290"/>
      <c r="S4" s="290"/>
      <c r="T4" s="290"/>
      <c r="U4" s="290"/>
      <c r="V4" s="290"/>
      <c r="W4" s="290"/>
      <c r="X4" s="290"/>
      <c r="Y4" s="290"/>
      <c r="Z4" s="290"/>
      <c r="AA4" s="290"/>
      <c r="AB4" s="290"/>
    </row>
    <row r="5" spans="1:28" ht="15.75" customHeight="1" x14ac:dyDescent="0.2">
      <c r="A5" s="290"/>
      <c r="B5" s="290"/>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row>
    <row r="6" spans="1:28" ht="15.75" customHeight="1" x14ac:dyDescent="0.2">
      <c r="A6" s="290"/>
      <c r="B6" s="290"/>
      <c r="C6" s="290"/>
      <c r="D6" s="290"/>
      <c r="E6" s="290"/>
      <c r="F6" s="290"/>
      <c r="G6" s="290"/>
      <c r="H6" s="290"/>
      <c r="I6" s="290"/>
      <c r="J6" s="290"/>
      <c r="K6" s="290"/>
      <c r="L6" s="290"/>
      <c r="M6" s="290"/>
      <c r="N6" s="290"/>
      <c r="O6" s="290"/>
      <c r="P6" s="290"/>
      <c r="Q6" s="290"/>
      <c r="R6" s="290"/>
      <c r="S6" s="290"/>
      <c r="T6" s="290"/>
      <c r="U6" s="290"/>
      <c r="V6" s="290"/>
      <c r="W6" s="290"/>
      <c r="X6" s="290"/>
      <c r="Y6" s="290"/>
      <c r="Z6" s="290"/>
      <c r="AA6" s="290"/>
      <c r="AB6" s="290"/>
    </row>
    <row r="7" spans="1:28" ht="15.75" customHeight="1" x14ac:dyDescent="0.2">
      <c r="A7" s="290"/>
      <c r="B7" s="290"/>
      <c r="C7" s="290"/>
      <c r="D7" s="290"/>
      <c r="E7" s="290"/>
      <c r="F7" s="290"/>
      <c r="G7" s="290"/>
      <c r="H7" s="290"/>
      <c r="I7" s="290"/>
      <c r="J7" s="290"/>
      <c r="K7" s="290"/>
      <c r="L7" s="290"/>
      <c r="M7" s="290"/>
      <c r="N7" s="290"/>
      <c r="O7" s="290"/>
      <c r="P7" s="290"/>
      <c r="Q7" s="290"/>
      <c r="R7" s="290"/>
      <c r="S7" s="290"/>
      <c r="T7" s="290"/>
      <c r="U7" s="290"/>
      <c r="V7" s="290"/>
      <c r="W7" s="290"/>
      <c r="X7" s="290"/>
      <c r="Y7" s="290"/>
      <c r="Z7" s="290"/>
      <c r="AA7" s="290"/>
      <c r="AB7" s="290"/>
    </row>
    <row r="8" spans="1:28" ht="15" customHeight="1" x14ac:dyDescent="0.2">
      <c r="A8" s="290"/>
      <c r="B8" s="290"/>
      <c r="C8" s="290"/>
      <c r="D8" s="290"/>
      <c r="E8" s="290"/>
      <c r="F8" s="290"/>
      <c r="G8" s="290"/>
      <c r="H8" s="290"/>
      <c r="I8" s="290"/>
      <c r="J8" s="290"/>
      <c r="K8" s="290"/>
      <c r="L8" s="290"/>
      <c r="M8" s="290"/>
      <c r="N8" s="290"/>
      <c r="O8" s="290"/>
      <c r="P8" s="290"/>
      <c r="Q8" s="290"/>
      <c r="R8" s="290"/>
      <c r="S8" s="290"/>
      <c r="T8" s="290"/>
      <c r="U8" s="290"/>
      <c r="V8" s="290"/>
      <c r="W8" s="290"/>
      <c r="X8" s="290"/>
      <c r="Y8" s="290"/>
      <c r="Z8" s="290"/>
      <c r="AA8" s="290"/>
      <c r="AB8" s="290"/>
    </row>
    <row r="9" spans="1:28" ht="15" customHeight="1" x14ac:dyDescent="0.2">
      <c r="A9" s="290"/>
      <c r="B9" s="290"/>
      <c r="C9" s="290"/>
      <c r="D9" s="290"/>
      <c r="E9" s="290"/>
      <c r="F9" s="290"/>
      <c r="G9" s="290"/>
      <c r="H9" s="290"/>
      <c r="I9" s="290"/>
      <c r="J9" s="290"/>
      <c r="K9" s="290"/>
      <c r="L9" s="290"/>
      <c r="M9" s="290"/>
      <c r="N9" s="290"/>
      <c r="O9" s="290"/>
      <c r="P9" s="290"/>
      <c r="Q9" s="290"/>
      <c r="R9" s="290"/>
      <c r="S9" s="290"/>
      <c r="T9" s="290"/>
      <c r="U9" s="290"/>
      <c r="V9" s="290"/>
      <c r="W9" s="290"/>
      <c r="X9" s="290"/>
      <c r="Y9" s="290"/>
      <c r="Z9" s="290"/>
      <c r="AA9" s="290"/>
      <c r="AB9" s="290"/>
    </row>
    <row r="10" spans="1:28" ht="15" customHeight="1" x14ac:dyDescent="0.2">
      <c r="A10" s="290"/>
      <c r="B10" s="290"/>
      <c r="C10" s="290"/>
      <c r="D10" s="290"/>
      <c r="E10" s="290"/>
      <c r="F10" s="290"/>
      <c r="G10" s="290"/>
      <c r="H10" s="290"/>
      <c r="I10" s="290"/>
      <c r="J10" s="290"/>
      <c r="K10" s="290"/>
      <c r="L10" s="290"/>
      <c r="M10" s="290"/>
      <c r="N10" s="290"/>
      <c r="O10" s="290"/>
      <c r="P10" s="290"/>
      <c r="Q10" s="290"/>
      <c r="R10" s="290"/>
      <c r="S10" s="290"/>
      <c r="T10" s="290"/>
      <c r="U10" s="290"/>
      <c r="V10" s="290"/>
      <c r="W10" s="290"/>
      <c r="X10" s="290"/>
      <c r="Y10" s="290"/>
      <c r="Z10" s="290"/>
      <c r="AA10" s="290"/>
      <c r="AB10" s="290"/>
    </row>
    <row r="11" spans="1:28" ht="15" customHeight="1" x14ac:dyDescent="0.3">
      <c r="A11" s="290"/>
      <c r="B11" s="208" t="s">
        <v>1897</v>
      </c>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row>
    <row r="12" spans="1:28" ht="15" customHeight="1" x14ac:dyDescent="0.2">
      <c r="A12" s="290"/>
      <c r="B12" s="290"/>
      <c r="C12" s="290"/>
      <c r="D12" s="290"/>
      <c r="E12" s="290"/>
      <c r="F12" s="290"/>
      <c r="G12" s="290"/>
      <c r="H12" s="290"/>
      <c r="I12" s="290"/>
      <c r="J12" s="290"/>
      <c r="K12" s="290"/>
      <c r="L12" s="290"/>
      <c r="M12" s="290"/>
      <c r="N12" s="290"/>
      <c r="O12" s="290"/>
      <c r="P12" s="290"/>
      <c r="Q12" s="290"/>
      <c r="R12" s="290"/>
      <c r="S12" s="290"/>
      <c r="T12" s="290"/>
      <c r="U12" s="290"/>
      <c r="V12" s="290"/>
      <c r="W12" s="290"/>
      <c r="X12" s="290"/>
      <c r="Y12" s="290"/>
      <c r="Z12" s="290"/>
      <c r="AA12" s="290"/>
      <c r="AB12" s="290"/>
    </row>
    <row r="13" spans="1:28" ht="15" customHeight="1" x14ac:dyDescent="0.2">
      <c r="A13" s="290"/>
      <c r="B13" s="331"/>
      <c r="C13" s="355" t="s">
        <v>142</v>
      </c>
      <c r="D13" s="1247">
        <f>IF(OR(Ano="Selecione",Ano=0),"Escolha o ano do inventário na aba 'Introdução'",Ano)</f>
        <v>2030</v>
      </c>
      <c r="E13" s="1247"/>
      <c r="F13" s="1247"/>
      <c r="G13" s="290"/>
      <c r="H13" s="290"/>
      <c r="I13" s="290"/>
      <c r="J13" s="290"/>
      <c r="K13" s="290"/>
      <c r="L13" s="290"/>
      <c r="M13" s="290"/>
      <c r="N13" s="290"/>
      <c r="O13" s="290"/>
      <c r="P13" s="290"/>
      <c r="Q13" s="290"/>
      <c r="R13" s="290"/>
      <c r="S13" s="290"/>
      <c r="T13" s="290"/>
      <c r="U13" s="290"/>
      <c r="V13" s="290"/>
      <c r="W13" s="290"/>
      <c r="X13" s="290"/>
      <c r="Y13" s="290"/>
      <c r="Z13" s="290"/>
      <c r="AA13" s="290"/>
      <c r="AB13" s="290"/>
    </row>
    <row r="14" spans="1:28" ht="15" customHeight="1" x14ac:dyDescent="0.2">
      <c r="A14" s="290"/>
      <c r="C14" s="290"/>
      <c r="D14" s="290"/>
      <c r="E14" s="290"/>
      <c r="F14" s="290"/>
      <c r="G14" s="290"/>
      <c r="H14" s="290"/>
      <c r="I14" s="290"/>
      <c r="J14" s="290"/>
      <c r="K14" s="290"/>
      <c r="L14" s="290"/>
      <c r="M14" s="290"/>
      <c r="N14" s="290"/>
      <c r="O14" s="290"/>
      <c r="P14" s="290"/>
      <c r="Q14" s="290"/>
      <c r="R14" s="290"/>
      <c r="S14" s="290"/>
      <c r="T14" s="290"/>
      <c r="U14" s="290"/>
      <c r="V14" s="290"/>
      <c r="W14" s="290"/>
      <c r="X14" s="290"/>
      <c r="Y14" s="290"/>
      <c r="Z14" s="290"/>
      <c r="AA14" s="290"/>
      <c r="AB14" s="290"/>
    </row>
    <row r="15" spans="1:28" ht="15" customHeight="1" x14ac:dyDescent="0.25">
      <c r="A15" s="290"/>
      <c r="B15" s="292" t="s">
        <v>4</v>
      </c>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row>
    <row r="16" spans="1:28" ht="15" customHeight="1" x14ac:dyDescent="0.2">
      <c r="A16" s="290"/>
      <c r="B16" s="206" t="s">
        <v>1895</v>
      </c>
      <c r="C16" s="290"/>
      <c r="D16" s="290"/>
      <c r="E16" s="290"/>
      <c r="F16" s="290"/>
      <c r="G16" s="290"/>
      <c r="H16" s="290"/>
      <c r="I16" s="290"/>
      <c r="J16" s="290"/>
      <c r="K16" s="290"/>
      <c r="L16" s="290"/>
      <c r="M16" s="290"/>
      <c r="N16" s="290"/>
      <c r="O16" s="290"/>
      <c r="P16" s="290"/>
      <c r="Q16" s="290"/>
      <c r="R16" s="290"/>
      <c r="S16" s="290"/>
      <c r="T16" s="290"/>
      <c r="U16" s="290"/>
      <c r="V16" s="290"/>
      <c r="W16" s="290"/>
      <c r="X16" s="290"/>
      <c r="Y16" s="290"/>
      <c r="Z16" s="290"/>
      <c r="AA16" s="290"/>
      <c r="AB16" s="290"/>
    </row>
    <row r="17" spans="1:58" ht="15" customHeight="1" x14ac:dyDescent="0.2">
      <c r="A17" s="290"/>
      <c r="B17" s="206" t="s">
        <v>1720</v>
      </c>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row>
    <row r="18" spans="1:58" ht="15" customHeight="1" x14ac:dyDescent="0.2">
      <c r="A18" s="290"/>
      <c r="B18" s="456" t="s">
        <v>1351</v>
      </c>
      <c r="C18" s="290"/>
      <c r="D18" s="290"/>
      <c r="E18" s="290"/>
      <c r="F18" s="290"/>
      <c r="G18" s="290"/>
      <c r="H18" s="290"/>
      <c r="I18" s="290"/>
      <c r="J18" s="290"/>
      <c r="K18" s="290"/>
      <c r="L18" s="290"/>
      <c r="M18" s="290"/>
      <c r="N18" s="290"/>
      <c r="O18" s="290"/>
      <c r="P18" s="290"/>
      <c r="Q18" s="290"/>
      <c r="R18" s="290"/>
      <c r="S18" s="290"/>
      <c r="T18" s="290"/>
      <c r="U18" s="290"/>
      <c r="V18" s="290"/>
      <c r="W18" s="290"/>
      <c r="X18" s="290"/>
      <c r="Y18" s="290"/>
      <c r="Z18" s="290"/>
      <c r="AA18" s="290"/>
      <c r="AB18" s="290"/>
    </row>
    <row r="19" spans="1:58" ht="15" customHeight="1" x14ac:dyDescent="0.2">
      <c r="A19" s="290"/>
      <c r="B19" s="206" t="s">
        <v>2195</v>
      </c>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row>
    <row r="20" spans="1:58" ht="15" customHeight="1" x14ac:dyDescent="0.2">
      <c r="A20" s="290"/>
      <c r="B20" s="206" t="s">
        <v>1896</v>
      </c>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row>
    <row r="21" spans="1:58" ht="15" customHeight="1" x14ac:dyDescent="0.2">
      <c r="A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row>
    <row r="22" spans="1:58" ht="18" customHeight="1" x14ac:dyDescent="0.2">
      <c r="A22" s="411"/>
      <c r="B22" s="358" t="s">
        <v>1891</v>
      </c>
      <c r="C22" s="412"/>
      <c r="D22" s="413"/>
      <c r="E22" s="413"/>
      <c r="F22" s="413"/>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414"/>
    </row>
    <row r="23" spans="1:58" ht="15" customHeight="1" outlineLevel="1" x14ac:dyDescent="0.2">
      <c r="A23" s="290"/>
      <c r="B23" s="331"/>
      <c r="C23" s="290"/>
      <c r="D23" s="290"/>
      <c r="E23" s="290"/>
      <c r="F23" s="290"/>
      <c r="G23" s="290"/>
      <c r="H23" s="290"/>
      <c r="I23" s="290"/>
      <c r="J23" s="290"/>
      <c r="K23" s="290"/>
      <c r="L23" s="290"/>
      <c r="M23" s="290"/>
      <c r="N23" s="290"/>
      <c r="O23" s="290"/>
      <c r="P23" s="290"/>
      <c r="Q23" s="290"/>
      <c r="R23" s="290"/>
      <c r="S23" s="290"/>
      <c r="T23" s="290"/>
      <c r="U23" s="290"/>
      <c r="V23" s="290"/>
      <c r="W23" s="290"/>
      <c r="X23" s="290"/>
      <c r="Y23" s="290"/>
      <c r="Z23" s="290"/>
      <c r="AA23" s="290"/>
      <c r="AB23" s="290"/>
    </row>
    <row r="24" spans="1:58" ht="15" customHeight="1" outlineLevel="1" x14ac:dyDescent="0.2">
      <c r="A24" s="290"/>
      <c r="B24" s="359" t="s">
        <v>124</v>
      </c>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row>
    <row r="25" spans="1:58" s="237" customFormat="1" ht="15" customHeight="1" outlineLevel="1" x14ac:dyDescent="0.25">
      <c r="A25" s="205"/>
      <c r="B25" s="1283" t="s">
        <v>2196</v>
      </c>
      <c r="C25" s="1283"/>
      <c r="D25" s="1283"/>
      <c r="E25" s="1283"/>
      <c r="F25" s="1283"/>
      <c r="G25" s="1283"/>
      <c r="H25" s="1283"/>
      <c r="I25" s="1283"/>
      <c r="J25" s="1283"/>
      <c r="K25" s="421"/>
      <c r="L25" s="205"/>
      <c r="M25" s="205"/>
      <c r="N25" s="205"/>
      <c r="O25" s="205"/>
      <c r="P25" s="205"/>
      <c r="Q25" s="205"/>
      <c r="R25" s="205"/>
      <c r="S25" s="205"/>
      <c r="T25" s="205"/>
      <c r="U25" s="205"/>
      <c r="V25" s="205"/>
      <c r="W25" s="205"/>
      <c r="X25" s="205"/>
      <c r="Y25" s="205"/>
      <c r="Z25" s="205"/>
      <c r="AA25" s="205"/>
      <c r="AB25" s="205"/>
    </row>
    <row r="26" spans="1:58" s="237" customFormat="1" ht="15" customHeight="1" outlineLevel="1" x14ac:dyDescent="0.25">
      <c r="A26" s="205"/>
      <c r="B26" s="1283"/>
      <c r="C26" s="1283"/>
      <c r="D26" s="1283"/>
      <c r="E26" s="1283"/>
      <c r="F26" s="1283"/>
      <c r="G26" s="1283"/>
      <c r="H26" s="1283"/>
      <c r="I26" s="1283"/>
      <c r="J26" s="1283"/>
      <c r="K26" s="421"/>
      <c r="L26" s="205"/>
      <c r="M26" s="205"/>
      <c r="N26" s="205"/>
      <c r="O26" s="205"/>
      <c r="P26" s="205"/>
      <c r="Q26" s="205"/>
      <c r="R26" s="205"/>
      <c r="S26" s="205"/>
      <c r="T26" s="205"/>
      <c r="U26" s="205"/>
      <c r="V26" s="205"/>
      <c r="W26" s="205"/>
      <c r="X26" s="205"/>
      <c r="Y26" s="205"/>
      <c r="Z26" s="205"/>
      <c r="AA26" s="205"/>
      <c r="AB26" s="205"/>
    </row>
    <row r="27" spans="1:58" s="237" customFormat="1" ht="15" customHeight="1" outlineLevel="1" x14ac:dyDescent="0.25">
      <c r="A27" s="205"/>
      <c r="B27" s="422" t="s">
        <v>1722</v>
      </c>
      <c r="C27" s="205"/>
      <c r="D27" s="205"/>
      <c r="E27" s="205"/>
      <c r="F27" s="205"/>
      <c r="G27" s="205"/>
      <c r="H27" s="205"/>
      <c r="I27" s="205"/>
      <c r="J27" s="205"/>
      <c r="K27" s="205"/>
      <c r="L27" s="205"/>
      <c r="M27" s="205"/>
      <c r="N27" s="205"/>
      <c r="O27" s="205"/>
      <c r="P27" s="205"/>
      <c r="Q27" s="205"/>
      <c r="R27" s="205"/>
      <c r="S27" s="205"/>
      <c r="T27" s="205"/>
      <c r="U27" s="205"/>
      <c r="V27" s="205"/>
      <c r="W27" s="205"/>
      <c r="X27" s="205"/>
      <c r="Y27" s="205"/>
      <c r="Z27" s="205"/>
      <c r="AA27" s="205"/>
      <c r="AB27" s="205"/>
    </row>
    <row r="28" spans="1:58" s="237" customFormat="1" ht="15" customHeight="1" outlineLevel="1" x14ac:dyDescent="0.25">
      <c r="A28" s="205"/>
      <c r="B28" s="206" t="s">
        <v>1723</v>
      </c>
      <c r="C28" s="205"/>
      <c r="D28" s="205"/>
      <c r="E28" s="205"/>
      <c r="F28" s="205"/>
      <c r="G28" s="205"/>
      <c r="H28" s="205"/>
      <c r="I28" s="205"/>
      <c r="J28" s="205"/>
      <c r="K28" s="205"/>
      <c r="L28" s="205"/>
      <c r="M28" s="205"/>
      <c r="N28" s="205"/>
      <c r="O28" s="205"/>
      <c r="P28" s="205"/>
      <c r="Q28" s="205"/>
      <c r="R28" s="205"/>
      <c r="S28" s="205"/>
      <c r="T28" s="205"/>
      <c r="U28" s="205"/>
      <c r="V28" s="205"/>
      <c r="W28" s="205"/>
      <c r="X28" s="205"/>
      <c r="Y28" s="205"/>
      <c r="Z28" s="205"/>
      <c r="AA28" s="205"/>
      <c r="AB28" s="205"/>
    </row>
    <row r="29" spans="1:58" s="237" customFormat="1" ht="15" customHeight="1" outlineLevel="1" x14ac:dyDescent="0.25">
      <c r="A29" s="205"/>
      <c r="B29" s="422"/>
      <c r="C29" s="205"/>
      <c r="D29" s="205"/>
      <c r="E29" s="205"/>
      <c r="F29" s="205"/>
      <c r="G29" s="205"/>
      <c r="H29" s="205"/>
      <c r="I29" s="205"/>
      <c r="J29" s="205"/>
      <c r="K29" s="205"/>
      <c r="L29" s="205"/>
      <c r="M29" s="205"/>
      <c r="N29" s="205"/>
      <c r="O29" s="205"/>
      <c r="P29" s="205"/>
      <c r="Q29" s="205"/>
      <c r="R29" s="205"/>
      <c r="S29" s="205"/>
      <c r="T29" s="205"/>
      <c r="U29" s="205"/>
      <c r="V29" s="205"/>
      <c r="W29" s="205"/>
      <c r="X29" s="205"/>
      <c r="Y29" s="205"/>
      <c r="Z29" s="205"/>
      <c r="AA29" s="205"/>
      <c r="AB29" s="205"/>
    </row>
    <row r="30" spans="1:58" s="237" customFormat="1" ht="15" customHeight="1" outlineLevel="1" x14ac:dyDescent="0.25">
      <c r="A30" s="363"/>
      <c r="B30" s="423" t="s">
        <v>1724</v>
      </c>
      <c r="C30" s="373"/>
      <c r="D30" s="442"/>
      <c r="E30" s="442"/>
      <c r="F30" s="373"/>
      <c r="G30" s="373"/>
      <c r="H30" s="373"/>
      <c r="I30" s="373"/>
      <c r="J30" s="373"/>
      <c r="K30" s="373"/>
      <c r="L30" s="373"/>
      <c r="M30" s="373"/>
      <c r="N30" s="373"/>
      <c r="O30" s="373"/>
      <c r="P30" s="373"/>
      <c r="Q30" s="373"/>
      <c r="R30" s="373"/>
      <c r="S30" s="373"/>
      <c r="T30" s="373"/>
      <c r="U30" s="373"/>
      <c r="V30" s="363"/>
      <c r="W30" s="373"/>
      <c r="X30" s="373"/>
      <c r="Z30" s="373"/>
      <c r="AA30" s="373"/>
      <c r="AB30" s="373"/>
    </row>
    <row r="31" spans="1:58" s="237" customFormat="1" ht="15" customHeight="1" outlineLevel="1" x14ac:dyDescent="0.25">
      <c r="A31" s="363"/>
      <c r="B31" s="388"/>
      <c r="C31" s="373"/>
      <c r="D31" s="442"/>
      <c r="E31" s="442"/>
      <c r="F31" s="373"/>
      <c r="G31" s="373"/>
      <c r="H31" s="373"/>
      <c r="I31" s="373"/>
      <c r="J31" s="373"/>
      <c r="K31" s="373"/>
      <c r="L31" s="373"/>
      <c r="M31" s="373"/>
      <c r="N31" s="373"/>
      <c r="O31" s="373"/>
      <c r="P31" s="373"/>
      <c r="Q31" s="373"/>
      <c r="R31" s="373"/>
      <c r="S31" s="373"/>
      <c r="T31" s="373"/>
      <c r="U31" s="373"/>
      <c r="V31" s="363"/>
      <c r="W31" s="373"/>
      <c r="X31" s="373"/>
      <c r="Z31" s="373"/>
      <c r="AA31" s="373"/>
      <c r="AB31" s="373"/>
    </row>
    <row r="32" spans="1:58" s="237" customFormat="1" ht="15" customHeight="1" outlineLevel="1" x14ac:dyDescent="0.25">
      <c r="A32" s="363"/>
      <c r="B32" s="423" t="s">
        <v>1725</v>
      </c>
      <c r="C32" s="217"/>
      <c r="D32" s="424"/>
      <c r="E32" s="424"/>
      <c r="F32" s="373"/>
      <c r="G32" s="373"/>
      <c r="H32" s="373"/>
      <c r="I32" s="373"/>
      <c r="J32" s="373"/>
      <c r="K32" s="373"/>
      <c r="L32" s="373"/>
      <c r="M32" s="373"/>
      <c r="N32" s="373"/>
      <c r="O32" s="373"/>
      <c r="P32" s="373"/>
      <c r="Q32" s="373"/>
      <c r="R32" s="373"/>
      <c r="S32" s="363"/>
      <c r="T32" s="363"/>
      <c r="U32" s="363"/>
      <c r="V32" s="363"/>
      <c r="W32" s="363"/>
      <c r="X32" s="363"/>
      <c r="Y32" s="363"/>
      <c r="Z32" s="363"/>
      <c r="AA32" s="363"/>
      <c r="AB32" s="363"/>
    </row>
    <row r="33" spans="1:18" s="237" customFormat="1" ht="15" customHeight="1" outlineLevel="1" x14ac:dyDescent="0.25">
      <c r="A33" s="363"/>
      <c r="B33" s="1267" t="s">
        <v>1531</v>
      </c>
      <c r="C33" s="1267" t="s">
        <v>66</v>
      </c>
      <c r="D33" s="1267" t="s">
        <v>255</v>
      </c>
      <c r="E33" s="1267"/>
      <c r="F33" s="1249" t="s">
        <v>13</v>
      </c>
      <c r="G33" s="1269" t="s">
        <v>96</v>
      </c>
      <c r="H33" s="1267" t="s">
        <v>588</v>
      </c>
      <c r="I33" s="1267"/>
      <c r="J33" s="1267"/>
      <c r="K33" s="1249" t="s">
        <v>1408</v>
      </c>
      <c r="L33" s="1249" t="s">
        <v>1409</v>
      </c>
      <c r="M33" s="1249" t="s">
        <v>1410</v>
      </c>
      <c r="N33" s="1249" t="s">
        <v>1411</v>
      </c>
      <c r="P33" s="1246" t="s">
        <v>2192</v>
      </c>
      <c r="Q33" s="1246"/>
      <c r="R33" s="1188" t="s">
        <v>2193</v>
      </c>
    </row>
    <row r="34" spans="1:18" s="237" customFormat="1" ht="15" customHeight="1" outlineLevel="1" x14ac:dyDescent="0.25">
      <c r="A34" s="363"/>
      <c r="B34" s="1267"/>
      <c r="C34" s="1267"/>
      <c r="D34" s="1267"/>
      <c r="E34" s="1267"/>
      <c r="F34" s="1266"/>
      <c r="G34" s="1270"/>
      <c r="H34" s="1267"/>
      <c r="I34" s="1267"/>
      <c r="J34" s="1267"/>
      <c r="K34" s="1266"/>
      <c r="L34" s="1266"/>
      <c r="M34" s="1266"/>
      <c r="N34" s="1266"/>
      <c r="P34" s="1242" t="s">
        <v>2194</v>
      </c>
      <c r="Q34" s="1242" t="s">
        <v>143</v>
      </c>
      <c r="R34" s="1242" t="s">
        <v>2209</v>
      </c>
    </row>
    <row r="35" spans="1:18" s="237" customFormat="1" ht="30" customHeight="1" outlineLevel="1" x14ac:dyDescent="0.25">
      <c r="A35" s="363"/>
      <c r="B35" s="1267"/>
      <c r="C35" s="1267"/>
      <c r="D35" s="1267"/>
      <c r="E35" s="1267"/>
      <c r="F35" s="1250"/>
      <c r="G35" s="1271"/>
      <c r="H35" s="426" t="s">
        <v>1857</v>
      </c>
      <c r="I35" s="426" t="s">
        <v>1858</v>
      </c>
      <c r="J35" s="426" t="s">
        <v>1859</v>
      </c>
      <c r="K35" s="1250"/>
      <c r="L35" s="1250"/>
      <c r="M35" s="1250"/>
      <c r="N35" s="1250"/>
      <c r="P35" s="1242"/>
      <c r="Q35" s="1242"/>
      <c r="R35" s="1242"/>
    </row>
    <row r="36" spans="1:18" s="237" customFormat="1" ht="15" customHeight="1" outlineLevel="1" x14ac:dyDescent="0.25">
      <c r="A36" s="427" t="s">
        <v>606</v>
      </c>
      <c r="B36" s="444" t="s">
        <v>587</v>
      </c>
      <c r="C36" s="445" t="s">
        <v>2066</v>
      </c>
      <c r="D36" s="1272" t="s">
        <v>1728</v>
      </c>
      <c r="E36" s="1272"/>
      <c r="F36" s="446">
        <v>1000</v>
      </c>
      <c r="G36" s="447" t="s">
        <v>581</v>
      </c>
      <c r="H36" s="1108">
        <v>2.27</v>
      </c>
      <c r="I36" s="1109">
        <v>0</v>
      </c>
      <c r="J36" s="1109">
        <v>0</v>
      </c>
      <c r="K36" s="432">
        <v>2.27</v>
      </c>
      <c r="L36" s="1108">
        <v>0</v>
      </c>
      <c r="M36" s="1108">
        <v>0</v>
      </c>
      <c r="N36" s="433">
        <v>2.27</v>
      </c>
      <c r="P36" s="1176">
        <f>IF($D36="","", IF($D36="Gasolina",'Fatores de Emissão'!X25,IF($D36="Gasóleo",'Fatores de Emissão'!X40,IF($D36="Gás natural"='Fatores de Emissão'!X37,""))))</f>
        <v>1.7831841740713317E-4</v>
      </c>
      <c r="Q36" s="1176" t="str">
        <f>IF($D36="","", IF($D36="Gasolina",'Fatores de Emissão'!Y25,IF($D36="Gasóleo",'Fatores de Emissão'!Y40,IF($D36="Gás natural"='Fatores de Emissão'!Y37,""))))</f>
        <v>t CO2/ litro combustível</v>
      </c>
      <c r="R36" s="1176">
        <f>F36*P36</f>
        <v>0.17831841740713317</v>
      </c>
    </row>
    <row r="37" spans="1:18" s="237" customFormat="1" ht="15" customHeight="1" outlineLevel="1" x14ac:dyDescent="0.25">
      <c r="A37" s="363"/>
      <c r="B37" s="435"/>
      <c r="C37" s="435"/>
      <c r="D37" s="1268"/>
      <c r="E37" s="1268"/>
      <c r="F37" s="438"/>
      <c r="G37" s="243" t="str">
        <f>IF(D37="","",VLOOKUP(D37,'Fatores de Emissão'!$C$82:$D$104,2,FALSE))</f>
        <v/>
      </c>
      <c r="H37" s="439" t="str">
        <f>IF(OR(D37="",D37="-"),"",VLOOKUP(D37,'Fatores de Emissão'!$C$82:$J$97,6,FALSE))</f>
        <v/>
      </c>
      <c r="I37" s="439" t="str">
        <f>IF(OR(D37="",D37="-"),"",VLOOKUP(D37,'Fatores de Emissão'!$C$82:$J$97,7,FALSE))</f>
        <v/>
      </c>
      <c r="J37" s="439" t="str">
        <f>IF(OR(D37="",D37="-"),"",VLOOKUP(D37,'Fatores de Emissão'!$C$82:$J$97,8,FALSE))</f>
        <v/>
      </c>
      <c r="K37" s="439" t="str">
        <f>IF(D37="","",IF(F37="",0,H37*$F37/1000))</f>
        <v/>
      </c>
      <c r="L37" s="439" t="str">
        <f>IF(D37="","",IF(F37="",0,I37*$F37/1000))</f>
        <v/>
      </c>
      <c r="M37" s="439" t="str">
        <f>IF(D37="","",IF(F37="",0,J37*$F37/1000))</f>
        <v/>
      </c>
      <c r="N37" s="441" t="str">
        <f t="shared" ref="N37:N68" si="0">IF(ISERR(K37*gwp_CO2+L37*gwp_CH4+M37*gwp_N2O),"",K37*gwp_CO2+L37*gwp_CH4+M37*gwp_N2O)</f>
        <v/>
      </c>
      <c r="P37" s="1176" t="str">
        <f>IF($D37="","", IF($D37="Gasolina",'Fatores de Emissão'!X26,IF($D37="Gasóleo",'Fatores de Emissão'!X41,IF($D37="Gás natural"='Fatores de Emissão'!X38,""))))</f>
        <v/>
      </c>
      <c r="Q37" s="1176" t="str">
        <f>IF($D37="","", IF($D37="Gasolina",'Fatores de Emissão'!Y26,IF($D37="Gasóleo",'Fatores de Emissão'!Y41,IF($D37="Gás natural"='Fatores de Emissão'!Y38,""))))</f>
        <v/>
      </c>
      <c r="R37" s="1176" t="str">
        <f>IF(D37="","",F37*P37)</f>
        <v/>
      </c>
    </row>
    <row r="38" spans="1:18" s="237" customFormat="1" ht="15" customHeight="1" outlineLevel="1" x14ac:dyDescent="0.25">
      <c r="A38" s="363"/>
      <c r="B38" s="435"/>
      <c r="C38" s="435"/>
      <c r="D38" s="1268"/>
      <c r="E38" s="1268"/>
      <c r="F38" s="438"/>
      <c r="G38" s="1105" t="str">
        <f>IF(D38="","",VLOOKUP(D38,'Fatores de Emissão'!$C$82:$D$104,2,FALSE))</f>
        <v/>
      </c>
      <c r="H38" s="439" t="str">
        <f>IF(OR(D38="",D38="-"),"",VLOOKUP(D38,'Fatores de Emissão'!$C$82:$J$97,6,FALSE))</f>
        <v/>
      </c>
      <c r="I38" s="439" t="str">
        <f>IF(OR(D38="",D38="-"),"",VLOOKUP(D38,'Fatores de Emissão'!$C$82:$J$97,7,FALSE))</f>
        <v/>
      </c>
      <c r="J38" s="439" t="str">
        <f>IF(OR(D38="",D38="-"),"",VLOOKUP(D38,'Fatores de Emissão'!$C$82:$J$97,8,FALSE))</f>
        <v/>
      </c>
      <c r="K38" s="439" t="str">
        <f t="shared" ref="K38:K86" si="1">IF(D38="","",IF(F38="",0,H38*$F38/1000))</f>
        <v/>
      </c>
      <c r="L38" s="439" t="str">
        <f t="shared" ref="L38:L86" si="2">IF(D38="","",IF(F38="",0,I38*$F38/1000))</f>
        <v/>
      </c>
      <c r="M38" s="439" t="str">
        <f t="shared" ref="M38:M86" si="3">IF(D38="","",IF(F38="",0,J38*$F38/1000))</f>
        <v/>
      </c>
      <c r="N38" s="441" t="str">
        <f t="shared" si="0"/>
        <v/>
      </c>
      <c r="P38" s="1176" t="str">
        <f>IF($D38="","", IF($D38="Gasolina",'Fatores de Emissão'!X27,IF($D38="Gasóleo",'Fatores de Emissão'!X42,IF($D38="Gás natural"='Fatores de Emissão'!X39,""))))</f>
        <v/>
      </c>
      <c r="Q38" s="1176" t="str">
        <f>IF($D38="","", IF($D38="Gasolina",'Fatores de Emissão'!Y27,IF($D38="Gasóleo",'Fatores de Emissão'!Y42,IF($D38="Gás natural"='Fatores de Emissão'!Y39,""))))</f>
        <v/>
      </c>
      <c r="R38" s="1176" t="str">
        <f t="shared" ref="R38:R86" si="4">IF(D38="","",F38*P38)</f>
        <v/>
      </c>
    </row>
    <row r="39" spans="1:18" s="237" customFormat="1" ht="15" customHeight="1" outlineLevel="1" x14ac:dyDescent="0.25">
      <c r="A39" s="363"/>
      <c r="B39" s="435"/>
      <c r="C39" s="435"/>
      <c r="D39" s="1268"/>
      <c r="E39" s="1268"/>
      <c r="F39" s="438"/>
      <c r="G39" s="1105" t="str">
        <f>IF(D39="","",VLOOKUP(D39,'Fatores de Emissão'!$C$82:$D$104,2,FALSE))</f>
        <v/>
      </c>
      <c r="H39" s="439" t="str">
        <f>IF(OR(D39="",D39="-"),"",VLOOKUP(D39,'Fatores de Emissão'!$C$82:$J$97,6,FALSE))</f>
        <v/>
      </c>
      <c r="I39" s="439" t="str">
        <f>IF(OR(D39="",D39="-"),"",VLOOKUP(D39,'Fatores de Emissão'!$C$82:$J$97,7,FALSE))</f>
        <v/>
      </c>
      <c r="J39" s="439" t="str">
        <f>IF(OR(D39="",D39="-"),"",VLOOKUP(D39,'Fatores de Emissão'!$C$82:$J$97,8,FALSE))</f>
        <v/>
      </c>
      <c r="K39" s="439" t="str">
        <f t="shared" si="1"/>
        <v/>
      </c>
      <c r="L39" s="439" t="str">
        <f t="shared" si="2"/>
        <v/>
      </c>
      <c r="M39" s="439" t="str">
        <f t="shared" si="3"/>
        <v/>
      </c>
      <c r="N39" s="441" t="str">
        <f t="shared" si="0"/>
        <v/>
      </c>
      <c r="P39" s="1176" t="str">
        <f>IF($D39="","", IF($D39="Gasolina",'Fatores de Emissão'!X28,IF($D39="Gasóleo",'Fatores de Emissão'!X43,IF($D39="Gás natural"='Fatores de Emissão'!X40,""))))</f>
        <v/>
      </c>
      <c r="Q39" s="1176" t="str">
        <f>IF($D39="","", IF($D39="Gasolina",'Fatores de Emissão'!Y28,IF($D39="Gasóleo",'Fatores de Emissão'!Y43,IF($D39="Gás natural"='Fatores de Emissão'!Y40,""))))</f>
        <v/>
      </c>
      <c r="R39" s="1176" t="str">
        <f t="shared" si="4"/>
        <v/>
      </c>
    </row>
    <row r="40" spans="1:18" s="237" customFormat="1" ht="15" customHeight="1" outlineLevel="1" x14ac:dyDescent="0.25">
      <c r="A40" s="363"/>
      <c r="B40" s="435"/>
      <c r="C40" s="435"/>
      <c r="D40" s="1268"/>
      <c r="E40" s="1268"/>
      <c r="F40" s="438"/>
      <c r="G40" s="1105" t="str">
        <f>IF(D40="","",VLOOKUP(D40,'Fatores de Emissão'!$C$82:$D$104,2,FALSE))</f>
        <v/>
      </c>
      <c r="H40" s="439" t="str">
        <f>IF(OR(D40="",D40="-"),"",VLOOKUP(D40,'Fatores de Emissão'!$C$82:$J$97,6,FALSE))</f>
        <v/>
      </c>
      <c r="I40" s="439" t="str">
        <f>IF(OR(D40="",D40="-"),"",VLOOKUP(D40,'Fatores de Emissão'!$C$82:$J$97,7,FALSE))</f>
        <v/>
      </c>
      <c r="J40" s="439" t="str">
        <f>IF(OR(D40="",D40="-"),"",VLOOKUP(D40,'Fatores de Emissão'!$C$82:$J$97,8,FALSE))</f>
        <v/>
      </c>
      <c r="K40" s="439" t="str">
        <f t="shared" si="1"/>
        <v/>
      </c>
      <c r="L40" s="439" t="str">
        <f t="shared" si="2"/>
        <v/>
      </c>
      <c r="M40" s="439" t="str">
        <f t="shared" si="3"/>
        <v/>
      </c>
      <c r="N40" s="441" t="str">
        <f t="shared" si="0"/>
        <v/>
      </c>
      <c r="P40" s="1176" t="str">
        <f>IF($D40="","", IF($D40="Gasolina",'Fatores de Emissão'!X29,IF($D40="Gasóleo",'Fatores de Emissão'!X44,IF($D40="Gás natural"='Fatores de Emissão'!X41,""))))</f>
        <v/>
      </c>
      <c r="Q40" s="1176" t="str">
        <f>IF($D40="","", IF($D40="Gasolina",'Fatores de Emissão'!Y29,IF($D40="Gasóleo",'Fatores de Emissão'!Y44,IF($D40="Gás natural"='Fatores de Emissão'!Y41,""))))</f>
        <v/>
      </c>
      <c r="R40" s="1176" t="str">
        <f t="shared" si="4"/>
        <v/>
      </c>
    </row>
    <row r="41" spans="1:18" s="237" customFormat="1" ht="15" customHeight="1" outlineLevel="1" x14ac:dyDescent="0.25">
      <c r="A41" s="363"/>
      <c r="B41" s="435"/>
      <c r="C41" s="435"/>
      <c r="D41" s="1268"/>
      <c r="E41" s="1268"/>
      <c r="F41" s="438"/>
      <c r="G41" s="1105" t="str">
        <f>IF(D41="","",VLOOKUP(D41,'Fatores de Emissão'!$C$82:$D$104,2,FALSE))</f>
        <v/>
      </c>
      <c r="H41" s="439" t="str">
        <f>IF(OR(D41="",D41="-"),"",VLOOKUP(D41,'Fatores de Emissão'!$C$82:$J$97,6,FALSE))</f>
        <v/>
      </c>
      <c r="I41" s="439" t="str">
        <f>IF(OR(D41="",D41="-"),"",VLOOKUP(D41,'Fatores de Emissão'!$C$82:$J$97,7,FALSE))</f>
        <v/>
      </c>
      <c r="J41" s="439" t="str">
        <f>IF(OR(D41="",D41="-"),"",VLOOKUP(D41,'Fatores de Emissão'!$C$82:$J$97,8,FALSE))</f>
        <v/>
      </c>
      <c r="K41" s="439" t="str">
        <f t="shared" si="1"/>
        <v/>
      </c>
      <c r="L41" s="439" t="str">
        <f t="shared" si="2"/>
        <v/>
      </c>
      <c r="M41" s="439" t="str">
        <f t="shared" si="3"/>
        <v/>
      </c>
      <c r="N41" s="441" t="str">
        <f t="shared" si="0"/>
        <v/>
      </c>
      <c r="P41" s="1176" t="str">
        <f>IF($D41="","", IF($D41="Gasolina",'Fatores de Emissão'!X30,IF($D41="Gasóleo",'Fatores de Emissão'!X45,IF($D41="Gás natural"='Fatores de Emissão'!X42,""))))</f>
        <v/>
      </c>
      <c r="Q41" s="1176" t="str">
        <f>IF($D41="","", IF($D41="Gasolina",'Fatores de Emissão'!Y30,IF($D41="Gasóleo",'Fatores de Emissão'!Y45,IF($D41="Gás natural"='Fatores de Emissão'!Y42,""))))</f>
        <v/>
      </c>
      <c r="R41" s="1176" t="str">
        <f t="shared" si="4"/>
        <v/>
      </c>
    </row>
    <row r="42" spans="1:18" s="237" customFormat="1" ht="15" customHeight="1" outlineLevel="1" x14ac:dyDescent="0.25">
      <c r="A42" s="363"/>
      <c r="B42" s="435"/>
      <c r="C42" s="435"/>
      <c r="D42" s="1268"/>
      <c r="E42" s="1268"/>
      <c r="F42" s="438"/>
      <c r="G42" s="1105" t="str">
        <f>IF(D42="","",VLOOKUP(D42,'Fatores de Emissão'!$C$82:$D$104,2,FALSE))</f>
        <v/>
      </c>
      <c r="H42" s="439" t="str">
        <f>IF(OR(D42="",D42="-"),"",VLOOKUP(D42,'Fatores de Emissão'!$C$82:$J$97,6,FALSE))</f>
        <v/>
      </c>
      <c r="I42" s="439" t="str">
        <f>IF(OR(D42="",D42="-"),"",VLOOKUP(D42,'Fatores de Emissão'!$C$82:$J$97,7,FALSE))</f>
        <v/>
      </c>
      <c r="J42" s="439" t="str">
        <f>IF(OR(D42="",D42="-"),"",VLOOKUP(D42,'Fatores de Emissão'!$C$82:$J$97,8,FALSE))</f>
        <v/>
      </c>
      <c r="K42" s="439" t="str">
        <f t="shared" si="1"/>
        <v/>
      </c>
      <c r="L42" s="439" t="str">
        <f t="shared" si="2"/>
        <v/>
      </c>
      <c r="M42" s="439" t="str">
        <f t="shared" si="3"/>
        <v/>
      </c>
      <c r="N42" s="441" t="str">
        <f t="shared" si="0"/>
        <v/>
      </c>
      <c r="P42" s="1176" t="str">
        <f>IF($D42="","", IF($D42="Gasolina",'Fatores de Emissão'!X31,IF($D42="Gasóleo",'Fatores de Emissão'!X46,IF($D42="Gás natural"='Fatores de Emissão'!X43,""))))</f>
        <v/>
      </c>
      <c r="Q42" s="1176" t="str">
        <f>IF($D42="","", IF($D42="Gasolina",'Fatores de Emissão'!Y31,IF($D42="Gasóleo",'Fatores de Emissão'!Y46,IF($D42="Gás natural"='Fatores de Emissão'!Y43,""))))</f>
        <v/>
      </c>
      <c r="R42" s="1176" t="str">
        <f t="shared" si="4"/>
        <v/>
      </c>
    </row>
    <row r="43" spans="1:18" s="237" customFormat="1" ht="15" customHeight="1" outlineLevel="1" x14ac:dyDescent="0.25">
      <c r="A43" s="363"/>
      <c r="B43" s="435"/>
      <c r="C43" s="435"/>
      <c r="D43" s="1268"/>
      <c r="E43" s="1268"/>
      <c r="F43" s="438"/>
      <c r="G43" s="1105" t="str">
        <f>IF(D43="","",VLOOKUP(D43,'Fatores de Emissão'!$C$82:$D$104,2,FALSE))</f>
        <v/>
      </c>
      <c r="H43" s="439" t="str">
        <f>IF(OR(D43="",D43="-"),"",VLOOKUP(D43,'Fatores de Emissão'!$C$82:$J$97,6,FALSE))</f>
        <v/>
      </c>
      <c r="I43" s="439" t="str">
        <f>IF(OR(D43="",D43="-"),"",VLOOKUP(D43,'Fatores de Emissão'!$C$82:$J$97,7,FALSE))</f>
        <v/>
      </c>
      <c r="J43" s="439" t="str">
        <f>IF(OR(D43="",D43="-"),"",VLOOKUP(D43,'Fatores de Emissão'!$C$82:$J$97,8,FALSE))</f>
        <v/>
      </c>
      <c r="K43" s="439" t="str">
        <f t="shared" si="1"/>
        <v/>
      </c>
      <c r="L43" s="439" t="str">
        <f t="shared" si="2"/>
        <v/>
      </c>
      <c r="M43" s="439" t="str">
        <f t="shared" si="3"/>
        <v/>
      </c>
      <c r="N43" s="441" t="str">
        <f t="shared" si="0"/>
        <v/>
      </c>
      <c r="P43" s="1176" t="str">
        <f>IF($D43="","", IF($D43="Gasolina",'Fatores de Emissão'!X32,IF($D43="Gasóleo",'Fatores de Emissão'!X47,IF($D43="Gás natural"='Fatores de Emissão'!X44,""))))</f>
        <v/>
      </c>
      <c r="Q43" s="1176" t="str">
        <f>IF($D43="","", IF($D43="Gasolina",'Fatores de Emissão'!Y32,IF($D43="Gasóleo",'Fatores de Emissão'!Y47,IF($D43="Gás natural"='Fatores de Emissão'!Y44,""))))</f>
        <v/>
      </c>
      <c r="R43" s="1176" t="str">
        <f t="shared" si="4"/>
        <v/>
      </c>
    </row>
    <row r="44" spans="1:18" s="237" customFormat="1" ht="15" customHeight="1" outlineLevel="1" x14ac:dyDescent="0.25">
      <c r="A44" s="363"/>
      <c r="B44" s="435"/>
      <c r="C44" s="435"/>
      <c r="D44" s="1268"/>
      <c r="E44" s="1268"/>
      <c r="F44" s="438"/>
      <c r="G44" s="1105" t="str">
        <f>IF(D44="","",VLOOKUP(D44,'Fatores de Emissão'!$C$82:$D$104,2,FALSE))</f>
        <v/>
      </c>
      <c r="H44" s="439" t="str">
        <f>IF(OR(D44="",D44="-"),"",VLOOKUP(D44,'Fatores de Emissão'!$C$82:$J$97,6,FALSE))</f>
        <v/>
      </c>
      <c r="I44" s="439" t="str">
        <f>IF(OR(D44="",D44="-"),"",VLOOKUP(D44,'Fatores de Emissão'!$C$82:$J$97,7,FALSE))</f>
        <v/>
      </c>
      <c r="J44" s="439" t="str">
        <f>IF(OR(D44="",D44="-"),"",VLOOKUP(D44,'Fatores de Emissão'!$C$82:$J$97,8,FALSE))</f>
        <v/>
      </c>
      <c r="K44" s="439" t="str">
        <f t="shared" si="1"/>
        <v/>
      </c>
      <c r="L44" s="439" t="str">
        <f t="shared" si="2"/>
        <v/>
      </c>
      <c r="M44" s="439" t="str">
        <f t="shared" si="3"/>
        <v/>
      </c>
      <c r="N44" s="441" t="str">
        <f t="shared" si="0"/>
        <v/>
      </c>
      <c r="P44" s="1176" t="str">
        <f>IF($D44="","", IF($D44="Gasolina",'Fatores de Emissão'!X33,IF($D44="Gasóleo",'Fatores de Emissão'!X48,IF($D44="Gás natural"='Fatores de Emissão'!X45,""))))</f>
        <v/>
      </c>
      <c r="Q44" s="1176" t="str">
        <f>IF($D44="","", IF($D44="Gasolina",'Fatores de Emissão'!Y33,IF($D44="Gasóleo",'Fatores de Emissão'!Y48,IF($D44="Gás natural"='Fatores de Emissão'!Y45,""))))</f>
        <v/>
      </c>
      <c r="R44" s="1176" t="str">
        <f t="shared" si="4"/>
        <v/>
      </c>
    </row>
    <row r="45" spans="1:18" s="237" customFormat="1" ht="15" customHeight="1" outlineLevel="1" x14ac:dyDescent="0.25">
      <c r="A45" s="363"/>
      <c r="B45" s="435"/>
      <c r="C45" s="435"/>
      <c r="D45" s="1268"/>
      <c r="E45" s="1268"/>
      <c r="F45" s="438"/>
      <c r="G45" s="1105" t="str">
        <f>IF(D45="","",VLOOKUP(D45,'Fatores de Emissão'!$C$82:$D$104,2,FALSE))</f>
        <v/>
      </c>
      <c r="H45" s="439" t="str">
        <f>IF(OR(D45="",D45="-"),"",VLOOKUP(D45,'Fatores de Emissão'!$C$82:$J$97,6,FALSE))</f>
        <v/>
      </c>
      <c r="I45" s="439" t="str">
        <f>IF(OR(D45="",D45="-"),"",VLOOKUP(D45,'Fatores de Emissão'!$C$82:$J$97,7,FALSE))</f>
        <v/>
      </c>
      <c r="J45" s="439" t="str">
        <f>IF(OR(D45="",D45="-"),"",VLOOKUP(D45,'Fatores de Emissão'!$C$82:$J$97,8,FALSE))</f>
        <v/>
      </c>
      <c r="K45" s="439" t="str">
        <f t="shared" si="1"/>
        <v/>
      </c>
      <c r="L45" s="439" t="str">
        <f t="shared" si="2"/>
        <v/>
      </c>
      <c r="M45" s="439" t="str">
        <f t="shared" si="3"/>
        <v/>
      </c>
      <c r="N45" s="441" t="str">
        <f t="shared" si="0"/>
        <v/>
      </c>
      <c r="P45" s="1176" t="str">
        <f>IF($D45="","", IF($D45="Gasolina",'Fatores de Emissão'!X34,IF($D45="Gasóleo",'Fatores de Emissão'!X49,IF($D45="Gás natural"='Fatores de Emissão'!X46,""))))</f>
        <v/>
      </c>
      <c r="Q45" s="1176" t="str">
        <f>IF($D45="","", IF($D45="Gasolina",'Fatores de Emissão'!Y34,IF($D45="Gasóleo",'Fatores de Emissão'!Y49,IF($D45="Gás natural"='Fatores de Emissão'!Y46,""))))</f>
        <v/>
      </c>
      <c r="R45" s="1176" t="str">
        <f t="shared" si="4"/>
        <v/>
      </c>
    </row>
    <row r="46" spans="1:18" s="237" customFormat="1" ht="15" customHeight="1" outlineLevel="1" collapsed="1" x14ac:dyDescent="0.25">
      <c r="A46" s="363"/>
      <c r="B46" s="435"/>
      <c r="C46" s="435"/>
      <c r="D46" s="1268"/>
      <c r="E46" s="1268"/>
      <c r="F46" s="438"/>
      <c r="G46" s="1105" t="str">
        <f>IF(D46="","",VLOOKUP(D46,'Fatores de Emissão'!$C$82:$D$104,2,FALSE))</f>
        <v/>
      </c>
      <c r="H46" s="439" t="str">
        <f>IF(OR(D46="",D46="-"),"",VLOOKUP(D46,'Fatores de Emissão'!$C$82:$J$97,6,FALSE))</f>
        <v/>
      </c>
      <c r="I46" s="439" t="str">
        <f>IF(OR(D46="",D46="-"),"",VLOOKUP(D46,'Fatores de Emissão'!$C$82:$J$97,7,FALSE))</f>
        <v/>
      </c>
      <c r="J46" s="439" t="str">
        <f>IF(OR(D46="",D46="-"),"",VLOOKUP(D46,'Fatores de Emissão'!$C$82:$J$97,8,FALSE))</f>
        <v/>
      </c>
      <c r="K46" s="439" t="str">
        <f t="shared" si="1"/>
        <v/>
      </c>
      <c r="L46" s="439" t="str">
        <f t="shared" si="2"/>
        <v/>
      </c>
      <c r="M46" s="439" t="str">
        <f t="shared" si="3"/>
        <v/>
      </c>
      <c r="N46" s="441" t="str">
        <f t="shared" si="0"/>
        <v/>
      </c>
      <c r="P46" s="1176" t="str">
        <f>IF($D46="","", IF($D46="Gasolina",'Fatores de Emissão'!X35,IF($D46="Gasóleo",'Fatores de Emissão'!X50,IF($D46="Gás natural"='Fatores de Emissão'!X47,""))))</f>
        <v/>
      </c>
      <c r="Q46" s="1176" t="str">
        <f>IF($D46="","", IF($D46="Gasolina",'Fatores de Emissão'!Y35,IF($D46="Gasóleo",'Fatores de Emissão'!Y50,IF($D46="Gás natural"='Fatores de Emissão'!Y47,""))))</f>
        <v/>
      </c>
      <c r="R46" s="1176" t="str">
        <f t="shared" si="4"/>
        <v/>
      </c>
    </row>
    <row r="47" spans="1:18" s="237" customFormat="1" ht="15" hidden="1" customHeight="1" outlineLevel="2" x14ac:dyDescent="0.25">
      <c r="A47" s="363"/>
      <c r="B47" s="435"/>
      <c r="C47" s="435"/>
      <c r="D47" s="1268"/>
      <c r="E47" s="1268"/>
      <c r="F47" s="437"/>
      <c r="G47" s="1105" t="str">
        <f>IF(D47="","",VLOOKUP(D47,'Fatores de Emissão'!$C$82:$D$104,2,FALSE))</f>
        <v/>
      </c>
      <c r="H47" s="439" t="str">
        <f>IF(OR(D47="",D47="-"),"",VLOOKUP(D47,'Fatores de Emissão'!$C$82:$J$97,6,FALSE))</f>
        <v/>
      </c>
      <c r="I47" s="439" t="str">
        <f>IF(OR(D47="",D47="-"),"",VLOOKUP(D47,'Fatores de Emissão'!$C$82:$J$97,7,FALSE))</f>
        <v/>
      </c>
      <c r="J47" s="439" t="str">
        <f>IF(OR(D47="",D47="-"),"",VLOOKUP(D47,'Fatores de Emissão'!$C$82:$J$97,8,FALSE))</f>
        <v/>
      </c>
      <c r="K47" s="439" t="str">
        <f t="shared" si="1"/>
        <v/>
      </c>
      <c r="L47" s="439" t="str">
        <f t="shared" si="2"/>
        <v/>
      </c>
      <c r="M47" s="439" t="str">
        <f t="shared" si="3"/>
        <v/>
      </c>
      <c r="N47" s="441" t="str">
        <f t="shared" si="0"/>
        <v/>
      </c>
      <c r="P47" s="1176" t="str">
        <f>IF($D47="","", IF($D47="Gasolina",'Fatores de Emissão'!X36,IF($D47="Gasóleo",'Fatores de Emissão'!X51,IF($D47="Gás natural"='Fatores de Emissão'!X48,""))))</f>
        <v/>
      </c>
      <c r="Q47" s="1176" t="str">
        <f>IF($D47="","", IF($D47="Gasolina",'Fatores de Emissão'!Y36,IF($D47="Gasóleo",'Fatores de Emissão'!Y51,IF($D47="Gás natural"='Fatores de Emissão'!Y48,""))))</f>
        <v/>
      </c>
      <c r="R47" s="1176" t="str">
        <f t="shared" si="4"/>
        <v/>
      </c>
    </row>
    <row r="48" spans="1:18" s="237" customFormat="1" ht="15" hidden="1" customHeight="1" outlineLevel="2" x14ac:dyDescent="0.25">
      <c r="A48" s="363"/>
      <c r="B48" s="435"/>
      <c r="C48" s="435"/>
      <c r="D48" s="1268"/>
      <c r="E48" s="1268"/>
      <c r="F48" s="437"/>
      <c r="G48" s="1105" t="str">
        <f>IF(D48="","",VLOOKUP(D48,'Fatores de Emissão'!$C$82:$D$104,2,FALSE))</f>
        <v/>
      </c>
      <c r="H48" s="439" t="str">
        <f>IF(OR(D48="",D48="-"),"",VLOOKUP(D48,'Fatores de Emissão'!$C$82:$J$97,6,FALSE))</f>
        <v/>
      </c>
      <c r="I48" s="439" t="str">
        <f>IF(OR(D48="",D48="-"),"",VLOOKUP(D48,'Fatores de Emissão'!$C$82:$J$97,7,FALSE))</f>
        <v/>
      </c>
      <c r="J48" s="439" t="str">
        <f>IF(OR(D48="",D48="-"),"",VLOOKUP(D48,'Fatores de Emissão'!$C$82:$J$97,8,FALSE))</f>
        <v/>
      </c>
      <c r="K48" s="439" t="str">
        <f t="shared" si="1"/>
        <v/>
      </c>
      <c r="L48" s="439" t="str">
        <f t="shared" si="2"/>
        <v/>
      </c>
      <c r="M48" s="439" t="str">
        <f t="shared" si="3"/>
        <v/>
      </c>
      <c r="N48" s="441" t="str">
        <f t="shared" si="0"/>
        <v/>
      </c>
      <c r="P48" s="1176" t="str">
        <f>IF($D48="","", IF($D48="Gasolina",'Fatores de Emissão'!X37,IF($D48="Gasóleo",'Fatores de Emissão'!X52,IF($D48="Gás natural"='Fatores de Emissão'!X49,""))))</f>
        <v/>
      </c>
      <c r="Q48" s="1176" t="str">
        <f>IF($D48="","", IF($D48="Gasolina",'Fatores de Emissão'!Y37,IF($D48="Gasóleo",'Fatores de Emissão'!Y52,IF($D48="Gás natural"='Fatores de Emissão'!Y49,""))))</f>
        <v/>
      </c>
      <c r="R48" s="1176" t="str">
        <f t="shared" si="4"/>
        <v/>
      </c>
    </row>
    <row r="49" spans="1:18" s="237" customFormat="1" ht="15" hidden="1" customHeight="1" outlineLevel="2" x14ac:dyDescent="0.25">
      <c r="A49" s="363"/>
      <c r="B49" s="435"/>
      <c r="C49" s="435"/>
      <c r="D49" s="1268"/>
      <c r="E49" s="1268"/>
      <c r="F49" s="437"/>
      <c r="G49" s="1105" t="str">
        <f>IF(D49="","",VLOOKUP(D49,'Fatores de Emissão'!$C$82:$D$104,2,FALSE))</f>
        <v/>
      </c>
      <c r="H49" s="439" t="str">
        <f>IF(OR(D49="",D49="-"),"",VLOOKUP(D49,'Fatores de Emissão'!$C$82:$J$97,6,FALSE))</f>
        <v/>
      </c>
      <c r="I49" s="439" t="str">
        <f>IF(OR(D49="",D49="-"),"",VLOOKUP(D49,'Fatores de Emissão'!$C$82:$J$97,7,FALSE))</f>
        <v/>
      </c>
      <c r="J49" s="439" t="str">
        <f>IF(OR(D49="",D49="-"),"",VLOOKUP(D49,'Fatores de Emissão'!$C$82:$J$97,8,FALSE))</f>
        <v/>
      </c>
      <c r="K49" s="439" t="str">
        <f t="shared" si="1"/>
        <v/>
      </c>
      <c r="L49" s="439" t="str">
        <f t="shared" si="2"/>
        <v/>
      </c>
      <c r="M49" s="439" t="str">
        <f t="shared" si="3"/>
        <v/>
      </c>
      <c r="N49" s="441" t="str">
        <f t="shared" si="0"/>
        <v/>
      </c>
      <c r="P49" s="1176" t="str">
        <f>IF($D49="","", IF($D49="Gasolina",'Fatores de Emissão'!X38,IF($D49="Gasóleo",'Fatores de Emissão'!X53,IF($D49="Gás natural"='Fatores de Emissão'!X50,""))))</f>
        <v/>
      </c>
      <c r="Q49" s="1176" t="str">
        <f>IF($D49="","", IF($D49="Gasolina",'Fatores de Emissão'!Y38,IF($D49="Gasóleo",'Fatores de Emissão'!Y53,IF($D49="Gás natural"='Fatores de Emissão'!Y50,""))))</f>
        <v/>
      </c>
      <c r="R49" s="1176" t="str">
        <f t="shared" si="4"/>
        <v/>
      </c>
    </row>
    <row r="50" spans="1:18" s="237" customFormat="1" ht="15" hidden="1" customHeight="1" outlineLevel="2" x14ac:dyDescent="0.25">
      <c r="A50" s="363"/>
      <c r="B50" s="435"/>
      <c r="C50" s="435"/>
      <c r="D50" s="1268"/>
      <c r="E50" s="1268"/>
      <c r="F50" s="437"/>
      <c r="G50" s="1105" t="str">
        <f>IF(D50="","",VLOOKUP(D50,'Fatores de Emissão'!$C$82:$D$104,2,FALSE))</f>
        <v/>
      </c>
      <c r="H50" s="439" t="str">
        <f>IF(OR(D50="",D50="-"),"",VLOOKUP(D50,'Fatores de Emissão'!$C$82:$J$97,6,FALSE))</f>
        <v/>
      </c>
      <c r="I50" s="439" t="str">
        <f>IF(OR(D50="",D50="-"),"",VLOOKUP(D50,'Fatores de Emissão'!$C$82:$J$97,7,FALSE))</f>
        <v/>
      </c>
      <c r="J50" s="439" t="str">
        <f>IF(OR(D50="",D50="-"),"",VLOOKUP(D50,'Fatores de Emissão'!$C$82:$J$97,8,FALSE))</f>
        <v/>
      </c>
      <c r="K50" s="439" t="str">
        <f t="shared" si="1"/>
        <v/>
      </c>
      <c r="L50" s="439" t="str">
        <f t="shared" si="2"/>
        <v/>
      </c>
      <c r="M50" s="439" t="str">
        <f t="shared" si="3"/>
        <v/>
      </c>
      <c r="N50" s="441" t="str">
        <f t="shared" si="0"/>
        <v/>
      </c>
      <c r="P50" s="1176" t="str">
        <f>IF($D50="","", IF($D50="Gasolina",'Fatores de Emissão'!X39,IF($D50="Gasóleo",'Fatores de Emissão'!X54,IF($D50="Gás natural"='Fatores de Emissão'!X51,""))))</f>
        <v/>
      </c>
      <c r="Q50" s="1176" t="str">
        <f>IF($D50="","", IF($D50="Gasolina",'Fatores de Emissão'!Y39,IF($D50="Gasóleo",'Fatores de Emissão'!Y54,IF($D50="Gás natural"='Fatores de Emissão'!Y51,""))))</f>
        <v/>
      </c>
      <c r="R50" s="1176" t="str">
        <f t="shared" si="4"/>
        <v/>
      </c>
    </row>
    <row r="51" spans="1:18" s="237" customFormat="1" ht="15" hidden="1" customHeight="1" outlineLevel="2" x14ac:dyDescent="0.25">
      <c r="A51" s="363"/>
      <c r="B51" s="435"/>
      <c r="C51" s="435"/>
      <c r="D51" s="1268"/>
      <c r="E51" s="1268"/>
      <c r="F51" s="437"/>
      <c r="G51" s="1105" t="str">
        <f>IF(D51="","",VLOOKUP(D51,'Fatores de Emissão'!$C$82:$D$104,2,FALSE))</f>
        <v/>
      </c>
      <c r="H51" s="439" t="str">
        <f>IF(OR(D51="",D51="-"),"",VLOOKUP(D51,'Fatores de Emissão'!$C$82:$J$97,6,FALSE))</f>
        <v/>
      </c>
      <c r="I51" s="439" t="str">
        <f>IF(OR(D51="",D51="-"),"",VLOOKUP(D51,'Fatores de Emissão'!$C$82:$J$97,7,FALSE))</f>
        <v/>
      </c>
      <c r="J51" s="439" t="str">
        <f>IF(OR(D51="",D51="-"),"",VLOOKUP(D51,'Fatores de Emissão'!$C$82:$J$97,8,FALSE))</f>
        <v/>
      </c>
      <c r="K51" s="439" t="str">
        <f t="shared" si="1"/>
        <v/>
      </c>
      <c r="L51" s="439" t="str">
        <f t="shared" si="2"/>
        <v/>
      </c>
      <c r="M51" s="439" t="str">
        <f t="shared" si="3"/>
        <v/>
      </c>
      <c r="N51" s="441" t="str">
        <f t="shared" si="0"/>
        <v/>
      </c>
      <c r="P51" s="1176" t="str">
        <f>IF($D51="","", IF($D51="Gasolina",'Fatores de Emissão'!X40,IF($D51="Gasóleo",'Fatores de Emissão'!X55,IF($D51="Gás natural"='Fatores de Emissão'!X52,""))))</f>
        <v/>
      </c>
      <c r="Q51" s="1176" t="str">
        <f>IF($D51="","", IF($D51="Gasolina",'Fatores de Emissão'!Y40,IF($D51="Gasóleo",'Fatores de Emissão'!Y55,IF($D51="Gás natural"='Fatores de Emissão'!Y52,""))))</f>
        <v/>
      </c>
      <c r="R51" s="1176" t="str">
        <f t="shared" si="4"/>
        <v/>
      </c>
    </row>
    <row r="52" spans="1:18" s="237" customFormat="1" ht="15" hidden="1" customHeight="1" outlineLevel="2" x14ac:dyDescent="0.25">
      <c r="A52" s="363"/>
      <c r="B52" s="435"/>
      <c r="C52" s="435"/>
      <c r="D52" s="1268"/>
      <c r="E52" s="1268"/>
      <c r="F52" s="437"/>
      <c r="G52" s="1105" t="str">
        <f>IF(D52="","",VLOOKUP(D52,'Fatores de Emissão'!$C$82:$D$104,2,FALSE))</f>
        <v/>
      </c>
      <c r="H52" s="439" t="str">
        <f>IF(OR(D52="",D52="-"),"",VLOOKUP(D52,'Fatores de Emissão'!$C$82:$J$97,6,FALSE))</f>
        <v/>
      </c>
      <c r="I52" s="439" t="str">
        <f>IF(OR(D52="",D52="-"),"",VLOOKUP(D52,'Fatores de Emissão'!$C$82:$J$97,7,FALSE))</f>
        <v/>
      </c>
      <c r="J52" s="439" t="str">
        <f>IF(OR(D52="",D52="-"),"",VLOOKUP(D52,'Fatores de Emissão'!$C$82:$J$97,8,FALSE))</f>
        <v/>
      </c>
      <c r="K52" s="439" t="str">
        <f t="shared" si="1"/>
        <v/>
      </c>
      <c r="L52" s="439" t="str">
        <f t="shared" si="2"/>
        <v/>
      </c>
      <c r="M52" s="439" t="str">
        <f t="shared" si="3"/>
        <v/>
      </c>
      <c r="N52" s="441" t="str">
        <f t="shared" si="0"/>
        <v/>
      </c>
      <c r="P52" s="1176" t="str">
        <f>IF($D52="","", IF($D52="Gasolina",'Fatores de Emissão'!X41,IF($D52="Gasóleo",'Fatores de Emissão'!X56,IF($D52="Gás natural"='Fatores de Emissão'!X53,""))))</f>
        <v/>
      </c>
      <c r="Q52" s="1176" t="str">
        <f>IF($D52="","", IF($D52="Gasolina",'Fatores de Emissão'!Y41,IF($D52="Gasóleo",'Fatores de Emissão'!Y56,IF($D52="Gás natural"='Fatores de Emissão'!Y53,""))))</f>
        <v/>
      </c>
      <c r="R52" s="1176" t="str">
        <f t="shared" si="4"/>
        <v/>
      </c>
    </row>
    <row r="53" spans="1:18" s="237" customFormat="1" ht="15" hidden="1" customHeight="1" outlineLevel="2" x14ac:dyDescent="0.25">
      <c r="A53" s="363"/>
      <c r="B53" s="435"/>
      <c r="C53" s="435"/>
      <c r="D53" s="1268"/>
      <c r="E53" s="1268"/>
      <c r="F53" s="437"/>
      <c r="G53" s="1105" t="str">
        <f>IF(D53="","",VLOOKUP(D53,'Fatores de Emissão'!$C$82:$D$104,2,FALSE))</f>
        <v/>
      </c>
      <c r="H53" s="439" t="str">
        <f>IF(OR(D53="",D53="-"),"",VLOOKUP(D53,'Fatores de Emissão'!$C$82:$J$97,6,FALSE))</f>
        <v/>
      </c>
      <c r="I53" s="439" t="str">
        <f>IF(OR(D53="",D53="-"),"",VLOOKUP(D53,'Fatores de Emissão'!$C$82:$J$97,7,FALSE))</f>
        <v/>
      </c>
      <c r="J53" s="439" t="str">
        <f>IF(OR(D53="",D53="-"),"",VLOOKUP(D53,'Fatores de Emissão'!$C$82:$J$97,8,FALSE))</f>
        <v/>
      </c>
      <c r="K53" s="439" t="str">
        <f t="shared" si="1"/>
        <v/>
      </c>
      <c r="L53" s="439" t="str">
        <f t="shared" si="2"/>
        <v/>
      </c>
      <c r="M53" s="439" t="str">
        <f t="shared" si="3"/>
        <v/>
      </c>
      <c r="N53" s="441" t="str">
        <f t="shared" si="0"/>
        <v/>
      </c>
      <c r="P53" s="1176" t="str">
        <f>IF($D53="","", IF($D53="Gasolina",'Fatores de Emissão'!X42,IF($D53="Gasóleo",'Fatores de Emissão'!X57,IF($D53="Gás natural"='Fatores de Emissão'!X54,""))))</f>
        <v/>
      </c>
      <c r="Q53" s="1176" t="str">
        <f>IF($D53="","", IF($D53="Gasolina",'Fatores de Emissão'!Y42,IF($D53="Gasóleo",'Fatores de Emissão'!Y57,IF($D53="Gás natural"='Fatores de Emissão'!Y54,""))))</f>
        <v/>
      </c>
      <c r="R53" s="1176" t="str">
        <f t="shared" si="4"/>
        <v/>
      </c>
    </row>
    <row r="54" spans="1:18" s="237" customFormat="1" ht="15" hidden="1" customHeight="1" outlineLevel="2" x14ac:dyDescent="0.25">
      <c r="A54" s="363"/>
      <c r="B54" s="435"/>
      <c r="C54" s="435"/>
      <c r="D54" s="1268"/>
      <c r="E54" s="1268"/>
      <c r="F54" s="437"/>
      <c r="G54" s="1105" t="str">
        <f>IF(D54="","",VLOOKUP(D54,'Fatores de Emissão'!$C$82:$D$104,2,FALSE))</f>
        <v/>
      </c>
      <c r="H54" s="439" t="str">
        <f>IF(OR(D54="",D54="-"),"",VLOOKUP(D54,'Fatores de Emissão'!$C$82:$J$97,6,FALSE))</f>
        <v/>
      </c>
      <c r="I54" s="439" t="str">
        <f>IF(OR(D54="",D54="-"),"",VLOOKUP(D54,'Fatores de Emissão'!$C$82:$J$97,7,FALSE))</f>
        <v/>
      </c>
      <c r="J54" s="439" t="str">
        <f>IF(OR(D54="",D54="-"),"",VLOOKUP(D54,'Fatores de Emissão'!$C$82:$J$97,8,FALSE))</f>
        <v/>
      </c>
      <c r="K54" s="439" t="str">
        <f t="shared" si="1"/>
        <v/>
      </c>
      <c r="L54" s="439" t="str">
        <f t="shared" si="2"/>
        <v/>
      </c>
      <c r="M54" s="439" t="str">
        <f t="shared" si="3"/>
        <v/>
      </c>
      <c r="N54" s="441" t="str">
        <f t="shared" si="0"/>
        <v/>
      </c>
      <c r="P54" s="1176" t="str">
        <f>IF($D54="","", IF($D54="Gasolina",'Fatores de Emissão'!X43,IF($D54="Gasóleo",'Fatores de Emissão'!X58,IF($D54="Gás natural"='Fatores de Emissão'!X55,""))))</f>
        <v/>
      </c>
      <c r="Q54" s="1176" t="str">
        <f>IF($D54="","", IF($D54="Gasolina",'Fatores de Emissão'!Y43,IF($D54="Gasóleo",'Fatores de Emissão'!Y58,IF($D54="Gás natural"='Fatores de Emissão'!Y55,""))))</f>
        <v/>
      </c>
      <c r="R54" s="1176" t="str">
        <f t="shared" si="4"/>
        <v/>
      </c>
    </row>
    <row r="55" spans="1:18" s="237" customFormat="1" ht="15" hidden="1" customHeight="1" outlineLevel="2" x14ac:dyDescent="0.25">
      <c r="A55" s="363"/>
      <c r="B55" s="435"/>
      <c r="C55" s="435"/>
      <c r="D55" s="1268"/>
      <c r="E55" s="1268"/>
      <c r="F55" s="437"/>
      <c r="G55" s="1105" t="str">
        <f>IF(D55="","",VLOOKUP(D55,'Fatores de Emissão'!$C$82:$D$104,2,FALSE))</f>
        <v/>
      </c>
      <c r="H55" s="439" t="str">
        <f>IF(OR(D55="",D55="-"),"",VLOOKUP(D55,'Fatores de Emissão'!$C$82:$J$97,6,FALSE))</f>
        <v/>
      </c>
      <c r="I55" s="439" t="str">
        <f>IF(OR(D55="",D55="-"),"",VLOOKUP(D55,'Fatores de Emissão'!$C$82:$J$97,7,FALSE))</f>
        <v/>
      </c>
      <c r="J55" s="439" t="str">
        <f>IF(OR(D55="",D55="-"),"",VLOOKUP(D55,'Fatores de Emissão'!$C$82:$J$97,8,FALSE))</f>
        <v/>
      </c>
      <c r="K55" s="439" t="str">
        <f t="shared" si="1"/>
        <v/>
      </c>
      <c r="L55" s="439" t="str">
        <f t="shared" si="2"/>
        <v/>
      </c>
      <c r="M55" s="439" t="str">
        <f t="shared" si="3"/>
        <v/>
      </c>
      <c r="N55" s="441" t="str">
        <f t="shared" si="0"/>
        <v/>
      </c>
      <c r="P55" s="1176" t="str">
        <f>IF($D55="","", IF($D55="Gasolina",'Fatores de Emissão'!X44,IF($D55="Gasóleo",'Fatores de Emissão'!X59,IF($D55="Gás natural"='Fatores de Emissão'!X56,""))))</f>
        <v/>
      </c>
      <c r="Q55" s="1176" t="str">
        <f>IF($D55="","", IF($D55="Gasolina",'Fatores de Emissão'!Y44,IF($D55="Gasóleo",'Fatores de Emissão'!Y59,IF($D55="Gás natural"='Fatores de Emissão'!Y56,""))))</f>
        <v/>
      </c>
      <c r="R55" s="1176" t="str">
        <f t="shared" si="4"/>
        <v/>
      </c>
    </row>
    <row r="56" spans="1:18" s="237" customFormat="1" ht="15" hidden="1" customHeight="1" outlineLevel="2" x14ac:dyDescent="0.25">
      <c r="A56" s="363"/>
      <c r="B56" s="435"/>
      <c r="C56" s="435"/>
      <c r="D56" s="1268"/>
      <c r="E56" s="1268"/>
      <c r="F56" s="437"/>
      <c r="G56" s="1105" t="str">
        <f>IF(D56="","",VLOOKUP(D56,'Fatores de Emissão'!$C$82:$D$104,2,FALSE))</f>
        <v/>
      </c>
      <c r="H56" s="439" t="str">
        <f>IF(OR(D56="",D56="-"),"",VLOOKUP(D56,'Fatores de Emissão'!$C$82:$J$97,6,FALSE))</f>
        <v/>
      </c>
      <c r="I56" s="439" t="str">
        <f>IF(OR(D56="",D56="-"),"",VLOOKUP(D56,'Fatores de Emissão'!$C$82:$J$97,7,FALSE))</f>
        <v/>
      </c>
      <c r="J56" s="439" t="str">
        <f>IF(OR(D56="",D56="-"),"",VLOOKUP(D56,'Fatores de Emissão'!$C$82:$J$97,8,FALSE))</f>
        <v/>
      </c>
      <c r="K56" s="439" t="str">
        <f t="shared" si="1"/>
        <v/>
      </c>
      <c r="L56" s="439" t="str">
        <f t="shared" si="2"/>
        <v/>
      </c>
      <c r="M56" s="439" t="str">
        <f t="shared" si="3"/>
        <v/>
      </c>
      <c r="N56" s="441" t="str">
        <f t="shared" si="0"/>
        <v/>
      </c>
      <c r="P56" s="1176" t="str">
        <f>IF($D56="","", IF($D56="Gasolina",'Fatores de Emissão'!X45,IF($D56="Gasóleo",'Fatores de Emissão'!X60,IF($D56="Gás natural"='Fatores de Emissão'!X57,""))))</f>
        <v/>
      </c>
      <c r="Q56" s="1176" t="str">
        <f>IF($D56="","", IF($D56="Gasolina",'Fatores de Emissão'!Y45,IF($D56="Gasóleo",'Fatores de Emissão'!Y60,IF($D56="Gás natural"='Fatores de Emissão'!Y57,""))))</f>
        <v/>
      </c>
      <c r="R56" s="1176" t="str">
        <f t="shared" si="4"/>
        <v/>
      </c>
    </row>
    <row r="57" spans="1:18" s="237" customFormat="1" ht="15" hidden="1" customHeight="1" outlineLevel="2" x14ac:dyDescent="0.25">
      <c r="A57" s="363"/>
      <c r="B57" s="435"/>
      <c r="C57" s="435"/>
      <c r="D57" s="1268"/>
      <c r="E57" s="1268"/>
      <c r="F57" s="437"/>
      <c r="G57" s="1105" t="str">
        <f>IF(D57="","",VLOOKUP(D57,'Fatores de Emissão'!$C$82:$D$104,2,FALSE))</f>
        <v/>
      </c>
      <c r="H57" s="439" t="str">
        <f>IF(OR(D57="",D57="-"),"",VLOOKUP(D57,'Fatores de Emissão'!$C$82:$J$97,6,FALSE))</f>
        <v/>
      </c>
      <c r="I57" s="439" t="str">
        <f>IF(OR(D57="",D57="-"),"",VLOOKUP(D57,'Fatores de Emissão'!$C$82:$J$97,7,FALSE))</f>
        <v/>
      </c>
      <c r="J57" s="439" t="str">
        <f>IF(OR(D57="",D57="-"),"",VLOOKUP(D57,'Fatores de Emissão'!$C$82:$J$97,8,FALSE))</f>
        <v/>
      </c>
      <c r="K57" s="439" t="str">
        <f t="shared" si="1"/>
        <v/>
      </c>
      <c r="L57" s="439" t="str">
        <f t="shared" si="2"/>
        <v/>
      </c>
      <c r="M57" s="439" t="str">
        <f t="shared" si="3"/>
        <v/>
      </c>
      <c r="N57" s="441" t="str">
        <f t="shared" si="0"/>
        <v/>
      </c>
      <c r="P57" s="1176" t="str">
        <f>IF($D57="","", IF($D57="Gasolina",'Fatores de Emissão'!X46,IF($D57="Gasóleo",'Fatores de Emissão'!X61,IF($D57="Gás natural"='Fatores de Emissão'!X58,""))))</f>
        <v/>
      </c>
      <c r="Q57" s="1176" t="str">
        <f>IF($D57="","", IF($D57="Gasolina",'Fatores de Emissão'!Y46,IF($D57="Gasóleo",'Fatores de Emissão'!Y61,IF($D57="Gás natural"='Fatores de Emissão'!Y58,""))))</f>
        <v/>
      </c>
      <c r="R57" s="1176" t="str">
        <f t="shared" si="4"/>
        <v/>
      </c>
    </row>
    <row r="58" spans="1:18" s="237" customFormat="1" ht="15" hidden="1" customHeight="1" outlineLevel="2" x14ac:dyDescent="0.25">
      <c r="A58" s="363"/>
      <c r="B58" s="435"/>
      <c r="C58" s="435"/>
      <c r="D58" s="1268"/>
      <c r="E58" s="1268"/>
      <c r="F58" s="437"/>
      <c r="G58" s="1105" t="str">
        <f>IF(D58="","",VLOOKUP(D58,'Fatores de Emissão'!$C$82:$D$104,2,FALSE))</f>
        <v/>
      </c>
      <c r="H58" s="439" t="str">
        <f>IF(OR(D58="",D58="-"),"",VLOOKUP(D58,'Fatores de Emissão'!$C$82:$J$97,6,FALSE))</f>
        <v/>
      </c>
      <c r="I58" s="439" t="str">
        <f>IF(OR(D58="",D58="-"),"",VLOOKUP(D58,'Fatores de Emissão'!$C$82:$J$97,7,FALSE))</f>
        <v/>
      </c>
      <c r="J58" s="439" t="str">
        <f>IF(OR(D58="",D58="-"),"",VLOOKUP(D58,'Fatores de Emissão'!$C$82:$J$97,8,FALSE))</f>
        <v/>
      </c>
      <c r="K58" s="439" t="str">
        <f t="shared" si="1"/>
        <v/>
      </c>
      <c r="L58" s="439" t="str">
        <f t="shared" si="2"/>
        <v/>
      </c>
      <c r="M58" s="439" t="str">
        <f t="shared" si="3"/>
        <v/>
      </c>
      <c r="N58" s="441" t="str">
        <f t="shared" si="0"/>
        <v/>
      </c>
      <c r="P58" s="1176" t="str">
        <f>IF($D58="","", IF($D58="Gasolina",'Fatores de Emissão'!X47,IF($D58="Gasóleo",'Fatores de Emissão'!X62,IF($D58="Gás natural"='Fatores de Emissão'!X59,""))))</f>
        <v/>
      </c>
      <c r="Q58" s="1176" t="str">
        <f>IF($D58="","", IF($D58="Gasolina",'Fatores de Emissão'!Y47,IF($D58="Gasóleo",'Fatores de Emissão'!Y62,IF($D58="Gás natural"='Fatores de Emissão'!Y59,""))))</f>
        <v/>
      </c>
      <c r="R58" s="1176" t="str">
        <f t="shared" si="4"/>
        <v/>
      </c>
    </row>
    <row r="59" spans="1:18" s="237" customFormat="1" ht="15" hidden="1" customHeight="1" outlineLevel="2" x14ac:dyDescent="0.25">
      <c r="A59" s="363"/>
      <c r="B59" s="435"/>
      <c r="C59" s="435"/>
      <c r="D59" s="1268"/>
      <c r="E59" s="1268"/>
      <c r="F59" s="437"/>
      <c r="G59" s="1105" t="str">
        <f>IF(D59="","",VLOOKUP(D59,'Fatores de Emissão'!$C$82:$D$104,2,FALSE))</f>
        <v/>
      </c>
      <c r="H59" s="439" t="str">
        <f>IF(OR(D59="",D59="-"),"",VLOOKUP(D59,'Fatores de Emissão'!$C$82:$J$97,6,FALSE))</f>
        <v/>
      </c>
      <c r="I59" s="439" t="str">
        <f>IF(OR(D59="",D59="-"),"",VLOOKUP(D59,'Fatores de Emissão'!$C$82:$J$97,7,FALSE))</f>
        <v/>
      </c>
      <c r="J59" s="439" t="str">
        <f>IF(OR(D59="",D59="-"),"",VLOOKUP(D59,'Fatores de Emissão'!$C$82:$J$97,8,FALSE))</f>
        <v/>
      </c>
      <c r="K59" s="439" t="str">
        <f t="shared" si="1"/>
        <v/>
      </c>
      <c r="L59" s="439" t="str">
        <f t="shared" si="2"/>
        <v/>
      </c>
      <c r="M59" s="439" t="str">
        <f t="shared" si="3"/>
        <v/>
      </c>
      <c r="N59" s="441" t="str">
        <f t="shared" si="0"/>
        <v/>
      </c>
      <c r="P59" s="1176" t="str">
        <f>IF($D59="","", IF($D59="Gasolina",'Fatores de Emissão'!X48,IF($D59="Gasóleo",'Fatores de Emissão'!X63,IF($D59="Gás natural"='Fatores de Emissão'!X60,""))))</f>
        <v/>
      </c>
      <c r="Q59" s="1176" t="str">
        <f>IF($D59="","", IF($D59="Gasolina",'Fatores de Emissão'!Y48,IF($D59="Gasóleo",'Fatores de Emissão'!Y63,IF($D59="Gás natural"='Fatores de Emissão'!Y60,""))))</f>
        <v/>
      </c>
      <c r="R59" s="1176" t="str">
        <f t="shared" si="4"/>
        <v/>
      </c>
    </row>
    <row r="60" spans="1:18" s="237" customFormat="1" ht="15" hidden="1" customHeight="1" outlineLevel="2" x14ac:dyDescent="0.25">
      <c r="A60" s="363"/>
      <c r="B60" s="435"/>
      <c r="C60" s="435"/>
      <c r="D60" s="1268"/>
      <c r="E60" s="1268"/>
      <c r="F60" s="437"/>
      <c r="G60" s="1105" t="str">
        <f>IF(D60="","",VLOOKUP(D60,'Fatores de Emissão'!$C$82:$D$104,2,FALSE))</f>
        <v/>
      </c>
      <c r="H60" s="439" t="str">
        <f>IF(OR(D60="",D60="-"),"",VLOOKUP(D60,'Fatores de Emissão'!$C$82:$J$97,6,FALSE))</f>
        <v/>
      </c>
      <c r="I60" s="439" t="str">
        <f>IF(OR(D60="",D60="-"),"",VLOOKUP(D60,'Fatores de Emissão'!$C$82:$J$97,7,FALSE))</f>
        <v/>
      </c>
      <c r="J60" s="439" t="str">
        <f>IF(OR(D60="",D60="-"),"",VLOOKUP(D60,'Fatores de Emissão'!$C$82:$J$97,8,FALSE))</f>
        <v/>
      </c>
      <c r="K60" s="439" t="str">
        <f t="shared" si="1"/>
        <v/>
      </c>
      <c r="L60" s="439" t="str">
        <f t="shared" si="2"/>
        <v/>
      </c>
      <c r="M60" s="439" t="str">
        <f t="shared" si="3"/>
        <v/>
      </c>
      <c r="N60" s="441" t="str">
        <f t="shared" si="0"/>
        <v/>
      </c>
      <c r="P60" s="1176" t="str">
        <f>IF($D60="","", IF($D60="Gasolina",'Fatores de Emissão'!X49,IF($D60="Gasóleo",'Fatores de Emissão'!X64,IF($D60="Gás natural"='Fatores de Emissão'!X61,""))))</f>
        <v/>
      </c>
      <c r="Q60" s="1176" t="str">
        <f>IF($D60="","", IF($D60="Gasolina",'Fatores de Emissão'!Y49,IF($D60="Gasóleo",'Fatores de Emissão'!Y64,IF($D60="Gás natural"='Fatores de Emissão'!Y61,""))))</f>
        <v/>
      </c>
      <c r="R60" s="1176" t="str">
        <f t="shared" si="4"/>
        <v/>
      </c>
    </row>
    <row r="61" spans="1:18" s="237" customFormat="1" ht="15" hidden="1" customHeight="1" outlineLevel="2" x14ac:dyDescent="0.25">
      <c r="A61" s="363"/>
      <c r="B61" s="435"/>
      <c r="C61" s="435"/>
      <c r="D61" s="1268"/>
      <c r="E61" s="1268"/>
      <c r="F61" s="437"/>
      <c r="G61" s="1105" t="str">
        <f>IF(D61="","",VLOOKUP(D61,'Fatores de Emissão'!$C$82:$D$104,2,FALSE))</f>
        <v/>
      </c>
      <c r="H61" s="439" t="str">
        <f>IF(OR(D61="",D61="-"),"",VLOOKUP(D61,'Fatores de Emissão'!$C$82:$J$97,6,FALSE))</f>
        <v/>
      </c>
      <c r="I61" s="439" t="str">
        <f>IF(OR(D61="",D61="-"),"",VLOOKUP(D61,'Fatores de Emissão'!$C$82:$J$97,7,FALSE))</f>
        <v/>
      </c>
      <c r="J61" s="439" t="str">
        <f>IF(OR(D61="",D61="-"),"",VLOOKUP(D61,'Fatores de Emissão'!$C$82:$J$97,8,FALSE))</f>
        <v/>
      </c>
      <c r="K61" s="439" t="str">
        <f t="shared" si="1"/>
        <v/>
      </c>
      <c r="L61" s="439" t="str">
        <f t="shared" si="2"/>
        <v/>
      </c>
      <c r="M61" s="439" t="str">
        <f t="shared" si="3"/>
        <v/>
      </c>
      <c r="N61" s="441" t="str">
        <f t="shared" si="0"/>
        <v/>
      </c>
      <c r="P61" s="1176" t="str">
        <f>IF($D61="","", IF($D61="Gasolina",'Fatores de Emissão'!X50,IF($D61="Gasóleo",'Fatores de Emissão'!X65,IF($D61="Gás natural"='Fatores de Emissão'!X62,""))))</f>
        <v/>
      </c>
      <c r="Q61" s="1176" t="str">
        <f>IF($D61="","", IF($D61="Gasolina",'Fatores de Emissão'!Y50,IF($D61="Gasóleo",'Fatores de Emissão'!Y65,IF($D61="Gás natural"='Fatores de Emissão'!Y62,""))))</f>
        <v/>
      </c>
      <c r="R61" s="1176" t="str">
        <f t="shared" si="4"/>
        <v/>
      </c>
    </row>
    <row r="62" spans="1:18" s="237" customFormat="1" ht="15" hidden="1" customHeight="1" outlineLevel="2" x14ac:dyDescent="0.25">
      <c r="A62" s="363"/>
      <c r="B62" s="435"/>
      <c r="C62" s="435"/>
      <c r="D62" s="1268"/>
      <c r="E62" s="1268"/>
      <c r="F62" s="437"/>
      <c r="G62" s="1105" t="str">
        <f>IF(D62="","",VLOOKUP(D62,'Fatores de Emissão'!$C$82:$D$104,2,FALSE))</f>
        <v/>
      </c>
      <c r="H62" s="439" t="str">
        <f>IF(OR(D62="",D62="-"),"",VLOOKUP(D62,'Fatores de Emissão'!$C$82:$J$97,6,FALSE))</f>
        <v/>
      </c>
      <c r="I62" s="439" t="str">
        <f>IF(OR(D62="",D62="-"),"",VLOOKUP(D62,'Fatores de Emissão'!$C$82:$J$97,7,FALSE))</f>
        <v/>
      </c>
      <c r="J62" s="439" t="str">
        <f>IF(OR(D62="",D62="-"),"",VLOOKUP(D62,'Fatores de Emissão'!$C$82:$J$97,8,FALSE))</f>
        <v/>
      </c>
      <c r="K62" s="439" t="str">
        <f t="shared" si="1"/>
        <v/>
      </c>
      <c r="L62" s="439" t="str">
        <f t="shared" si="2"/>
        <v/>
      </c>
      <c r="M62" s="439" t="str">
        <f t="shared" si="3"/>
        <v/>
      </c>
      <c r="N62" s="441" t="str">
        <f t="shared" si="0"/>
        <v/>
      </c>
      <c r="P62" s="1176" t="str">
        <f>IF($D62="","", IF($D62="Gasolina",'Fatores de Emissão'!X51,IF($D62="Gasóleo",'Fatores de Emissão'!X66,IF($D62="Gás natural"='Fatores de Emissão'!X63,""))))</f>
        <v/>
      </c>
      <c r="Q62" s="1176" t="str">
        <f>IF($D62="","", IF($D62="Gasolina",'Fatores de Emissão'!Y51,IF($D62="Gasóleo",'Fatores de Emissão'!Y66,IF($D62="Gás natural"='Fatores de Emissão'!Y63,""))))</f>
        <v/>
      </c>
      <c r="R62" s="1176" t="str">
        <f t="shared" si="4"/>
        <v/>
      </c>
    </row>
    <row r="63" spans="1:18" s="237" customFormat="1" ht="15" hidden="1" customHeight="1" outlineLevel="2" x14ac:dyDescent="0.25">
      <c r="A63" s="363"/>
      <c r="B63" s="435"/>
      <c r="C63" s="435"/>
      <c r="D63" s="1268"/>
      <c r="E63" s="1268"/>
      <c r="F63" s="437"/>
      <c r="G63" s="1105" t="str">
        <f>IF(D63="","",VLOOKUP(D63,'Fatores de Emissão'!$C$82:$D$104,2,FALSE))</f>
        <v/>
      </c>
      <c r="H63" s="439" t="str">
        <f>IF(OR(D63="",D63="-"),"",VLOOKUP(D63,'Fatores de Emissão'!$C$82:$J$97,6,FALSE))</f>
        <v/>
      </c>
      <c r="I63" s="439" t="str">
        <f>IF(OR(D63="",D63="-"),"",VLOOKUP(D63,'Fatores de Emissão'!$C$82:$J$97,7,FALSE))</f>
        <v/>
      </c>
      <c r="J63" s="439" t="str">
        <f>IF(OR(D63="",D63="-"),"",VLOOKUP(D63,'Fatores de Emissão'!$C$82:$J$97,8,FALSE))</f>
        <v/>
      </c>
      <c r="K63" s="439" t="str">
        <f t="shared" si="1"/>
        <v/>
      </c>
      <c r="L63" s="439" t="str">
        <f t="shared" si="2"/>
        <v/>
      </c>
      <c r="M63" s="439" t="str">
        <f t="shared" si="3"/>
        <v/>
      </c>
      <c r="N63" s="441" t="str">
        <f t="shared" si="0"/>
        <v/>
      </c>
      <c r="P63" s="1176" t="str">
        <f>IF($D63="","", IF($D63="Gasolina",'Fatores de Emissão'!X52,IF($D63="Gasóleo",'Fatores de Emissão'!X67,IF($D63="Gás natural"='Fatores de Emissão'!X64,""))))</f>
        <v/>
      </c>
      <c r="Q63" s="1176" t="str">
        <f>IF($D63="","", IF($D63="Gasolina",'Fatores de Emissão'!Y52,IF($D63="Gasóleo",'Fatores de Emissão'!Y67,IF($D63="Gás natural"='Fatores de Emissão'!Y64,""))))</f>
        <v/>
      </c>
      <c r="R63" s="1176" t="str">
        <f t="shared" si="4"/>
        <v/>
      </c>
    </row>
    <row r="64" spans="1:18" s="237" customFormat="1" ht="15" hidden="1" customHeight="1" outlineLevel="2" x14ac:dyDescent="0.25">
      <c r="A64" s="363"/>
      <c r="B64" s="435"/>
      <c r="C64" s="435"/>
      <c r="D64" s="1268"/>
      <c r="E64" s="1268"/>
      <c r="F64" s="437"/>
      <c r="G64" s="1105" t="str">
        <f>IF(D64="","",VLOOKUP(D64,'Fatores de Emissão'!$C$82:$D$104,2,FALSE))</f>
        <v/>
      </c>
      <c r="H64" s="439" t="str">
        <f>IF(OR(D64="",D64="-"),"",VLOOKUP(D64,'Fatores de Emissão'!$C$82:$J$97,6,FALSE))</f>
        <v/>
      </c>
      <c r="I64" s="439" t="str">
        <f>IF(OR(D64="",D64="-"),"",VLOOKUP(D64,'Fatores de Emissão'!$C$82:$J$97,7,FALSE))</f>
        <v/>
      </c>
      <c r="J64" s="439" t="str">
        <f>IF(OR(D64="",D64="-"),"",VLOOKUP(D64,'Fatores de Emissão'!$C$82:$J$97,8,FALSE))</f>
        <v/>
      </c>
      <c r="K64" s="439" t="str">
        <f t="shared" si="1"/>
        <v/>
      </c>
      <c r="L64" s="439" t="str">
        <f t="shared" si="2"/>
        <v/>
      </c>
      <c r="M64" s="439" t="str">
        <f t="shared" si="3"/>
        <v/>
      </c>
      <c r="N64" s="441" t="str">
        <f t="shared" si="0"/>
        <v/>
      </c>
      <c r="P64" s="1176" t="str">
        <f>IF($D64="","", IF($D64="Gasolina",'Fatores de Emissão'!X53,IF($D64="Gasóleo",'Fatores de Emissão'!X68,IF($D64="Gás natural"='Fatores de Emissão'!X65,""))))</f>
        <v/>
      </c>
      <c r="Q64" s="1176" t="str">
        <f>IF($D64="","", IF($D64="Gasolina",'Fatores de Emissão'!Y53,IF($D64="Gasóleo",'Fatores de Emissão'!Y68,IF($D64="Gás natural"='Fatores de Emissão'!Y65,""))))</f>
        <v/>
      </c>
      <c r="R64" s="1176" t="str">
        <f t="shared" si="4"/>
        <v/>
      </c>
    </row>
    <row r="65" spans="1:18" s="237" customFormat="1" ht="15" hidden="1" customHeight="1" outlineLevel="2" x14ac:dyDescent="0.25">
      <c r="A65" s="363"/>
      <c r="B65" s="435"/>
      <c r="C65" s="435"/>
      <c r="D65" s="1268"/>
      <c r="E65" s="1268"/>
      <c r="F65" s="437"/>
      <c r="G65" s="1105" t="str">
        <f>IF(D65="","",VLOOKUP(D65,'Fatores de Emissão'!$C$82:$D$104,2,FALSE))</f>
        <v/>
      </c>
      <c r="H65" s="439" t="str">
        <f>IF(OR(D65="",D65="-"),"",VLOOKUP(D65,'Fatores de Emissão'!$C$82:$J$97,6,FALSE))</f>
        <v/>
      </c>
      <c r="I65" s="439" t="str">
        <f>IF(OR(D65="",D65="-"),"",VLOOKUP(D65,'Fatores de Emissão'!$C$82:$J$97,7,FALSE))</f>
        <v/>
      </c>
      <c r="J65" s="439" t="str">
        <f>IF(OR(D65="",D65="-"),"",VLOOKUP(D65,'Fatores de Emissão'!$C$82:$J$97,8,FALSE))</f>
        <v/>
      </c>
      <c r="K65" s="439" t="str">
        <f t="shared" si="1"/>
        <v/>
      </c>
      <c r="L65" s="439" t="str">
        <f t="shared" si="2"/>
        <v/>
      </c>
      <c r="M65" s="439" t="str">
        <f t="shared" si="3"/>
        <v/>
      </c>
      <c r="N65" s="441" t="str">
        <f t="shared" si="0"/>
        <v/>
      </c>
      <c r="P65" s="1176" t="str">
        <f>IF($D65="","", IF($D65="Gasolina",'Fatores de Emissão'!X54,IF($D65="Gasóleo",'Fatores de Emissão'!X69,IF($D65="Gás natural"='Fatores de Emissão'!X66,""))))</f>
        <v/>
      </c>
      <c r="Q65" s="1176" t="str">
        <f>IF($D65="","", IF($D65="Gasolina",'Fatores de Emissão'!Y54,IF($D65="Gasóleo",'Fatores de Emissão'!Y69,IF($D65="Gás natural"='Fatores de Emissão'!Y66,""))))</f>
        <v/>
      </c>
      <c r="R65" s="1176" t="str">
        <f t="shared" si="4"/>
        <v/>
      </c>
    </row>
    <row r="66" spans="1:18" s="237" customFormat="1" ht="15" hidden="1" customHeight="1" outlineLevel="2" x14ac:dyDescent="0.25">
      <c r="A66" s="363"/>
      <c r="B66" s="435"/>
      <c r="C66" s="435"/>
      <c r="D66" s="1268"/>
      <c r="E66" s="1268"/>
      <c r="F66" s="437"/>
      <c r="G66" s="1105" t="str">
        <f>IF(D66="","",VLOOKUP(D66,'Fatores de Emissão'!$C$82:$D$104,2,FALSE))</f>
        <v/>
      </c>
      <c r="H66" s="439" t="str">
        <f>IF(OR(D66="",D66="-"),"",VLOOKUP(D66,'Fatores de Emissão'!$C$82:$J$97,6,FALSE))</f>
        <v/>
      </c>
      <c r="I66" s="439" t="str">
        <f>IF(OR(D66="",D66="-"),"",VLOOKUP(D66,'Fatores de Emissão'!$C$82:$J$97,7,FALSE))</f>
        <v/>
      </c>
      <c r="J66" s="439" t="str">
        <f>IF(OR(D66="",D66="-"),"",VLOOKUP(D66,'Fatores de Emissão'!$C$82:$J$97,8,FALSE))</f>
        <v/>
      </c>
      <c r="K66" s="439" t="str">
        <f t="shared" si="1"/>
        <v/>
      </c>
      <c r="L66" s="439" t="str">
        <f t="shared" si="2"/>
        <v/>
      </c>
      <c r="M66" s="439" t="str">
        <f t="shared" si="3"/>
        <v/>
      </c>
      <c r="N66" s="441" t="str">
        <f t="shared" si="0"/>
        <v/>
      </c>
      <c r="P66" s="1176" t="str">
        <f>IF($D66="","", IF($D66="Gasolina",'Fatores de Emissão'!X55,IF($D66="Gasóleo",'Fatores de Emissão'!X70,IF($D66="Gás natural"='Fatores de Emissão'!X67,""))))</f>
        <v/>
      </c>
      <c r="Q66" s="1176" t="str">
        <f>IF($D66="","", IF($D66="Gasolina",'Fatores de Emissão'!Y55,IF($D66="Gasóleo",'Fatores de Emissão'!Y70,IF($D66="Gás natural"='Fatores de Emissão'!Y67,""))))</f>
        <v/>
      </c>
      <c r="R66" s="1176" t="str">
        <f t="shared" si="4"/>
        <v/>
      </c>
    </row>
    <row r="67" spans="1:18" s="237" customFormat="1" ht="15" hidden="1" customHeight="1" outlineLevel="2" x14ac:dyDescent="0.25">
      <c r="A67" s="363"/>
      <c r="B67" s="435"/>
      <c r="C67" s="435"/>
      <c r="D67" s="1268"/>
      <c r="E67" s="1268"/>
      <c r="F67" s="437"/>
      <c r="G67" s="1105" t="str">
        <f>IF(D67="","",VLOOKUP(D67,'Fatores de Emissão'!$C$82:$D$104,2,FALSE))</f>
        <v/>
      </c>
      <c r="H67" s="439" t="str">
        <f>IF(OR(D67="",D67="-"),"",VLOOKUP(D67,'Fatores de Emissão'!$C$82:$J$97,6,FALSE))</f>
        <v/>
      </c>
      <c r="I67" s="439" t="str">
        <f>IF(OR(D67="",D67="-"),"",VLOOKUP(D67,'Fatores de Emissão'!$C$82:$J$97,7,FALSE))</f>
        <v/>
      </c>
      <c r="J67" s="439" t="str">
        <f>IF(OR(D67="",D67="-"),"",VLOOKUP(D67,'Fatores de Emissão'!$C$82:$J$97,8,FALSE))</f>
        <v/>
      </c>
      <c r="K67" s="439" t="str">
        <f t="shared" si="1"/>
        <v/>
      </c>
      <c r="L67" s="439" t="str">
        <f t="shared" si="2"/>
        <v/>
      </c>
      <c r="M67" s="439" t="str">
        <f t="shared" si="3"/>
        <v/>
      </c>
      <c r="N67" s="441" t="str">
        <f t="shared" si="0"/>
        <v/>
      </c>
      <c r="P67" s="1176" t="str">
        <f>IF($D67="","", IF($D67="Gasolina",'Fatores de Emissão'!X56,IF($D67="Gasóleo",'Fatores de Emissão'!X71,IF($D67="Gás natural"='Fatores de Emissão'!X68,""))))</f>
        <v/>
      </c>
      <c r="Q67" s="1176" t="str">
        <f>IF($D67="","", IF($D67="Gasolina",'Fatores de Emissão'!Y56,IF($D67="Gasóleo",'Fatores de Emissão'!Y71,IF($D67="Gás natural"='Fatores de Emissão'!Y68,""))))</f>
        <v/>
      </c>
      <c r="R67" s="1176" t="str">
        <f t="shared" si="4"/>
        <v/>
      </c>
    </row>
    <row r="68" spans="1:18" s="237" customFormat="1" ht="15" hidden="1" customHeight="1" outlineLevel="2" x14ac:dyDescent="0.25">
      <c r="A68" s="363"/>
      <c r="B68" s="435"/>
      <c r="C68" s="435"/>
      <c r="D68" s="1268"/>
      <c r="E68" s="1268"/>
      <c r="F68" s="437"/>
      <c r="G68" s="1105" t="str">
        <f>IF(D68="","",VLOOKUP(D68,'Fatores de Emissão'!$C$82:$D$104,2,FALSE))</f>
        <v/>
      </c>
      <c r="H68" s="439" t="str">
        <f>IF(OR(D68="",D68="-"),"",VLOOKUP(D68,'Fatores de Emissão'!$C$82:$J$97,6,FALSE))</f>
        <v/>
      </c>
      <c r="I68" s="439" t="str">
        <f>IF(OR(D68="",D68="-"),"",VLOOKUP(D68,'Fatores de Emissão'!$C$82:$J$97,7,FALSE))</f>
        <v/>
      </c>
      <c r="J68" s="439" t="str">
        <f>IF(OR(D68="",D68="-"),"",VLOOKUP(D68,'Fatores de Emissão'!$C$82:$J$97,8,FALSE))</f>
        <v/>
      </c>
      <c r="K68" s="439" t="str">
        <f t="shared" si="1"/>
        <v/>
      </c>
      <c r="L68" s="439" t="str">
        <f t="shared" si="2"/>
        <v/>
      </c>
      <c r="M68" s="439" t="str">
        <f t="shared" si="3"/>
        <v/>
      </c>
      <c r="N68" s="441" t="str">
        <f t="shared" si="0"/>
        <v/>
      </c>
      <c r="P68" s="1176" t="str">
        <f>IF($D68="","", IF($D68="Gasolina",'Fatores de Emissão'!X57,IF($D68="Gasóleo",'Fatores de Emissão'!X72,IF($D68="Gás natural"='Fatores de Emissão'!X69,""))))</f>
        <v/>
      </c>
      <c r="Q68" s="1176" t="str">
        <f>IF($D68="","", IF($D68="Gasolina",'Fatores de Emissão'!Y57,IF($D68="Gasóleo",'Fatores de Emissão'!Y72,IF($D68="Gás natural"='Fatores de Emissão'!Y69,""))))</f>
        <v/>
      </c>
      <c r="R68" s="1176" t="str">
        <f t="shared" si="4"/>
        <v/>
      </c>
    </row>
    <row r="69" spans="1:18" s="237" customFormat="1" ht="15" hidden="1" customHeight="1" outlineLevel="2" x14ac:dyDescent="0.25">
      <c r="A69" s="363"/>
      <c r="B69" s="435"/>
      <c r="C69" s="435"/>
      <c r="D69" s="1268"/>
      <c r="E69" s="1268"/>
      <c r="F69" s="437"/>
      <c r="G69" s="1105" t="str">
        <f>IF(D69="","",VLOOKUP(D69,'Fatores de Emissão'!$C$82:$D$104,2,FALSE))</f>
        <v/>
      </c>
      <c r="H69" s="439" t="str">
        <f>IF(OR(D69="",D69="-"),"",VLOOKUP(D69,'Fatores de Emissão'!$C$82:$J$97,6,FALSE))</f>
        <v/>
      </c>
      <c r="I69" s="439" t="str">
        <f>IF(OR(D69="",D69="-"),"",VLOOKUP(D69,'Fatores de Emissão'!$C$82:$J$97,7,FALSE))</f>
        <v/>
      </c>
      <c r="J69" s="439" t="str">
        <f>IF(OR(D69="",D69="-"),"",VLOOKUP(D69,'Fatores de Emissão'!$C$82:$J$97,8,FALSE))</f>
        <v/>
      </c>
      <c r="K69" s="439" t="str">
        <f t="shared" si="1"/>
        <v/>
      </c>
      <c r="L69" s="439" t="str">
        <f t="shared" si="2"/>
        <v/>
      </c>
      <c r="M69" s="439" t="str">
        <f t="shared" si="3"/>
        <v/>
      </c>
      <c r="N69" s="441" t="str">
        <f t="shared" ref="N69:N86" si="5">IF(ISERR(K69*gwp_CO2+L69*gwp_CH4+M69*gwp_N2O),"",K69*gwp_CO2+L69*gwp_CH4+M69*gwp_N2O)</f>
        <v/>
      </c>
      <c r="P69" s="1176" t="str">
        <f>IF($D69="","", IF($D69="Gasolina",'Fatores de Emissão'!X58,IF($D69="Gasóleo",'Fatores de Emissão'!X73,IF($D69="Gás natural"='Fatores de Emissão'!X70,""))))</f>
        <v/>
      </c>
      <c r="Q69" s="1176" t="str">
        <f>IF($D69="","", IF($D69="Gasolina",'Fatores de Emissão'!Y58,IF($D69="Gasóleo",'Fatores de Emissão'!Y73,IF($D69="Gás natural"='Fatores de Emissão'!Y70,""))))</f>
        <v/>
      </c>
      <c r="R69" s="1176" t="str">
        <f t="shared" si="4"/>
        <v/>
      </c>
    </row>
    <row r="70" spans="1:18" s="237" customFormat="1" ht="15" hidden="1" customHeight="1" outlineLevel="2" x14ac:dyDescent="0.25">
      <c r="A70" s="363"/>
      <c r="B70" s="435"/>
      <c r="C70" s="435"/>
      <c r="D70" s="1268"/>
      <c r="E70" s="1268"/>
      <c r="F70" s="437"/>
      <c r="G70" s="1105" t="str">
        <f>IF(D70="","",VLOOKUP(D70,'Fatores de Emissão'!$C$82:$D$104,2,FALSE))</f>
        <v/>
      </c>
      <c r="H70" s="439" t="str">
        <f>IF(OR(D70="",D70="-"),"",VLOOKUP(D70,'Fatores de Emissão'!$C$82:$J$97,6,FALSE))</f>
        <v/>
      </c>
      <c r="I70" s="439" t="str">
        <f>IF(OR(D70="",D70="-"),"",VLOOKUP(D70,'Fatores de Emissão'!$C$82:$J$97,7,FALSE))</f>
        <v/>
      </c>
      <c r="J70" s="439" t="str">
        <f>IF(OR(D70="",D70="-"),"",VLOOKUP(D70,'Fatores de Emissão'!$C$82:$J$97,8,FALSE))</f>
        <v/>
      </c>
      <c r="K70" s="439" t="str">
        <f t="shared" si="1"/>
        <v/>
      </c>
      <c r="L70" s="439" t="str">
        <f t="shared" si="2"/>
        <v/>
      </c>
      <c r="M70" s="439" t="str">
        <f t="shared" si="3"/>
        <v/>
      </c>
      <c r="N70" s="441" t="str">
        <f t="shared" si="5"/>
        <v/>
      </c>
      <c r="P70" s="1176" t="str">
        <f>IF($D70="","", IF($D70="Gasolina",'Fatores de Emissão'!X59,IF($D70="Gasóleo",'Fatores de Emissão'!X74,IF($D70="Gás natural"='Fatores de Emissão'!X71,""))))</f>
        <v/>
      </c>
      <c r="Q70" s="1176" t="str">
        <f>IF($D70="","", IF($D70="Gasolina",'Fatores de Emissão'!Y59,IF($D70="Gasóleo",'Fatores de Emissão'!Y74,IF($D70="Gás natural"='Fatores de Emissão'!Y71,""))))</f>
        <v/>
      </c>
      <c r="R70" s="1176" t="str">
        <f t="shared" si="4"/>
        <v/>
      </c>
    </row>
    <row r="71" spans="1:18" s="237" customFormat="1" ht="15" hidden="1" customHeight="1" outlineLevel="2" x14ac:dyDescent="0.25">
      <c r="A71" s="363"/>
      <c r="B71" s="435"/>
      <c r="C71" s="435"/>
      <c r="D71" s="1268"/>
      <c r="E71" s="1268"/>
      <c r="F71" s="437"/>
      <c r="G71" s="1105" t="str">
        <f>IF(D71="","",VLOOKUP(D71,'Fatores de Emissão'!$C$82:$D$104,2,FALSE))</f>
        <v/>
      </c>
      <c r="H71" s="439" t="str">
        <f>IF(OR(D71="",D71="-"),"",VLOOKUP(D71,'Fatores de Emissão'!$C$82:$J$97,6,FALSE))</f>
        <v/>
      </c>
      <c r="I71" s="439" t="str">
        <f>IF(OR(D71="",D71="-"),"",VLOOKUP(D71,'Fatores de Emissão'!$C$82:$J$97,7,FALSE))</f>
        <v/>
      </c>
      <c r="J71" s="439" t="str">
        <f>IF(OR(D71="",D71="-"),"",VLOOKUP(D71,'Fatores de Emissão'!$C$82:$J$97,8,FALSE))</f>
        <v/>
      </c>
      <c r="K71" s="439" t="str">
        <f t="shared" si="1"/>
        <v/>
      </c>
      <c r="L71" s="439" t="str">
        <f t="shared" si="2"/>
        <v/>
      </c>
      <c r="M71" s="439" t="str">
        <f t="shared" si="3"/>
        <v/>
      </c>
      <c r="N71" s="441" t="str">
        <f t="shared" si="5"/>
        <v/>
      </c>
      <c r="P71" s="1176" t="str">
        <f>IF($D71="","", IF($D71="Gasolina",'Fatores de Emissão'!X60,IF($D71="Gasóleo",'Fatores de Emissão'!X75,IF($D71="Gás natural"='Fatores de Emissão'!X72,""))))</f>
        <v/>
      </c>
      <c r="Q71" s="1176" t="str">
        <f>IF($D71="","", IF($D71="Gasolina",'Fatores de Emissão'!Y60,IF($D71="Gasóleo",'Fatores de Emissão'!Y75,IF($D71="Gás natural"='Fatores de Emissão'!Y72,""))))</f>
        <v/>
      </c>
      <c r="R71" s="1176" t="str">
        <f t="shared" si="4"/>
        <v/>
      </c>
    </row>
    <row r="72" spans="1:18" s="237" customFormat="1" ht="15" hidden="1" customHeight="1" outlineLevel="2" x14ac:dyDescent="0.25">
      <c r="A72" s="363"/>
      <c r="B72" s="435"/>
      <c r="C72" s="435"/>
      <c r="D72" s="1268"/>
      <c r="E72" s="1268"/>
      <c r="F72" s="437"/>
      <c r="G72" s="1105" t="str">
        <f>IF(D72="","",VLOOKUP(D72,'Fatores de Emissão'!$C$82:$D$104,2,FALSE))</f>
        <v/>
      </c>
      <c r="H72" s="439" t="str">
        <f>IF(OR(D72="",D72="-"),"",VLOOKUP(D72,'Fatores de Emissão'!$C$82:$J$97,6,FALSE))</f>
        <v/>
      </c>
      <c r="I72" s="439" t="str">
        <f>IF(OR(D72="",D72="-"),"",VLOOKUP(D72,'Fatores de Emissão'!$C$82:$J$97,7,FALSE))</f>
        <v/>
      </c>
      <c r="J72" s="439" t="str">
        <f>IF(OR(D72="",D72="-"),"",VLOOKUP(D72,'Fatores de Emissão'!$C$82:$J$97,8,FALSE))</f>
        <v/>
      </c>
      <c r="K72" s="439" t="str">
        <f t="shared" si="1"/>
        <v/>
      </c>
      <c r="L72" s="439" t="str">
        <f t="shared" si="2"/>
        <v/>
      </c>
      <c r="M72" s="439" t="str">
        <f t="shared" si="3"/>
        <v/>
      </c>
      <c r="N72" s="441" t="str">
        <f t="shared" si="5"/>
        <v/>
      </c>
      <c r="P72" s="1176" t="str">
        <f>IF($D72="","", IF($D72="Gasolina",'Fatores de Emissão'!X61,IF($D72="Gasóleo",'Fatores de Emissão'!X76,IF($D72="Gás natural"='Fatores de Emissão'!X73,""))))</f>
        <v/>
      </c>
      <c r="Q72" s="1176" t="str">
        <f>IF($D72="","", IF($D72="Gasolina",'Fatores de Emissão'!Y61,IF($D72="Gasóleo",'Fatores de Emissão'!Y76,IF($D72="Gás natural"='Fatores de Emissão'!Y73,""))))</f>
        <v/>
      </c>
      <c r="R72" s="1176" t="str">
        <f t="shared" si="4"/>
        <v/>
      </c>
    </row>
    <row r="73" spans="1:18" s="237" customFormat="1" ht="15" hidden="1" customHeight="1" outlineLevel="2" x14ac:dyDescent="0.25">
      <c r="A73" s="363"/>
      <c r="B73" s="435"/>
      <c r="C73" s="435"/>
      <c r="D73" s="1268"/>
      <c r="E73" s="1268"/>
      <c r="F73" s="437"/>
      <c r="G73" s="1105" t="str">
        <f>IF(D73="","",VLOOKUP(D73,'Fatores de Emissão'!$C$82:$D$104,2,FALSE))</f>
        <v/>
      </c>
      <c r="H73" s="439" t="str">
        <f>IF(OR(D73="",D73="-"),"",VLOOKUP(D73,'Fatores de Emissão'!$C$82:$J$97,6,FALSE))</f>
        <v/>
      </c>
      <c r="I73" s="439" t="str">
        <f>IF(OR(D73="",D73="-"),"",VLOOKUP(D73,'Fatores de Emissão'!$C$82:$J$97,7,FALSE))</f>
        <v/>
      </c>
      <c r="J73" s="439" t="str">
        <f>IF(OR(D73="",D73="-"),"",VLOOKUP(D73,'Fatores de Emissão'!$C$82:$J$97,8,FALSE))</f>
        <v/>
      </c>
      <c r="K73" s="439" t="str">
        <f t="shared" si="1"/>
        <v/>
      </c>
      <c r="L73" s="439" t="str">
        <f t="shared" si="2"/>
        <v/>
      </c>
      <c r="M73" s="439" t="str">
        <f t="shared" si="3"/>
        <v/>
      </c>
      <c r="N73" s="441" t="str">
        <f t="shared" si="5"/>
        <v/>
      </c>
      <c r="P73" s="1176" t="str">
        <f>IF($D73="","", IF($D73="Gasolina",'Fatores de Emissão'!X62,IF($D73="Gasóleo",'Fatores de Emissão'!X77,IF($D73="Gás natural"='Fatores de Emissão'!X74,""))))</f>
        <v/>
      </c>
      <c r="Q73" s="1176" t="str">
        <f>IF($D73="","", IF($D73="Gasolina",'Fatores de Emissão'!Y62,IF($D73="Gasóleo",'Fatores de Emissão'!Y77,IF($D73="Gás natural"='Fatores de Emissão'!Y74,""))))</f>
        <v/>
      </c>
      <c r="R73" s="1176" t="str">
        <f t="shared" si="4"/>
        <v/>
      </c>
    </row>
    <row r="74" spans="1:18" s="237" customFormat="1" ht="15" hidden="1" customHeight="1" outlineLevel="2" x14ac:dyDescent="0.25">
      <c r="A74" s="363"/>
      <c r="B74" s="435"/>
      <c r="C74" s="435"/>
      <c r="D74" s="1268"/>
      <c r="E74" s="1268"/>
      <c r="F74" s="437"/>
      <c r="G74" s="1105" t="str">
        <f>IF(D74="","",VLOOKUP(D74,'Fatores de Emissão'!$C$82:$D$104,2,FALSE))</f>
        <v/>
      </c>
      <c r="H74" s="439" t="str">
        <f>IF(OR(D74="",D74="-"),"",VLOOKUP(D74,'Fatores de Emissão'!$C$82:$J$97,6,FALSE))</f>
        <v/>
      </c>
      <c r="I74" s="439" t="str">
        <f>IF(OR(D74="",D74="-"),"",VLOOKUP(D74,'Fatores de Emissão'!$C$82:$J$97,7,FALSE))</f>
        <v/>
      </c>
      <c r="J74" s="439" t="str">
        <f>IF(OR(D74="",D74="-"),"",VLOOKUP(D74,'Fatores de Emissão'!$C$82:$J$97,8,FALSE))</f>
        <v/>
      </c>
      <c r="K74" s="439" t="str">
        <f t="shared" si="1"/>
        <v/>
      </c>
      <c r="L74" s="439" t="str">
        <f t="shared" si="2"/>
        <v/>
      </c>
      <c r="M74" s="439" t="str">
        <f t="shared" si="3"/>
        <v/>
      </c>
      <c r="N74" s="441" t="str">
        <f t="shared" si="5"/>
        <v/>
      </c>
      <c r="P74" s="1176" t="str">
        <f>IF($D74="","", IF($D74="Gasolina",'Fatores de Emissão'!X63,IF($D74="Gasóleo",'Fatores de Emissão'!X78,IF($D74="Gás natural"='Fatores de Emissão'!X75,""))))</f>
        <v/>
      </c>
      <c r="Q74" s="1176" t="str">
        <f>IF($D74="","", IF($D74="Gasolina",'Fatores de Emissão'!Y63,IF($D74="Gasóleo",'Fatores de Emissão'!Y78,IF($D74="Gás natural"='Fatores de Emissão'!Y75,""))))</f>
        <v/>
      </c>
      <c r="R74" s="1176" t="str">
        <f t="shared" si="4"/>
        <v/>
      </c>
    </row>
    <row r="75" spans="1:18" s="237" customFormat="1" ht="15" hidden="1" customHeight="1" outlineLevel="2" x14ac:dyDescent="0.25">
      <c r="A75" s="363"/>
      <c r="B75" s="435"/>
      <c r="C75" s="435"/>
      <c r="D75" s="1268"/>
      <c r="E75" s="1268"/>
      <c r="F75" s="437"/>
      <c r="G75" s="1105" t="str">
        <f>IF(D75="","",VLOOKUP(D75,'Fatores de Emissão'!$C$82:$D$104,2,FALSE))</f>
        <v/>
      </c>
      <c r="H75" s="439" t="str">
        <f>IF(OR(D75="",D75="-"),"",VLOOKUP(D75,'Fatores de Emissão'!$C$82:$J$97,6,FALSE))</f>
        <v/>
      </c>
      <c r="I75" s="439" t="str">
        <f>IF(OR(D75="",D75="-"),"",VLOOKUP(D75,'Fatores de Emissão'!$C$82:$J$97,7,FALSE))</f>
        <v/>
      </c>
      <c r="J75" s="439" t="str">
        <f>IF(OR(D75="",D75="-"),"",VLOOKUP(D75,'Fatores de Emissão'!$C$82:$J$97,8,FALSE))</f>
        <v/>
      </c>
      <c r="K75" s="439" t="str">
        <f t="shared" si="1"/>
        <v/>
      </c>
      <c r="L75" s="439" t="str">
        <f t="shared" si="2"/>
        <v/>
      </c>
      <c r="M75" s="439" t="str">
        <f t="shared" si="3"/>
        <v/>
      </c>
      <c r="N75" s="441" t="str">
        <f t="shared" si="5"/>
        <v/>
      </c>
      <c r="P75" s="1176" t="str">
        <f>IF($D75="","", IF($D75="Gasolina",'Fatores de Emissão'!X64,IF($D75="Gasóleo",'Fatores de Emissão'!X79,IF($D75="Gás natural"='Fatores de Emissão'!X76,""))))</f>
        <v/>
      </c>
      <c r="Q75" s="1176" t="str">
        <f>IF($D75="","", IF($D75="Gasolina",'Fatores de Emissão'!Y64,IF($D75="Gasóleo",'Fatores de Emissão'!Y79,IF($D75="Gás natural"='Fatores de Emissão'!Y76,""))))</f>
        <v/>
      </c>
      <c r="R75" s="1176" t="str">
        <f t="shared" si="4"/>
        <v/>
      </c>
    </row>
    <row r="76" spans="1:18" s="237" customFormat="1" ht="15" hidden="1" customHeight="1" outlineLevel="2" x14ac:dyDescent="0.25">
      <c r="A76" s="363"/>
      <c r="B76" s="435"/>
      <c r="C76" s="435"/>
      <c r="D76" s="1268"/>
      <c r="E76" s="1268"/>
      <c r="F76" s="437"/>
      <c r="G76" s="1105" t="str">
        <f>IF(D76="","",VLOOKUP(D76,'Fatores de Emissão'!$C$82:$D$104,2,FALSE))</f>
        <v/>
      </c>
      <c r="H76" s="439" t="str">
        <f>IF(OR(D76="",D76="-"),"",VLOOKUP(D76,'Fatores de Emissão'!$C$82:$J$97,6,FALSE))</f>
        <v/>
      </c>
      <c r="I76" s="439" t="str">
        <f>IF(OR(D76="",D76="-"),"",VLOOKUP(D76,'Fatores de Emissão'!$C$82:$J$97,7,FALSE))</f>
        <v/>
      </c>
      <c r="J76" s="439" t="str">
        <f>IF(OR(D76="",D76="-"),"",VLOOKUP(D76,'Fatores de Emissão'!$C$82:$J$97,8,FALSE))</f>
        <v/>
      </c>
      <c r="K76" s="439" t="str">
        <f t="shared" si="1"/>
        <v/>
      </c>
      <c r="L76" s="439" t="str">
        <f t="shared" si="2"/>
        <v/>
      </c>
      <c r="M76" s="439" t="str">
        <f t="shared" si="3"/>
        <v/>
      </c>
      <c r="N76" s="441" t="str">
        <f t="shared" si="5"/>
        <v/>
      </c>
      <c r="P76" s="1176" t="str">
        <f>IF($D76="","", IF($D76="Gasolina",'Fatores de Emissão'!X65,IF($D76="Gasóleo",'Fatores de Emissão'!X80,IF($D76="Gás natural"='Fatores de Emissão'!X77,""))))</f>
        <v/>
      </c>
      <c r="Q76" s="1176" t="str">
        <f>IF($D76="","", IF($D76="Gasolina",'Fatores de Emissão'!Y65,IF($D76="Gasóleo",'Fatores de Emissão'!Y80,IF($D76="Gás natural"='Fatores de Emissão'!Y77,""))))</f>
        <v/>
      </c>
      <c r="R76" s="1176" t="str">
        <f t="shared" si="4"/>
        <v/>
      </c>
    </row>
    <row r="77" spans="1:18" s="237" customFormat="1" ht="15" hidden="1" customHeight="1" outlineLevel="2" x14ac:dyDescent="0.25">
      <c r="A77" s="363"/>
      <c r="B77" s="435"/>
      <c r="C77" s="435"/>
      <c r="D77" s="1268"/>
      <c r="E77" s="1268"/>
      <c r="F77" s="437"/>
      <c r="G77" s="1105" t="str">
        <f>IF(D77="","",VLOOKUP(D77,'Fatores de Emissão'!$C$82:$D$104,2,FALSE))</f>
        <v/>
      </c>
      <c r="H77" s="439" t="str">
        <f>IF(OR(D77="",D77="-"),"",VLOOKUP(D77,'Fatores de Emissão'!$C$82:$J$97,6,FALSE))</f>
        <v/>
      </c>
      <c r="I77" s="439" t="str">
        <f>IF(OR(D77="",D77="-"),"",VLOOKUP(D77,'Fatores de Emissão'!$C$82:$J$97,7,FALSE))</f>
        <v/>
      </c>
      <c r="J77" s="439" t="str">
        <f>IF(OR(D77="",D77="-"),"",VLOOKUP(D77,'Fatores de Emissão'!$C$82:$J$97,8,FALSE))</f>
        <v/>
      </c>
      <c r="K77" s="439" t="str">
        <f t="shared" si="1"/>
        <v/>
      </c>
      <c r="L77" s="439" t="str">
        <f t="shared" si="2"/>
        <v/>
      </c>
      <c r="M77" s="439" t="str">
        <f t="shared" si="3"/>
        <v/>
      </c>
      <c r="N77" s="441" t="str">
        <f t="shared" si="5"/>
        <v/>
      </c>
      <c r="P77" s="1176" t="str">
        <f>IF($D77="","", IF($D77="Gasolina",'Fatores de Emissão'!X66,IF($D77="Gasóleo",'Fatores de Emissão'!X81,IF($D77="Gás natural"='Fatores de Emissão'!X78,""))))</f>
        <v/>
      </c>
      <c r="Q77" s="1176" t="str">
        <f>IF($D77="","", IF($D77="Gasolina",'Fatores de Emissão'!Y66,IF($D77="Gasóleo",'Fatores de Emissão'!Y81,IF($D77="Gás natural"='Fatores de Emissão'!Y78,""))))</f>
        <v/>
      </c>
      <c r="R77" s="1176" t="str">
        <f t="shared" si="4"/>
        <v/>
      </c>
    </row>
    <row r="78" spans="1:18" s="237" customFormat="1" ht="15" hidden="1" customHeight="1" outlineLevel="2" x14ac:dyDescent="0.25">
      <c r="A78" s="363"/>
      <c r="B78" s="435"/>
      <c r="C78" s="435"/>
      <c r="D78" s="1268"/>
      <c r="E78" s="1268"/>
      <c r="F78" s="437"/>
      <c r="G78" s="1105" t="str">
        <f>IF(D78="","",VLOOKUP(D78,'Fatores de Emissão'!$C$82:$D$104,2,FALSE))</f>
        <v/>
      </c>
      <c r="H78" s="439" t="str">
        <f>IF(OR(D78="",D78="-"),"",VLOOKUP(D78,'Fatores de Emissão'!$C$82:$J$97,6,FALSE))</f>
        <v/>
      </c>
      <c r="I78" s="439" t="str">
        <f>IF(OR(D78="",D78="-"),"",VLOOKUP(D78,'Fatores de Emissão'!$C$82:$J$97,7,FALSE))</f>
        <v/>
      </c>
      <c r="J78" s="439" t="str">
        <f>IF(OR(D78="",D78="-"),"",VLOOKUP(D78,'Fatores de Emissão'!$C$82:$J$97,8,FALSE))</f>
        <v/>
      </c>
      <c r="K78" s="439" t="str">
        <f t="shared" si="1"/>
        <v/>
      </c>
      <c r="L78" s="439" t="str">
        <f t="shared" si="2"/>
        <v/>
      </c>
      <c r="M78" s="439" t="str">
        <f t="shared" si="3"/>
        <v/>
      </c>
      <c r="N78" s="441" t="str">
        <f t="shared" si="5"/>
        <v/>
      </c>
      <c r="P78" s="1176" t="str">
        <f>IF($D78="","", IF($D78="Gasolina",'Fatores de Emissão'!X67,IF($D78="Gasóleo",'Fatores de Emissão'!X82,IF($D78="Gás natural"='Fatores de Emissão'!X79,""))))</f>
        <v/>
      </c>
      <c r="Q78" s="1176" t="str">
        <f>IF($D78="","", IF($D78="Gasolina",'Fatores de Emissão'!Y67,IF($D78="Gasóleo",'Fatores de Emissão'!Y82,IF($D78="Gás natural"='Fatores de Emissão'!Y79,""))))</f>
        <v/>
      </c>
      <c r="R78" s="1176" t="str">
        <f t="shared" si="4"/>
        <v/>
      </c>
    </row>
    <row r="79" spans="1:18" s="237" customFormat="1" ht="15" hidden="1" customHeight="1" outlineLevel="2" x14ac:dyDescent="0.25">
      <c r="A79" s="363"/>
      <c r="B79" s="435"/>
      <c r="C79" s="435"/>
      <c r="D79" s="1268"/>
      <c r="E79" s="1268"/>
      <c r="F79" s="437"/>
      <c r="G79" s="1105" t="str">
        <f>IF(D79="","",VLOOKUP(D79,'Fatores de Emissão'!$C$82:$D$104,2,FALSE))</f>
        <v/>
      </c>
      <c r="H79" s="439" t="str">
        <f>IF(OR(D79="",D79="-"),"",VLOOKUP(D79,'Fatores de Emissão'!$C$82:$J$97,6,FALSE))</f>
        <v/>
      </c>
      <c r="I79" s="439" t="str">
        <f>IF(OR(D79="",D79="-"),"",VLOOKUP(D79,'Fatores de Emissão'!$C$82:$J$97,7,FALSE))</f>
        <v/>
      </c>
      <c r="J79" s="439" t="str">
        <f>IF(OR(D79="",D79="-"),"",VLOOKUP(D79,'Fatores de Emissão'!$C$82:$J$97,8,FALSE))</f>
        <v/>
      </c>
      <c r="K79" s="439" t="str">
        <f t="shared" si="1"/>
        <v/>
      </c>
      <c r="L79" s="439" t="str">
        <f t="shared" si="2"/>
        <v/>
      </c>
      <c r="M79" s="439" t="str">
        <f t="shared" si="3"/>
        <v/>
      </c>
      <c r="N79" s="441" t="str">
        <f t="shared" si="5"/>
        <v/>
      </c>
      <c r="P79" s="1176" t="str">
        <f>IF($D79="","", IF($D79="Gasolina",'Fatores de Emissão'!X68,IF($D79="Gasóleo",'Fatores de Emissão'!X83,IF($D79="Gás natural"='Fatores de Emissão'!X80,""))))</f>
        <v/>
      </c>
      <c r="Q79" s="1176" t="str">
        <f>IF($D79="","", IF($D79="Gasolina",'Fatores de Emissão'!Y68,IF($D79="Gasóleo",'Fatores de Emissão'!Y83,IF($D79="Gás natural"='Fatores de Emissão'!Y80,""))))</f>
        <v/>
      </c>
      <c r="R79" s="1176" t="str">
        <f t="shared" si="4"/>
        <v/>
      </c>
    </row>
    <row r="80" spans="1:18" s="237" customFormat="1" ht="15" hidden="1" customHeight="1" outlineLevel="2" x14ac:dyDescent="0.25">
      <c r="A80" s="363"/>
      <c r="B80" s="435"/>
      <c r="C80" s="435"/>
      <c r="D80" s="1268"/>
      <c r="E80" s="1268"/>
      <c r="F80" s="437"/>
      <c r="G80" s="1105" t="str">
        <f>IF(D80="","",VLOOKUP(D80,'Fatores de Emissão'!$C$82:$D$104,2,FALSE))</f>
        <v/>
      </c>
      <c r="H80" s="439" t="str">
        <f>IF(OR(D80="",D80="-"),"",VLOOKUP(D80,'Fatores de Emissão'!$C$82:$J$97,6,FALSE))</f>
        <v/>
      </c>
      <c r="I80" s="439" t="str">
        <f>IF(OR(D80="",D80="-"),"",VLOOKUP(D80,'Fatores de Emissão'!$C$82:$J$97,7,FALSE))</f>
        <v/>
      </c>
      <c r="J80" s="439" t="str">
        <f>IF(OR(D80="",D80="-"),"",VLOOKUP(D80,'Fatores de Emissão'!$C$82:$J$97,8,FALSE))</f>
        <v/>
      </c>
      <c r="K80" s="439" t="str">
        <f t="shared" si="1"/>
        <v/>
      </c>
      <c r="L80" s="439" t="str">
        <f t="shared" si="2"/>
        <v/>
      </c>
      <c r="M80" s="439" t="str">
        <f t="shared" si="3"/>
        <v/>
      </c>
      <c r="N80" s="441" t="str">
        <f t="shared" si="5"/>
        <v/>
      </c>
      <c r="P80" s="1176" t="str">
        <f>IF($D80="","", IF($D80="Gasolina",'Fatores de Emissão'!X69,IF($D80="Gasóleo",'Fatores de Emissão'!X84,IF($D80="Gás natural"='Fatores de Emissão'!X81,""))))</f>
        <v/>
      </c>
      <c r="Q80" s="1176" t="str">
        <f>IF($D80="","", IF($D80="Gasolina",'Fatores de Emissão'!Y69,IF($D80="Gasóleo",'Fatores de Emissão'!Y84,IF($D80="Gás natural"='Fatores de Emissão'!Y81,""))))</f>
        <v/>
      </c>
      <c r="R80" s="1176" t="str">
        <f t="shared" si="4"/>
        <v/>
      </c>
    </row>
    <row r="81" spans="1:28" s="237" customFormat="1" ht="15" hidden="1" customHeight="1" outlineLevel="2" x14ac:dyDescent="0.25">
      <c r="A81" s="363"/>
      <c r="B81" s="435"/>
      <c r="C81" s="435"/>
      <c r="D81" s="1268"/>
      <c r="E81" s="1268"/>
      <c r="F81" s="437"/>
      <c r="G81" s="1105" t="str">
        <f>IF(D81="","",VLOOKUP(D81,'Fatores de Emissão'!$C$82:$D$104,2,FALSE))</f>
        <v/>
      </c>
      <c r="H81" s="439" t="str">
        <f>IF(OR(D81="",D81="-"),"",VLOOKUP(D81,'Fatores de Emissão'!$C$82:$J$97,6,FALSE))</f>
        <v/>
      </c>
      <c r="I81" s="439" t="str">
        <f>IF(OR(D81="",D81="-"),"",VLOOKUP(D81,'Fatores de Emissão'!$C$82:$J$97,7,FALSE))</f>
        <v/>
      </c>
      <c r="J81" s="439" t="str">
        <f>IF(OR(D81="",D81="-"),"",VLOOKUP(D81,'Fatores de Emissão'!$C$82:$J$97,8,FALSE))</f>
        <v/>
      </c>
      <c r="K81" s="439" t="str">
        <f t="shared" si="1"/>
        <v/>
      </c>
      <c r="L81" s="439" t="str">
        <f t="shared" si="2"/>
        <v/>
      </c>
      <c r="M81" s="439" t="str">
        <f t="shared" si="3"/>
        <v/>
      </c>
      <c r="N81" s="441" t="str">
        <f t="shared" si="5"/>
        <v/>
      </c>
      <c r="P81" s="1176" t="str">
        <f>IF($D81="","", IF($D81="Gasolina",'Fatores de Emissão'!X70,IF($D81="Gasóleo",'Fatores de Emissão'!X85,IF($D81="Gás natural"='Fatores de Emissão'!X82,""))))</f>
        <v/>
      </c>
      <c r="Q81" s="1176" t="str">
        <f>IF($D81="","", IF($D81="Gasolina",'Fatores de Emissão'!Y70,IF($D81="Gasóleo",'Fatores de Emissão'!Y85,IF($D81="Gás natural"='Fatores de Emissão'!Y82,""))))</f>
        <v/>
      </c>
      <c r="R81" s="1176" t="str">
        <f t="shared" si="4"/>
        <v/>
      </c>
    </row>
    <row r="82" spans="1:28" s="237" customFormat="1" ht="15" hidden="1" customHeight="1" outlineLevel="2" x14ac:dyDescent="0.25">
      <c r="A82" s="363"/>
      <c r="B82" s="435"/>
      <c r="C82" s="435"/>
      <c r="D82" s="1268"/>
      <c r="E82" s="1268"/>
      <c r="F82" s="437"/>
      <c r="G82" s="1105" t="str">
        <f>IF(D82="","",VLOOKUP(D82,'Fatores de Emissão'!$C$82:$D$104,2,FALSE))</f>
        <v/>
      </c>
      <c r="H82" s="439" t="str">
        <f>IF(OR(D82="",D82="-"),"",VLOOKUP(D82,'Fatores de Emissão'!$C$82:$J$97,6,FALSE))</f>
        <v/>
      </c>
      <c r="I82" s="439" t="str">
        <f>IF(OR(D82="",D82="-"),"",VLOOKUP(D82,'Fatores de Emissão'!$C$82:$J$97,7,FALSE))</f>
        <v/>
      </c>
      <c r="J82" s="439" t="str">
        <f>IF(OR(D82="",D82="-"),"",VLOOKUP(D82,'Fatores de Emissão'!$C$82:$J$97,8,FALSE))</f>
        <v/>
      </c>
      <c r="K82" s="439" t="str">
        <f t="shared" si="1"/>
        <v/>
      </c>
      <c r="L82" s="439" t="str">
        <f t="shared" si="2"/>
        <v/>
      </c>
      <c r="M82" s="439" t="str">
        <f t="shared" si="3"/>
        <v/>
      </c>
      <c r="N82" s="441" t="str">
        <f t="shared" si="5"/>
        <v/>
      </c>
      <c r="P82" s="1176" t="str">
        <f>IF($D82="","", IF($D82="Gasolina",'Fatores de Emissão'!X71,IF($D82="Gasóleo",'Fatores de Emissão'!X86,IF($D82="Gás natural"='Fatores de Emissão'!X83,""))))</f>
        <v/>
      </c>
      <c r="Q82" s="1176" t="str">
        <f>IF($D82="","", IF($D82="Gasolina",'Fatores de Emissão'!Y71,IF($D82="Gasóleo",'Fatores de Emissão'!Y86,IF($D82="Gás natural"='Fatores de Emissão'!Y83,""))))</f>
        <v/>
      </c>
      <c r="R82" s="1176" t="str">
        <f t="shared" si="4"/>
        <v/>
      </c>
    </row>
    <row r="83" spans="1:28" s="237" customFormat="1" ht="15" hidden="1" customHeight="1" outlineLevel="2" x14ac:dyDescent="0.25">
      <c r="A83" s="363"/>
      <c r="B83" s="435"/>
      <c r="C83" s="435"/>
      <c r="D83" s="1268"/>
      <c r="E83" s="1268"/>
      <c r="F83" s="437"/>
      <c r="G83" s="1105" t="str">
        <f>IF(D83="","",VLOOKUP(D83,'Fatores de Emissão'!$C$82:$D$104,2,FALSE))</f>
        <v/>
      </c>
      <c r="H83" s="439" t="str">
        <f>IF(OR(D83="",D83="-"),"",VLOOKUP(D83,'Fatores de Emissão'!$C$82:$J$97,6,FALSE))</f>
        <v/>
      </c>
      <c r="I83" s="439" t="str">
        <f>IF(OR(D83="",D83="-"),"",VLOOKUP(D83,'Fatores de Emissão'!$C$82:$J$97,7,FALSE))</f>
        <v/>
      </c>
      <c r="J83" s="439" t="str">
        <f>IF(OR(D83="",D83="-"),"",VLOOKUP(D83,'Fatores de Emissão'!$C$82:$J$97,8,FALSE))</f>
        <v/>
      </c>
      <c r="K83" s="439" t="str">
        <f t="shared" si="1"/>
        <v/>
      </c>
      <c r="L83" s="439" t="str">
        <f t="shared" si="2"/>
        <v/>
      </c>
      <c r="M83" s="439" t="str">
        <f t="shared" si="3"/>
        <v/>
      </c>
      <c r="N83" s="441" t="str">
        <f t="shared" si="5"/>
        <v/>
      </c>
      <c r="P83" s="1176" t="str">
        <f>IF($D83="","", IF($D83="Gasolina",'Fatores de Emissão'!X72,IF($D83="Gasóleo",'Fatores de Emissão'!X87,IF($D83="Gás natural"='Fatores de Emissão'!X84,""))))</f>
        <v/>
      </c>
      <c r="Q83" s="1176" t="str">
        <f>IF($D83="","", IF($D83="Gasolina",'Fatores de Emissão'!Y72,IF($D83="Gasóleo",'Fatores de Emissão'!Y87,IF($D83="Gás natural"='Fatores de Emissão'!Y84,""))))</f>
        <v/>
      </c>
      <c r="R83" s="1176" t="str">
        <f t="shared" si="4"/>
        <v/>
      </c>
    </row>
    <row r="84" spans="1:28" s="237" customFormat="1" ht="15" hidden="1" customHeight="1" outlineLevel="2" x14ac:dyDescent="0.25">
      <c r="A84" s="363"/>
      <c r="B84" s="435"/>
      <c r="C84" s="435"/>
      <c r="D84" s="1268"/>
      <c r="E84" s="1268"/>
      <c r="F84" s="437"/>
      <c r="G84" s="1105" t="str">
        <f>IF(D84="","",VLOOKUP(D84,'Fatores de Emissão'!$C$82:$D$104,2,FALSE))</f>
        <v/>
      </c>
      <c r="H84" s="439" t="str">
        <f>IF(OR(D84="",D84="-"),"",VLOOKUP(D84,'Fatores de Emissão'!$C$82:$J$97,6,FALSE))</f>
        <v/>
      </c>
      <c r="I84" s="439" t="str">
        <f>IF(OR(D84="",D84="-"),"",VLOOKUP(D84,'Fatores de Emissão'!$C$82:$J$97,7,FALSE))</f>
        <v/>
      </c>
      <c r="J84" s="439" t="str">
        <f>IF(OR(D84="",D84="-"),"",VLOOKUP(D84,'Fatores de Emissão'!$C$82:$J$97,8,FALSE))</f>
        <v/>
      </c>
      <c r="K84" s="439" t="str">
        <f t="shared" si="1"/>
        <v/>
      </c>
      <c r="L84" s="439" t="str">
        <f t="shared" si="2"/>
        <v/>
      </c>
      <c r="M84" s="439" t="str">
        <f t="shared" si="3"/>
        <v/>
      </c>
      <c r="N84" s="441" t="str">
        <f t="shared" si="5"/>
        <v/>
      </c>
      <c r="P84" s="1176" t="str">
        <f>IF($D84="","", IF($D84="Gasolina",'Fatores de Emissão'!X73,IF($D84="Gasóleo",'Fatores de Emissão'!X88,IF($D84="Gás natural"='Fatores de Emissão'!X85,""))))</f>
        <v/>
      </c>
      <c r="Q84" s="1176" t="str">
        <f>IF($D84="","", IF($D84="Gasolina",'Fatores de Emissão'!Y73,IF($D84="Gasóleo",'Fatores de Emissão'!Y88,IF($D84="Gás natural"='Fatores de Emissão'!Y85,""))))</f>
        <v/>
      </c>
      <c r="R84" s="1176" t="str">
        <f t="shared" si="4"/>
        <v/>
      </c>
    </row>
    <row r="85" spans="1:28" s="237" customFormat="1" ht="15" hidden="1" customHeight="1" outlineLevel="2" x14ac:dyDescent="0.25">
      <c r="A85" s="363"/>
      <c r="B85" s="435"/>
      <c r="C85" s="435"/>
      <c r="D85" s="1268"/>
      <c r="E85" s="1268"/>
      <c r="F85" s="437"/>
      <c r="G85" s="1105" t="str">
        <f>IF(D85="","",VLOOKUP(D85,'Fatores de Emissão'!$C$82:$D$104,2,FALSE))</f>
        <v/>
      </c>
      <c r="H85" s="439" t="str">
        <f>IF(OR(D85="",D85="-"),"",VLOOKUP(D85,'Fatores de Emissão'!$C$82:$J$97,6,FALSE))</f>
        <v/>
      </c>
      <c r="I85" s="439" t="str">
        <f>IF(OR(D85="",D85="-"),"",VLOOKUP(D85,'Fatores de Emissão'!$C$82:$J$97,7,FALSE))</f>
        <v/>
      </c>
      <c r="J85" s="439" t="str">
        <f>IF(OR(D85="",D85="-"),"",VLOOKUP(D85,'Fatores de Emissão'!$C$82:$J$97,8,FALSE))</f>
        <v/>
      </c>
      <c r="K85" s="439" t="str">
        <f t="shared" si="1"/>
        <v/>
      </c>
      <c r="L85" s="439" t="str">
        <f t="shared" si="2"/>
        <v/>
      </c>
      <c r="M85" s="439" t="str">
        <f t="shared" si="3"/>
        <v/>
      </c>
      <c r="N85" s="441" t="str">
        <f t="shared" si="5"/>
        <v/>
      </c>
      <c r="P85" s="1176" t="str">
        <f>IF($D85="","", IF($D85="Gasolina",'Fatores de Emissão'!X74,IF($D85="Gasóleo",'Fatores de Emissão'!X89,IF($D85="Gás natural"='Fatores de Emissão'!X86,""))))</f>
        <v/>
      </c>
      <c r="Q85" s="1176" t="str">
        <f>IF($D85="","", IF($D85="Gasolina",'Fatores de Emissão'!Y74,IF($D85="Gasóleo",'Fatores de Emissão'!Y89,IF($D85="Gás natural"='Fatores de Emissão'!Y86,""))))</f>
        <v/>
      </c>
      <c r="R85" s="1176" t="str">
        <f t="shared" si="4"/>
        <v/>
      </c>
    </row>
    <row r="86" spans="1:28" s="237" customFormat="1" ht="15" hidden="1" customHeight="1" outlineLevel="2" x14ac:dyDescent="0.25">
      <c r="A86" s="363"/>
      <c r="B86" s="435"/>
      <c r="C86" s="435"/>
      <c r="D86" s="1268"/>
      <c r="E86" s="1268"/>
      <c r="F86" s="437"/>
      <c r="G86" s="1105" t="str">
        <f>IF(D86="","",VLOOKUP(D86,'Fatores de Emissão'!$C$82:$D$104,2,FALSE))</f>
        <v/>
      </c>
      <c r="H86" s="439" t="str">
        <f>IF(OR(D86="",D86="-"),"",VLOOKUP(D86,'Fatores de Emissão'!$C$82:$J$97,6,FALSE))</f>
        <v/>
      </c>
      <c r="I86" s="439" t="str">
        <f>IF(OR(D86="",D86="-"),"",VLOOKUP(D86,'Fatores de Emissão'!$C$82:$J$97,7,FALSE))</f>
        <v/>
      </c>
      <c r="J86" s="439" t="str">
        <f>IF(OR(D86="",D86="-"),"",VLOOKUP(D86,'Fatores de Emissão'!$C$82:$J$97,8,FALSE))</f>
        <v/>
      </c>
      <c r="K86" s="439" t="str">
        <f t="shared" si="1"/>
        <v/>
      </c>
      <c r="L86" s="439" t="str">
        <f t="shared" si="2"/>
        <v/>
      </c>
      <c r="M86" s="439" t="str">
        <f t="shared" si="3"/>
        <v/>
      </c>
      <c r="N86" s="441" t="str">
        <f t="shared" si="5"/>
        <v/>
      </c>
      <c r="P86" s="1176" t="str">
        <f>IF($D86="","", IF($D86="Gasolina",'Fatores de Emissão'!X75,IF($D86="Gasóleo",'Fatores de Emissão'!X90,IF($D86="Gás natural"='Fatores de Emissão'!X87,""))))</f>
        <v/>
      </c>
      <c r="Q86" s="1176" t="str">
        <f>IF($D86="","", IF($D86="Gasolina",'Fatores de Emissão'!Y75,IF($D86="Gasóleo",'Fatores de Emissão'!Y90,IF($D86="Gás natural"='Fatores de Emissão'!Y87,""))))</f>
        <v/>
      </c>
      <c r="R86" s="1176" t="str">
        <f t="shared" si="4"/>
        <v/>
      </c>
    </row>
    <row r="87" spans="1:28" s="237" customFormat="1" ht="15" customHeight="1" outlineLevel="1" x14ac:dyDescent="0.25">
      <c r="A87" s="363"/>
      <c r="B87" s="388"/>
      <c r="C87" s="373"/>
      <c r="D87" s="442"/>
      <c r="E87" s="442"/>
      <c r="F87" s="373"/>
      <c r="G87" s="373"/>
      <c r="H87" s="1243" t="s">
        <v>78</v>
      </c>
      <c r="I87" s="1243"/>
      <c r="J87" s="1243"/>
      <c r="K87" s="443">
        <f>SUM(K37:K86)</f>
        <v>0</v>
      </c>
      <c r="L87" s="443">
        <f>SUM(L37:L86)</f>
        <v>0</v>
      </c>
      <c r="M87" s="443">
        <f>SUM(M37:M86)</f>
        <v>0</v>
      </c>
      <c r="N87" s="1194">
        <f>SUM(N37:N86)</f>
        <v>0</v>
      </c>
      <c r="O87" s="1196"/>
      <c r="P87" s="1195"/>
      <c r="Q87" s="443"/>
      <c r="R87" s="443">
        <f>SUM(R37:R86)</f>
        <v>0</v>
      </c>
      <c r="AA87" s="373"/>
      <c r="AB87" s="373"/>
    </row>
    <row r="88" spans="1:28" s="237" customFormat="1" ht="15" customHeight="1" outlineLevel="1" x14ac:dyDescent="0.25">
      <c r="A88" s="363"/>
      <c r="B88" s="388"/>
      <c r="C88" s="373"/>
      <c r="D88" s="442"/>
      <c r="E88" s="442"/>
      <c r="F88" s="373"/>
      <c r="G88" s="373"/>
      <c r="H88" s="373"/>
      <c r="I88" s="373"/>
      <c r="J88" s="373"/>
      <c r="K88" s="373"/>
      <c r="L88" s="373"/>
      <c r="M88" s="373"/>
      <c r="N88" s="373"/>
      <c r="O88" s="373"/>
      <c r="P88" s="373"/>
      <c r="Q88" s="373"/>
      <c r="R88" s="373"/>
      <c r="S88" s="373"/>
      <c r="T88" s="373"/>
      <c r="U88" s="373"/>
      <c r="V88" s="363"/>
      <c r="W88" s="373"/>
      <c r="X88" s="373"/>
      <c r="Z88" s="373"/>
      <c r="AA88" s="373"/>
      <c r="AB88" s="373"/>
    </row>
    <row r="89" spans="1:28" s="237" customFormat="1" ht="15" customHeight="1" outlineLevel="1" x14ac:dyDescent="0.25">
      <c r="A89" s="363"/>
      <c r="B89" s="423" t="s">
        <v>1740</v>
      </c>
      <c r="C89" s="217"/>
      <c r="D89" s="442"/>
      <c r="E89" s="442"/>
      <c r="F89" s="373"/>
      <c r="G89" s="373"/>
      <c r="H89" s="373"/>
      <c r="I89" s="373"/>
      <c r="K89" s="373"/>
      <c r="L89" s="373"/>
      <c r="M89" s="373"/>
      <c r="N89" s="373"/>
      <c r="O89" s="373"/>
      <c r="P89" s="373"/>
      <c r="Q89" s="373"/>
      <c r="R89" s="373"/>
      <c r="AB89" s="373"/>
    </row>
    <row r="90" spans="1:28" s="237" customFormat="1" ht="15" customHeight="1" outlineLevel="1" x14ac:dyDescent="0.25">
      <c r="A90" s="363"/>
      <c r="B90" s="206" t="s">
        <v>1865</v>
      </c>
      <c r="C90" s="217"/>
      <c r="D90" s="442"/>
      <c r="E90" s="442"/>
      <c r="F90" s="373"/>
      <c r="G90" s="373"/>
      <c r="H90" s="373"/>
      <c r="I90" s="373"/>
      <c r="K90" s="373"/>
      <c r="L90" s="373"/>
      <c r="M90" s="373"/>
      <c r="N90" s="373"/>
      <c r="O90" s="373"/>
      <c r="P90" s="373"/>
      <c r="Q90" s="373"/>
      <c r="R90" s="373"/>
      <c r="S90" s="373"/>
      <c r="T90" s="373"/>
      <c r="U90" s="373"/>
      <c r="V90" s="363"/>
      <c r="W90" s="373"/>
      <c r="X90" s="373"/>
      <c r="Y90" s="373"/>
      <c r="Z90" s="373"/>
      <c r="AA90" s="373"/>
      <c r="AB90" s="373"/>
    </row>
    <row r="91" spans="1:28" s="237" customFormat="1" ht="15" customHeight="1" outlineLevel="1" x14ac:dyDescent="0.25">
      <c r="A91" s="363"/>
      <c r="B91" s="448" t="s">
        <v>1866</v>
      </c>
      <c r="C91" s="217"/>
      <c r="D91" s="442"/>
      <c r="E91" s="442"/>
      <c r="F91" s="373"/>
      <c r="G91" s="373"/>
      <c r="H91" s="373"/>
      <c r="I91" s="373"/>
      <c r="K91" s="373"/>
      <c r="L91" s="373"/>
      <c r="M91" s="373"/>
      <c r="N91" s="373"/>
      <c r="O91" s="373"/>
      <c r="P91" s="373"/>
      <c r="Q91" s="373"/>
      <c r="R91" s="373"/>
      <c r="S91" s="373"/>
      <c r="T91" s="373"/>
      <c r="U91" s="373"/>
      <c r="V91" s="363"/>
      <c r="W91" s="373"/>
      <c r="X91" s="373"/>
      <c r="Y91" s="373"/>
      <c r="Z91" s="373"/>
      <c r="AA91" s="373"/>
      <c r="AB91" s="373"/>
    </row>
    <row r="92" spans="1:28" s="237" customFormat="1" ht="15" customHeight="1" outlineLevel="1" x14ac:dyDescent="0.25">
      <c r="A92" s="363"/>
      <c r="B92" s="448" t="s">
        <v>1867</v>
      </c>
      <c r="C92" s="217"/>
      <c r="D92" s="442"/>
      <c r="E92" s="442"/>
      <c r="F92" s="373"/>
      <c r="G92" s="373"/>
      <c r="H92" s="373"/>
      <c r="I92" s="373"/>
      <c r="K92" s="373"/>
      <c r="L92" s="373"/>
      <c r="M92" s="373"/>
      <c r="N92" s="373"/>
      <c r="O92" s="373"/>
      <c r="P92" s="373"/>
      <c r="Q92" s="373"/>
      <c r="R92" s="373"/>
      <c r="S92" s="373"/>
      <c r="T92" s="373"/>
      <c r="U92" s="373"/>
      <c r="V92" s="363"/>
      <c r="W92" s="373"/>
      <c r="X92" s="373"/>
      <c r="Y92" s="373"/>
      <c r="Z92" s="373"/>
      <c r="AA92" s="373"/>
      <c r="AB92" s="373"/>
    </row>
    <row r="93" spans="1:28" s="237" customFormat="1" ht="15" customHeight="1" outlineLevel="1" x14ac:dyDescent="0.25">
      <c r="A93" s="363"/>
      <c r="B93" s="449"/>
      <c r="C93" s="217"/>
      <c r="D93" s="442"/>
      <c r="E93" s="442"/>
      <c r="F93" s="373"/>
      <c r="G93" s="373"/>
      <c r="H93" s="373"/>
      <c r="I93" s="373"/>
      <c r="K93" s="373"/>
      <c r="L93" s="373"/>
      <c r="M93" s="373"/>
      <c r="N93" s="373"/>
      <c r="O93" s="373"/>
      <c r="P93" s="373"/>
      <c r="Q93" s="373"/>
      <c r="R93" s="373"/>
      <c r="S93" s="373"/>
      <c r="T93" s="373"/>
      <c r="U93" s="1106"/>
      <c r="V93" s="363"/>
      <c r="W93" s="373"/>
      <c r="X93" s="373"/>
      <c r="Y93" s="373"/>
      <c r="Z93" s="373"/>
      <c r="AA93" s="373"/>
      <c r="AB93" s="373"/>
    </row>
    <row r="94" spans="1:28" s="237" customFormat="1" ht="15" customHeight="1" outlineLevel="1" x14ac:dyDescent="0.25">
      <c r="A94" s="363"/>
      <c r="B94" s="423" t="s">
        <v>1741</v>
      </c>
      <c r="C94" s="217"/>
      <c r="D94" s="424"/>
      <c r="E94" s="424"/>
      <c r="F94" s="373"/>
      <c r="G94" s="373"/>
      <c r="H94" s="373"/>
      <c r="I94" s="373"/>
      <c r="J94" s="373"/>
      <c r="K94" s="373"/>
      <c r="L94" s="373"/>
      <c r="M94" s="373"/>
      <c r="N94" s="373"/>
      <c r="O94" s="373"/>
      <c r="P94" s="373"/>
      <c r="Q94" s="373"/>
      <c r="R94" s="373"/>
      <c r="S94" s="363"/>
      <c r="T94" s="363"/>
      <c r="U94" s="363"/>
      <c r="V94" s="363"/>
      <c r="W94" s="363"/>
      <c r="X94" s="363"/>
      <c r="Y94" s="363"/>
      <c r="Z94" s="363"/>
      <c r="AA94" s="363"/>
      <c r="AB94" s="363"/>
    </row>
    <row r="95" spans="1:28" s="237" customFormat="1" ht="15" customHeight="1" outlineLevel="1" x14ac:dyDescent="0.25">
      <c r="A95" s="363"/>
      <c r="B95" s="1267" t="s">
        <v>1860</v>
      </c>
      <c r="C95" s="1267" t="s">
        <v>1868</v>
      </c>
      <c r="D95" s="1267" t="s">
        <v>1870</v>
      </c>
      <c r="E95" s="1249" t="s">
        <v>1743</v>
      </c>
      <c r="F95" s="1249" t="s">
        <v>1742</v>
      </c>
      <c r="G95" s="1249" t="s">
        <v>1861</v>
      </c>
      <c r="H95" s="1249" t="s">
        <v>1862</v>
      </c>
      <c r="I95" s="1284" t="s">
        <v>586</v>
      </c>
      <c r="J95" s="1285"/>
      <c r="K95" s="1255"/>
      <c r="L95" s="1249" t="s">
        <v>1408</v>
      </c>
      <c r="M95" s="1249" t="s">
        <v>1409</v>
      </c>
      <c r="N95" s="1249" t="s">
        <v>1410</v>
      </c>
      <c r="O95" s="1249" t="s">
        <v>1411</v>
      </c>
      <c r="P95" s="1267" t="s">
        <v>1412</v>
      </c>
    </row>
    <row r="96" spans="1:28" s="237" customFormat="1" ht="15" customHeight="1" outlineLevel="1" x14ac:dyDescent="0.25">
      <c r="A96" s="363"/>
      <c r="B96" s="1267"/>
      <c r="C96" s="1267"/>
      <c r="D96" s="1267"/>
      <c r="E96" s="1266"/>
      <c r="F96" s="1266"/>
      <c r="G96" s="1266"/>
      <c r="H96" s="1266"/>
      <c r="I96" s="1286"/>
      <c r="J96" s="1287"/>
      <c r="K96" s="1256"/>
      <c r="L96" s="1266"/>
      <c r="M96" s="1266"/>
      <c r="N96" s="1266"/>
      <c r="O96" s="1266"/>
      <c r="P96" s="1267"/>
    </row>
    <row r="97" spans="1:16" s="237" customFormat="1" ht="32.25" customHeight="1" outlineLevel="1" x14ac:dyDescent="0.25">
      <c r="A97" s="363"/>
      <c r="B97" s="1267"/>
      <c r="C97" s="1267"/>
      <c r="D97" s="1267"/>
      <c r="E97" s="1250"/>
      <c r="F97" s="1250"/>
      <c r="G97" s="1250"/>
      <c r="H97" s="1250"/>
      <c r="I97" s="426" t="s">
        <v>1394</v>
      </c>
      <c r="J97" s="426" t="s">
        <v>1863</v>
      </c>
      <c r="K97" s="426" t="s">
        <v>1864</v>
      </c>
      <c r="L97" s="1250"/>
      <c r="M97" s="1250"/>
      <c r="N97" s="1250"/>
      <c r="O97" s="1250"/>
      <c r="P97" s="1267"/>
    </row>
    <row r="98" spans="1:16" s="237" customFormat="1" ht="15" customHeight="1" outlineLevel="1" x14ac:dyDescent="0.25">
      <c r="A98" s="427" t="s">
        <v>606</v>
      </c>
      <c r="B98" s="444" t="s">
        <v>607</v>
      </c>
      <c r="C98" s="445" t="s">
        <v>1869</v>
      </c>
      <c r="D98" s="445" t="s">
        <v>1601</v>
      </c>
      <c r="E98" s="446">
        <v>1000</v>
      </c>
      <c r="F98" s="438"/>
      <c r="G98" s="438"/>
      <c r="H98" s="446" t="s">
        <v>1544</v>
      </c>
      <c r="I98" s="429">
        <v>2.2120000000000002</v>
      </c>
      <c r="J98" s="430">
        <v>5.6020000000000006E-4</v>
      </c>
      <c r="K98" s="431">
        <v>5.6020000000000009E-5</v>
      </c>
      <c r="L98" s="432">
        <v>0</v>
      </c>
      <c r="M98" s="430">
        <v>3.8259999999999995E-3</v>
      </c>
      <c r="N98" s="430">
        <v>3.8259999999999998E-4</v>
      </c>
      <c r="O98" s="433">
        <v>0.20966479999999998</v>
      </c>
      <c r="P98" s="434">
        <v>9.9508782577650816</v>
      </c>
    </row>
    <row r="99" spans="1:16" s="237" customFormat="1" ht="15" customHeight="1" outlineLevel="1" x14ac:dyDescent="0.25">
      <c r="A99" s="363"/>
      <c r="B99" s="435"/>
      <c r="C99" s="436"/>
      <c r="D99" s="436"/>
      <c r="E99" s="438"/>
      <c r="F99" s="438"/>
      <c r="G99" s="438"/>
      <c r="H99" s="1020" t="str">
        <f>IF(OR(D99="",D99="-"),"",VLOOKUP(D99,'Fatores de Emissão'!E115:K173,3,FALSE))</f>
        <v/>
      </c>
      <c r="I99" s="450" t="str">
        <f>IF(OR($D99="",$D99="-"),"",VLOOKUP($D99,'Fatores de Emissão'!$E$114:$K$173,2,FALSE))</f>
        <v/>
      </c>
      <c r="J99" s="450" t="str">
        <f>IF(OR($D99="",$D99="-"),"",VLOOKUP($D99,'Fatores de Emissão'!$E$114:$K$173,4,FALSE))</f>
        <v/>
      </c>
      <c r="K99" s="450" t="str">
        <f>IF(OR($D99="",$D99="-"),"",VLOOKUP($D99,'Fatores de Emissão'!$E$114:$K$173,6,FALSE))</f>
        <v/>
      </c>
      <c r="L99" s="450" t="str">
        <f t="shared" ref="L99:L130" si="6">IF($D99="","",IF($H99="kg/km",I99*$E99/1000,IF($H99="kg/p.km",$E99*$F99*I99/1000,$E99*$G99*I99/1000)))</f>
        <v/>
      </c>
      <c r="M99" s="450" t="str">
        <f t="shared" ref="M99:M130" si="7">IF($D99="","",IF($H99="kg/km",J99*$E99/1000,IF($H99="kg/p.km",$E99*$F99*J99/1000,$E99*$G99*J99/1000)))</f>
        <v/>
      </c>
      <c r="N99" s="450" t="str">
        <f t="shared" ref="N99:N130" si="8">IF($D99="","",IF($H99="kg/km",K99*$E99/1000,IF($H99="kg/p.km",$E99*$F99*K99/1000,$E99*$G99*K99/1000)))</f>
        <v/>
      </c>
      <c r="O99" s="451" t="str">
        <f>IFERROR(L99*gwp_CO2+M99*gwp_CH4+N99*gwp_N2O,"")</f>
        <v/>
      </c>
      <c r="P99" s="452"/>
    </row>
    <row r="100" spans="1:16" s="237" customFormat="1" ht="15" customHeight="1" outlineLevel="1" x14ac:dyDescent="0.25">
      <c r="A100" s="363"/>
      <c r="B100" s="435"/>
      <c r="C100" s="436"/>
      <c r="D100" s="436"/>
      <c r="E100" s="438"/>
      <c r="F100" s="438"/>
      <c r="G100" s="438"/>
      <c r="H100" s="1020" t="str">
        <f>IF(OR(D100="",D100="-"),"",VLOOKUP(D100,'Fatores de Emissão'!E116:K174,3,FALSE))</f>
        <v/>
      </c>
      <c r="I100" s="450" t="str">
        <f>IF(OR($D100="",$D100="-"),"",VLOOKUP($D100,'Fatores de Emissão'!$E$114:$K$173,2,FALSE))</f>
        <v/>
      </c>
      <c r="J100" s="450" t="str">
        <f>IF(OR($D100="",$D100="-"),"",VLOOKUP($D100,'Fatores de Emissão'!$E$114:$K$173,4,FALSE))</f>
        <v/>
      </c>
      <c r="K100" s="450" t="str">
        <f>IF(OR($D100="",$D100="-"),"",VLOOKUP($D100,'Fatores de Emissão'!$E$114:$K$173,6,FALSE))</f>
        <v/>
      </c>
      <c r="L100" s="450" t="str">
        <f t="shared" si="6"/>
        <v/>
      </c>
      <c r="M100" s="450" t="str">
        <f t="shared" si="7"/>
        <v/>
      </c>
      <c r="N100" s="450" t="str">
        <f t="shared" si="8"/>
        <v/>
      </c>
      <c r="O100" s="451" t="str">
        <f t="shared" ref="O100:O130" si="9">IFERROR(L100*gwp_CO2+M100*gwp_CH4+N100*gwp_N2O,"")</f>
        <v/>
      </c>
      <c r="P100" s="452"/>
    </row>
    <row r="101" spans="1:16" s="237" customFormat="1" ht="15" customHeight="1" outlineLevel="1" x14ac:dyDescent="0.25">
      <c r="A101" s="363"/>
      <c r="B101" s="435"/>
      <c r="C101" s="436"/>
      <c r="D101" s="436"/>
      <c r="E101" s="438"/>
      <c r="F101" s="438"/>
      <c r="G101" s="438"/>
      <c r="H101" s="1020" t="str">
        <f>IF(OR(D101="",D101="-"),"",VLOOKUP(D101,'Fatores de Emissão'!E117:K174,3,FALSE))</f>
        <v/>
      </c>
      <c r="I101" s="450" t="str">
        <f>IF(OR($D101="",$D101="-"),"",VLOOKUP($D101,'Fatores de Emissão'!$E$114:$K$173,2,FALSE))</f>
        <v/>
      </c>
      <c r="J101" s="450" t="str">
        <f>IF(OR($D101="",$D101="-"),"",VLOOKUP($D101,'Fatores de Emissão'!$E$114:$K$173,4,FALSE))</f>
        <v/>
      </c>
      <c r="K101" s="450" t="str">
        <f>IF(OR($D101="",$D101="-"),"",VLOOKUP($D101,'Fatores de Emissão'!$E$114:$K$173,6,FALSE))</f>
        <v/>
      </c>
      <c r="L101" s="450" t="str">
        <f t="shared" si="6"/>
        <v/>
      </c>
      <c r="M101" s="450" t="str">
        <f t="shared" si="7"/>
        <v/>
      </c>
      <c r="N101" s="450" t="str">
        <f t="shared" si="8"/>
        <v/>
      </c>
      <c r="O101" s="451" t="str">
        <f t="shared" si="9"/>
        <v/>
      </c>
      <c r="P101" s="452"/>
    </row>
    <row r="102" spans="1:16" s="237" customFormat="1" ht="15" customHeight="1" outlineLevel="1" x14ac:dyDescent="0.25">
      <c r="A102" s="363"/>
      <c r="B102" s="435"/>
      <c r="C102" s="436"/>
      <c r="D102" s="436"/>
      <c r="E102" s="438"/>
      <c r="F102" s="438"/>
      <c r="G102" s="438"/>
      <c r="H102" s="1020" t="str">
        <f>IF(OR(D102="",D102="-"),"",VLOOKUP(D102,'Fatores de Emissão'!E118:K174,3,FALSE))</f>
        <v/>
      </c>
      <c r="I102" s="450" t="str">
        <f>IF(OR($D102="",$D102="-"),"",VLOOKUP($D102,'Fatores de Emissão'!$E$114:$K$173,2,FALSE))</f>
        <v/>
      </c>
      <c r="J102" s="450" t="str">
        <f>IF(OR($D102="",$D102="-"),"",VLOOKUP($D102,'Fatores de Emissão'!$E$114:$K$173,4,FALSE))</f>
        <v/>
      </c>
      <c r="K102" s="450" t="str">
        <f>IF(OR($D102="",$D102="-"),"",VLOOKUP($D102,'Fatores de Emissão'!$E$114:$K$173,6,FALSE))</f>
        <v/>
      </c>
      <c r="L102" s="450" t="str">
        <f t="shared" si="6"/>
        <v/>
      </c>
      <c r="M102" s="450" t="str">
        <f t="shared" si="7"/>
        <v/>
      </c>
      <c r="N102" s="450" t="str">
        <f t="shared" si="8"/>
        <v/>
      </c>
      <c r="O102" s="451" t="str">
        <f t="shared" si="9"/>
        <v/>
      </c>
      <c r="P102" s="452"/>
    </row>
    <row r="103" spans="1:16" s="237" customFormat="1" ht="15" customHeight="1" outlineLevel="1" x14ac:dyDescent="0.25">
      <c r="A103" s="363"/>
      <c r="B103" s="435"/>
      <c r="C103" s="436"/>
      <c r="D103" s="436"/>
      <c r="E103" s="438"/>
      <c r="F103" s="438"/>
      <c r="G103" s="438"/>
      <c r="H103" s="1020" t="str">
        <f>IF(OR(D103="",D103="-"),"",VLOOKUP(D103,'Fatores de Emissão'!E119:K174,3,FALSE))</f>
        <v/>
      </c>
      <c r="I103" s="450" t="str">
        <f>IF(OR($D103="",$D103="-"),"",VLOOKUP($D103,'Fatores de Emissão'!$E$114:$K$173,2,FALSE))</f>
        <v/>
      </c>
      <c r="J103" s="450" t="str">
        <f>IF(OR($D103="",$D103="-"),"",VLOOKUP($D103,'Fatores de Emissão'!$E$114:$K$173,4,FALSE))</f>
        <v/>
      </c>
      <c r="K103" s="450" t="str">
        <f>IF(OR($D103="",$D103="-"),"",VLOOKUP($D103,'Fatores de Emissão'!$E$114:$K$173,6,FALSE))</f>
        <v/>
      </c>
      <c r="L103" s="450" t="str">
        <f t="shared" si="6"/>
        <v/>
      </c>
      <c r="M103" s="450" t="str">
        <f t="shared" si="7"/>
        <v/>
      </c>
      <c r="N103" s="450" t="str">
        <f t="shared" si="8"/>
        <v/>
      </c>
      <c r="O103" s="451" t="str">
        <f t="shared" si="9"/>
        <v/>
      </c>
      <c r="P103" s="452"/>
    </row>
    <row r="104" spans="1:16" s="237" customFormat="1" ht="15" customHeight="1" outlineLevel="1" x14ac:dyDescent="0.25">
      <c r="A104" s="363"/>
      <c r="B104" s="435"/>
      <c r="C104" s="436"/>
      <c r="D104" s="436"/>
      <c r="E104" s="438"/>
      <c r="F104" s="438"/>
      <c r="G104" s="438"/>
      <c r="H104" s="1020" t="str">
        <f>IF(OR(D104="",D104="-"),"",VLOOKUP(D104,'Fatores de Emissão'!E120:K174,3,FALSE))</f>
        <v/>
      </c>
      <c r="I104" s="450" t="str">
        <f>IF(OR($D104="",$D104="-"),"",VLOOKUP($D104,'Fatores de Emissão'!$E$114:$K$173,2,FALSE))</f>
        <v/>
      </c>
      <c r="J104" s="450" t="str">
        <f>IF(OR($D104="",$D104="-"),"",VLOOKUP($D104,'Fatores de Emissão'!$E$114:$K$173,4,FALSE))</f>
        <v/>
      </c>
      <c r="K104" s="450" t="str">
        <f>IF(OR($D104="",$D104="-"),"",VLOOKUP($D104,'Fatores de Emissão'!$E$114:$K$173,6,FALSE))</f>
        <v/>
      </c>
      <c r="L104" s="450" t="str">
        <f t="shared" si="6"/>
        <v/>
      </c>
      <c r="M104" s="450" t="str">
        <f t="shared" si="7"/>
        <v/>
      </c>
      <c r="N104" s="450" t="str">
        <f t="shared" si="8"/>
        <v/>
      </c>
      <c r="O104" s="451" t="str">
        <f t="shared" si="9"/>
        <v/>
      </c>
      <c r="P104" s="452"/>
    </row>
    <row r="105" spans="1:16" s="237" customFormat="1" ht="15" customHeight="1" outlineLevel="1" x14ac:dyDescent="0.25">
      <c r="A105" s="363"/>
      <c r="B105" s="435"/>
      <c r="C105" s="436"/>
      <c r="D105" s="436"/>
      <c r="E105" s="438"/>
      <c r="F105" s="438"/>
      <c r="G105" s="438"/>
      <c r="H105" s="1020" t="str">
        <f>IF(OR(D105="",D105="-"),"",VLOOKUP(D105,'Fatores de Emissão'!E121:K174,3,FALSE))</f>
        <v/>
      </c>
      <c r="I105" s="450" t="str">
        <f>IF(OR($D105="",$D105="-"),"",VLOOKUP($D105,'Fatores de Emissão'!$E$114:$K$173,2,FALSE))</f>
        <v/>
      </c>
      <c r="J105" s="450" t="str">
        <f>IF(OR($D105="",$D105="-"),"",VLOOKUP($D105,'Fatores de Emissão'!$E$114:$K$173,4,FALSE))</f>
        <v/>
      </c>
      <c r="K105" s="450" t="str">
        <f>IF(OR($D105="",$D105="-"),"",VLOOKUP($D105,'Fatores de Emissão'!$E$114:$K$173,6,FALSE))</f>
        <v/>
      </c>
      <c r="L105" s="450" t="str">
        <f t="shared" si="6"/>
        <v/>
      </c>
      <c r="M105" s="450" t="str">
        <f t="shared" si="7"/>
        <v/>
      </c>
      <c r="N105" s="450" t="str">
        <f t="shared" si="8"/>
        <v/>
      </c>
      <c r="O105" s="451" t="str">
        <f t="shared" si="9"/>
        <v/>
      </c>
      <c r="P105" s="452"/>
    </row>
    <row r="106" spans="1:16" s="237" customFormat="1" ht="15" customHeight="1" outlineLevel="1" x14ac:dyDescent="0.25">
      <c r="A106" s="363"/>
      <c r="B106" s="435"/>
      <c r="C106" s="436"/>
      <c r="D106" s="436"/>
      <c r="E106" s="438"/>
      <c r="F106" s="438"/>
      <c r="G106" s="438"/>
      <c r="H106" s="1020" t="str">
        <f>IF(OR(D106="",D106="-"),"",VLOOKUP(D106,'Fatores de Emissão'!E122:K174,3,FALSE))</f>
        <v/>
      </c>
      <c r="I106" s="450" t="str">
        <f>IF(OR($D106="",$D106="-"),"",VLOOKUP($D106,'Fatores de Emissão'!$E$114:$K$173,2,FALSE))</f>
        <v/>
      </c>
      <c r="J106" s="450" t="str">
        <f>IF(OR($D106="",$D106="-"),"",VLOOKUP($D106,'Fatores de Emissão'!$E$114:$K$173,4,FALSE))</f>
        <v/>
      </c>
      <c r="K106" s="450" t="str">
        <f>IF(OR($D106="",$D106="-"),"",VLOOKUP($D106,'Fatores de Emissão'!$E$114:$K$173,6,FALSE))</f>
        <v/>
      </c>
      <c r="L106" s="450" t="str">
        <f t="shared" si="6"/>
        <v/>
      </c>
      <c r="M106" s="450" t="str">
        <f t="shared" si="7"/>
        <v/>
      </c>
      <c r="N106" s="450" t="str">
        <f t="shared" si="8"/>
        <v/>
      </c>
      <c r="O106" s="451" t="str">
        <f t="shared" si="9"/>
        <v/>
      </c>
      <c r="P106" s="452"/>
    </row>
    <row r="107" spans="1:16" s="237" customFormat="1" ht="15" customHeight="1" outlineLevel="1" x14ac:dyDescent="0.25">
      <c r="A107" s="363"/>
      <c r="B107" s="435"/>
      <c r="C107" s="436"/>
      <c r="D107" s="436"/>
      <c r="E107" s="438"/>
      <c r="F107" s="438"/>
      <c r="G107" s="438"/>
      <c r="H107" s="1020" t="str">
        <f>IF(OR(D107="",D107="-"),"",VLOOKUP(D107,'Fatores de Emissão'!E123:K174,3,FALSE))</f>
        <v/>
      </c>
      <c r="I107" s="450" t="str">
        <f>IF(OR($D107="",$D107="-"),"",VLOOKUP($D107,'Fatores de Emissão'!$E$114:$K$173,2,FALSE))</f>
        <v/>
      </c>
      <c r="J107" s="450" t="str">
        <f>IF(OR($D107="",$D107="-"),"",VLOOKUP($D107,'Fatores de Emissão'!$E$114:$K$173,4,FALSE))</f>
        <v/>
      </c>
      <c r="K107" s="450" t="str">
        <f>IF(OR($D107="",$D107="-"),"",VLOOKUP($D107,'Fatores de Emissão'!$E$114:$K$173,6,FALSE))</f>
        <v/>
      </c>
      <c r="L107" s="450" t="str">
        <f t="shared" si="6"/>
        <v/>
      </c>
      <c r="M107" s="450" t="str">
        <f t="shared" si="7"/>
        <v/>
      </c>
      <c r="N107" s="450" t="str">
        <f t="shared" si="8"/>
        <v/>
      </c>
      <c r="O107" s="451" t="str">
        <f t="shared" si="9"/>
        <v/>
      </c>
      <c r="P107" s="452"/>
    </row>
    <row r="108" spans="1:16" s="237" customFormat="1" ht="15" customHeight="1" outlineLevel="1" collapsed="1" x14ac:dyDescent="0.25">
      <c r="A108" s="363"/>
      <c r="B108" s="435"/>
      <c r="C108" s="436"/>
      <c r="D108" s="436"/>
      <c r="E108" s="438"/>
      <c r="F108" s="438"/>
      <c r="G108" s="438"/>
      <c r="H108" s="1020" t="str">
        <f>IF(OR(D108="",D108="-"),"",VLOOKUP(D108,'Fatores de Emissão'!E124:K174,3,FALSE))</f>
        <v/>
      </c>
      <c r="I108" s="450" t="str">
        <f>IF(OR($D108="",$D108="-"),"",VLOOKUP($D108,'Fatores de Emissão'!$E$114:$K$173,2,FALSE))</f>
        <v/>
      </c>
      <c r="J108" s="450" t="str">
        <f>IF(OR($D108="",$D108="-"),"",VLOOKUP($D108,'Fatores de Emissão'!$E$114:$K$173,4,FALSE))</f>
        <v/>
      </c>
      <c r="K108" s="450" t="str">
        <f>IF(OR($D108="",$D108="-"),"",VLOOKUP($D108,'Fatores de Emissão'!$E$114:$K$173,6,FALSE))</f>
        <v/>
      </c>
      <c r="L108" s="450" t="str">
        <f t="shared" si="6"/>
        <v/>
      </c>
      <c r="M108" s="450" t="str">
        <f t="shared" si="7"/>
        <v/>
      </c>
      <c r="N108" s="450" t="str">
        <f t="shared" si="8"/>
        <v/>
      </c>
      <c r="O108" s="451" t="str">
        <f t="shared" si="9"/>
        <v/>
      </c>
      <c r="P108" s="452"/>
    </row>
    <row r="109" spans="1:16" s="237" customFormat="1" ht="15" hidden="1" customHeight="1" outlineLevel="2" x14ac:dyDescent="0.25">
      <c r="A109" s="363"/>
      <c r="B109" s="435"/>
      <c r="C109" s="436"/>
      <c r="D109" s="436"/>
      <c r="E109" s="438"/>
      <c r="F109" s="438"/>
      <c r="G109" s="438"/>
      <c r="H109" s="1020" t="str">
        <f>IF(OR(D109="",D109="-"),"",VLOOKUP(D109,'Fatores de Emissão'!E125:K174,3,FALSE))</f>
        <v/>
      </c>
      <c r="I109" s="450" t="str">
        <f>IF(OR($D109="",$D109="-"),"",VLOOKUP($D109,'Fatores de Emissão'!$E$114:$K$173,2,FALSE))</f>
        <v/>
      </c>
      <c r="J109" s="450" t="str">
        <f>IF(OR($D109="",$D109="-"),"",VLOOKUP($D109,'Fatores de Emissão'!$E$114:$K$173,4,FALSE))</f>
        <v/>
      </c>
      <c r="K109" s="450" t="str">
        <f>IF(OR($D109="",$D109="-"),"",VLOOKUP($D109,'Fatores de Emissão'!$E$114:$K$173,6,FALSE))</f>
        <v/>
      </c>
      <c r="L109" s="450" t="str">
        <f t="shared" si="6"/>
        <v/>
      </c>
      <c r="M109" s="450" t="str">
        <f t="shared" si="7"/>
        <v/>
      </c>
      <c r="N109" s="450" t="str">
        <f t="shared" si="8"/>
        <v/>
      </c>
      <c r="O109" s="451" t="str">
        <f t="shared" si="9"/>
        <v/>
      </c>
      <c r="P109" s="440"/>
    </row>
    <row r="110" spans="1:16" s="237" customFormat="1" ht="15" hidden="1" customHeight="1" outlineLevel="2" x14ac:dyDescent="0.25">
      <c r="A110" s="363"/>
      <c r="B110" s="435"/>
      <c r="C110" s="436"/>
      <c r="D110" s="436"/>
      <c r="E110" s="438"/>
      <c r="F110" s="438"/>
      <c r="G110" s="438"/>
      <c r="H110" s="1020" t="str">
        <f>IF(OR(D110="",D110="-"),"",VLOOKUP(D110,'Fatores de Emissão'!E126:K174,3,FALSE))</f>
        <v/>
      </c>
      <c r="I110" s="450" t="str">
        <f>IF(OR($D110="",$D110="-"),"",VLOOKUP($D110,'Fatores de Emissão'!$E$114:$K$173,2,FALSE))</f>
        <v/>
      </c>
      <c r="J110" s="450" t="str">
        <f>IF(OR($D110="",$D110="-"),"",VLOOKUP($D110,'Fatores de Emissão'!$E$114:$K$173,4,FALSE))</f>
        <v/>
      </c>
      <c r="K110" s="450" t="str">
        <f>IF(OR($D110="",$D110="-"),"",VLOOKUP($D110,'Fatores de Emissão'!$E$114:$K$173,6,FALSE))</f>
        <v/>
      </c>
      <c r="L110" s="450" t="str">
        <f t="shared" si="6"/>
        <v/>
      </c>
      <c r="M110" s="450" t="str">
        <f t="shared" si="7"/>
        <v/>
      </c>
      <c r="N110" s="450" t="str">
        <f t="shared" si="8"/>
        <v/>
      </c>
      <c r="O110" s="451" t="str">
        <f t="shared" si="9"/>
        <v/>
      </c>
      <c r="P110" s="440"/>
    </row>
    <row r="111" spans="1:16" s="237" customFormat="1" ht="15" hidden="1" customHeight="1" outlineLevel="2" x14ac:dyDescent="0.25">
      <c r="A111" s="363"/>
      <c r="B111" s="435"/>
      <c r="C111" s="436"/>
      <c r="D111" s="436"/>
      <c r="E111" s="438"/>
      <c r="F111" s="438"/>
      <c r="G111" s="438"/>
      <c r="H111" s="1020" t="str">
        <f>IF(OR(D111="",D111="-"),"",VLOOKUP(D111,'Fatores de Emissão'!E127:K175,3,FALSE))</f>
        <v/>
      </c>
      <c r="I111" s="450" t="str">
        <f>IF(OR($D111="",$D111="-"),"",VLOOKUP($D111,'Fatores de Emissão'!$E$114:$K$173,2,FALSE))</f>
        <v/>
      </c>
      <c r="J111" s="450" t="str">
        <f>IF(OR($D111="",$D111="-"),"",VLOOKUP($D111,'Fatores de Emissão'!$E$114:$K$173,4,FALSE))</f>
        <v/>
      </c>
      <c r="K111" s="450" t="str">
        <f>IF(OR($D111="",$D111="-"),"",VLOOKUP($D111,'Fatores de Emissão'!$E$114:$K$173,6,FALSE))</f>
        <v/>
      </c>
      <c r="L111" s="450" t="str">
        <f t="shared" si="6"/>
        <v/>
      </c>
      <c r="M111" s="450" t="str">
        <f t="shared" si="7"/>
        <v/>
      </c>
      <c r="N111" s="450" t="str">
        <f t="shared" si="8"/>
        <v/>
      </c>
      <c r="O111" s="451" t="str">
        <f t="shared" si="9"/>
        <v/>
      </c>
      <c r="P111" s="440"/>
    </row>
    <row r="112" spans="1:16" s="237" customFormat="1" ht="15" hidden="1" customHeight="1" outlineLevel="2" x14ac:dyDescent="0.25">
      <c r="A112" s="363"/>
      <c r="B112" s="435"/>
      <c r="C112" s="436"/>
      <c r="D112" s="436"/>
      <c r="E112" s="438"/>
      <c r="F112" s="438"/>
      <c r="G112" s="438"/>
      <c r="H112" s="1020" t="str">
        <f>IF(OR(D112="",D112="-"),"",VLOOKUP(D112,'Fatores de Emissão'!E128:K176,3,FALSE))</f>
        <v/>
      </c>
      <c r="I112" s="450" t="str">
        <f>IF(OR($D112="",$D112="-"),"",VLOOKUP($D112,'Fatores de Emissão'!$E$114:$K$173,2,FALSE))</f>
        <v/>
      </c>
      <c r="J112" s="450" t="str">
        <f>IF(OR($D112="",$D112="-"),"",VLOOKUP($D112,'Fatores de Emissão'!$E$114:$K$173,4,FALSE))</f>
        <v/>
      </c>
      <c r="K112" s="450" t="str">
        <f>IF(OR($D112="",$D112="-"),"",VLOOKUP($D112,'Fatores de Emissão'!$E$114:$K$173,6,FALSE))</f>
        <v/>
      </c>
      <c r="L112" s="450" t="str">
        <f t="shared" si="6"/>
        <v/>
      </c>
      <c r="M112" s="450" t="str">
        <f t="shared" si="7"/>
        <v/>
      </c>
      <c r="N112" s="450" t="str">
        <f t="shared" si="8"/>
        <v/>
      </c>
      <c r="O112" s="451" t="str">
        <f t="shared" si="9"/>
        <v/>
      </c>
      <c r="P112" s="440"/>
    </row>
    <row r="113" spans="1:16" s="237" customFormat="1" ht="15" hidden="1" customHeight="1" outlineLevel="2" x14ac:dyDescent="0.25">
      <c r="A113" s="363"/>
      <c r="B113" s="435"/>
      <c r="C113" s="436"/>
      <c r="D113" s="436"/>
      <c r="E113" s="438"/>
      <c r="F113" s="438"/>
      <c r="G113" s="438"/>
      <c r="H113" s="1020" t="str">
        <f>IF(OR(D113="",D113="-"),"",VLOOKUP(D113,'Fatores de Emissão'!E129:K177,3,FALSE))</f>
        <v/>
      </c>
      <c r="I113" s="450" t="str">
        <f>IF(OR($D113="",$D113="-"),"",VLOOKUP($D113,'Fatores de Emissão'!$E$114:$K$173,2,FALSE))</f>
        <v/>
      </c>
      <c r="J113" s="450" t="str">
        <f>IF(OR($D113="",$D113="-"),"",VLOOKUP($D113,'Fatores de Emissão'!$E$114:$K$173,4,FALSE))</f>
        <v/>
      </c>
      <c r="K113" s="450" t="str">
        <f>IF(OR($D113="",$D113="-"),"",VLOOKUP($D113,'Fatores de Emissão'!$E$114:$K$173,6,FALSE))</f>
        <v/>
      </c>
      <c r="L113" s="450" t="str">
        <f t="shared" si="6"/>
        <v/>
      </c>
      <c r="M113" s="450" t="str">
        <f t="shared" si="7"/>
        <v/>
      </c>
      <c r="N113" s="450" t="str">
        <f t="shared" si="8"/>
        <v/>
      </c>
      <c r="O113" s="451" t="str">
        <f t="shared" si="9"/>
        <v/>
      </c>
      <c r="P113" s="440"/>
    </row>
    <row r="114" spans="1:16" s="237" customFormat="1" ht="15" hidden="1" customHeight="1" outlineLevel="2" x14ac:dyDescent="0.25">
      <c r="A114" s="363"/>
      <c r="B114" s="435"/>
      <c r="C114" s="436"/>
      <c r="D114" s="436"/>
      <c r="E114" s="438"/>
      <c r="F114" s="438"/>
      <c r="G114" s="438"/>
      <c r="H114" s="1020" t="str">
        <f>IF(OR(D114="",D114="-"),"",VLOOKUP(D114,'Fatores de Emissão'!E130:K178,3,FALSE))</f>
        <v/>
      </c>
      <c r="I114" s="450" t="str">
        <f>IF(OR($D114="",$D114="-"),"",VLOOKUP($D114,'Fatores de Emissão'!$E$114:$K$173,2,FALSE))</f>
        <v/>
      </c>
      <c r="J114" s="450" t="str">
        <f>IF(OR($D114="",$D114="-"),"",VLOOKUP($D114,'Fatores de Emissão'!$E$114:$K$173,4,FALSE))</f>
        <v/>
      </c>
      <c r="K114" s="450" t="str">
        <f>IF(OR($D114="",$D114="-"),"",VLOOKUP($D114,'Fatores de Emissão'!$E$114:$K$173,6,FALSE))</f>
        <v/>
      </c>
      <c r="L114" s="450" t="str">
        <f t="shared" si="6"/>
        <v/>
      </c>
      <c r="M114" s="450" t="str">
        <f t="shared" si="7"/>
        <v/>
      </c>
      <c r="N114" s="450" t="str">
        <f t="shared" si="8"/>
        <v/>
      </c>
      <c r="O114" s="451" t="str">
        <f t="shared" si="9"/>
        <v/>
      </c>
      <c r="P114" s="440"/>
    </row>
    <row r="115" spans="1:16" s="237" customFormat="1" ht="15" hidden="1" customHeight="1" outlineLevel="2" x14ac:dyDescent="0.25">
      <c r="A115" s="363"/>
      <c r="B115" s="435"/>
      <c r="C115" s="436"/>
      <c r="D115" s="436"/>
      <c r="E115" s="438"/>
      <c r="F115" s="438"/>
      <c r="G115" s="438"/>
      <c r="H115" s="1020" t="str">
        <f>IF(OR(D115="",D115="-"),"",VLOOKUP(D115,'Fatores de Emissão'!E131:K179,3,FALSE))</f>
        <v/>
      </c>
      <c r="I115" s="450" t="str">
        <f>IF(OR($D115="",$D115="-"),"",VLOOKUP($D115,'Fatores de Emissão'!$E$114:$K$173,2,FALSE))</f>
        <v/>
      </c>
      <c r="J115" s="450" t="str">
        <f>IF(OR($D115="",$D115="-"),"",VLOOKUP($D115,'Fatores de Emissão'!$E$114:$K$173,4,FALSE))</f>
        <v/>
      </c>
      <c r="K115" s="450" t="str">
        <f>IF(OR($D115="",$D115="-"),"",VLOOKUP($D115,'Fatores de Emissão'!$E$114:$K$173,6,FALSE))</f>
        <v/>
      </c>
      <c r="L115" s="450" t="str">
        <f t="shared" si="6"/>
        <v/>
      </c>
      <c r="M115" s="450" t="str">
        <f t="shared" si="7"/>
        <v/>
      </c>
      <c r="N115" s="450" t="str">
        <f t="shared" si="8"/>
        <v/>
      </c>
      <c r="O115" s="451" t="str">
        <f t="shared" si="9"/>
        <v/>
      </c>
      <c r="P115" s="440"/>
    </row>
    <row r="116" spans="1:16" s="237" customFormat="1" ht="15" hidden="1" customHeight="1" outlineLevel="2" x14ac:dyDescent="0.25">
      <c r="A116" s="363"/>
      <c r="B116" s="435"/>
      <c r="C116" s="436"/>
      <c r="D116" s="436"/>
      <c r="E116" s="438"/>
      <c r="F116" s="438"/>
      <c r="G116" s="438"/>
      <c r="H116" s="1020" t="str">
        <f>IF(OR(D116="",D116="-"),"",VLOOKUP(D116,'Fatores de Emissão'!E132:K180,3,FALSE))</f>
        <v/>
      </c>
      <c r="I116" s="450" t="str">
        <f>IF(OR($D116="",$D116="-"),"",VLOOKUP($D116,'Fatores de Emissão'!$E$114:$K$173,2,FALSE))</f>
        <v/>
      </c>
      <c r="J116" s="450" t="str">
        <f>IF(OR($D116="",$D116="-"),"",VLOOKUP($D116,'Fatores de Emissão'!$E$114:$K$173,4,FALSE))</f>
        <v/>
      </c>
      <c r="K116" s="450" t="str">
        <f>IF(OR($D116="",$D116="-"),"",VLOOKUP($D116,'Fatores de Emissão'!$E$114:$K$173,6,FALSE))</f>
        <v/>
      </c>
      <c r="L116" s="450" t="str">
        <f t="shared" si="6"/>
        <v/>
      </c>
      <c r="M116" s="450" t="str">
        <f t="shared" si="7"/>
        <v/>
      </c>
      <c r="N116" s="450" t="str">
        <f t="shared" si="8"/>
        <v/>
      </c>
      <c r="O116" s="451" t="str">
        <f t="shared" si="9"/>
        <v/>
      </c>
      <c r="P116" s="440"/>
    </row>
    <row r="117" spans="1:16" s="237" customFormat="1" ht="15" hidden="1" customHeight="1" outlineLevel="2" x14ac:dyDescent="0.25">
      <c r="A117" s="363"/>
      <c r="B117" s="435"/>
      <c r="C117" s="436"/>
      <c r="D117" s="436"/>
      <c r="E117" s="438"/>
      <c r="F117" s="438"/>
      <c r="G117" s="438"/>
      <c r="H117" s="1020" t="str">
        <f>IF(OR(D117="",D117="-"),"",VLOOKUP(D117,'Fatores de Emissão'!E133:K181,3,FALSE))</f>
        <v/>
      </c>
      <c r="I117" s="450" t="str">
        <f>IF(OR($D117="",$D117="-"),"",VLOOKUP($D117,'Fatores de Emissão'!$E$114:$K$173,2,FALSE))</f>
        <v/>
      </c>
      <c r="J117" s="450" t="str">
        <f>IF(OR($D117="",$D117="-"),"",VLOOKUP($D117,'Fatores de Emissão'!$E$114:$K$173,4,FALSE))</f>
        <v/>
      </c>
      <c r="K117" s="450" t="str">
        <f>IF(OR($D117="",$D117="-"),"",VLOOKUP($D117,'Fatores de Emissão'!$E$114:$K$173,6,FALSE))</f>
        <v/>
      </c>
      <c r="L117" s="450" t="str">
        <f t="shared" si="6"/>
        <v/>
      </c>
      <c r="M117" s="450" t="str">
        <f t="shared" si="7"/>
        <v/>
      </c>
      <c r="N117" s="450" t="str">
        <f t="shared" si="8"/>
        <v/>
      </c>
      <c r="O117" s="451" t="str">
        <f t="shared" si="9"/>
        <v/>
      </c>
      <c r="P117" s="440"/>
    </row>
    <row r="118" spans="1:16" s="237" customFormat="1" ht="15" hidden="1" customHeight="1" outlineLevel="2" x14ac:dyDescent="0.25">
      <c r="A118" s="363"/>
      <c r="B118" s="435"/>
      <c r="C118" s="436"/>
      <c r="D118" s="436"/>
      <c r="E118" s="438"/>
      <c r="F118" s="438"/>
      <c r="G118" s="438"/>
      <c r="H118" s="1020" t="str">
        <f>IF(OR(D118="",D118="-"),"",VLOOKUP(D118,'Fatores de Emissão'!E134:K182,3,FALSE))</f>
        <v/>
      </c>
      <c r="I118" s="450" t="str">
        <f>IF(OR($D118="",$D118="-"),"",VLOOKUP($D118,'Fatores de Emissão'!$E$114:$K$173,2,FALSE))</f>
        <v/>
      </c>
      <c r="J118" s="450" t="str">
        <f>IF(OR($D118="",$D118="-"),"",VLOOKUP($D118,'Fatores de Emissão'!$E$114:$K$173,4,FALSE))</f>
        <v/>
      </c>
      <c r="K118" s="450" t="str">
        <f>IF(OR($D118="",$D118="-"),"",VLOOKUP($D118,'Fatores de Emissão'!$E$114:$K$173,6,FALSE))</f>
        <v/>
      </c>
      <c r="L118" s="450" t="str">
        <f t="shared" si="6"/>
        <v/>
      </c>
      <c r="M118" s="450" t="str">
        <f t="shared" si="7"/>
        <v/>
      </c>
      <c r="N118" s="450" t="str">
        <f t="shared" si="8"/>
        <v/>
      </c>
      <c r="O118" s="451" t="str">
        <f t="shared" si="9"/>
        <v/>
      </c>
      <c r="P118" s="440"/>
    </row>
    <row r="119" spans="1:16" s="237" customFormat="1" ht="15" hidden="1" customHeight="1" outlineLevel="2" x14ac:dyDescent="0.25">
      <c r="A119" s="363"/>
      <c r="B119" s="435"/>
      <c r="C119" s="436"/>
      <c r="D119" s="436"/>
      <c r="E119" s="438"/>
      <c r="F119" s="438"/>
      <c r="G119" s="438"/>
      <c r="H119" s="1020" t="str">
        <f>IF(OR(D119="",D119="-"),"",VLOOKUP(D119,'Fatores de Emissão'!E135:K183,3,FALSE))</f>
        <v/>
      </c>
      <c r="I119" s="450" t="str">
        <f>IF(OR($D119="",$D119="-"),"",VLOOKUP($D119,'Fatores de Emissão'!$E$114:$K$173,2,FALSE))</f>
        <v/>
      </c>
      <c r="J119" s="450" t="str">
        <f>IF(OR($D119="",$D119="-"),"",VLOOKUP($D119,'Fatores de Emissão'!$E$114:$K$173,4,FALSE))</f>
        <v/>
      </c>
      <c r="K119" s="450" t="str">
        <f>IF(OR($D119="",$D119="-"),"",VLOOKUP($D119,'Fatores de Emissão'!$E$114:$K$173,6,FALSE))</f>
        <v/>
      </c>
      <c r="L119" s="450" t="str">
        <f t="shared" si="6"/>
        <v/>
      </c>
      <c r="M119" s="450" t="str">
        <f t="shared" si="7"/>
        <v/>
      </c>
      <c r="N119" s="450" t="str">
        <f t="shared" si="8"/>
        <v/>
      </c>
      <c r="O119" s="451" t="str">
        <f t="shared" si="9"/>
        <v/>
      </c>
      <c r="P119" s="440"/>
    </row>
    <row r="120" spans="1:16" s="237" customFormat="1" ht="15" hidden="1" customHeight="1" outlineLevel="2" x14ac:dyDescent="0.25">
      <c r="A120" s="363"/>
      <c r="B120" s="435"/>
      <c r="C120" s="436"/>
      <c r="D120" s="436"/>
      <c r="E120" s="438"/>
      <c r="F120" s="438"/>
      <c r="G120" s="438"/>
      <c r="H120" s="1020" t="str">
        <f>IF(OR(D120="",D120="-"),"",VLOOKUP(D120,'Fatores de Emissão'!E136:K184,3,FALSE))</f>
        <v/>
      </c>
      <c r="I120" s="450" t="str">
        <f>IF(OR($D120="",$D120="-"),"",VLOOKUP($D120,'Fatores de Emissão'!$E$114:$K$173,2,FALSE))</f>
        <v/>
      </c>
      <c r="J120" s="450" t="str">
        <f>IF(OR($D120="",$D120="-"),"",VLOOKUP($D120,'Fatores de Emissão'!$E$114:$K$173,4,FALSE))</f>
        <v/>
      </c>
      <c r="K120" s="450" t="str">
        <f>IF(OR($D120="",$D120="-"),"",VLOOKUP($D120,'Fatores de Emissão'!$E$114:$K$173,6,FALSE))</f>
        <v/>
      </c>
      <c r="L120" s="450" t="str">
        <f t="shared" si="6"/>
        <v/>
      </c>
      <c r="M120" s="450" t="str">
        <f t="shared" si="7"/>
        <v/>
      </c>
      <c r="N120" s="450" t="str">
        <f t="shared" si="8"/>
        <v/>
      </c>
      <c r="O120" s="451" t="str">
        <f t="shared" si="9"/>
        <v/>
      </c>
      <c r="P120" s="440"/>
    </row>
    <row r="121" spans="1:16" s="237" customFormat="1" ht="15" hidden="1" customHeight="1" outlineLevel="2" x14ac:dyDescent="0.25">
      <c r="A121" s="363"/>
      <c r="B121" s="435"/>
      <c r="C121" s="436"/>
      <c r="D121" s="436"/>
      <c r="E121" s="438"/>
      <c r="F121" s="438"/>
      <c r="G121" s="438"/>
      <c r="H121" s="1020" t="str">
        <f>IF(OR(D121="",D121="-"),"",VLOOKUP(D121,'Fatores de Emissão'!E137:K185,3,FALSE))</f>
        <v/>
      </c>
      <c r="I121" s="450" t="str">
        <f>IF(OR($D121="",$D121="-"),"",VLOOKUP($D121,'Fatores de Emissão'!$E$114:$K$173,2,FALSE))</f>
        <v/>
      </c>
      <c r="J121" s="450" t="str">
        <f>IF(OR($D121="",$D121="-"),"",VLOOKUP($D121,'Fatores de Emissão'!$E$114:$K$173,4,FALSE))</f>
        <v/>
      </c>
      <c r="K121" s="450" t="str">
        <f>IF(OR($D121="",$D121="-"),"",VLOOKUP($D121,'Fatores de Emissão'!$E$114:$K$173,6,FALSE))</f>
        <v/>
      </c>
      <c r="L121" s="450" t="str">
        <f t="shared" si="6"/>
        <v/>
      </c>
      <c r="M121" s="450" t="str">
        <f t="shared" si="7"/>
        <v/>
      </c>
      <c r="N121" s="450" t="str">
        <f t="shared" si="8"/>
        <v/>
      </c>
      <c r="O121" s="451" t="str">
        <f t="shared" si="9"/>
        <v/>
      </c>
      <c r="P121" s="440"/>
    </row>
    <row r="122" spans="1:16" s="237" customFormat="1" ht="15" hidden="1" customHeight="1" outlineLevel="2" x14ac:dyDescent="0.25">
      <c r="A122" s="363"/>
      <c r="B122" s="435"/>
      <c r="C122" s="436"/>
      <c r="D122" s="436"/>
      <c r="E122" s="438"/>
      <c r="F122" s="438"/>
      <c r="G122" s="438"/>
      <c r="H122" s="1020" t="str">
        <f>IF(OR(D122="",D122="-"),"",VLOOKUP(D122,'Fatores de Emissão'!E138:K186,3,FALSE))</f>
        <v/>
      </c>
      <c r="I122" s="450" t="str">
        <f>IF(OR($D122="",$D122="-"),"",VLOOKUP($D122,'Fatores de Emissão'!$E$114:$K$173,2,FALSE))</f>
        <v/>
      </c>
      <c r="J122" s="450" t="str">
        <f>IF(OR($D122="",$D122="-"),"",VLOOKUP($D122,'Fatores de Emissão'!$E$114:$K$173,4,FALSE))</f>
        <v/>
      </c>
      <c r="K122" s="450" t="str">
        <f>IF(OR($D122="",$D122="-"),"",VLOOKUP($D122,'Fatores de Emissão'!$E$114:$K$173,6,FALSE))</f>
        <v/>
      </c>
      <c r="L122" s="450" t="str">
        <f t="shared" si="6"/>
        <v/>
      </c>
      <c r="M122" s="450" t="str">
        <f t="shared" si="7"/>
        <v/>
      </c>
      <c r="N122" s="450" t="str">
        <f t="shared" si="8"/>
        <v/>
      </c>
      <c r="O122" s="451" t="str">
        <f t="shared" si="9"/>
        <v/>
      </c>
      <c r="P122" s="440"/>
    </row>
    <row r="123" spans="1:16" s="237" customFormat="1" ht="15" hidden="1" customHeight="1" outlineLevel="2" x14ac:dyDescent="0.25">
      <c r="A123" s="363"/>
      <c r="B123" s="435"/>
      <c r="C123" s="436"/>
      <c r="D123" s="436"/>
      <c r="E123" s="438"/>
      <c r="F123" s="438"/>
      <c r="G123" s="438"/>
      <c r="H123" s="1020" t="str">
        <f>IF(OR(D123="",D123="-"),"",VLOOKUP(D123,'Fatores de Emissão'!E139:K187,3,FALSE))</f>
        <v/>
      </c>
      <c r="I123" s="450" t="str">
        <f>IF(OR($D123="",$D123="-"),"",VLOOKUP($D123,'Fatores de Emissão'!$E$114:$K$173,2,FALSE))</f>
        <v/>
      </c>
      <c r="J123" s="450" t="str">
        <f>IF(OR($D123="",$D123="-"),"",VLOOKUP($D123,'Fatores de Emissão'!$E$114:$K$173,4,FALSE))</f>
        <v/>
      </c>
      <c r="K123" s="450" t="str">
        <f>IF(OR($D123="",$D123="-"),"",VLOOKUP($D123,'Fatores de Emissão'!$E$114:$K$173,6,FALSE))</f>
        <v/>
      </c>
      <c r="L123" s="450" t="str">
        <f t="shared" si="6"/>
        <v/>
      </c>
      <c r="M123" s="450" t="str">
        <f t="shared" si="7"/>
        <v/>
      </c>
      <c r="N123" s="450" t="str">
        <f t="shared" si="8"/>
        <v/>
      </c>
      <c r="O123" s="451" t="str">
        <f t="shared" si="9"/>
        <v/>
      </c>
      <c r="P123" s="440"/>
    </row>
    <row r="124" spans="1:16" s="237" customFormat="1" ht="15" hidden="1" customHeight="1" outlineLevel="2" x14ac:dyDescent="0.25">
      <c r="A124" s="363"/>
      <c r="B124" s="435"/>
      <c r="C124" s="436"/>
      <c r="D124" s="436"/>
      <c r="E124" s="438"/>
      <c r="F124" s="438"/>
      <c r="G124" s="438"/>
      <c r="H124" s="1020" t="str">
        <f>IF(OR(D124="",D124="-"),"",VLOOKUP(D124,'Fatores de Emissão'!E140:K188,3,FALSE))</f>
        <v/>
      </c>
      <c r="I124" s="450" t="str">
        <f>IF(OR($D124="",$D124="-"),"",VLOOKUP($D124,'Fatores de Emissão'!$E$114:$K$173,2,FALSE))</f>
        <v/>
      </c>
      <c r="J124" s="450" t="str">
        <f>IF(OR($D124="",$D124="-"),"",VLOOKUP($D124,'Fatores de Emissão'!$E$114:$K$173,4,FALSE))</f>
        <v/>
      </c>
      <c r="K124" s="450" t="str">
        <f>IF(OR($D124="",$D124="-"),"",VLOOKUP($D124,'Fatores de Emissão'!$E$114:$K$173,6,FALSE))</f>
        <v/>
      </c>
      <c r="L124" s="450" t="str">
        <f t="shared" si="6"/>
        <v/>
      </c>
      <c r="M124" s="450" t="str">
        <f t="shared" si="7"/>
        <v/>
      </c>
      <c r="N124" s="450" t="str">
        <f t="shared" si="8"/>
        <v/>
      </c>
      <c r="O124" s="451" t="str">
        <f t="shared" si="9"/>
        <v/>
      </c>
      <c r="P124" s="440"/>
    </row>
    <row r="125" spans="1:16" s="237" customFormat="1" ht="15" hidden="1" customHeight="1" outlineLevel="2" x14ac:dyDescent="0.25">
      <c r="A125" s="363"/>
      <c r="B125" s="435"/>
      <c r="C125" s="436"/>
      <c r="D125" s="436"/>
      <c r="E125" s="438"/>
      <c r="F125" s="438"/>
      <c r="G125" s="438"/>
      <c r="H125" s="1020" t="str">
        <f>IF(OR(D125="",D125="-"),"",VLOOKUP(D125,'Fatores de Emissão'!E141:K189,3,FALSE))</f>
        <v/>
      </c>
      <c r="I125" s="450" t="str">
        <f>IF(OR($D125="",$D125="-"),"",VLOOKUP($D125,'Fatores de Emissão'!$E$114:$K$173,2,FALSE))</f>
        <v/>
      </c>
      <c r="J125" s="450" t="str">
        <f>IF(OR($D125="",$D125="-"),"",VLOOKUP($D125,'Fatores de Emissão'!$E$114:$K$173,4,FALSE))</f>
        <v/>
      </c>
      <c r="K125" s="450" t="str">
        <f>IF(OR($D125="",$D125="-"),"",VLOOKUP($D125,'Fatores de Emissão'!$E$114:$K$173,6,FALSE))</f>
        <v/>
      </c>
      <c r="L125" s="450" t="str">
        <f t="shared" si="6"/>
        <v/>
      </c>
      <c r="M125" s="450" t="str">
        <f t="shared" si="7"/>
        <v/>
      </c>
      <c r="N125" s="450" t="str">
        <f t="shared" si="8"/>
        <v/>
      </c>
      <c r="O125" s="451" t="str">
        <f t="shared" si="9"/>
        <v/>
      </c>
      <c r="P125" s="440"/>
    </row>
    <row r="126" spans="1:16" s="237" customFormat="1" ht="15" hidden="1" customHeight="1" outlineLevel="2" x14ac:dyDescent="0.25">
      <c r="A126" s="363"/>
      <c r="B126" s="435"/>
      <c r="C126" s="436"/>
      <c r="D126" s="436"/>
      <c r="E126" s="438"/>
      <c r="F126" s="438"/>
      <c r="G126" s="438"/>
      <c r="H126" s="1020" t="str">
        <f>IF(OR(D126="",D126="-"),"",VLOOKUP(D126,'Fatores de Emissão'!E142:K190,3,FALSE))</f>
        <v/>
      </c>
      <c r="I126" s="450" t="str">
        <f>IF(OR($D126="",$D126="-"),"",VLOOKUP($D126,'Fatores de Emissão'!$E$114:$K$173,2,FALSE))</f>
        <v/>
      </c>
      <c r="J126" s="450" t="str">
        <f>IF(OR($D126="",$D126="-"),"",VLOOKUP($D126,'Fatores de Emissão'!$E$114:$K$173,4,FALSE))</f>
        <v/>
      </c>
      <c r="K126" s="450" t="str">
        <f>IF(OR($D126="",$D126="-"),"",VLOOKUP($D126,'Fatores de Emissão'!$E$114:$K$173,6,FALSE))</f>
        <v/>
      </c>
      <c r="L126" s="450" t="str">
        <f t="shared" si="6"/>
        <v/>
      </c>
      <c r="M126" s="450" t="str">
        <f t="shared" si="7"/>
        <v/>
      </c>
      <c r="N126" s="450" t="str">
        <f t="shared" si="8"/>
        <v/>
      </c>
      <c r="O126" s="451" t="str">
        <f t="shared" si="9"/>
        <v/>
      </c>
      <c r="P126" s="440"/>
    </row>
    <row r="127" spans="1:16" s="237" customFormat="1" ht="15" hidden="1" customHeight="1" outlineLevel="2" x14ac:dyDescent="0.25">
      <c r="A127" s="363"/>
      <c r="B127" s="435"/>
      <c r="C127" s="436"/>
      <c r="D127" s="436"/>
      <c r="E127" s="438"/>
      <c r="F127" s="438"/>
      <c r="G127" s="438"/>
      <c r="H127" s="1020" t="str">
        <f>IF(OR(D127="",D127="-"),"",VLOOKUP(D127,'Fatores de Emissão'!E143:K191,3,FALSE))</f>
        <v/>
      </c>
      <c r="I127" s="450" t="str">
        <f>IF(OR($D127="",$D127="-"),"",VLOOKUP($D127,'Fatores de Emissão'!$E$114:$K$173,2,FALSE))</f>
        <v/>
      </c>
      <c r="J127" s="450" t="str">
        <f>IF(OR($D127="",$D127="-"),"",VLOOKUP($D127,'Fatores de Emissão'!$E$114:$K$173,4,FALSE))</f>
        <v/>
      </c>
      <c r="K127" s="450" t="str">
        <f>IF(OR($D127="",$D127="-"),"",VLOOKUP($D127,'Fatores de Emissão'!$E$114:$K$173,6,FALSE))</f>
        <v/>
      </c>
      <c r="L127" s="450" t="str">
        <f t="shared" si="6"/>
        <v/>
      </c>
      <c r="M127" s="450" t="str">
        <f t="shared" si="7"/>
        <v/>
      </c>
      <c r="N127" s="450" t="str">
        <f t="shared" si="8"/>
        <v/>
      </c>
      <c r="O127" s="451" t="str">
        <f t="shared" si="9"/>
        <v/>
      </c>
      <c r="P127" s="440"/>
    </row>
    <row r="128" spans="1:16" s="237" customFormat="1" ht="15" hidden="1" customHeight="1" outlineLevel="2" x14ac:dyDescent="0.25">
      <c r="A128" s="363"/>
      <c r="B128" s="435"/>
      <c r="C128" s="436"/>
      <c r="D128" s="436"/>
      <c r="E128" s="438"/>
      <c r="F128" s="438"/>
      <c r="G128" s="438"/>
      <c r="H128" s="1020" t="str">
        <f>IF(OR(D128="",D128="-"),"",VLOOKUP(D128,'Fatores de Emissão'!E144:K192,3,FALSE))</f>
        <v/>
      </c>
      <c r="I128" s="450" t="str">
        <f>IF(OR($D128="",$D128="-"),"",VLOOKUP($D128,'Fatores de Emissão'!$E$114:$K$173,2,FALSE))</f>
        <v/>
      </c>
      <c r="J128" s="450" t="str">
        <f>IF(OR($D128="",$D128="-"),"",VLOOKUP($D128,'Fatores de Emissão'!$E$114:$K$173,4,FALSE))</f>
        <v/>
      </c>
      <c r="K128" s="450" t="str">
        <f>IF(OR($D128="",$D128="-"),"",VLOOKUP($D128,'Fatores de Emissão'!$E$114:$K$173,6,FALSE))</f>
        <v/>
      </c>
      <c r="L128" s="450" t="str">
        <f t="shared" si="6"/>
        <v/>
      </c>
      <c r="M128" s="450" t="str">
        <f t="shared" si="7"/>
        <v/>
      </c>
      <c r="N128" s="450" t="str">
        <f t="shared" si="8"/>
        <v/>
      </c>
      <c r="O128" s="451" t="str">
        <f t="shared" si="9"/>
        <v/>
      </c>
      <c r="P128" s="440"/>
    </row>
    <row r="129" spans="1:16" s="237" customFormat="1" ht="15" hidden="1" customHeight="1" outlineLevel="2" x14ac:dyDescent="0.25">
      <c r="A129" s="363"/>
      <c r="B129" s="435"/>
      <c r="C129" s="436"/>
      <c r="D129" s="436"/>
      <c r="E129" s="438"/>
      <c r="F129" s="438"/>
      <c r="G129" s="438"/>
      <c r="H129" s="1020" t="str">
        <f>IF(OR(D129="",D129="-"),"",VLOOKUP(D129,'Fatores de Emissão'!E145:K193,3,FALSE))</f>
        <v/>
      </c>
      <c r="I129" s="450" t="str">
        <f>IF(OR($D129="",$D129="-"),"",VLOOKUP($D129,'Fatores de Emissão'!$E$114:$K$173,2,FALSE))</f>
        <v/>
      </c>
      <c r="J129" s="450" t="str">
        <f>IF(OR($D129="",$D129="-"),"",VLOOKUP($D129,'Fatores de Emissão'!$E$114:$K$173,4,FALSE))</f>
        <v/>
      </c>
      <c r="K129" s="450" t="str">
        <f>IF(OR($D129="",$D129="-"),"",VLOOKUP($D129,'Fatores de Emissão'!$E$114:$K$173,6,FALSE))</f>
        <v/>
      </c>
      <c r="L129" s="450" t="str">
        <f t="shared" si="6"/>
        <v/>
      </c>
      <c r="M129" s="450" t="str">
        <f t="shared" si="7"/>
        <v/>
      </c>
      <c r="N129" s="450" t="str">
        <f t="shared" si="8"/>
        <v/>
      </c>
      <c r="O129" s="451" t="str">
        <f t="shared" si="9"/>
        <v/>
      </c>
      <c r="P129" s="440"/>
    </row>
    <row r="130" spans="1:16" s="237" customFormat="1" ht="15" hidden="1" customHeight="1" outlineLevel="2" x14ac:dyDescent="0.25">
      <c r="A130" s="363"/>
      <c r="B130" s="435"/>
      <c r="C130" s="436"/>
      <c r="D130" s="436"/>
      <c r="E130" s="438"/>
      <c r="F130" s="438"/>
      <c r="G130" s="438"/>
      <c r="H130" s="1020" t="str">
        <f>IF(OR(D130="",D130="-"),"",VLOOKUP(D130,'Fatores de Emissão'!E146:K194,3,FALSE))</f>
        <v/>
      </c>
      <c r="I130" s="450" t="str">
        <f>IF(OR($D130="",$D130="-"),"",VLOOKUP($D130,'Fatores de Emissão'!$E$114:$K$173,2,FALSE))</f>
        <v/>
      </c>
      <c r="J130" s="450" t="str">
        <f>IF(OR($D130="",$D130="-"),"",VLOOKUP($D130,'Fatores de Emissão'!$E$114:$K$173,4,FALSE))</f>
        <v/>
      </c>
      <c r="K130" s="450" t="str">
        <f>IF(OR($D130="",$D130="-"),"",VLOOKUP($D130,'Fatores de Emissão'!$E$114:$K$173,6,FALSE))</f>
        <v/>
      </c>
      <c r="L130" s="450" t="str">
        <f t="shared" si="6"/>
        <v/>
      </c>
      <c r="M130" s="450" t="str">
        <f t="shared" si="7"/>
        <v/>
      </c>
      <c r="N130" s="450" t="str">
        <f t="shared" si="8"/>
        <v/>
      </c>
      <c r="O130" s="451" t="str">
        <f t="shared" si="9"/>
        <v/>
      </c>
      <c r="P130" s="440"/>
    </row>
    <row r="131" spans="1:16" s="237" customFormat="1" ht="15" hidden="1" customHeight="1" outlineLevel="2" x14ac:dyDescent="0.25">
      <c r="A131" s="363"/>
      <c r="B131" s="435"/>
      <c r="C131" s="436"/>
      <c r="D131" s="436"/>
      <c r="E131" s="438"/>
      <c r="F131" s="438"/>
      <c r="G131" s="438"/>
      <c r="H131" s="1020" t="str">
        <f>IF(OR(D131="",D131="-"),"",VLOOKUP(D131,'Fatores de Emissão'!E147:K195,3,FALSE))</f>
        <v/>
      </c>
      <c r="I131" s="450" t="str">
        <f>IF(OR($D131="",$D131="-"),"",VLOOKUP($D131,'Fatores de Emissão'!$E$114:$K$173,2,FALSE))</f>
        <v/>
      </c>
      <c r="J131" s="450" t="str">
        <f>IF(OR($D131="",$D131="-"),"",VLOOKUP($D131,'Fatores de Emissão'!$E$114:$K$173,4,FALSE))</f>
        <v/>
      </c>
      <c r="K131" s="450" t="str">
        <f>IF(OR($D131="",$D131="-"),"",VLOOKUP($D131,'Fatores de Emissão'!$E$114:$K$173,6,FALSE))</f>
        <v/>
      </c>
      <c r="L131" s="450" t="str">
        <f t="shared" ref="L131:L148" si="10">IF($D131="","",IF($H131="kg/km",I131*$E131/1000,IF($H131="kg/p.km",$E131*$F131*I131/1000,$E131*$G131*I131/1000)))</f>
        <v/>
      </c>
      <c r="M131" s="450" t="str">
        <f t="shared" ref="M131:M148" si="11">IF($D131="","",IF($H131="kg/km",J131*$E131/1000,IF($H131="kg/p.km",$E131*$F131*J131/1000,$E131*$G131*J131/1000)))</f>
        <v/>
      </c>
      <c r="N131" s="450" t="str">
        <f t="shared" ref="N131:N148" si="12">IF($D131="","",IF($H131="kg/km",K131*$E131/1000,IF($H131="kg/p.km",$E131*$F131*K131/1000,$E131*$G131*K131/1000)))</f>
        <v/>
      </c>
      <c r="O131" s="451" t="str">
        <f t="shared" ref="O131:O148" si="13">IFERROR(L131*gwp_CO2+M131*gwp_CH4+N131*gwp_N2O,"")</f>
        <v/>
      </c>
      <c r="P131" s="440"/>
    </row>
    <row r="132" spans="1:16" s="237" customFormat="1" ht="15" hidden="1" customHeight="1" outlineLevel="2" x14ac:dyDescent="0.25">
      <c r="A132" s="363"/>
      <c r="B132" s="435"/>
      <c r="C132" s="436"/>
      <c r="D132" s="436"/>
      <c r="E132" s="438"/>
      <c r="F132" s="438"/>
      <c r="G132" s="438"/>
      <c r="H132" s="1020" t="str">
        <f>IF(OR(D132="",D132="-"),"",VLOOKUP(D132,'Fatores de Emissão'!E148:K196,3,FALSE))</f>
        <v/>
      </c>
      <c r="I132" s="450" t="str">
        <f>IF(OR($D132="",$D132="-"),"",VLOOKUP($D132,'Fatores de Emissão'!$E$114:$K$173,2,FALSE))</f>
        <v/>
      </c>
      <c r="J132" s="450" t="str">
        <f>IF(OR($D132="",$D132="-"),"",VLOOKUP($D132,'Fatores de Emissão'!$E$114:$K$173,4,FALSE))</f>
        <v/>
      </c>
      <c r="K132" s="450" t="str">
        <f>IF(OR($D132="",$D132="-"),"",VLOOKUP($D132,'Fatores de Emissão'!$E$114:$K$173,6,FALSE))</f>
        <v/>
      </c>
      <c r="L132" s="450" t="str">
        <f t="shared" si="10"/>
        <v/>
      </c>
      <c r="M132" s="450" t="str">
        <f t="shared" si="11"/>
        <v/>
      </c>
      <c r="N132" s="450" t="str">
        <f t="shared" si="12"/>
        <v/>
      </c>
      <c r="O132" s="451" t="str">
        <f t="shared" si="13"/>
        <v/>
      </c>
      <c r="P132" s="440"/>
    </row>
    <row r="133" spans="1:16" s="237" customFormat="1" ht="15" hidden="1" customHeight="1" outlineLevel="2" x14ac:dyDescent="0.25">
      <c r="A133" s="363"/>
      <c r="B133" s="435"/>
      <c r="C133" s="436"/>
      <c r="D133" s="436"/>
      <c r="E133" s="438"/>
      <c r="F133" s="438"/>
      <c r="G133" s="438"/>
      <c r="H133" s="1020" t="str">
        <f>IF(OR(D133="",D133="-"),"",VLOOKUP(D133,'Fatores de Emissão'!E149:K197,3,FALSE))</f>
        <v/>
      </c>
      <c r="I133" s="450" t="str">
        <f>IF(OR($D133="",$D133="-"),"",VLOOKUP($D133,'Fatores de Emissão'!$E$114:$K$173,2,FALSE))</f>
        <v/>
      </c>
      <c r="J133" s="450" t="str">
        <f>IF(OR($D133="",$D133="-"),"",VLOOKUP($D133,'Fatores de Emissão'!$E$114:$K$173,4,FALSE))</f>
        <v/>
      </c>
      <c r="K133" s="450" t="str">
        <f>IF(OR($D133="",$D133="-"),"",VLOOKUP($D133,'Fatores de Emissão'!$E$114:$K$173,6,FALSE))</f>
        <v/>
      </c>
      <c r="L133" s="450" t="str">
        <f t="shared" si="10"/>
        <v/>
      </c>
      <c r="M133" s="450" t="str">
        <f t="shared" si="11"/>
        <v/>
      </c>
      <c r="N133" s="450" t="str">
        <f t="shared" si="12"/>
        <v/>
      </c>
      <c r="O133" s="451" t="str">
        <f t="shared" si="13"/>
        <v/>
      </c>
      <c r="P133" s="440"/>
    </row>
    <row r="134" spans="1:16" s="237" customFormat="1" ht="15" hidden="1" customHeight="1" outlineLevel="2" x14ac:dyDescent="0.25">
      <c r="A134" s="363"/>
      <c r="B134" s="435"/>
      <c r="C134" s="436"/>
      <c r="D134" s="436"/>
      <c r="E134" s="438"/>
      <c r="F134" s="438"/>
      <c r="G134" s="438"/>
      <c r="H134" s="1020" t="str">
        <f>IF(OR(D134="",D134="-"),"",VLOOKUP(D134,'Fatores de Emissão'!E150:K198,3,FALSE))</f>
        <v/>
      </c>
      <c r="I134" s="450" t="str">
        <f>IF(OR($D134="",$D134="-"),"",VLOOKUP($D134,'Fatores de Emissão'!$E$114:$K$173,2,FALSE))</f>
        <v/>
      </c>
      <c r="J134" s="450" t="str">
        <f>IF(OR($D134="",$D134="-"),"",VLOOKUP($D134,'Fatores de Emissão'!$E$114:$K$173,4,FALSE))</f>
        <v/>
      </c>
      <c r="K134" s="450" t="str">
        <f>IF(OR($D134="",$D134="-"),"",VLOOKUP($D134,'Fatores de Emissão'!$E$114:$K$173,6,FALSE))</f>
        <v/>
      </c>
      <c r="L134" s="450" t="str">
        <f t="shared" si="10"/>
        <v/>
      </c>
      <c r="M134" s="450" t="str">
        <f t="shared" si="11"/>
        <v/>
      </c>
      <c r="N134" s="450" t="str">
        <f t="shared" si="12"/>
        <v/>
      </c>
      <c r="O134" s="451" t="str">
        <f t="shared" si="13"/>
        <v/>
      </c>
      <c r="P134" s="440"/>
    </row>
    <row r="135" spans="1:16" s="237" customFormat="1" ht="15" hidden="1" customHeight="1" outlineLevel="2" x14ac:dyDescent="0.25">
      <c r="A135" s="363"/>
      <c r="B135" s="435"/>
      <c r="C135" s="436"/>
      <c r="D135" s="436"/>
      <c r="E135" s="438"/>
      <c r="F135" s="438"/>
      <c r="G135" s="438"/>
      <c r="H135" s="1020" t="str">
        <f>IF(OR(D135="",D135="-"),"",VLOOKUP(D135,'Fatores de Emissão'!E151:K199,3,FALSE))</f>
        <v/>
      </c>
      <c r="I135" s="450" t="str">
        <f>IF(OR($D135="",$D135="-"),"",VLOOKUP($D135,'Fatores de Emissão'!$E$114:$K$173,2,FALSE))</f>
        <v/>
      </c>
      <c r="J135" s="450" t="str">
        <f>IF(OR($D135="",$D135="-"),"",VLOOKUP($D135,'Fatores de Emissão'!$E$114:$K$173,4,FALSE))</f>
        <v/>
      </c>
      <c r="K135" s="450" t="str">
        <f>IF(OR($D135="",$D135="-"),"",VLOOKUP($D135,'Fatores de Emissão'!$E$114:$K$173,6,FALSE))</f>
        <v/>
      </c>
      <c r="L135" s="450" t="str">
        <f t="shared" si="10"/>
        <v/>
      </c>
      <c r="M135" s="450" t="str">
        <f t="shared" si="11"/>
        <v/>
      </c>
      <c r="N135" s="450" t="str">
        <f t="shared" si="12"/>
        <v/>
      </c>
      <c r="O135" s="451" t="str">
        <f t="shared" si="13"/>
        <v/>
      </c>
      <c r="P135" s="440"/>
    </row>
    <row r="136" spans="1:16" s="237" customFormat="1" ht="15" hidden="1" customHeight="1" outlineLevel="2" x14ac:dyDescent="0.25">
      <c r="A136" s="363"/>
      <c r="B136" s="435"/>
      <c r="C136" s="436"/>
      <c r="D136" s="436"/>
      <c r="E136" s="438"/>
      <c r="F136" s="438"/>
      <c r="G136" s="438"/>
      <c r="H136" s="1020" t="str">
        <f>IF(OR(D136="",D136="-"),"",VLOOKUP(D136,'Fatores de Emissão'!E152:K200,3,FALSE))</f>
        <v/>
      </c>
      <c r="I136" s="450" t="str">
        <f>IF(OR($D136="",$D136="-"),"",VLOOKUP($D136,'Fatores de Emissão'!$E$114:$K$173,2,FALSE))</f>
        <v/>
      </c>
      <c r="J136" s="450" t="str">
        <f>IF(OR($D136="",$D136="-"),"",VLOOKUP($D136,'Fatores de Emissão'!$E$114:$K$173,4,FALSE))</f>
        <v/>
      </c>
      <c r="K136" s="450" t="str">
        <f>IF(OR($D136="",$D136="-"),"",VLOOKUP($D136,'Fatores de Emissão'!$E$114:$K$173,6,FALSE))</f>
        <v/>
      </c>
      <c r="L136" s="450" t="str">
        <f t="shared" si="10"/>
        <v/>
      </c>
      <c r="M136" s="450" t="str">
        <f t="shared" si="11"/>
        <v/>
      </c>
      <c r="N136" s="450" t="str">
        <f t="shared" si="12"/>
        <v/>
      </c>
      <c r="O136" s="451" t="str">
        <f t="shared" si="13"/>
        <v/>
      </c>
      <c r="P136" s="440"/>
    </row>
    <row r="137" spans="1:16" s="237" customFormat="1" ht="15" hidden="1" customHeight="1" outlineLevel="2" x14ac:dyDescent="0.25">
      <c r="A137" s="363"/>
      <c r="B137" s="435"/>
      <c r="C137" s="436"/>
      <c r="D137" s="436"/>
      <c r="E137" s="438"/>
      <c r="F137" s="438"/>
      <c r="G137" s="438"/>
      <c r="H137" s="1020" t="str">
        <f>IF(OR(D137="",D137="-"),"",VLOOKUP(D137,'Fatores de Emissão'!E153:K201,3,FALSE))</f>
        <v/>
      </c>
      <c r="I137" s="450" t="str">
        <f>IF(OR($D137="",$D137="-"),"",VLOOKUP($D137,'Fatores de Emissão'!$E$114:$K$173,2,FALSE))</f>
        <v/>
      </c>
      <c r="J137" s="450" t="str">
        <f>IF(OR($D137="",$D137="-"),"",VLOOKUP($D137,'Fatores de Emissão'!$E$114:$K$173,4,FALSE))</f>
        <v/>
      </c>
      <c r="K137" s="450" t="str">
        <f>IF(OR($D137="",$D137="-"),"",VLOOKUP($D137,'Fatores de Emissão'!$E$114:$K$173,6,FALSE))</f>
        <v/>
      </c>
      <c r="L137" s="450" t="str">
        <f t="shared" si="10"/>
        <v/>
      </c>
      <c r="M137" s="450" t="str">
        <f t="shared" si="11"/>
        <v/>
      </c>
      <c r="N137" s="450" t="str">
        <f t="shared" si="12"/>
        <v/>
      </c>
      <c r="O137" s="451" t="str">
        <f t="shared" si="13"/>
        <v/>
      </c>
      <c r="P137" s="440"/>
    </row>
    <row r="138" spans="1:16" s="237" customFormat="1" ht="15" hidden="1" customHeight="1" outlineLevel="2" x14ac:dyDescent="0.25">
      <c r="A138" s="363"/>
      <c r="B138" s="435"/>
      <c r="C138" s="436"/>
      <c r="D138" s="436"/>
      <c r="E138" s="438"/>
      <c r="F138" s="438"/>
      <c r="G138" s="438"/>
      <c r="H138" s="1020" t="str">
        <f>IF(OR(D138="",D138="-"),"",VLOOKUP(D138,'Fatores de Emissão'!E154:K202,3,FALSE))</f>
        <v/>
      </c>
      <c r="I138" s="450" t="str">
        <f>IF(OR($D138="",$D138="-"),"",VLOOKUP($D138,'Fatores de Emissão'!$E$114:$K$173,2,FALSE))</f>
        <v/>
      </c>
      <c r="J138" s="450" t="str">
        <f>IF(OR($D138="",$D138="-"),"",VLOOKUP($D138,'Fatores de Emissão'!$E$114:$K$173,4,FALSE))</f>
        <v/>
      </c>
      <c r="K138" s="450" t="str">
        <f>IF(OR($D138="",$D138="-"),"",VLOOKUP($D138,'Fatores de Emissão'!$E$114:$K$173,6,FALSE))</f>
        <v/>
      </c>
      <c r="L138" s="450" t="str">
        <f t="shared" si="10"/>
        <v/>
      </c>
      <c r="M138" s="450" t="str">
        <f t="shared" si="11"/>
        <v/>
      </c>
      <c r="N138" s="450" t="str">
        <f t="shared" si="12"/>
        <v/>
      </c>
      <c r="O138" s="451" t="str">
        <f t="shared" si="13"/>
        <v/>
      </c>
      <c r="P138" s="440"/>
    </row>
    <row r="139" spans="1:16" s="237" customFormat="1" ht="15" hidden="1" customHeight="1" outlineLevel="2" x14ac:dyDescent="0.25">
      <c r="A139" s="363"/>
      <c r="B139" s="435"/>
      <c r="C139" s="436"/>
      <c r="D139" s="436"/>
      <c r="E139" s="438"/>
      <c r="F139" s="438"/>
      <c r="G139" s="438"/>
      <c r="H139" s="1020" t="str">
        <f>IF(OR(D139="",D139="-"),"",VLOOKUP(D139,'Fatores de Emissão'!E155:K203,3,FALSE))</f>
        <v/>
      </c>
      <c r="I139" s="450" t="str">
        <f>IF(OR($D139="",$D139="-"),"",VLOOKUP($D139,'Fatores de Emissão'!$E$114:$K$173,2,FALSE))</f>
        <v/>
      </c>
      <c r="J139" s="450" t="str">
        <f>IF(OR($D139="",$D139="-"),"",VLOOKUP($D139,'Fatores de Emissão'!$E$114:$K$173,4,FALSE))</f>
        <v/>
      </c>
      <c r="K139" s="450" t="str">
        <f>IF(OR($D139="",$D139="-"),"",VLOOKUP($D139,'Fatores de Emissão'!$E$114:$K$173,6,FALSE))</f>
        <v/>
      </c>
      <c r="L139" s="450" t="str">
        <f t="shared" si="10"/>
        <v/>
      </c>
      <c r="M139" s="450" t="str">
        <f t="shared" si="11"/>
        <v/>
      </c>
      <c r="N139" s="450" t="str">
        <f t="shared" si="12"/>
        <v/>
      </c>
      <c r="O139" s="451" t="str">
        <f t="shared" si="13"/>
        <v/>
      </c>
      <c r="P139" s="440"/>
    </row>
    <row r="140" spans="1:16" s="237" customFormat="1" ht="15" hidden="1" customHeight="1" outlineLevel="2" x14ac:dyDescent="0.25">
      <c r="A140" s="363"/>
      <c r="B140" s="435"/>
      <c r="C140" s="436"/>
      <c r="D140" s="436"/>
      <c r="E140" s="438"/>
      <c r="F140" s="438"/>
      <c r="G140" s="438"/>
      <c r="H140" s="1020" t="str">
        <f>IF(OR(D140="",D140="-"),"",VLOOKUP(D140,'Fatores de Emissão'!E156:K204,3,FALSE))</f>
        <v/>
      </c>
      <c r="I140" s="450" t="str">
        <f>IF(OR($D140="",$D140="-"),"",VLOOKUP($D140,'Fatores de Emissão'!$E$114:$K$173,2,FALSE))</f>
        <v/>
      </c>
      <c r="J140" s="450" t="str">
        <f>IF(OR($D140="",$D140="-"),"",VLOOKUP($D140,'Fatores de Emissão'!$E$114:$K$173,4,FALSE))</f>
        <v/>
      </c>
      <c r="K140" s="450" t="str">
        <f>IF(OR($D140="",$D140="-"),"",VLOOKUP($D140,'Fatores de Emissão'!$E$114:$K$173,6,FALSE))</f>
        <v/>
      </c>
      <c r="L140" s="450" t="str">
        <f t="shared" si="10"/>
        <v/>
      </c>
      <c r="M140" s="450" t="str">
        <f t="shared" si="11"/>
        <v/>
      </c>
      <c r="N140" s="450" t="str">
        <f t="shared" si="12"/>
        <v/>
      </c>
      <c r="O140" s="451" t="str">
        <f t="shared" si="13"/>
        <v/>
      </c>
      <c r="P140" s="440"/>
    </row>
    <row r="141" spans="1:16" s="237" customFormat="1" ht="15" hidden="1" customHeight="1" outlineLevel="2" x14ac:dyDescent="0.25">
      <c r="A141" s="363"/>
      <c r="B141" s="435"/>
      <c r="C141" s="436"/>
      <c r="D141" s="436"/>
      <c r="E141" s="438"/>
      <c r="F141" s="438"/>
      <c r="G141" s="438"/>
      <c r="H141" s="1020" t="str">
        <f>IF(OR(D141="",D141="-"),"",VLOOKUP(D141,'Fatores de Emissão'!E157:K205,3,FALSE))</f>
        <v/>
      </c>
      <c r="I141" s="450" t="str">
        <f>IF(OR($D141="",$D141="-"),"",VLOOKUP($D141,'Fatores de Emissão'!$E$114:$K$173,2,FALSE))</f>
        <v/>
      </c>
      <c r="J141" s="450" t="str">
        <f>IF(OR($D141="",$D141="-"),"",VLOOKUP($D141,'Fatores de Emissão'!$E$114:$K$173,4,FALSE))</f>
        <v/>
      </c>
      <c r="K141" s="450" t="str">
        <f>IF(OR($D141="",$D141="-"),"",VLOOKUP($D141,'Fatores de Emissão'!$E$114:$K$173,6,FALSE))</f>
        <v/>
      </c>
      <c r="L141" s="450" t="str">
        <f t="shared" si="10"/>
        <v/>
      </c>
      <c r="M141" s="450" t="str">
        <f t="shared" si="11"/>
        <v/>
      </c>
      <c r="N141" s="450" t="str">
        <f t="shared" si="12"/>
        <v/>
      </c>
      <c r="O141" s="451" t="str">
        <f t="shared" si="13"/>
        <v/>
      </c>
      <c r="P141" s="440"/>
    </row>
    <row r="142" spans="1:16" s="237" customFormat="1" ht="15" hidden="1" customHeight="1" outlineLevel="2" x14ac:dyDescent="0.25">
      <c r="A142" s="363"/>
      <c r="B142" s="435"/>
      <c r="C142" s="436"/>
      <c r="D142" s="436"/>
      <c r="E142" s="438"/>
      <c r="F142" s="438"/>
      <c r="G142" s="438"/>
      <c r="H142" s="1020" t="str">
        <f>IF(OR(D142="",D142="-"),"",VLOOKUP(D142,'Fatores de Emissão'!E158:K206,3,FALSE))</f>
        <v/>
      </c>
      <c r="I142" s="450" t="str">
        <f>IF(OR($D142="",$D142="-"),"",VLOOKUP($D142,'Fatores de Emissão'!$E$114:$K$173,2,FALSE))</f>
        <v/>
      </c>
      <c r="J142" s="450" t="str">
        <f>IF(OR($D142="",$D142="-"),"",VLOOKUP($D142,'Fatores de Emissão'!$E$114:$K$173,4,FALSE))</f>
        <v/>
      </c>
      <c r="K142" s="450" t="str">
        <f>IF(OR($D142="",$D142="-"),"",VLOOKUP($D142,'Fatores de Emissão'!$E$114:$K$173,6,FALSE))</f>
        <v/>
      </c>
      <c r="L142" s="450" t="str">
        <f t="shared" si="10"/>
        <v/>
      </c>
      <c r="M142" s="450" t="str">
        <f t="shared" si="11"/>
        <v/>
      </c>
      <c r="N142" s="450" t="str">
        <f t="shared" si="12"/>
        <v/>
      </c>
      <c r="O142" s="451" t="str">
        <f t="shared" si="13"/>
        <v/>
      </c>
      <c r="P142" s="440"/>
    </row>
    <row r="143" spans="1:16" s="237" customFormat="1" ht="15" hidden="1" customHeight="1" outlineLevel="2" x14ac:dyDescent="0.25">
      <c r="A143" s="363"/>
      <c r="B143" s="435"/>
      <c r="C143" s="436"/>
      <c r="D143" s="436"/>
      <c r="E143" s="438"/>
      <c r="F143" s="438"/>
      <c r="G143" s="438"/>
      <c r="H143" s="1020" t="str">
        <f>IF(OR(D143="",D143="-"),"",VLOOKUP(D143,'Fatores de Emissão'!E159:K207,3,FALSE))</f>
        <v/>
      </c>
      <c r="I143" s="450" t="str">
        <f>IF(OR($D143="",$D143="-"),"",VLOOKUP($D143,'Fatores de Emissão'!$E$114:$K$173,2,FALSE))</f>
        <v/>
      </c>
      <c r="J143" s="450" t="str">
        <f>IF(OR($D143="",$D143="-"),"",VLOOKUP($D143,'Fatores de Emissão'!$E$114:$K$173,4,FALSE))</f>
        <v/>
      </c>
      <c r="K143" s="450" t="str">
        <f>IF(OR($D143="",$D143="-"),"",VLOOKUP($D143,'Fatores de Emissão'!$E$114:$K$173,6,FALSE))</f>
        <v/>
      </c>
      <c r="L143" s="450" t="str">
        <f t="shared" si="10"/>
        <v/>
      </c>
      <c r="M143" s="450" t="str">
        <f t="shared" si="11"/>
        <v/>
      </c>
      <c r="N143" s="450" t="str">
        <f t="shared" si="12"/>
        <v/>
      </c>
      <c r="O143" s="451" t="str">
        <f t="shared" si="13"/>
        <v/>
      </c>
      <c r="P143" s="440"/>
    </row>
    <row r="144" spans="1:16" s="237" customFormat="1" ht="15" hidden="1" customHeight="1" outlineLevel="2" x14ac:dyDescent="0.25">
      <c r="A144" s="363"/>
      <c r="B144" s="435"/>
      <c r="C144" s="436"/>
      <c r="D144" s="436"/>
      <c r="E144" s="438"/>
      <c r="F144" s="438"/>
      <c r="G144" s="438"/>
      <c r="H144" s="1020" t="str">
        <f>IF(OR(D144="",D144="-"),"",VLOOKUP(D144,'Fatores de Emissão'!E160:K208,3,FALSE))</f>
        <v/>
      </c>
      <c r="I144" s="450" t="str">
        <f>IF(OR($D144="",$D144="-"),"",VLOOKUP($D144,'Fatores de Emissão'!$E$114:$K$173,2,FALSE))</f>
        <v/>
      </c>
      <c r="J144" s="450" t="str">
        <f>IF(OR($D144="",$D144="-"),"",VLOOKUP($D144,'Fatores de Emissão'!$E$114:$K$173,4,FALSE))</f>
        <v/>
      </c>
      <c r="K144" s="450" t="str">
        <f>IF(OR($D144="",$D144="-"),"",VLOOKUP($D144,'Fatores de Emissão'!$E$114:$K$173,6,FALSE))</f>
        <v/>
      </c>
      <c r="L144" s="450" t="str">
        <f t="shared" si="10"/>
        <v/>
      </c>
      <c r="M144" s="450" t="str">
        <f t="shared" si="11"/>
        <v/>
      </c>
      <c r="N144" s="450" t="str">
        <f t="shared" si="12"/>
        <v/>
      </c>
      <c r="O144" s="451" t="str">
        <f t="shared" si="13"/>
        <v/>
      </c>
      <c r="P144" s="440"/>
    </row>
    <row r="145" spans="1:58" s="237" customFormat="1" ht="15" hidden="1" customHeight="1" outlineLevel="2" x14ac:dyDescent="0.25">
      <c r="A145" s="363"/>
      <c r="B145" s="435"/>
      <c r="C145" s="436"/>
      <c r="D145" s="436"/>
      <c r="E145" s="438"/>
      <c r="F145" s="438"/>
      <c r="G145" s="438"/>
      <c r="H145" s="1020" t="str">
        <f>IF(OR(D145="",D145="-"),"",VLOOKUP(D145,'Fatores de Emissão'!E161:K209,3,FALSE))</f>
        <v/>
      </c>
      <c r="I145" s="450" t="str">
        <f>IF(OR($D145="",$D145="-"),"",VLOOKUP($D145,'Fatores de Emissão'!$E$114:$K$173,2,FALSE))</f>
        <v/>
      </c>
      <c r="J145" s="450" t="str">
        <f>IF(OR($D145="",$D145="-"),"",VLOOKUP($D145,'Fatores de Emissão'!$E$114:$K$173,4,FALSE))</f>
        <v/>
      </c>
      <c r="K145" s="450" t="str">
        <f>IF(OR($D145="",$D145="-"),"",VLOOKUP($D145,'Fatores de Emissão'!$E$114:$K$173,6,FALSE))</f>
        <v/>
      </c>
      <c r="L145" s="450" t="str">
        <f t="shared" si="10"/>
        <v/>
      </c>
      <c r="M145" s="450" t="str">
        <f t="shared" si="11"/>
        <v/>
      </c>
      <c r="N145" s="450" t="str">
        <f t="shared" si="12"/>
        <v/>
      </c>
      <c r="O145" s="451" t="str">
        <f t="shared" si="13"/>
        <v/>
      </c>
      <c r="P145" s="440"/>
    </row>
    <row r="146" spans="1:58" s="237" customFormat="1" ht="15" hidden="1" customHeight="1" outlineLevel="2" x14ac:dyDescent="0.25">
      <c r="A146" s="363"/>
      <c r="B146" s="435"/>
      <c r="C146" s="436"/>
      <c r="D146" s="436"/>
      <c r="E146" s="438"/>
      <c r="F146" s="438"/>
      <c r="G146" s="438"/>
      <c r="H146" s="1020" t="str">
        <f>IF(OR(D146="",D146="-"),"",VLOOKUP(D146,'Fatores de Emissão'!E162:K210,3,FALSE))</f>
        <v/>
      </c>
      <c r="I146" s="450" t="str">
        <f>IF(OR($D146="",$D146="-"),"",VLOOKUP($D146,'Fatores de Emissão'!$E$114:$K$173,2,FALSE))</f>
        <v/>
      </c>
      <c r="J146" s="450" t="str">
        <f>IF(OR($D146="",$D146="-"),"",VLOOKUP($D146,'Fatores de Emissão'!$E$114:$K$173,4,FALSE))</f>
        <v/>
      </c>
      <c r="K146" s="450" t="str">
        <f>IF(OR($D146="",$D146="-"),"",VLOOKUP($D146,'Fatores de Emissão'!$E$114:$K$173,6,FALSE))</f>
        <v/>
      </c>
      <c r="L146" s="450" t="str">
        <f t="shared" si="10"/>
        <v/>
      </c>
      <c r="M146" s="450" t="str">
        <f t="shared" si="11"/>
        <v/>
      </c>
      <c r="N146" s="450" t="str">
        <f t="shared" si="12"/>
        <v/>
      </c>
      <c r="O146" s="451" t="str">
        <f t="shared" si="13"/>
        <v/>
      </c>
      <c r="P146" s="440"/>
    </row>
    <row r="147" spans="1:58" s="237" customFormat="1" ht="15" hidden="1" customHeight="1" outlineLevel="2" x14ac:dyDescent="0.25">
      <c r="A147" s="363"/>
      <c r="B147" s="435"/>
      <c r="C147" s="436"/>
      <c r="D147" s="436"/>
      <c r="E147" s="438"/>
      <c r="F147" s="438"/>
      <c r="G147" s="438"/>
      <c r="H147" s="1020" t="str">
        <f>IF(OR(D147="",D147="-"),"",VLOOKUP(D147,'Fatores de Emissão'!E163:K211,3,FALSE))</f>
        <v/>
      </c>
      <c r="I147" s="450" t="str">
        <f>IF(OR($D147="",$D147="-"),"",VLOOKUP($D147,'Fatores de Emissão'!$E$114:$K$173,2,FALSE))</f>
        <v/>
      </c>
      <c r="J147" s="450" t="str">
        <f>IF(OR($D147="",$D147="-"),"",VLOOKUP($D147,'Fatores de Emissão'!$E$114:$K$173,4,FALSE))</f>
        <v/>
      </c>
      <c r="K147" s="450" t="str">
        <f>IF(OR($D147="",$D147="-"),"",VLOOKUP($D147,'Fatores de Emissão'!$E$114:$K$173,6,FALSE))</f>
        <v/>
      </c>
      <c r="L147" s="450" t="str">
        <f t="shared" si="10"/>
        <v/>
      </c>
      <c r="M147" s="450" t="str">
        <f t="shared" si="11"/>
        <v/>
      </c>
      <c r="N147" s="450" t="str">
        <f t="shared" si="12"/>
        <v/>
      </c>
      <c r="O147" s="451" t="str">
        <f t="shared" si="13"/>
        <v/>
      </c>
      <c r="P147" s="440"/>
    </row>
    <row r="148" spans="1:58" s="237" customFormat="1" ht="15" hidden="1" customHeight="1" outlineLevel="2" x14ac:dyDescent="0.25">
      <c r="A148" s="363"/>
      <c r="B148" s="435"/>
      <c r="C148" s="436"/>
      <c r="D148" s="436"/>
      <c r="E148" s="438"/>
      <c r="F148" s="438"/>
      <c r="G148" s="438"/>
      <c r="H148" s="1020" t="str">
        <f>IF(OR(D148="",D148="-"),"",VLOOKUP(D148,'Fatores de Emissão'!E164:K212,3,FALSE))</f>
        <v/>
      </c>
      <c r="I148" s="450" t="str">
        <f>IF(OR($D148="",$D148="-"),"",VLOOKUP($D148,'Fatores de Emissão'!$E$114:$K$173,2,FALSE))</f>
        <v/>
      </c>
      <c r="J148" s="450" t="str">
        <f>IF(OR($D148="",$D148="-"),"",VLOOKUP($D148,'Fatores de Emissão'!$E$114:$K$173,4,FALSE))</f>
        <v/>
      </c>
      <c r="K148" s="450" t="str">
        <f>IF(OR($D148="",$D148="-"),"",VLOOKUP($D148,'Fatores de Emissão'!$E$114:$K$173,6,FALSE))</f>
        <v/>
      </c>
      <c r="L148" s="450" t="str">
        <f t="shared" si="10"/>
        <v/>
      </c>
      <c r="M148" s="450" t="str">
        <f t="shared" si="11"/>
        <v/>
      </c>
      <c r="N148" s="450" t="str">
        <f t="shared" si="12"/>
        <v/>
      </c>
      <c r="O148" s="451" t="str">
        <f t="shared" si="13"/>
        <v/>
      </c>
      <c r="P148" s="440"/>
    </row>
    <row r="149" spans="1:58" s="237" customFormat="1" ht="15" customHeight="1" outlineLevel="1" x14ac:dyDescent="0.25">
      <c r="A149" s="453"/>
      <c r="B149" s="453"/>
      <c r="C149" s="453"/>
      <c r="D149" s="453"/>
      <c r="E149" s="454"/>
      <c r="F149" s="454"/>
      <c r="J149" s="1018" t="s">
        <v>78</v>
      </c>
      <c r="K149" s="1019"/>
      <c r="L149" s="455">
        <f>SUM(L99:L148)</f>
        <v>0</v>
      </c>
      <c r="M149" s="455">
        <f>SUM(M99:M148)</f>
        <v>0</v>
      </c>
      <c r="N149" s="455">
        <f>SUM(N99:N148)</f>
        <v>0</v>
      </c>
      <c r="O149" s="455">
        <f>SUM(O99:O148)</f>
        <v>0</v>
      </c>
      <c r="P149" s="455">
        <f>SUM(P99:P148)</f>
        <v>0</v>
      </c>
    </row>
    <row r="150" spans="1:58" s="237" customFormat="1" ht="15" customHeight="1" collapsed="1" x14ac:dyDescent="0.25">
      <c r="A150" s="363"/>
      <c r="B150" s="388"/>
      <c r="C150" s="442"/>
      <c r="D150" s="442"/>
      <c r="E150" s="442"/>
      <c r="F150" s="363"/>
      <c r="G150" s="363"/>
      <c r="H150" s="363"/>
      <c r="I150" s="363"/>
      <c r="J150" s="363"/>
      <c r="K150" s="363"/>
      <c r="L150" s="363"/>
      <c r="M150" s="363"/>
      <c r="N150" s="363"/>
      <c r="O150" s="363"/>
      <c r="P150" s="363"/>
      <c r="Q150" s="363"/>
      <c r="R150" s="363"/>
      <c r="AI150" s="363"/>
      <c r="AJ150" s="363"/>
      <c r="AK150" s="363"/>
      <c r="AL150" s="363"/>
      <c r="AM150" s="363"/>
      <c r="AO150" s="363"/>
      <c r="AP150" s="363"/>
      <c r="AQ150" s="363"/>
    </row>
    <row r="151" spans="1:58" s="463" customFormat="1" ht="18" customHeight="1" x14ac:dyDescent="0.3">
      <c r="A151" s="458"/>
      <c r="B151" s="358" t="s">
        <v>1890</v>
      </c>
      <c r="C151" s="459"/>
      <c r="D151" s="460"/>
      <c r="E151" s="460"/>
      <c r="F151" s="460"/>
      <c r="G151" s="461"/>
      <c r="H151" s="461"/>
      <c r="I151" s="461"/>
      <c r="J151" s="461"/>
      <c r="K151" s="461"/>
      <c r="L151" s="461"/>
      <c r="M151" s="461"/>
      <c r="N151" s="461"/>
      <c r="O151" s="461"/>
      <c r="P151" s="461"/>
      <c r="Q151" s="461"/>
      <c r="R151" s="461"/>
      <c r="S151" s="461"/>
      <c r="T151" s="461"/>
      <c r="U151" s="461"/>
      <c r="V151" s="461"/>
      <c r="W151" s="461"/>
      <c r="X151" s="461"/>
      <c r="Y151" s="461"/>
      <c r="Z151" s="461"/>
      <c r="AA151" s="461"/>
      <c r="AB151" s="461"/>
      <c r="AC151" s="461"/>
      <c r="AD151" s="461"/>
      <c r="AE151" s="461"/>
      <c r="AF151" s="461"/>
      <c r="AG151" s="461"/>
      <c r="AH151" s="461"/>
      <c r="AI151" s="461"/>
      <c r="AJ151" s="461"/>
      <c r="AK151" s="461"/>
      <c r="AL151" s="461"/>
      <c r="AM151" s="461"/>
      <c r="AN151" s="461"/>
      <c r="AO151" s="461"/>
      <c r="AP151" s="461"/>
      <c r="AQ151" s="461"/>
      <c r="AR151" s="461"/>
      <c r="AS151" s="461"/>
      <c r="AT151" s="461"/>
      <c r="AU151" s="461"/>
      <c r="AV151" s="461"/>
      <c r="AW151" s="461"/>
      <c r="AX151" s="461"/>
      <c r="AY151" s="461"/>
      <c r="AZ151" s="461"/>
      <c r="BA151" s="461"/>
      <c r="BB151" s="461"/>
      <c r="BC151" s="461"/>
      <c r="BD151" s="461"/>
      <c r="BE151" s="461"/>
      <c r="BF151" s="462"/>
    </row>
    <row r="152" spans="1:58" ht="15" customHeight="1" outlineLevel="1" x14ac:dyDescent="0.2">
      <c r="A152" s="339"/>
      <c r="B152" s="342"/>
      <c r="C152" s="416"/>
      <c r="D152" s="416"/>
      <c r="E152" s="416"/>
      <c r="F152" s="339"/>
      <c r="G152" s="339"/>
      <c r="H152" s="339"/>
      <c r="I152" s="339"/>
      <c r="J152" s="339"/>
      <c r="K152" s="339"/>
      <c r="L152" s="339"/>
      <c r="M152" s="339"/>
      <c r="N152" s="339"/>
      <c r="O152" s="339"/>
      <c r="P152" s="339"/>
      <c r="Q152" s="339"/>
      <c r="R152" s="339"/>
      <c r="AI152" s="339"/>
      <c r="AJ152" s="339"/>
      <c r="AK152" s="339"/>
      <c r="AL152" s="339"/>
      <c r="AM152" s="339"/>
      <c r="AO152" s="339"/>
      <c r="AP152" s="339"/>
      <c r="AQ152" s="339"/>
    </row>
    <row r="153" spans="1:58" ht="15" customHeight="1" outlineLevel="1" x14ac:dyDescent="0.2">
      <c r="A153" s="339"/>
      <c r="B153" s="469" t="s">
        <v>124</v>
      </c>
      <c r="C153" s="416"/>
      <c r="D153" s="416"/>
      <c r="E153" s="416"/>
      <c r="F153" s="339"/>
      <c r="G153" s="339"/>
      <c r="H153" s="339"/>
      <c r="I153" s="339"/>
      <c r="J153" s="339"/>
      <c r="K153" s="339"/>
      <c r="L153" s="339"/>
      <c r="M153" s="339"/>
      <c r="N153" s="339"/>
      <c r="O153" s="339"/>
      <c r="P153" s="339"/>
      <c r="Q153" s="339"/>
      <c r="R153" s="339"/>
      <c r="AI153" s="339"/>
      <c r="AJ153" s="339"/>
      <c r="AK153" s="339"/>
      <c r="AL153" s="339"/>
      <c r="AM153" s="339"/>
      <c r="AO153" s="339"/>
      <c r="AP153" s="339"/>
      <c r="AQ153" s="339"/>
    </row>
    <row r="154" spans="1:58" s="237" customFormat="1" ht="15" customHeight="1" outlineLevel="1" x14ac:dyDescent="0.25">
      <c r="A154" s="363"/>
      <c r="B154" s="449" t="s">
        <v>1873</v>
      </c>
      <c r="C154" s="442"/>
      <c r="D154" s="442"/>
      <c r="E154" s="442"/>
      <c r="F154" s="363"/>
      <c r="G154" s="363"/>
      <c r="H154" s="363"/>
      <c r="I154" s="363"/>
      <c r="J154" s="363"/>
      <c r="K154" s="363"/>
      <c r="L154" s="363"/>
      <c r="M154" s="363"/>
      <c r="N154" s="363"/>
      <c r="O154" s="363"/>
      <c r="P154" s="363"/>
      <c r="Q154" s="363"/>
      <c r="R154" s="363"/>
      <c r="AI154" s="363"/>
      <c r="AJ154" s="363"/>
      <c r="AK154" s="363"/>
      <c r="AL154" s="363"/>
      <c r="AM154" s="363"/>
      <c r="AO154" s="363"/>
      <c r="AP154" s="363"/>
      <c r="AQ154" s="363"/>
    </row>
    <row r="155" spans="1:58" s="237" customFormat="1" ht="15" customHeight="1" outlineLevel="1" x14ac:dyDescent="0.25">
      <c r="A155" s="363"/>
      <c r="B155" s="470" t="s">
        <v>1880</v>
      </c>
      <c r="C155" s="442"/>
      <c r="D155" s="442"/>
      <c r="E155" s="442"/>
      <c r="F155" s="363"/>
      <c r="G155" s="363"/>
      <c r="H155" s="363"/>
      <c r="I155" s="363"/>
      <c r="J155" s="363"/>
      <c r="K155" s="363"/>
      <c r="L155" s="363"/>
      <c r="M155" s="363"/>
      <c r="N155" s="363"/>
      <c r="O155" s="363"/>
      <c r="P155" s="363"/>
      <c r="Q155" s="363"/>
      <c r="R155" s="363"/>
      <c r="AI155" s="363"/>
      <c r="AJ155" s="363"/>
      <c r="AK155" s="363"/>
      <c r="AL155" s="363"/>
      <c r="AM155" s="363"/>
      <c r="AO155" s="363"/>
      <c r="AP155" s="363"/>
      <c r="AQ155" s="363"/>
    </row>
    <row r="156" spans="1:58" s="237" customFormat="1" ht="15" customHeight="1" outlineLevel="1" x14ac:dyDescent="0.25">
      <c r="A156" s="363"/>
      <c r="B156" s="471" t="s">
        <v>1874</v>
      </c>
      <c r="C156" s="442"/>
      <c r="D156" s="442"/>
      <c r="E156" s="442"/>
      <c r="F156" s="363"/>
      <c r="G156" s="363"/>
      <c r="H156" s="363"/>
      <c r="I156" s="363"/>
      <c r="J156" s="363"/>
      <c r="K156" s="363"/>
      <c r="L156" s="363"/>
      <c r="M156" s="363"/>
      <c r="N156" s="363"/>
      <c r="O156" s="363"/>
      <c r="P156" s="363"/>
      <c r="Q156" s="363"/>
      <c r="R156" s="363"/>
      <c r="AI156" s="363"/>
      <c r="AJ156" s="363"/>
      <c r="AK156" s="363"/>
      <c r="AL156" s="363"/>
      <c r="AM156" s="363"/>
      <c r="AO156" s="363"/>
      <c r="AP156" s="363"/>
      <c r="AQ156" s="363"/>
    </row>
    <row r="157" spans="1:58" s="237" customFormat="1" ht="15" customHeight="1" outlineLevel="1" x14ac:dyDescent="0.25">
      <c r="A157" s="363"/>
      <c r="B157" s="471" t="s">
        <v>2197</v>
      </c>
      <c r="C157" s="442"/>
      <c r="D157" s="442"/>
      <c r="E157" s="442"/>
      <c r="F157" s="363"/>
      <c r="G157" s="363"/>
      <c r="H157" s="363"/>
      <c r="I157" s="363"/>
      <c r="J157" s="363"/>
      <c r="K157" s="363"/>
      <c r="L157" s="363"/>
      <c r="M157" s="363"/>
      <c r="N157" s="363"/>
      <c r="O157" s="363"/>
      <c r="P157" s="363"/>
      <c r="Q157" s="363"/>
      <c r="R157" s="363"/>
      <c r="AI157" s="363"/>
      <c r="AJ157" s="363"/>
      <c r="AK157" s="363"/>
      <c r="AL157" s="363"/>
      <c r="AM157" s="363"/>
      <c r="AO157" s="363"/>
      <c r="AP157" s="363"/>
      <c r="AQ157" s="363"/>
    </row>
    <row r="158" spans="1:58" s="237" customFormat="1" ht="15" customHeight="1" outlineLevel="1" x14ac:dyDescent="0.25">
      <c r="A158" s="363"/>
      <c r="B158" s="206" t="s">
        <v>1339</v>
      </c>
      <c r="C158" s="442"/>
      <c r="D158" s="442"/>
      <c r="E158" s="442"/>
      <c r="F158" s="363"/>
      <c r="G158" s="363"/>
      <c r="H158" s="363"/>
      <c r="I158" s="363"/>
      <c r="J158" s="363"/>
      <c r="K158" s="363"/>
      <c r="L158" s="363"/>
      <c r="M158" s="363"/>
      <c r="N158" s="363"/>
      <c r="O158" s="363"/>
      <c r="P158" s="363"/>
      <c r="Q158" s="363"/>
      <c r="R158" s="363"/>
      <c r="AI158" s="363"/>
      <c r="AJ158" s="363"/>
      <c r="AK158" s="363"/>
      <c r="AL158" s="363"/>
      <c r="AM158" s="363"/>
      <c r="AO158" s="363"/>
      <c r="AP158" s="363"/>
      <c r="AQ158" s="363"/>
    </row>
    <row r="159" spans="1:58" s="237" customFormat="1" ht="15" customHeight="1" outlineLevel="1" x14ac:dyDescent="0.25">
      <c r="A159" s="363"/>
      <c r="B159" s="206" t="s">
        <v>1875</v>
      </c>
      <c r="C159" s="442"/>
      <c r="D159" s="442"/>
      <c r="E159" s="442"/>
      <c r="F159" s="363"/>
      <c r="G159" s="363"/>
      <c r="H159" s="363"/>
      <c r="I159" s="363"/>
      <c r="J159" s="363"/>
      <c r="K159" s="363"/>
      <c r="L159" s="363"/>
      <c r="M159" s="363"/>
      <c r="N159" s="363"/>
      <c r="O159" s="363"/>
      <c r="P159" s="363"/>
      <c r="Q159" s="363"/>
      <c r="R159" s="363"/>
      <c r="AI159" s="363"/>
      <c r="AJ159" s="363"/>
      <c r="AK159" s="363"/>
      <c r="AL159" s="363"/>
      <c r="AM159" s="363"/>
      <c r="AO159" s="363"/>
      <c r="AP159" s="363"/>
      <c r="AQ159" s="363"/>
    </row>
    <row r="160" spans="1:58" s="237" customFormat="1" ht="15" customHeight="1" outlineLevel="1" x14ac:dyDescent="0.25">
      <c r="A160" s="363"/>
      <c r="B160" s="206"/>
      <c r="C160" s="442"/>
      <c r="D160" s="442"/>
      <c r="E160" s="442"/>
      <c r="F160" s="363"/>
      <c r="G160" s="363"/>
      <c r="H160" s="363"/>
      <c r="I160" s="363"/>
      <c r="J160" s="363"/>
      <c r="K160" s="363"/>
      <c r="L160" s="363"/>
      <c r="M160" s="363"/>
      <c r="N160" s="363"/>
      <c r="O160" s="363"/>
      <c r="P160" s="363"/>
      <c r="Q160" s="363"/>
      <c r="R160" s="363"/>
      <c r="AI160" s="363"/>
      <c r="AJ160" s="363"/>
      <c r="AK160" s="363"/>
      <c r="AL160" s="363"/>
      <c r="AM160" s="363"/>
      <c r="AO160" s="363"/>
      <c r="AP160" s="363"/>
      <c r="AQ160" s="363"/>
    </row>
    <row r="161" spans="1:43" s="237" customFormat="1" ht="15" customHeight="1" outlineLevel="1" x14ac:dyDescent="0.25">
      <c r="A161" s="363"/>
      <c r="B161" s="468" t="s">
        <v>1876</v>
      </c>
      <c r="C161" s="442"/>
      <c r="D161" s="442"/>
      <c r="E161" s="442"/>
      <c r="F161" s="363"/>
      <c r="G161" s="363"/>
      <c r="H161" s="363"/>
      <c r="I161" s="363"/>
      <c r="J161" s="363"/>
      <c r="K161" s="363"/>
      <c r="L161" s="363"/>
      <c r="M161" s="363"/>
      <c r="N161" s="363"/>
      <c r="O161" s="363"/>
      <c r="P161" s="363"/>
      <c r="Q161" s="363"/>
      <c r="R161" s="363"/>
      <c r="AI161" s="363"/>
      <c r="AJ161" s="363"/>
      <c r="AK161" s="363"/>
      <c r="AL161" s="363"/>
      <c r="AM161" s="363"/>
      <c r="AO161" s="363"/>
      <c r="AP161" s="363"/>
      <c r="AQ161" s="363"/>
    </row>
    <row r="162" spans="1:43" s="237" customFormat="1" ht="15" customHeight="1" outlineLevel="1" x14ac:dyDescent="0.25">
      <c r="A162" s="363"/>
      <c r="B162" s="1267" t="s">
        <v>1860</v>
      </c>
      <c r="C162" s="1267" t="s">
        <v>1868</v>
      </c>
      <c r="D162" s="1267" t="s">
        <v>1870</v>
      </c>
      <c r="E162" s="1267"/>
      <c r="F162" s="1249" t="s">
        <v>1743</v>
      </c>
      <c r="G162" s="1249" t="s">
        <v>1742</v>
      </c>
      <c r="H162" s="1249" t="s">
        <v>1861</v>
      </c>
      <c r="I162" s="1249" t="s">
        <v>1862</v>
      </c>
      <c r="J162" s="1267" t="s">
        <v>588</v>
      </c>
      <c r="K162" s="1267"/>
      <c r="L162" s="1267"/>
      <c r="M162" s="1249" t="s">
        <v>1408</v>
      </c>
      <c r="N162" s="1249" t="s">
        <v>1409</v>
      </c>
      <c r="O162" s="1249" t="s">
        <v>1410</v>
      </c>
      <c r="P162" s="1249" t="s">
        <v>1411</v>
      </c>
      <c r="Q162" s="1267" t="s">
        <v>1530</v>
      </c>
    </row>
    <row r="163" spans="1:43" s="237" customFormat="1" ht="15" customHeight="1" outlineLevel="1" x14ac:dyDescent="0.25">
      <c r="A163" s="363"/>
      <c r="B163" s="1267"/>
      <c r="C163" s="1267"/>
      <c r="D163" s="1267"/>
      <c r="E163" s="1267"/>
      <c r="F163" s="1266"/>
      <c r="G163" s="1266"/>
      <c r="H163" s="1266"/>
      <c r="I163" s="1266"/>
      <c r="J163" s="1267"/>
      <c r="K163" s="1267"/>
      <c r="L163" s="1267"/>
      <c r="M163" s="1266"/>
      <c r="N163" s="1266"/>
      <c r="O163" s="1266"/>
      <c r="P163" s="1266"/>
      <c r="Q163" s="1267"/>
    </row>
    <row r="164" spans="1:43" s="237" customFormat="1" ht="17.25" customHeight="1" outlineLevel="1" x14ac:dyDescent="0.25">
      <c r="A164" s="363"/>
      <c r="B164" s="1267"/>
      <c r="C164" s="1267"/>
      <c r="D164" s="1267"/>
      <c r="E164" s="1267"/>
      <c r="F164" s="1250"/>
      <c r="G164" s="1250"/>
      <c r="H164" s="1250"/>
      <c r="I164" s="1250"/>
      <c r="J164" s="426" t="s">
        <v>1394</v>
      </c>
      <c r="K164" s="426" t="s">
        <v>1863</v>
      </c>
      <c r="L164" s="426" t="s">
        <v>1864</v>
      </c>
      <c r="M164" s="1250"/>
      <c r="N164" s="1250"/>
      <c r="O164" s="1250"/>
      <c r="P164" s="1250"/>
      <c r="Q164" s="1267"/>
    </row>
    <row r="165" spans="1:43" s="237" customFormat="1" ht="15" customHeight="1" outlineLevel="1" x14ac:dyDescent="0.25">
      <c r="A165" s="427"/>
      <c r="B165" s="444" t="s">
        <v>609</v>
      </c>
      <c r="C165" s="1107" t="s">
        <v>92</v>
      </c>
      <c r="D165" s="1272" t="s">
        <v>1673</v>
      </c>
      <c r="E165" s="1272"/>
      <c r="F165" s="446">
        <v>1000</v>
      </c>
      <c r="G165" s="446">
        <v>1000</v>
      </c>
      <c r="H165" s="446"/>
      <c r="I165" s="447" t="s">
        <v>1539</v>
      </c>
      <c r="J165" s="1108">
        <v>2.6030000000000002</v>
      </c>
      <c r="K165" s="1109">
        <v>1.3853116368000001E-4</v>
      </c>
      <c r="L165" s="1109">
        <v>1.3853116368000001E-4</v>
      </c>
      <c r="M165" s="474">
        <v>17.43</v>
      </c>
      <c r="N165" s="474">
        <v>1.0795609539072E-3</v>
      </c>
      <c r="O165" s="474">
        <v>9.5547362723135993E-4</v>
      </c>
      <c r="P165" s="475">
        <v>17.739999999999998</v>
      </c>
      <c r="Q165" s="476">
        <v>1.23</v>
      </c>
      <c r="R165" s="477" t="s">
        <v>266</v>
      </c>
    </row>
    <row r="166" spans="1:43" s="237" customFormat="1" ht="15" customHeight="1" outlineLevel="1" x14ac:dyDescent="0.25">
      <c r="A166" s="363"/>
      <c r="B166" s="435"/>
      <c r="C166" s="435"/>
      <c r="D166" s="1268"/>
      <c r="E166" s="1268"/>
      <c r="F166" s="438"/>
      <c r="G166" s="438"/>
      <c r="H166" s="438"/>
      <c r="I166" s="1020" t="str">
        <f>IF(OR(D166="",D166="-"),"",VLOOKUP(D166,'Fatores de Emissão'!$E$181:$K$184,3,FALSE))</f>
        <v/>
      </c>
      <c r="J166" s="1110" t="str">
        <f>IF(OR(D166="",D166="-"),"",VLOOKUP(D166,'Fatores de Emissão'!$E$181:$K$184,2,FALSE))</f>
        <v/>
      </c>
      <c r="K166" s="1110" t="str">
        <f>IF(OR(D166="",D166="-"),"",VLOOKUP(D166,'Fatores de Emissão'!$E$181:$K$184,4,FALSE))</f>
        <v/>
      </c>
      <c r="L166" s="1110" t="str">
        <f>IF(OR(D166="",D166="-"),"",VLOOKUP(D166,'Fatores de Emissão'!$E$181:$K$184,6,FALSE))</f>
        <v/>
      </c>
      <c r="M166" s="478" t="str">
        <f>IF($D166="","",IF($I166="kg/km",$F166*J166/1000,IF($I166="kg/p.km",$F166*$G166*J166/1000,$F166*$H166*J166/1000)))</f>
        <v/>
      </c>
      <c r="N166" s="478" t="str">
        <f t="shared" ref="N166:O166" si="14">IF($D166="","",IF($I166="kg/km",$F166*K166/1000,IF($I166="kg/p.km",$F166*$G166*K166/1000,$F166*$H166*K166/1000)))</f>
        <v/>
      </c>
      <c r="O166" s="478" t="str">
        <f t="shared" si="14"/>
        <v/>
      </c>
      <c r="P166" s="479" t="str">
        <f t="shared" ref="P166:P171" si="15">IF(ISERR(M166*gwp_CO2+N166*gwp_CH4+O166*gwp_N2O),"",M166*gwp_CO2+N166*gwp_CH4+O166*gwp_N2O)</f>
        <v/>
      </c>
      <c r="Q166" s="480"/>
    </row>
    <row r="167" spans="1:43" s="237" customFormat="1" ht="15" customHeight="1" outlineLevel="1" x14ac:dyDescent="0.25">
      <c r="A167" s="363"/>
      <c r="B167" s="435"/>
      <c r="C167" s="435"/>
      <c r="D167" s="1268"/>
      <c r="E167" s="1268"/>
      <c r="F167" s="438"/>
      <c r="G167" s="438"/>
      <c r="H167" s="438"/>
      <c r="I167" s="1020" t="str">
        <f>IF(OR(D167="",D167="-"),"",VLOOKUP(D167,'Fatores de Emissão'!$E$181:$K$184,3,FALSE))</f>
        <v/>
      </c>
      <c r="J167" s="1110" t="str">
        <f>IF(OR(D167="",D167="-"),"",VLOOKUP(D167,'Fatores de Emissão'!$E$181:$K$184,2,FALSE))</f>
        <v/>
      </c>
      <c r="K167" s="1110" t="str">
        <f>IF(OR(D167="",D167="-"),"",VLOOKUP(D167,'Fatores de Emissão'!$E$181:$K$184,4,FALSE))</f>
        <v/>
      </c>
      <c r="L167" s="1110" t="str">
        <f>IF(OR(D167="",D167="-"),"",VLOOKUP(D167,'Fatores de Emissão'!$E$181:$K$184,6,FALSE))</f>
        <v/>
      </c>
      <c r="M167" s="478" t="str">
        <f t="shared" ref="M167:M173" si="16">IF($D167="","",IF($I167="kg/km",$F167*J167/1000,IF($I167="kg/p.km",$F167*$G167*J167/1000,$F167*$H167*J167/1000)))</f>
        <v/>
      </c>
      <c r="N167" s="478" t="str">
        <f t="shared" ref="N167:N173" si="17">IF($D167="","",IF($I167="kg/km",$F167*K167/1000,IF($I167="kg/p.km",$F167*$G167*K167/1000,$F167*$H167*K167/1000)))</f>
        <v/>
      </c>
      <c r="O167" s="478" t="str">
        <f t="shared" ref="O167:O173" si="18">IF($D167="","",IF($I167="kg/km",$F167*L167/1000,IF($I167="kg/p.km",$F167*$G167*L167/1000,$F167*$H167*L167/1000)))</f>
        <v/>
      </c>
      <c r="P167" s="479" t="str">
        <f t="shared" si="15"/>
        <v/>
      </c>
      <c r="Q167" s="480"/>
    </row>
    <row r="168" spans="1:43" s="237" customFormat="1" ht="15" customHeight="1" outlineLevel="1" x14ac:dyDescent="0.25">
      <c r="A168" s="363"/>
      <c r="B168" s="435"/>
      <c r="C168" s="435"/>
      <c r="D168" s="1268"/>
      <c r="E168" s="1268"/>
      <c r="F168" s="438"/>
      <c r="G168" s="438"/>
      <c r="H168" s="438"/>
      <c r="I168" s="1020" t="str">
        <f>IF(OR(D168="",D168="-"),"",VLOOKUP(D168,'Fatores de Emissão'!$E$181:$K$184,3,FALSE))</f>
        <v/>
      </c>
      <c r="J168" s="478" t="str">
        <f>IF(OR(D168="",D168="-"),"",VLOOKUP(D168,'Fatores de Emissão'!$E$181:$K$184,2,FALSE))</f>
        <v/>
      </c>
      <c r="K168" s="478" t="str">
        <f>IF(OR(D168="",D168="-"),"",VLOOKUP(D168,'Fatores de Emissão'!$E$181:$K$184,4,FALSE))</f>
        <v/>
      </c>
      <c r="L168" s="478" t="str">
        <f>IF(OR(D168="",D168="-"),"",VLOOKUP(D168,'Fatores de Emissão'!$E$181:$K$184,6,FALSE))</f>
        <v/>
      </c>
      <c r="M168" s="478" t="str">
        <f>IF($D168="","",IF($I168="kg/km",$F168*J168/1000,IF($I168="kg/p.km",$F168*$G168*J168/1000,$F168*$H168*J168/1000)))</f>
        <v/>
      </c>
      <c r="N168" s="478" t="str">
        <f t="shared" si="17"/>
        <v/>
      </c>
      <c r="O168" s="478" t="str">
        <f t="shared" si="18"/>
        <v/>
      </c>
      <c r="P168" s="479" t="str">
        <f t="shared" si="15"/>
        <v/>
      </c>
      <c r="Q168" s="480"/>
    </row>
    <row r="169" spans="1:43" s="237" customFormat="1" ht="15" customHeight="1" outlineLevel="1" x14ac:dyDescent="0.25">
      <c r="A169" s="363"/>
      <c r="B169" s="435"/>
      <c r="C169" s="435"/>
      <c r="D169" s="1268"/>
      <c r="E169" s="1268"/>
      <c r="F169" s="438"/>
      <c r="G169" s="438"/>
      <c r="H169" s="438"/>
      <c r="I169" s="1020" t="str">
        <f>IF(OR(D169="",D169="-"),"",VLOOKUP(D169,'Fatores de Emissão'!$E$181:$K$184,3,FALSE))</f>
        <v/>
      </c>
      <c r="J169" s="478" t="str">
        <f>IF(OR(D169="",D169="-"),"",VLOOKUP(D169,'Fatores de Emissão'!$E$181:$K$184,2,FALSE))</f>
        <v/>
      </c>
      <c r="K169" s="478" t="str">
        <f>IF(OR(D169="",D169="-"),"",VLOOKUP(D169,'Fatores de Emissão'!$E$181:$K$184,4,FALSE))</f>
        <v/>
      </c>
      <c r="L169" s="478" t="str">
        <f>IF(OR(D169="",D169="-"),"",VLOOKUP(D169,'Fatores de Emissão'!$E$181:$K$184,6,FALSE))</f>
        <v/>
      </c>
      <c r="M169" s="478" t="str">
        <f t="shared" si="16"/>
        <v/>
      </c>
      <c r="N169" s="478" t="str">
        <f t="shared" si="17"/>
        <v/>
      </c>
      <c r="O169" s="478" t="str">
        <f t="shared" si="18"/>
        <v/>
      </c>
      <c r="P169" s="479" t="str">
        <f t="shared" si="15"/>
        <v/>
      </c>
      <c r="Q169" s="480"/>
    </row>
    <row r="170" spans="1:43" s="237" customFormat="1" ht="15" customHeight="1" outlineLevel="1" x14ac:dyDescent="0.25">
      <c r="A170" s="363"/>
      <c r="B170" s="435"/>
      <c r="C170" s="435"/>
      <c r="D170" s="1268"/>
      <c r="E170" s="1268"/>
      <c r="F170" s="438"/>
      <c r="G170" s="438"/>
      <c r="H170" s="438"/>
      <c r="I170" s="1020" t="str">
        <f>IF(OR(D170="",D170="-"),"",VLOOKUP(D170,'Fatores de Emissão'!$E$181:$K$184,3,FALSE))</f>
        <v/>
      </c>
      <c r="J170" s="478" t="str">
        <f>IF(OR(D170="",D170="-"),"",VLOOKUP(D170,'Fatores de Emissão'!$E$181:$K$184,2,FALSE))</f>
        <v/>
      </c>
      <c r="K170" s="478" t="str">
        <f>IF(OR(D170="",D170="-"),"",VLOOKUP(D170,'Fatores de Emissão'!$E$181:$K$184,4,FALSE))</f>
        <v/>
      </c>
      <c r="L170" s="478" t="str">
        <f>IF(OR(D170="",D170="-"),"",VLOOKUP(D170,'Fatores de Emissão'!$E$181:$K$184,6,FALSE))</f>
        <v/>
      </c>
      <c r="M170" s="478" t="str">
        <f t="shared" si="16"/>
        <v/>
      </c>
      <c r="N170" s="478" t="str">
        <f t="shared" si="17"/>
        <v/>
      </c>
      <c r="O170" s="478" t="str">
        <f t="shared" si="18"/>
        <v/>
      </c>
      <c r="P170" s="479" t="str">
        <f t="shared" si="15"/>
        <v/>
      </c>
      <c r="Q170" s="480"/>
    </row>
    <row r="171" spans="1:43" s="237" customFormat="1" ht="15" customHeight="1" outlineLevel="1" x14ac:dyDescent="0.25">
      <c r="A171" s="363"/>
      <c r="B171" s="435"/>
      <c r="C171" s="435"/>
      <c r="D171" s="1268"/>
      <c r="E171" s="1268"/>
      <c r="F171" s="438"/>
      <c r="G171" s="438"/>
      <c r="H171" s="438"/>
      <c r="I171" s="1020" t="str">
        <f>IF(OR(D171="",D171="-"),"",VLOOKUP(D171,'Fatores de Emissão'!$E$181:$K$184,3,FALSE))</f>
        <v/>
      </c>
      <c r="J171" s="478" t="str">
        <f>IF(OR(D171="",D171="-"),"",VLOOKUP(D171,'Fatores de Emissão'!$E$181:$K$184,2,FALSE))</f>
        <v/>
      </c>
      <c r="K171" s="478" t="str">
        <f>IF(OR(D171="",D171="-"),"",VLOOKUP(D171,'Fatores de Emissão'!$E$181:$K$184,4,FALSE))</f>
        <v/>
      </c>
      <c r="L171" s="478" t="str">
        <f>IF(OR(D171="",D171="-"),"",VLOOKUP(D171,'Fatores de Emissão'!$E$181:$K$184,6,FALSE))</f>
        <v/>
      </c>
      <c r="M171" s="478" t="str">
        <f t="shared" si="16"/>
        <v/>
      </c>
      <c r="N171" s="478" t="str">
        <f t="shared" si="17"/>
        <v/>
      </c>
      <c r="O171" s="478" t="str">
        <f t="shared" si="18"/>
        <v/>
      </c>
      <c r="P171" s="479" t="str">
        <f t="shared" si="15"/>
        <v/>
      </c>
      <c r="Q171" s="480"/>
    </row>
    <row r="172" spans="1:43" s="237" customFormat="1" ht="15" customHeight="1" outlineLevel="1" x14ac:dyDescent="0.25">
      <c r="A172" s="363"/>
      <c r="B172" s="435"/>
      <c r="C172" s="435"/>
      <c r="D172" s="1268"/>
      <c r="E172" s="1268"/>
      <c r="F172" s="438"/>
      <c r="G172" s="438"/>
      <c r="H172" s="438"/>
      <c r="I172" s="1020" t="str">
        <f>IF(OR(D172="",D172="-"),"",VLOOKUP(D172,'Fatores de Emissão'!$E$181:$K$184,3,FALSE))</f>
        <v/>
      </c>
      <c r="J172" s="478" t="str">
        <f>IF(OR(D172="",D172="-"),"",VLOOKUP(D172,'Fatores de Emissão'!$E$181:$K$184,2,FALSE))</f>
        <v/>
      </c>
      <c r="K172" s="478" t="str">
        <f>IF(OR(D172="",D172="-"),"",VLOOKUP(D172,'Fatores de Emissão'!$E$181:$K$184,4,FALSE))</f>
        <v/>
      </c>
      <c r="L172" s="478" t="str">
        <f>IF(OR(D172="",D172="-"),"",VLOOKUP(D172,'Fatores de Emissão'!$E$181:$K$184,6,FALSE))</f>
        <v/>
      </c>
      <c r="M172" s="478" t="str">
        <f t="shared" si="16"/>
        <v/>
      </c>
      <c r="N172" s="478" t="str">
        <f t="shared" si="17"/>
        <v/>
      </c>
      <c r="O172" s="478" t="str">
        <f t="shared" si="18"/>
        <v/>
      </c>
      <c r="P172" s="479" t="str">
        <f t="shared" ref="P172:P215" si="19">IF(ISERR(M172*gwp_CO2+N172*gwp_CH4+O172*gwp_N2O),"",M172*gwp_CO2+N172*gwp_CH4+O172*gwp_N2O)</f>
        <v/>
      </c>
      <c r="Q172" s="480"/>
    </row>
    <row r="173" spans="1:43" s="237" customFormat="1" ht="15" customHeight="1" outlineLevel="1" x14ac:dyDescent="0.25">
      <c r="A173" s="363"/>
      <c r="B173" s="435"/>
      <c r="C173" s="435"/>
      <c r="D173" s="1268"/>
      <c r="E173" s="1268"/>
      <c r="F173" s="438"/>
      <c r="G173" s="438"/>
      <c r="H173" s="438"/>
      <c r="I173" s="1020" t="str">
        <f>IF(OR(D173="",D173="-"),"",VLOOKUP(D173,'Fatores de Emissão'!$E$181:$K$184,3,FALSE))</f>
        <v/>
      </c>
      <c r="J173" s="478" t="str">
        <f>IF(OR(D173="",D173="-"),"",VLOOKUP(D173,'Fatores de Emissão'!$E$181:$K$184,2,FALSE))</f>
        <v/>
      </c>
      <c r="K173" s="478" t="str">
        <f>IF(OR(D173="",D173="-"),"",VLOOKUP(D173,'Fatores de Emissão'!$E$181:$K$184,4,FALSE))</f>
        <v/>
      </c>
      <c r="L173" s="478" t="str">
        <f>IF(OR(D173="",D173="-"),"",VLOOKUP(D173,'Fatores de Emissão'!$E$181:$K$184,6,FALSE))</f>
        <v/>
      </c>
      <c r="M173" s="478" t="str">
        <f t="shared" si="16"/>
        <v/>
      </c>
      <c r="N173" s="478" t="str">
        <f t="shared" si="17"/>
        <v/>
      </c>
      <c r="O173" s="478" t="str">
        <f t="shared" si="18"/>
        <v/>
      </c>
      <c r="P173" s="479" t="str">
        <f t="shared" si="19"/>
        <v/>
      </c>
      <c r="Q173" s="480"/>
    </row>
    <row r="174" spans="1:43" s="237" customFormat="1" ht="15" customHeight="1" outlineLevel="1" x14ac:dyDescent="0.25">
      <c r="A174" s="363"/>
      <c r="B174" s="435"/>
      <c r="C174" s="435"/>
      <c r="D174" s="1268"/>
      <c r="E174" s="1268"/>
      <c r="F174" s="438"/>
      <c r="G174" s="438"/>
      <c r="H174" s="438"/>
      <c r="I174" s="1020" t="str">
        <f>IF(OR(D174="",D174="-"),"",VLOOKUP(D174,'Fatores de Emissão'!$E$181:$K$184,3,FALSE))</f>
        <v/>
      </c>
      <c r="J174" s="478" t="str">
        <f>IF(OR(D174="",D174="-"),"",VLOOKUP(D174,'Fatores de Emissão'!$E$181:$K$184,2,FALSE))</f>
        <v/>
      </c>
      <c r="K174" s="478" t="str">
        <f>IF(OR(D174="",D174="-"),"",VLOOKUP(D174,'Fatores de Emissão'!$E$181:$K$184,4,FALSE))</f>
        <v/>
      </c>
      <c r="L174" s="478" t="str">
        <f>IF(OR(D174="",D174="-"),"",VLOOKUP(D174,'Fatores de Emissão'!$E$181:$K$184,6,FALSE))</f>
        <v/>
      </c>
      <c r="M174" s="478" t="str">
        <f t="shared" ref="M174:M215" si="20">IF($D174="","",IF($I174="kg/km",$F174*J174/1000,IF($I174="kg/p.km",$F174*$G174*J174/1000,$F174*$H174*J174/1000)))</f>
        <v/>
      </c>
      <c r="N174" s="478" t="str">
        <f t="shared" ref="N174:N215" si="21">IF($D174="","",IF($I174="kg/km",$F174*K174/1000,IF($I174="kg/p.km",$F174*$G174*K174/1000,$F174*$H174*K174/1000)))</f>
        <v/>
      </c>
      <c r="O174" s="478" t="str">
        <f t="shared" ref="O174:O215" si="22">IF($D174="","",IF($I174="kg/km",$F174*L174/1000,IF($I174="kg/p.km",$F174*$G174*L174/1000,$F174*$H174*L174/1000)))</f>
        <v/>
      </c>
      <c r="P174" s="479" t="str">
        <f t="shared" si="19"/>
        <v/>
      </c>
      <c r="Q174" s="480"/>
    </row>
    <row r="175" spans="1:43" s="237" customFormat="1" ht="15" customHeight="1" outlineLevel="1" collapsed="1" x14ac:dyDescent="0.25">
      <c r="A175" s="363"/>
      <c r="B175" s="435"/>
      <c r="C175" s="435"/>
      <c r="D175" s="1268"/>
      <c r="E175" s="1268"/>
      <c r="F175" s="438"/>
      <c r="G175" s="438"/>
      <c r="H175" s="438"/>
      <c r="I175" s="1020" t="str">
        <f>IF(OR(D175="",D175="-"),"",VLOOKUP(D175,'Fatores de Emissão'!$E$181:$K$184,3,FALSE))</f>
        <v/>
      </c>
      <c r="J175" s="478" t="str">
        <f>IF(OR(D175="",D175="-"),"",VLOOKUP(D175,'Fatores de Emissão'!$E$181:$K$184,2,FALSE))</f>
        <v/>
      </c>
      <c r="K175" s="478" t="str">
        <f>IF(OR(D175="",D175="-"),"",VLOOKUP(D175,'Fatores de Emissão'!$E$181:$K$184,4,FALSE))</f>
        <v/>
      </c>
      <c r="L175" s="478" t="str">
        <f>IF(OR(D175="",D175="-"),"",VLOOKUP(D175,'Fatores de Emissão'!$E$181:$K$184,6,FALSE))</f>
        <v/>
      </c>
      <c r="M175" s="478" t="str">
        <f t="shared" si="20"/>
        <v/>
      </c>
      <c r="N175" s="478" t="str">
        <f t="shared" si="21"/>
        <v/>
      </c>
      <c r="O175" s="478" t="str">
        <f t="shared" si="22"/>
        <v/>
      </c>
      <c r="P175" s="479" t="str">
        <f t="shared" si="19"/>
        <v/>
      </c>
      <c r="Q175" s="480"/>
    </row>
    <row r="176" spans="1:43" s="237" customFormat="1" ht="15" hidden="1" customHeight="1" outlineLevel="2" x14ac:dyDescent="0.25">
      <c r="A176" s="363"/>
      <c r="B176" s="435"/>
      <c r="C176" s="435"/>
      <c r="D176" s="1268"/>
      <c r="E176" s="1268"/>
      <c r="F176" s="438"/>
      <c r="G176" s="438"/>
      <c r="H176" s="438"/>
      <c r="I176" s="1020" t="str">
        <f>IF(OR(D176="",D176="-"),"",VLOOKUP(D176,'Fatores de Emissão'!$E$181:$K$184,3,FALSE))</f>
        <v/>
      </c>
      <c r="J176" s="478" t="str">
        <f>IF(OR(D176="",D176="-"),"",VLOOKUP(D176,'Fatores de Emissão'!$E$181:$K$184,2,FALSE))</f>
        <v/>
      </c>
      <c r="K176" s="478" t="str">
        <f>IF(OR(D176="",D176="-"),"",VLOOKUP(D176,'Fatores de Emissão'!$E$181:$K$184,4,FALSE))</f>
        <v/>
      </c>
      <c r="L176" s="478" t="str">
        <f>IF(OR(D176="",D176="-"),"",VLOOKUP(D176,'Fatores de Emissão'!$E$181:$K$184,6,FALSE))</f>
        <v/>
      </c>
      <c r="M176" s="478" t="str">
        <f t="shared" si="20"/>
        <v/>
      </c>
      <c r="N176" s="478" t="str">
        <f t="shared" si="21"/>
        <v/>
      </c>
      <c r="O176" s="478" t="str">
        <f t="shared" si="22"/>
        <v/>
      </c>
      <c r="P176" s="479" t="str">
        <f t="shared" si="19"/>
        <v/>
      </c>
      <c r="Q176" s="480"/>
    </row>
    <row r="177" spans="1:17" s="237" customFormat="1" ht="15" hidden="1" customHeight="1" outlineLevel="2" x14ac:dyDescent="0.25">
      <c r="A177" s="363"/>
      <c r="B177" s="435"/>
      <c r="C177" s="435"/>
      <c r="D177" s="1268"/>
      <c r="E177" s="1268"/>
      <c r="F177" s="438"/>
      <c r="G177" s="438"/>
      <c r="H177" s="438"/>
      <c r="I177" s="1020" t="str">
        <f>IF(OR(D177="",D177="-"),"",VLOOKUP(D177,'Fatores de Emissão'!$E$181:$K$184,3,FALSE))</f>
        <v/>
      </c>
      <c r="J177" s="478" t="str">
        <f>IF(OR(D177="",D177="-"),"",VLOOKUP(D177,'Fatores de Emissão'!$E$181:$K$184,2,FALSE))</f>
        <v/>
      </c>
      <c r="K177" s="478" t="str">
        <f>IF(OR(D177="",D177="-"),"",VLOOKUP(D177,'Fatores de Emissão'!$E$181:$K$184,4,FALSE))</f>
        <v/>
      </c>
      <c r="L177" s="478" t="str">
        <f>IF(OR(D177="",D177="-"),"",VLOOKUP(D177,'Fatores de Emissão'!$E$181:$K$184,6,FALSE))</f>
        <v/>
      </c>
      <c r="M177" s="478" t="str">
        <f t="shared" si="20"/>
        <v/>
      </c>
      <c r="N177" s="478" t="str">
        <f t="shared" si="21"/>
        <v/>
      </c>
      <c r="O177" s="478" t="str">
        <f t="shared" si="22"/>
        <v/>
      </c>
      <c r="P177" s="479" t="str">
        <f t="shared" si="19"/>
        <v/>
      </c>
      <c r="Q177" s="480"/>
    </row>
    <row r="178" spans="1:17" s="237" customFormat="1" ht="15" hidden="1" customHeight="1" outlineLevel="2" x14ac:dyDescent="0.25">
      <c r="A178" s="363"/>
      <c r="B178" s="435"/>
      <c r="C178" s="435"/>
      <c r="D178" s="1268"/>
      <c r="E178" s="1268"/>
      <c r="F178" s="438"/>
      <c r="G178" s="438"/>
      <c r="H178" s="438"/>
      <c r="I178" s="1020" t="str">
        <f>IF(OR(D178="",D178="-"),"",VLOOKUP(D178,'Fatores de Emissão'!$E$181:$K$184,3,FALSE))</f>
        <v/>
      </c>
      <c r="J178" s="478" t="str">
        <f>IF(OR(D178="",D178="-"),"",VLOOKUP(D178,'Fatores de Emissão'!$E$181:$K$184,2,FALSE))</f>
        <v/>
      </c>
      <c r="K178" s="478" t="str">
        <f>IF(OR(D178="",D178="-"),"",VLOOKUP(D178,'Fatores de Emissão'!$E$181:$K$184,4,FALSE))</f>
        <v/>
      </c>
      <c r="L178" s="478" t="str">
        <f>IF(OR(D178="",D178="-"),"",VLOOKUP(D178,'Fatores de Emissão'!$E$181:$K$184,6,FALSE))</f>
        <v/>
      </c>
      <c r="M178" s="478" t="str">
        <f t="shared" si="20"/>
        <v/>
      </c>
      <c r="N178" s="478" t="str">
        <f t="shared" si="21"/>
        <v/>
      </c>
      <c r="O178" s="478" t="str">
        <f t="shared" si="22"/>
        <v/>
      </c>
      <c r="P178" s="479" t="str">
        <f t="shared" si="19"/>
        <v/>
      </c>
      <c r="Q178" s="480"/>
    </row>
    <row r="179" spans="1:17" s="237" customFormat="1" ht="15" hidden="1" customHeight="1" outlineLevel="2" x14ac:dyDescent="0.25">
      <c r="A179" s="363"/>
      <c r="B179" s="435"/>
      <c r="C179" s="435"/>
      <c r="D179" s="1268"/>
      <c r="E179" s="1268"/>
      <c r="F179" s="438"/>
      <c r="G179" s="438"/>
      <c r="H179" s="438"/>
      <c r="I179" s="1020" t="str">
        <f>IF(OR(D179="",D179="-"),"",VLOOKUP(D179,'Fatores de Emissão'!$E$181:$K$184,3,FALSE))</f>
        <v/>
      </c>
      <c r="J179" s="478" t="str">
        <f>IF(OR(D179="",D179="-"),"",VLOOKUP(D179,'Fatores de Emissão'!$E$181:$K$184,2,FALSE))</f>
        <v/>
      </c>
      <c r="K179" s="478" t="str">
        <f>IF(OR(D179="",D179="-"),"",VLOOKUP(D179,'Fatores de Emissão'!$E$181:$K$184,4,FALSE))</f>
        <v/>
      </c>
      <c r="L179" s="478" t="str">
        <f>IF(OR(D179="",D179="-"),"",VLOOKUP(D179,'Fatores de Emissão'!$E$181:$K$184,6,FALSE))</f>
        <v/>
      </c>
      <c r="M179" s="478" t="str">
        <f t="shared" si="20"/>
        <v/>
      </c>
      <c r="N179" s="478" t="str">
        <f t="shared" si="21"/>
        <v/>
      </c>
      <c r="O179" s="478" t="str">
        <f t="shared" si="22"/>
        <v/>
      </c>
      <c r="P179" s="479" t="str">
        <f t="shared" si="19"/>
        <v/>
      </c>
      <c r="Q179" s="480"/>
    </row>
    <row r="180" spans="1:17" s="237" customFormat="1" ht="15" hidden="1" customHeight="1" outlineLevel="2" x14ac:dyDescent="0.25">
      <c r="A180" s="363"/>
      <c r="B180" s="435"/>
      <c r="C180" s="435"/>
      <c r="D180" s="1268"/>
      <c r="E180" s="1268"/>
      <c r="F180" s="438"/>
      <c r="G180" s="438"/>
      <c r="H180" s="438"/>
      <c r="I180" s="1020" t="str">
        <f>IF(OR(D180="",D180="-"),"",VLOOKUP(D180,'Fatores de Emissão'!$E$181:$K$184,3,FALSE))</f>
        <v/>
      </c>
      <c r="J180" s="478" t="str">
        <f>IF(OR(D180="",D180="-"),"",VLOOKUP(D180,'Fatores de Emissão'!$E$181:$K$184,2,FALSE))</f>
        <v/>
      </c>
      <c r="K180" s="478" t="str">
        <f>IF(OR(D180="",D180="-"),"",VLOOKUP(D180,'Fatores de Emissão'!$E$181:$K$184,4,FALSE))</f>
        <v/>
      </c>
      <c r="L180" s="478" t="str">
        <f>IF(OR(D180="",D180="-"),"",VLOOKUP(D180,'Fatores de Emissão'!$E$181:$K$184,6,FALSE))</f>
        <v/>
      </c>
      <c r="M180" s="478" t="str">
        <f t="shared" si="20"/>
        <v/>
      </c>
      <c r="N180" s="478" t="str">
        <f t="shared" si="21"/>
        <v/>
      </c>
      <c r="O180" s="478" t="str">
        <f t="shared" si="22"/>
        <v/>
      </c>
      <c r="P180" s="479" t="str">
        <f t="shared" si="19"/>
        <v/>
      </c>
      <c r="Q180" s="480"/>
    </row>
    <row r="181" spans="1:17" s="237" customFormat="1" ht="15" hidden="1" customHeight="1" outlineLevel="2" x14ac:dyDescent="0.25">
      <c r="A181" s="363"/>
      <c r="B181" s="435"/>
      <c r="C181" s="435"/>
      <c r="D181" s="1268"/>
      <c r="E181" s="1268"/>
      <c r="F181" s="438"/>
      <c r="G181" s="438"/>
      <c r="H181" s="438"/>
      <c r="I181" s="1020" t="str">
        <f>IF(OR(D181="",D181="-"),"",VLOOKUP(D181,'Fatores de Emissão'!$E$181:$K$184,3,FALSE))</f>
        <v/>
      </c>
      <c r="J181" s="478" t="str">
        <f>IF(OR(D181="",D181="-"),"",VLOOKUP(D181,'Fatores de Emissão'!$E$181:$K$184,2,FALSE))</f>
        <v/>
      </c>
      <c r="K181" s="478" t="str">
        <f>IF(OR(D181="",D181="-"),"",VLOOKUP(D181,'Fatores de Emissão'!$E$181:$K$184,4,FALSE))</f>
        <v/>
      </c>
      <c r="L181" s="478" t="str">
        <f>IF(OR(D181="",D181="-"),"",VLOOKUP(D181,'Fatores de Emissão'!$E$181:$K$184,6,FALSE))</f>
        <v/>
      </c>
      <c r="M181" s="478" t="str">
        <f t="shared" si="20"/>
        <v/>
      </c>
      <c r="N181" s="478" t="str">
        <f t="shared" si="21"/>
        <v/>
      </c>
      <c r="O181" s="478" t="str">
        <f t="shared" si="22"/>
        <v/>
      </c>
      <c r="P181" s="479" t="str">
        <f t="shared" si="19"/>
        <v/>
      </c>
      <c r="Q181" s="480"/>
    </row>
    <row r="182" spans="1:17" s="237" customFormat="1" ht="15" hidden="1" customHeight="1" outlineLevel="2" x14ac:dyDescent="0.25">
      <c r="A182" s="363"/>
      <c r="B182" s="435"/>
      <c r="C182" s="435"/>
      <c r="D182" s="1268"/>
      <c r="E182" s="1268"/>
      <c r="F182" s="438"/>
      <c r="G182" s="438"/>
      <c r="H182" s="438"/>
      <c r="I182" s="1020" t="str">
        <f>IF(OR(D182="",D182="-"),"",VLOOKUP(D182,'Fatores de Emissão'!$E$181:$K$184,3,FALSE))</f>
        <v/>
      </c>
      <c r="J182" s="478" t="str">
        <f>IF(OR(D182="",D182="-"),"",VLOOKUP(D182,'Fatores de Emissão'!$E$181:$K$184,2,FALSE))</f>
        <v/>
      </c>
      <c r="K182" s="478" t="str">
        <f>IF(OR(D182="",D182="-"),"",VLOOKUP(D182,'Fatores de Emissão'!$E$181:$K$184,4,FALSE))</f>
        <v/>
      </c>
      <c r="L182" s="478" t="str">
        <f>IF(OR(D182="",D182="-"),"",VLOOKUP(D182,'Fatores de Emissão'!$E$181:$K$184,6,FALSE))</f>
        <v/>
      </c>
      <c r="M182" s="478" t="str">
        <f t="shared" si="20"/>
        <v/>
      </c>
      <c r="N182" s="478" t="str">
        <f t="shared" si="21"/>
        <v/>
      </c>
      <c r="O182" s="478" t="str">
        <f t="shared" si="22"/>
        <v/>
      </c>
      <c r="P182" s="479" t="str">
        <f t="shared" si="19"/>
        <v/>
      </c>
      <c r="Q182" s="480"/>
    </row>
    <row r="183" spans="1:17" s="237" customFormat="1" ht="15" hidden="1" customHeight="1" outlineLevel="2" x14ac:dyDescent="0.25">
      <c r="A183" s="363"/>
      <c r="B183" s="435"/>
      <c r="C183" s="435"/>
      <c r="D183" s="1268"/>
      <c r="E183" s="1268"/>
      <c r="F183" s="438"/>
      <c r="G183" s="438"/>
      <c r="H183" s="438"/>
      <c r="I183" s="1020" t="str">
        <f>IF(OR(D183="",D183="-"),"",VLOOKUP(D183,'Fatores de Emissão'!$E$181:$K$184,3,FALSE))</f>
        <v/>
      </c>
      <c r="J183" s="478" t="str">
        <f>IF(OR(D183="",D183="-"),"",VLOOKUP(D183,'Fatores de Emissão'!$E$181:$K$184,2,FALSE))</f>
        <v/>
      </c>
      <c r="K183" s="478" t="str">
        <f>IF(OR(D183="",D183="-"),"",VLOOKUP(D183,'Fatores de Emissão'!$E$181:$K$184,4,FALSE))</f>
        <v/>
      </c>
      <c r="L183" s="478" t="str">
        <f>IF(OR(D183="",D183="-"),"",VLOOKUP(D183,'Fatores de Emissão'!$E$181:$K$184,6,FALSE))</f>
        <v/>
      </c>
      <c r="M183" s="478" t="str">
        <f t="shared" si="20"/>
        <v/>
      </c>
      <c r="N183" s="478" t="str">
        <f t="shared" si="21"/>
        <v/>
      </c>
      <c r="O183" s="478" t="str">
        <f t="shared" si="22"/>
        <v/>
      </c>
      <c r="P183" s="479" t="str">
        <f t="shared" si="19"/>
        <v/>
      </c>
      <c r="Q183" s="480"/>
    </row>
    <row r="184" spans="1:17" s="237" customFormat="1" ht="15" hidden="1" customHeight="1" outlineLevel="2" x14ac:dyDescent="0.25">
      <c r="A184" s="363"/>
      <c r="B184" s="435"/>
      <c r="C184" s="435"/>
      <c r="D184" s="1268"/>
      <c r="E184" s="1268"/>
      <c r="F184" s="438"/>
      <c r="G184" s="438"/>
      <c r="H184" s="438"/>
      <c r="I184" s="1020" t="str">
        <f>IF(OR(D184="",D184="-"),"",VLOOKUP(D184,'Fatores de Emissão'!$E$181:$K$184,3,FALSE))</f>
        <v/>
      </c>
      <c r="J184" s="478" t="str">
        <f>IF(OR(D184="",D184="-"),"",VLOOKUP(D184,'Fatores de Emissão'!$E$181:$K$184,2,FALSE))</f>
        <v/>
      </c>
      <c r="K184" s="478" t="str">
        <f>IF(OR(D184="",D184="-"),"",VLOOKUP(D184,'Fatores de Emissão'!$E$181:$K$184,4,FALSE))</f>
        <v/>
      </c>
      <c r="L184" s="478" t="str">
        <f>IF(OR(D184="",D184="-"),"",VLOOKUP(D184,'Fatores de Emissão'!$E$181:$K$184,6,FALSE))</f>
        <v/>
      </c>
      <c r="M184" s="478" t="str">
        <f t="shared" si="20"/>
        <v/>
      </c>
      <c r="N184" s="478" t="str">
        <f t="shared" si="21"/>
        <v/>
      </c>
      <c r="O184" s="478" t="str">
        <f t="shared" si="22"/>
        <v/>
      </c>
      <c r="P184" s="479" t="str">
        <f t="shared" si="19"/>
        <v/>
      </c>
      <c r="Q184" s="480"/>
    </row>
    <row r="185" spans="1:17" s="237" customFormat="1" ht="15" hidden="1" customHeight="1" outlineLevel="2" x14ac:dyDescent="0.25">
      <c r="A185" s="363"/>
      <c r="B185" s="435"/>
      <c r="C185" s="435"/>
      <c r="D185" s="1268"/>
      <c r="E185" s="1268"/>
      <c r="F185" s="438"/>
      <c r="G185" s="438"/>
      <c r="H185" s="438"/>
      <c r="I185" s="1020" t="str">
        <f>IF(OR(D185="",D185="-"),"",VLOOKUP(D185,'Fatores de Emissão'!$E$181:$K$184,3,FALSE))</f>
        <v/>
      </c>
      <c r="J185" s="478" t="str">
        <f>IF(OR(D185="",D185="-"),"",VLOOKUP(D185,'Fatores de Emissão'!$E$181:$K$184,2,FALSE))</f>
        <v/>
      </c>
      <c r="K185" s="478" t="str">
        <f>IF(OR(D185="",D185="-"),"",VLOOKUP(D185,'Fatores de Emissão'!$E$181:$K$184,4,FALSE))</f>
        <v/>
      </c>
      <c r="L185" s="478" t="str">
        <f>IF(OR(D185="",D185="-"),"",VLOOKUP(D185,'Fatores de Emissão'!$E$181:$K$184,6,FALSE))</f>
        <v/>
      </c>
      <c r="M185" s="478" t="str">
        <f t="shared" si="20"/>
        <v/>
      </c>
      <c r="N185" s="478" t="str">
        <f t="shared" si="21"/>
        <v/>
      </c>
      <c r="O185" s="478" t="str">
        <f t="shared" si="22"/>
        <v/>
      </c>
      <c r="P185" s="479" t="str">
        <f t="shared" si="19"/>
        <v/>
      </c>
      <c r="Q185" s="480"/>
    </row>
    <row r="186" spans="1:17" s="237" customFormat="1" ht="15" hidden="1" customHeight="1" outlineLevel="2" x14ac:dyDescent="0.25">
      <c r="A186" s="363"/>
      <c r="B186" s="435"/>
      <c r="C186" s="435"/>
      <c r="D186" s="1268"/>
      <c r="E186" s="1268"/>
      <c r="F186" s="438"/>
      <c r="G186" s="438"/>
      <c r="H186" s="438"/>
      <c r="I186" s="1020" t="str">
        <f>IF(OR(D186="",D186="-"),"",VLOOKUP(D186,'Fatores de Emissão'!$E$181:$K$184,3,FALSE))</f>
        <v/>
      </c>
      <c r="J186" s="478" t="str">
        <f>IF(OR(D186="",D186="-"),"",VLOOKUP(D186,'Fatores de Emissão'!$E$181:$K$184,2,FALSE))</f>
        <v/>
      </c>
      <c r="K186" s="478" t="str">
        <f>IF(OR(D186="",D186="-"),"",VLOOKUP(D186,'Fatores de Emissão'!$E$181:$K$184,4,FALSE))</f>
        <v/>
      </c>
      <c r="L186" s="478" t="str">
        <f>IF(OR(D186="",D186="-"),"",VLOOKUP(D186,'Fatores de Emissão'!$E$181:$K$184,6,FALSE))</f>
        <v/>
      </c>
      <c r="M186" s="478" t="str">
        <f t="shared" si="20"/>
        <v/>
      </c>
      <c r="N186" s="478" t="str">
        <f t="shared" si="21"/>
        <v/>
      </c>
      <c r="O186" s="478" t="str">
        <f t="shared" si="22"/>
        <v/>
      </c>
      <c r="P186" s="479" t="str">
        <f t="shared" si="19"/>
        <v/>
      </c>
      <c r="Q186" s="480"/>
    </row>
    <row r="187" spans="1:17" s="237" customFormat="1" ht="15" hidden="1" customHeight="1" outlineLevel="2" x14ac:dyDescent="0.25">
      <c r="A187" s="363"/>
      <c r="B187" s="435"/>
      <c r="C187" s="435"/>
      <c r="D187" s="1268"/>
      <c r="E187" s="1268"/>
      <c r="F187" s="438"/>
      <c r="G187" s="438"/>
      <c r="H187" s="438"/>
      <c r="I187" s="1020" t="str">
        <f>IF(OR(D187="",D187="-"),"",VLOOKUP(D187,'Fatores de Emissão'!$E$181:$K$184,3,FALSE))</f>
        <v/>
      </c>
      <c r="J187" s="478" t="str">
        <f>IF(OR(D187="",D187="-"),"",VLOOKUP(D187,'Fatores de Emissão'!$E$181:$K$184,2,FALSE))</f>
        <v/>
      </c>
      <c r="K187" s="478" t="str">
        <f>IF(OR(D187="",D187="-"),"",VLOOKUP(D187,'Fatores de Emissão'!$E$181:$K$184,4,FALSE))</f>
        <v/>
      </c>
      <c r="L187" s="478" t="str">
        <f>IF(OR(D187="",D187="-"),"",VLOOKUP(D187,'Fatores de Emissão'!$E$181:$K$184,6,FALSE))</f>
        <v/>
      </c>
      <c r="M187" s="478" t="str">
        <f t="shared" si="20"/>
        <v/>
      </c>
      <c r="N187" s="478" t="str">
        <f t="shared" si="21"/>
        <v/>
      </c>
      <c r="O187" s="478" t="str">
        <f t="shared" si="22"/>
        <v/>
      </c>
      <c r="P187" s="479" t="str">
        <f t="shared" si="19"/>
        <v/>
      </c>
      <c r="Q187" s="480"/>
    </row>
    <row r="188" spans="1:17" s="237" customFormat="1" ht="15" hidden="1" customHeight="1" outlineLevel="2" x14ac:dyDescent="0.25">
      <c r="A188" s="363"/>
      <c r="B188" s="435"/>
      <c r="C188" s="435"/>
      <c r="D188" s="1268"/>
      <c r="E188" s="1268"/>
      <c r="F188" s="438"/>
      <c r="G188" s="438"/>
      <c r="H188" s="438"/>
      <c r="I188" s="1020" t="str">
        <f>IF(OR(D188="",D188="-"),"",VLOOKUP(D188,'Fatores de Emissão'!$E$181:$K$184,3,FALSE))</f>
        <v/>
      </c>
      <c r="J188" s="478" t="str">
        <f>IF(OR(D188="",D188="-"),"",VLOOKUP(D188,'Fatores de Emissão'!$E$181:$K$184,2,FALSE))</f>
        <v/>
      </c>
      <c r="K188" s="478" t="str">
        <f>IF(OR(D188="",D188="-"),"",VLOOKUP(D188,'Fatores de Emissão'!$E$181:$K$184,4,FALSE))</f>
        <v/>
      </c>
      <c r="L188" s="478" t="str">
        <f>IF(OR(D188="",D188="-"),"",VLOOKUP(D188,'Fatores de Emissão'!$E$181:$K$184,6,FALSE))</f>
        <v/>
      </c>
      <c r="M188" s="478" t="str">
        <f t="shared" si="20"/>
        <v/>
      </c>
      <c r="N188" s="478" t="str">
        <f t="shared" si="21"/>
        <v/>
      </c>
      <c r="O188" s="478" t="str">
        <f t="shared" si="22"/>
        <v/>
      </c>
      <c r="P188" s="479" t="str">
        <f t="shared" si="19"/>
        <v/>
      </c>
      <c r="Q188" s="480"/>
    </row>
    <row r="189" spans="1:17" s="237" customFormat="1" ht="15" hidden="1" customHeight="1" outlineLevel="2" x14ac:dyDescent="0.25">
      <c r="A189" s="363"/>
      <c r="B189" s="435"/>
      <c r="C189" s="435"/>
      <c r="D189" s="1268"/>
      <c r="E189" s="1268"/>
      <c r="F189" s="438"/>
      <c r="G189" s="438"/>
      <c r="H189" s="438"/>
      <c r="I189" s="1020" t="str">
        <f>IF(OR(D189="",D189="-"),"",VLOOKUP(D189,'Fatores de Emissão'!$E$181:$K$184,3,FALSE))</f>
        <v/>
      </c>
      <c r="J189" s="478" t="str">
        <f>IF(OR(D189="",D189="-"),"",VLOOKUP(D189,'Fatores de Emissão'!$E$181:$K$184,2,FALSE))</f>
        <v/>
      </c>
      <c r="K189" s="478" t="str">
        <f>IF(OR(D189="",D189="-"),"",VLOOKUP(D189,'Fatores de Emissão'!$E$181:$K$184,4,FALSE))</f>
        <v/>
      </c>
      <c r="L189" s="478" t="str">
        <f>IF(OR(D189="",D189="-"),"",VLOOKUP(D189,'Fatores de Emissão'!$E$181:$K$184,6,FALSE))</f>
        <v/>
      </c>
      <c r="M189" s="478" t="str">
        <f t="shared" si="20"/>
        <v/>
      </c>
      <c r="N189" s="478" t="str">
        <f t="shared" si="21"/>
        <v/>
      </c>
      <c r="O189" s="478" t="str">
        <f t="shared" si="22"/>
        <v/>
      </c>
      <c r="P189" s="479" t="str">
        <f t="shared" si="19"/>
        <v/>
      </c>
      <c r="Q189" s="480"/>
    </row>
    <row r="190" spans="1:17" s="237" customFormat="1" ht="15" hidden="1" customHeight="1" outlineLevel="2" x14ac:dyDescent="0.25">
      <c r="A190" s="363"/>
      <c r="B190" s="435"/>
      <c r="C190" s="435"/>
      <c r="D190" s="1268"/>
      <c r="E190" s="1268"/>
      <c r="F190" s="438"/>
      <c r="G190" s="438"/>
      <c r="H190" s="438"/>
      <c r="I190" s="1020" t="str">
        <f>IF(OR(D190="",D190="-"),"",VLOOKUP(D190,'Fatores de Emissão'!$E$181:$K$184,3,FALSE))</f>
        <v/>
      </c>
      <c r="J190" s="478" t="str">
        <f>IF(OR(D190="",D190="-"),"",VLOOKUP(D190,'Fatores de Emissão'!$E$181:$K$184,2,FALSE))</f>
        <v/>
      </c>
      <c r="K190" s="478" t="str">
        <f>IF(OR(D190="",D190="-"),"",VLOOKUP(D190,'Fatores de Emissão'!$E$181:$K$184,4,FALSE))</f>
        <v/>
      </c>
      <c r="L190" s="478" t="str">
        <f>IF(OR(D190="",D190="-"),"",VLOOKUP(D190,'Fatores de Emissão'!$E$181:$K$184,6,FALSE))</f>
        <v/>
      </c>
      <c r="M190" s="478" t="str">
        <f t="shared" si="20"/>
        <v/>
      </c>
      <c r="N190" s="478" t="str">
        <f t="shared" si="21"/>
        <v/>
      </c>
      <c r="O190" s="478" t="str">
        <f t="shared" si="22"/>
        <v/>
      </c>
      <c r="P190" s="479" t="str">
        <f t="shared" si="19"/>
        <v/>
      </c>
      <c r="Q190" s="480"/>
    </row>
    <row r="191" spans="1:17" s="237" customFormat="1" ht="15" hidden="1" customHeight="1" outlineLevel="2" x14ac:dyDescent="0.25">
      <c r="A191" s="363"/>
      <c r="B191" s="435"/>
      <c r="C191" s="435"/>
      <c r="D191" s="1268"/>
      <c r="E191" s="1268"/>
      <c r="F191" s="438"/>
      <c r="G191" s="438"/>
      <c r="H191" s="438"/>
      <c r="I191" s="1020" t="str">
        <f>IF(OR(D191="",D191="-"),"",VLOOKUP(D191,'Fatores de Emissão'!$E$181:$K$184,3,FALSE))</f>
        <v/>
      </c>
      <c r="J191" s="478" t="str">
        <f>IF(OR(D191="",D191="-"),"",VLOOKUP(D191,'Fatores de Emissão'!$E$181:$K$184,2,FALSE))</f>
        <v/>
      </c>
      <c r="K191" s="478" t="str">
        <f>IF(OR(D191="",D191="-"),"",VLOOKUP(D191,'Fatores de Emissão'!$E$181:$K$184,4,FALSE))</f>
        <v/>
      </c>
      <c r="L191" s="478" t="str">
        <f>IF(OR(D191="",D191="-"),"",VLOOKUP(D191,'Fatores de Emissão'!$E$181:$K$184,6,FALSE))</f>
        <v/>
      </c>
      <c r="M191" s="478" t="str">
        <f t="shared" si="20"/>
        <v/>
      </c>
      <c r="N191" s="478" t="str">
        <f t="shared" si="21"/>
        <v/>
      </c>
      <c r="O191" s="478" t="str">
        <f t="shared" si="22"/>
        <v/>
      </c>
      <c r="P191" s="479" t="str">
        <f t="shared" si="19"/>
        <v/>
      </c>
      <c r="Q191" s="480"/>
    </row>
    <row r="192" spans="1:17" s="237" customFormat="1" ht="15" hidden="1" customHeight="1" outlineLevel="2" x14ac:dyDescent="0.25">
      <c r="A192" s="363"/>
      <c r="B192" s="435"/>
      <c r="C192" s="435"/>
      <c r="D192" s="1268"/>
      <c r="E192" s="1268"/>
      <c r="F192" s="438"/>
      <c r="G192" s="438"/>
      <c r="H192" s="438"/>
      <c r="I192" s="1020" t="str">
        <f>IF(OR(D192="",D192="-"),"",VLOOKUP(D192,'Fatores de Emissão'!$E$181:$K$184,3,FALSE))</f>
        <v/>
      </c>
      <c r="J192" s="478" t="str">
        <f>IF(OR(D192="",D192="-"),"",VLOOKUP(D192,'Fatores de Emissão'!$E$181:$K$184,2,FALSE))</f>
        <v/>
      </c>
      <c r="K192" s="478" t="str">
        <f>IF(OR(D192="",D192="-"),"",VLOOKUP(D192,'Fatores de Emissão'!$E$181:$K$184,4,FALSE))</f>
        <v/>
      </c>
      <c r="L192" s="478" t="str">
        <f>IF(OR(D192="",D192="-"),"",VLOOKUP(D192,'Fatores de Emissão'!$E$181:$K$184,6,FALSE))</f>
        <v/>
      </c>
      <c r="M192" s="478" t="str">
        <f t="shared" si="20"/>
        <v/>
      </c>
      <c r="N192" s="478" t="str">
        <f t="shared" si="21"/>
        <v/>
      </c>
      <c r="O192" s="478" t="str">
        <f t="shared" si="22"/>
        <v/>
      </c>
      <c r="P192" s="479" t="str">
        <f t="shared" si="19"/>
        <v/>
      </c>
      <c r="Q192" s="480"/>
    </row>
    <row r="193" spans="1:17" s="237" customFormat="1" ht="15" hidden="1" customHeight="1" outlineLevel="2" x14ac:dyDescent="0.25">
      <c r="A193" s="363"/>
      <c r="B193" s="435"/>
      <c r="C193" s="435"/>
      <c r="D193" s="1268"/>
      <c r="E193" s="1268"/>
      <c r="F193" s="438"/>
      <c r="G193" s="438"/>
      <c r="H193" s="438"/>
      <c r="I193" s="1020" t="str">
        <f>IF(OR(D193="",D193="-"),"",VLOOKUP(D193,'Fatores de Emissão'!$E$181:$K$184,3,FALSE))</f>
        <v/>
      </c>
      <c r="J193" s="478" t="str">
        <f>IF(OR(D193="",D193="-"),"",VLOOKUP(D193,'Fatores de Emissão'!$E$181:$K$184,2,FALSE))</f>
        <v/>
      </c>
      <c r="K193" s="478" t="str">
        <f>IF(OR(D193="",D193="-"),"",VLOOKUP(D193,'Fatores de Emissão'!$E$181:$K$184,4,FALSE))</f>
        <v/>
      </c>
      <c r="L193" s="478" t="str">
        <f>IF(OR(D193="",D193="-"),"",VLOOKUP(D193,'Fatores de Emissão'!$E$181:$K$184,6,FALSE))</f>
        <v/>
      </c>
      <c r="M193" s="478" t="str">
        <f t="shared" si="20"/>
        <v/>
      </c>
      <c r="N193" s="478" t="str">
        <f t="shared" si="21"/>
        <v/>
      </c>
      <c r="O193" s="478" t="str">
        <f t="shared" si="22"/>
        <v/>
      </c>
      <c r="P193" s="479" t="str">
        <f t="shared" si="19"/>
        <v/>
      </c>
      <c r="Q193" s="480"/>
    </row>
    <row r="194" spans="1:17" s="237" customFormat="1" ht="15" hidden="1" customHeight="1" outlineLevel="2" x14ac:dyDescent="0.25">
      <c r="A194" s="363"/>
      <c r="B194" s="435"/>
      <c r="C194" s="435"/>
      <c r="D194" s="1268"/>
      <c r="E194" s="1268"/>
      <c r="F194" s="438"/>
      <c r="G194" s="438"/>
      <c r="H194" s="438"/>
      <c r="I194" s="1020" t="str">
        <f>IF(OR(D194="",D194="-"),"",VLOOKUP(D194,'Fatores de Emissão'!$E$181:$K$184,3,FALSE))</f>
        <v/>
      </c>
      <c r="J194" s="478" t="str">
        <f>IF(OR(D194="",D194="-"),"",VLOOKUP(D194,'Fatores de Emissão'!$E$181:$K$184,2,FALSE))</f>
        <v/>
      </c>
      <c r="K194" s="478" t="str">
        <f>IF(OR(D194="",D194="-"),"",VLOOKUP(D194,'Fatores de Emissão'!$E$181:$K$184,4,FALSE))</f>
        <v/>
      </c>
      <c r="L194" s="478" t="str">
        <f>IF(OR(D194="",D194="-"),"",VLOOKUP(D194,'Fatores de Emissão'!$E$181:$K$184,6,FALSE))</f>
        <v/>
      </c>
      <c r="M194" s="478" t="str">
        <f t="shared" si="20"/>
        <v/>
      </c>
      <c r="N194" s="478" t="str">
        <f t="shared" si="21"/>
        <v/>
      </c>
      <c r="O194" s="478" t="str">
        <f t="shared" si="22"/>
        <v/>
      </c>
      <c r="P194" s="479" t="str">
        <f t="shared" si="19"/>
        <v/>
      </c>
      <c r="Q194" s="480"/>
    </row>
    <row r="195" spans="1:17" s="237" customFormat="1" ht="15" hidden="1" customHeight="1" outlineLevel="2" x14ac:dyDescent="0.25">
      <c r="A195" s="363"/>
      <c r="B195" s="435"/>
      <c r="C195" s="435"/>
      <c r="D195" s="1268"/>
      <c r="E195" s="1268"/>
      <c r="F195" s="438"/>
      <c r="G195" s="438"/>
      <c r="H195" s="438"/>
      <c r="I195" s="1020" t="str">
        <f>IF(OR(D195="",D195="-"),"",VLOOKUP(D195,'Fatores de Emissão'!$E$181:$K$184,3,FALSE))</f>
        <v/>
      </c>
      <c r="J195" s="478" t="str">
        <f>IF(OR(D195="",D195="-"),"",VLOOKUP(D195,'Fatores de Emissão'!$E$181:$K$184,2,FALSE))</f>
        <v/>
      </c>
      <c r="K195" s="478" t="str">
        <f>IF(OR(D195="",D195="-"),"",VLOOKUP(D195,'Fatores de Emissão'!$E$181:$K$184,4,FALSE))</f>
        <v/>
      </c>
      <c r="L195" s="478" t="str">
        <f>IF(OR(D195="",D195="-"),"",VLOOKUP(D195,'Fatores de Emissão'!$E$181:$K$184,6,FALSE))</f>
        <v/>
      </c>
      <c r="M195" s="478" t="str">
        <f t="shared" si="20"/>
        <v/>
      </c>
      <c r="N195" s="478" t="str">
        <f t="shared" si="21"/>
        <v/>
      </c>
      <c r="O195" s="478" t="str">
        <f t="shared" si="22"/>
        <v/>
      </c>
      <c r="P195" s="479" t="str">
        <f t="shared" si="19"/>
        <v/>
      </c>
      <c r="Q195" s="480"/>
    </row>
    <row r="196" spans="1:17" s="237" customFormat="1" ht="15" hidden="1" customHeight="1" outlineLevel="2" x14ac:dyDescent="0.25">
      <c r="A196" s="363"/>
      <c r="B196" s="435"/>
      <c r="C196" s="435"/>
      <c r="D196" s="1268"/>
      <c r="E196" s="1268"/>
      <c r="F196" s="438"/>
      <c r="G196" s="438"/>
      <c r="H196" s="438"/>
      <c r="I196" s="1020" t="str">
        <f>IF(OR(D196="",D196="-"),"",VLOOKUP(D196,'Fatores de Emissão'!$E$181:$K$184,3,FALSE))</f>
        <v/>
      </c>
      <c r="J196" s="478" t="str">
        <f>IF(OR(D196="",D196="-"),"",VLOOKUP(D196,'Fatores de Emissão'!$E$181:$K$184,2,FALSE))</f>
        <v/>
      </c>
      <c r="K196" s="478" t="str">
        <f>IF(OR(D196="",D196="-"),"",VLOOKUP(D196,'Fatores de Emissão'!$E$181:$K$184,4,FALSE))</f>
        <v/>
      </c>
      <c r="L196" s="478" t="str">
        <f>IF(OR(D196="",D196="-"),"",VLOOKUP(D196,'Fatores de Emissão'!$E$181:$K$184,6,FALSE))</f>
        <v/>
      </c>
      <c r="M196" s="478" t="str">
        <f t="shared" si="20"/>
        <v/>
      </c>
      <c r="N196" s="478" t="str">
        <f t="shared" si="21"/>
        <v/>
      </c>
      <c r="O196" s="478" t="str">
        <f t="shared" si="22"/>
        <v/>
      </c>
      <c r="P196" s="479" t="str">
        <f t="shared" si="19"/>
        <v/>
      </c>
      <c r="Q196" s="480"/>
    </row>
    <row r="197" spans="1:17" s="237" customFormat="1" ht="15" hidden="1" customHeight="1" outlineLevel="2" x14ac:dyDescent="0.25">
      <c r="A197" s="363"/>
      <c r="B197" s="435"/>
      <c r="C197" s="435"/>
      <c r="D197" s="1268"/>
      <c r="E197" s="1268"/>
      <c r="F197" s="438"/>
      <c r="G197" s="438"/>
      <c r="H197" s="438"/>
      <c r="I197" s="1020" t="str">
        <f>IF(OR(D197="",D197="-"),"",VLOOKUP(D197,'Fatores de Emissão'!$E$181:$K$184,3,FALSE))</f>
        <v/>
      </c>
      <c r="J197" s="478" t="str">
        <f>IF(OR(D197="",D197="-"),"",VLOOKUP(D197,'Fatores de Emissão'!$E$181:$K$184,2,FALSE))</f>
        <v/>
      </c>
      <c r="K197" s="478" t="str">
        <f>IF(OR(D197="",D197="-"),"",VLOOKUP(D197,'Fatores de Emissão'!$E$181:$K$184,4,FALSE))</f>
        <v/>
      </c>
      <c r="L197" s="478" t="str">
        <f>IF(OR(D197="",D197="-"),"",VLOOKUP(D197,'Fatores de Emissão'!$E$181:$K$184,6,FALSE))</f>
        <v/>
      </c>
      <c r="M197" s="478" t="str">
        <f t="shared" si="20"/>
        <v/>
      </c>
      <c r="N197" s="478" t="str">
        <f t="shared" si="21"/>
        <v/>
      </c>
      <c r="O197" s="478" t="str">
        <f t="shared" si="22"/>
        <v/>
      </c>
      <c r="P197" s="479" t="str">
        <f t="shared" si="19"/>
        <v/>
      </c>
      <c r="Q197" s="480"/>
    </row>
    <row r="198" spans="1:17" s="237" customFormat="1" ht="15" hidden="1" customHeight="1" outlineLevel="2" x14ac:dyDescent="0.25">
      <c r="A198" s="363"/>
      <c r="B198" s="435"/>
      <c r="C198" s="435"/>
      <c r="D198" s="1268"/>
      <c r="E198" s="1268"/>
      <c r="F198" s="438"/>
      <c r="G198" s="438"/>
      <c r="H198" s="438"/>
      <c r="I198" s="1020" t="str">
        <f>IF(OR(D198="",D198="-"),"",VLOOKUP(D198,'Fatores de Emissão'!$E$181:$K$184,3,FALSE))</f>
        <v/>
      </c>
      <c r="J198" s="478" t="str">
        <f>IF(OR(D198="",D198="-"),"",VLOOKUP(D198,'Fatores de Emissão'!$E$181:$K$184,2,FALSE))</f>
        <v/>
      </c>
      <c r="K198" s="478" t="str">
        <f>IF(OR(D198="",D198="-"),"",VLOOKUP(D198,'Fatores de Emissão'!$E$181:$K$184,4,FALSE))</f>
        <v/>
      </c>
      <c r="L198" s="478" t="str">
        <f>IF(OR(D198="",D198="-"),"",VLOOKUP(D198,'Fatores de Emissão'!$E$181:$K$184,6,FALSE))</f>
        <v/>
      </c>
      <c r="M198" s="478" t="str">
        <f t="shared" si="20"/>
        <v/>
      </c>
      <c r="N198" s="478" t="str">
        <f t="shared" si="21"/>
        <v/>
      </c>
      <c r="O198" s="478" t="str">
        <f t="shared" si="22"/>
        <v/>
      </c>
      <c r="P198" s="479" t="str">
        <f t="shared" si="19"/>
        <v/>
      </c>
      <c r="Q198" s="480"/>
    </row>
    <row r="199" spans="1:17" s="237" customFormat="1" ht="15" hidden="1" customHeight="1" outlineLevel="2" x14ac:dyDescent="0.25">
      <c r="A199" s="363"/>
      <c r="B199" s="435"/>
      <c r="C199" s="435"/>
      <c r="D199" s="1268"/>
      <c r="E199" s="1268"/>
      <c r="F199" s="438"/>
      <c r="G199" s="438"/>
      <c r="H199" s="438"/>
      <c r="I199" s="1020" t="str">
        <f>IF(OR(D199="",D199="-"),"",VLOOKUP(D199,'Fatores de Emissão'!$E$181:$K$184,3,FALSE))</f>
        <v/>
      </c>
      <c r="J199" s="478" t="str">
        <f>IF(OR(D199="",D199="-"),"",VLOOKUP(D199,'Fatores de Emissão'!$E$181:$K$184,2,FALSE))</f>
        <v/>
      </c>
      <c r="K199" s="478" t="str">
        <f>IF(OR(D199="",D199="-"),"",VLOOKUP(D199,'Fatores de Emissão'!$E$181:$K$184,4,FALSE))</f>
        <v/>
      </c>
      <c r="L199" s="478" t="str">
        <f>IF(OR(D199="",D199="-"),"",VLOOKUP(D199,'Fatores de Emissão'!$E$181:$K$184,6,FALSE))</f>
        <v/>
      </c>
      <c r="M199" s="478" t="str">
        <f t="shared" si="20"/>
        <v/>
      </c>
      <c r="N199" s="478" t="str">
        <f t="shared" si="21"/>
        <v/>
      </c>
      <c r="O199" s="478" t="str">
        <f t="shared" si="22"/>
        <v/>
      </c>
      <c r="P199" s="479" t="str">
        <f t="shared" si="19"/>
        <v/>
      </c>
      <c r="Q199" s="480"/>
    </row>
    <row r="200" spans="1:17" s="237" customFormat="1" ht="15" hidden="1" customHeight="1" outlineLevel="2" x14ac:dyDescent="0.25">
      <c r="A200" s="363"/>
      <c r="B200" s="435"/>
      <c r="C200" s="435"/>
      <c r="D200" s="1268"/>
      <c r="E200" s="1268"/>
      <c r="F200" s="438"/>
      <c r="G200" s="438"/>
      <c r="H200" s="438"/>
      <c r="I200" s="1020" t="str">
        <f>IF(OR(D200="",D200="-"),"",VLOOKUP(D200,'Fatores de Emissão'!$E$181:$K$184,3,FALSE))</f>
        <v/>
      </c>
      <c r="J200" s="478" t="str">
        <f>IF(OR(D200="",D200="-"),"",VLOOKUP(D200,'Fatores de Emissão'!$E$181:$K$184,2,FALSE))</f>
        <v/>
      </c>
      <c r="K200" s="478" t="str">
        <f>IF(OR(D200="",D200="-"),"",VLOOKUP(D200,'Fatores de Emissão'!$E$181:$K$184,4,FALSE))</f>
        <v/>
      </c>
      <c r="L200" s="478" t="str">
        <f>IF(OR(D200="",D200="-"),"",VLOOKUP(D200,'Fatores de Emissão'!$E$181:$K$184,6,FALSE))</f>
        <v/>
      </c>
      <c r="M200" s="478" t="str">
        <f t="shared" si="20"/>
        <v/>
      </c>
      <c r="N200" s="478" t="str">
        <f t="shared" si="21"/>
        <v/>
      </c>
      <c r="O200" s="478" t="str">
        <f t="shared" si="22"/>
        <v/>
      </c>
      <c r="P200" s="479" t="str">
        <f t="shared" si="19"/>
        <v/>
      </c>
      <c r="Q200" s="480"/>
    </row>
    <row r="201" spans="1:17" s="237" customFormat="1" ht="15" hidden="1" customHeight="1" outlineLevel="2" x14ac:dyDescent="0.25">
      <c r="A201" s="363"/>
      <c r="B201" s="435"/>
      <c r="C201" s="435"/>
      <c r="D201" s="1268"/>
      <c r="E201" s="1268"/>
      <c r="F201" s="438"/>
      <c r="G201" s="438"/>
      <c r="H201" s="438"/>
      <c r="I201" s="1020" t="str">
        <f>IF(OR(D201="",D201="-"),"",VLOOKUP(D201,'Fatores de Emissão'!$E$181:$K$184,3,FALSE))</f>
        <v/>
      </c>
      <c r="J201" s="478" t="str">
        <f>IF(OR(D201="",D201="-"),"",VLOOKUP(D201,'Fatores de Emissão'!$E$181:$K$184,2,FALSE))</f>
        <v/>
      </c>
      <c r="K201" s="478" t="str">
        <f>IF(OR(D201="",D201="-"),"",VLOOKUP(D201,'Fatores de Emissão'!$E$181:$K$184,4,FALSE))</f>
        <v/>
      </c>
      <c r="L201" s="478" t="str">
        <f>IF(OR(D201="",D201="-"),"",VLOOKUP(D201,'Fatores de Emissão'!$E$181:$K$184,6,FALSE))</f>
        <v/>
      </c>
      <c r="M201" s="478" t="str">
        <f t="shared" si="20"/>
        <v/>
      </c>
      <c r="N201" s="478" t="str">
        <f t="shared" si="21"/>
        <v/>
      </c>
      <c r="O201" s="478" t="str">
        <f t="shared" si="22"/>
        <v/>
      </c>
      <c r="P201" s="479" t="str">
        <f t="shared" si="19"/>
        <v/>
      </c>
      <c r="Q201" s="480"/>
    </row>
    <row r="202" spans="1:17" s="237" customFormat="1" ht="15" hidden="1" customHeight="1" outlineLevel="2" x14ac:dyDescent="0.25">
      <c r="A202" s="363"/>
      <c r="B202" s="435"/>
      <c r="C202" s="435"/>
      <c r="D202" s="1268"/>
      <c r="E202" s="1268"/>
      <c r="F202" s="438"/>
      <c r="G202" s="438"/>
      <c r="H202" s="438"/>
      <c r="I202" s="1020" t="str">
        <f>IF(OR(D202="",D202="-"),"",VLOOKUP(D202,'Fatores de Emissão'!$E$181:$K$184,3,FALSE))</f>
        <v/>
      </c>
      <c r="J202" s="478" t="str">
        <f>IF(OR(D202="",D202="-"),"",VLOOKUP(D202,'Fatores de Emissão'!$E$181:$K$184,2,FALSE))</f>
        <v/>
      </c>
      <c r="K202" s="478" t="str">
        <f>IF(OR(D202="",D202="-"),"",VLOOKUP(D202,'Fatores de Emissão'!$E$181:$K$184,4,FALSE))</f>
        <v/>
      </c>
      <c r="L202" s="478" t="str">
        <f>IF(OR(D202="",D202="-"),"",VLOOKUP(D202,'Fatores de Emissão'!$E$181:$K$184,6,FALSE))</f>
        <v/>
      </c>
      <c r="M202" s="478" t="str">
        <f t="shared" si="20"/>
        <v/>
      </c>
      <c r="N202" s="478" t="str">
        <f t="shared" si="21"/>
        <v/>
      </c>
      <c r="O202" s="478" t="str">
        <f t="shared" si="22"/>
        <v/>
      </c>
      <c r="P202" s="479" t="str">
        <f t="shared" si="19"/>
        <v/>
      </c>
      <c r="Q202" s="480"/>
    </row>
    <row r="203" spans="1:17" s="237" customFormat="1" ht="15" hidden="1" customHeight="1" outlineLevel="2" x14ac:dyDescent="0.25">
      <c r="A203" s="363"/>
      <c r="B203" s="435"/>
      <c r="C203" s="435"/>
      <c r="D203" s="1268"/>
      <c r="E203" s="1268"/>
      <c r="F203" s="438"/>
      <c r="G203" s="438"/>
      <c r="H203" s="438"/>
      <c r="I203" s="1020" t="str">
        <f>IF(OR(D203="",D203="-"),"",VLOOKUP(D203,'Fatores de Emissão'!$E$181:$K$184,3,FALSE))</f>
        <v/>
      </c>
      <c r="J203" s="478" t="str">
        <f>IF(OR(D203="",D203="-"),"",VLOOKUP(D203,'Fatores de Emissão'!$E$181:$K$184,2,FALSE))</f>
        <v/>
      </c>
      <c r="K203" s="478" t="str">
        <f>IF(OR(D203="",D203="-"),"",VLOOKUP(D203,'Fatores de Emissão'!$E$181:$K$184,4,FALSE))</f>
        <v/>
      </c>
      <c r="L203" s="478" t="str">
        <f>IF(OR(D203="",D203="-"),"",VLOOKUP(D203,'Fatores de Emissão'!$E$181:$K$184,6,FALSE))</f>
        <v/>
      </c>
      <c r="M203" s="478" t="str">
        <f t="shared" si="20"/>
        <v/>
      </c>
      <c r="N203" s="478" t="str">
        <f t="shared" si="21"/>
        <v/>
      </c>
      <c r="O203" s="478" t="str">
        <f t="shared" si="22"/>
        <v/>
      </c>
      <c r="P203" s="479" t="str">
        <f t="shared" si="19"/>
        <v/>
      </c>
      <c r="Q203" s="480"/>
    </row>
    <row r="204" spans="1:17" s="237" customFormat="1" ht="15" hidden="1" customHeight="1" outlineLevel="2" x14ac:dyDescent="0.25">
      <c r="A204" s="363"/>
      <c r="B204" s="435"/>
      <c r="C204" s="435"/>
      <c r="D204" s="1268"/>
      <c r="E204" s="1268"/>
      <c r="F204" s="438"/>
      <c r="G204" s="438"/>
      <c r="H204" s="438"/>
      <c r="I204" s="1020" t="str">
        <f>IF(OR(D204="",D204="-"),"",VLOOKUP(D204,'Fatores de Emissão'!$E$181:$K$184,3,FALSE))</f>
        <v/>
      </c>
      <c r="J204" s="478" t="str">
        <f>IF(OR(D204="",D204="-"),"",VLOOKUP(D204,'Fatores de Emissão'!$E$181:$K$184,2,FALSE))</f>
        <v/>
      </c>
      <c r="K204" s="478" t="str">
        <f>IF(OR(D204="",D204="-"),"",VLOOKUP(D204,'Fatores de Emissão'!$E$181:$K$184,4,FALSE))</f>
        <v/>
      </c>
      <c r="L204" s="478" t="str">
        <f>IF(OR(D204="",D204="-"),"",VLOOKUP(D204,'Fatores de Emissão'!$E$181:$K$184,6,FALSE))</f>
        <v/>
      </c>
      <c r="M204" s="478" t="str">
        <f t="shared" si="20"/>
        <v/>
      </c>
      <c r="N204" s="478" t="str">
        <f t="shared" si="21"/>
        <v/>
      </c>
      <c r="O204" s="478" t="str">
        <f t="shared" si="22"/>
        <v/>
      </c>
      <c r="P204" s="479" t="str">
        <f t="shared" si="19"/>
        <v/>
      </c>
      <c r="Q204" s="480"/>
    </row>
    <row r="205" spans="1:17" s="237" customFormat="1" ht="15" hidden="1" customHeight="1" outlineLevel="2" x14ac:dyDescent="0.25">
      <c r="A205" s="363"/>
      <c r="B205" s="435"/>
      <c r="C205" s="435"/>
      <c r="D205" s="1268"/>
      <c r="E205" s="1268"/>
      <c r="F205" s="438"/>
      <c r="G205" s="438"/>
      <c r="H205" s="438"/>
      <c r="I205" s="1020" t="str">
        <f>IF(OR(D205="",D205="-"),"",VLOOKUP(D205,'Fatores de Emissão'!$E$181:$K$184,3,FALSE))</f>
        <v/>
      </c>
      <c r="J205" s="478" t="str">
        <f>IF(OR(D205="",D205="-"),"",VLOOKUP(D205,'Fatores de Emissão'!$E$181:$K$184,2,FALSE))</f>
        <v/>
      </c>
      <c r="K205" s="478" t="str">
        <f>IF(OR(D205="",D205="-"),"",VLOOKUP(D205,'Fatores de Emissão'!$E$181:$K$184,4,FALSE))</f>
        <v/>
      </c>
      <c r="L205" s="478" t="str">
        <f>IF(OR(D205="",D205="-"),"",VLOOKUP(D205,'Fatores de Emissão'!$E$181:$K$184,6,FALSE))</f>
        <v/>
      </c>
      <c r="M205" s="478" t="str">
        <f t="shared" si="20"/>
        <v/>
      </c>
      <c r="N205" s="478" t="str">
        <f t="shared" si="21"/>
        <v/>
      </c>
      <c r="O205" s="478" t="str">
        <f t="shared" si="22"/>
        <v/>
      </c>
      <c r="P205" s="479" t="str">
        <f t="shared" si="19"/>
        <v/>
      </c>
      <c r="Q205" s="480"/>
    </row>
    <row r="206" spans="1:17" s="237" customFormat="1" ht="15" hidden="1" customHeight="1" outlineLevel="2" x14ac:dyDescent="0.25">
      <c r="A206" s="363"/>
      <c r="B206" s="435"/>
      <c r="C206" s="435"/>
      <c r="D206" s="1268"/>
      <c r="E206" s="1268"/>
      <c r="F206" s="438"/>
      <c r="G206" s="438"/>
      <c r="H206" s="438"/>
      <c r="I206" s="1020" t="str">
        <f>IF(OR(D206="",D206="-"),"",VLOOKUP(D206,'Fatores de Emissão'!$E$181:$K$184,3,FALSE))</f>
        <v/>
      </c>
      <c r="J206" s="478" t="str">
        <f>IF(OR(D206="",D206="-"),"",VLOOKUP(D206,'Fatores de Emissão'!$E$181:$K$184,2,FALSE))</f>
        <v/>
      </c>
      <c r="K206" s="478" t="str">
        <f>IF(OR(D206="",D206="-"),"",VLOOKUP(D206,'Fatores de Emissão'!$E$181:$K$184,4,FALSE))</f>
        <v/>
      </c>
      <c r="L206" s="478" t="str">
        <f>IF(OR(D206="",D206="-"),"",VLOOKUP(D206,'Fatores de Emissão'!$E$181:$K$184,6,FALSE))</f>
        <v/>
      </c>
      <c r="M206" s="478" t="str">
        <f t="shared" si="20"/>
        <v/>
      </c>
      <c r="N206" s="478" t="str">
        <f t="shared" si="21"/>
        <v/>
      </c>
      <c r="O206" s="478" t="str">
        <f t="shared" si="22"/>
        <v/>
      </c>
      <c r="P206" s="479" t="str">
        <f t="shared" si="19"/>
        <v/>
      </c>
      <c r="Q206" s="480"/>
    </row>
    <row r="207" spans="1:17" s="237" customFormat="1" ht="15" hidden="1" customHeight="1" outlineLevel="2" x14ac:dyDescent="0.25">
      <c r="A207" s="363"/>
      <c r="B207" s="435"/>
      <c r="C207" s="435"/>
      <c r="D207" s="1268"/>
      <c r="E207" s="1268"/>
      <c r="F207" s="438"/>
      <c r="G207" s="438"/>
      <c r="H207" s="438"/>
      <c r="I207" s="1020" t="str">
        <f>IF(OR(D207="",D207="-"),"",VLOOKUP(D207,'Fatores de Emissão'!$E$181:$K$184,3,FALSE))</f>
        <v/>
      </c>
      <c r="J207" s="478" t="str">
        <f>IF(OR(D207="",D207="-"),"",VLOOKUP(D207,'Fatores de Emissão'!$E$181:$K$184,2,FALSE))</f>
        <v/>
      </c>
      <c r="K207" s="478" t="str">
        <f>IF(OR(D207="",D207="-"),"",VLOOKUP(D207,'Fatores de Emissão'!$E$181:$K$184,4,FALSE))</f>
        <v/>
      </c>
      <c r="L207" s="478" t="str">
        <f>IF(OR(D207="",D207="-"),"",VLOOKUP(D207,'Fatores de Emissão'!$E$181:$K$184,6,FALSE))</f>
        <v/>
      </c>
      <c r="M207" s="478" t="str">
        <f t="shared" si="20"/>
        <v/>
      </c>
      <c r="N207" s="478" t="str">
        <f t="shared" si="21"/>
        <v/>
      </c>
      <c r="O207" s="478" t="str">
        <f t="shared" si="22"/>
        <v/>
      </c>
      <c r="P207" s="479" t="str">
        <f t="shared" si="19"/>
        <v/>
      </c>
      <c r="Q207" s="480"/>
    </row>
    <row r="208" spans="1:17" s="237" customFormat="1" ht="15" hidden="1" customHeight="1" outlineLevel="2" x14ac:dyDescent="0.25">
      <c r="A208" s="363"/>
      <c r="B208" s="435"/>
      <c r="C208" s="435"/>
      <c r="D208" s="1268"/>
      <c r="E208" s="1268"/>
      <c r="F208" s="438"/>
      <c r="G208" s="438"/>
      <c r="H208" s="438"/>
      <c r="I208" s="1020" t="str">
        <f>IF(OR(D208="",D208="-"),"",VLOOKUP(D208,'Fatores de Emissão'!$E$181:$K$184,3,FALSE))</f>
        <v/>
      </c>
      <c r="J208" s="478" t="str">
        <f>IF(OR(D208="",D208="-"),"",VLOOKUP(D208,'Fatores de Emissão'!$E$181:$K$184,2,FALSE))</f>
        <v/>
      </c>
      <c r="K208" s="478" t="str">
        <f>IF(OR(D208="",D208="-"),"",VLOOKUP(D208,'Fatores de Emissão'!$E$181:$K$184,4,FALSE))</f>
        <v/>
      </c>
      <c r="L208" s="478" t="str">
        <f>IF(OR(D208="",D208="-"),"",VLOOKUP(D208,'Fatores de Emissão'!$E$181:$K$184,6,FALSE))</f>
        <v/>
      </c>
      <c r="M208" s="478" t="str">
        <f t="shared" si="20"/>
        <v/>
      </c>
      <c r="N208" s="478" t="str">
        <f t="shared" si="21"/>
        <v/>
      </c>
      <c r="O208" s="478" t="str">
        <f t="shared" si="22"/>
        <v/>
      </c>
      <c r="P208" s="479" t="str">
        <f t="shared" si="19"/>
        <v/>
      </c>
      <c r="Q208" s="480"/>
    </row>
    <row r="209" spans="1:58" s="237" customFormat="1" ht="15" hidden="1" customHeight="1" outlineLevel="2" x14ac:dyDescent="0.25">
      <c r="A209" s="363"/>
      <c r="B209" s="435"/>
      <c r="C209" s="435"/>
      <c r="D209" s="1268"/>
      <c r="E209" s="1268"/>
      <c r="F209" s="438"/>
      <c r="G209" s="438"/>
      <c r="H209" s="438"/>
      <c r="I209" s="1020" t="str">
        <f>IF(OR(D209="",D209="-"),"",VLOOKUP(D209,'Fatores de Emissão'!$E$181:$K$184,3,FALSE))</f>
        <v/>
      </c>
      <c r="J209" s="478" t="str">
        <f>IF(OR(D209="",D209="-"),"",VLOOKUP(D209,'Fatores de Emissão'!$E$181:$K$184,2,FALSE))</f>
        <v/>
      </c>
      <c r="K209" s="478" t="str">
        <f>IF(OR(D209="",D209="-"),"",VLOOKUP(D209,'Fatores de Emissão'!$E$181:$K$184,4,FALSE))</f>
        <v/>
      </c>
      <c r="L209" s="478" t="str">
        <f>IF(OR(D209="",D209="-"),"",VLOOKUP(D209,'Fatores de Emissão'!$E$181:$K$184,6,FALSE))</f>
        <v/>
      </c>
      <c r="M209" s="478" t="str">
        <f t="shared" si="20"/>
        <v/>
      </c>
      <c r="N209" s="478" t="str">
        <f t="shared" si="21"/>
        <v/>
      </c>
      <c r="O209" s="478" t="str">
        <f t="shared" si="22"/>
        <v/>
      </c>
      <c r="P209" s="479" t="str">
        <f t="shared" si="19"/>
        <v/>
      </c>
      <c r="Q209" s="480"/>
    </row>
    <row r="210" spans="1:58" s="237" customFormat="1" ht="15" hidden="1" customHeight="1" outlineLevel="2" x14ac:dyDescent="0.25">
      <c r="A210" s="363"/>
      <c r="B210" s="435"/>
      <c r="C210" s="435"/>
      <c r="D210" s="1268"/>
      <c r="E210" s="1268"/>
      <c r="F210" s="438"/>
      <c r="G210" s="438"/>
      <c r="H210" s="438"/>
      <c r="I210" s="1020" t="str">
        <f>IF(OR(D210="",D210="-"),"",VLOOKUP(D210,'Fatores de Emissão'!$E$181:$K$184,3,FALSE))</f>
        <v/>
      </c>
      <c r="J210" s="478" t="str">
        <f>IF(OR(D210="",D210="-"),"",VLOOKUP(D210,'Fatores de Emissão'!$E$181:$K$184,2,FALSE))</f>
        <v/>
      </c>
      <c r="K210" s="478" t="str">
        <f>IF(OR(D210="",D210="-"),"",VLOOKUP(D210,'Fatores de Emissão'!$E$181:$K$184,4,FALSE))</f>
        <v/>
      </c>
      <c r="L210" s="478" t="str">
        <f>IF(OR(D210="",D210="-"),"",VLOOKUP(D210,'Fatores de Emissão'!$E$181:$K$184,6,FALSE))</f>
        <v/>
      </c>
      <c r="M210" s="478" t="str">
        <f t="shared" si="20"/>
        <v/>
      </c>
      <c r="N210" s="478" t="str">
        <f t="shared" si="21"/>
        <v/>
      </c>
      <c r="O210" s="478" t="str">
        <f t="shared" si="22"/>
        <v/>
      </c>
      <c r="P210" s="479" t="str">
        <f t="shared" si="19"/>
        <v/>
      </c>
      <c r="Q210" s="480"/>
    </row>
    <row r="211" spans="1:58" s="237" customFormat="1" ht="15" hidden="1" customHeight="1" outlineLevel="2" x14ac:dyDescent="0.25">
      <c r="A211" s="363"/>
      <c r="B211" s="435"/>
      <c r="C211" s="435"/>
      <c r="D211" s="1268"/>
      <c r="E211" s="1268"/>
      <c r="F211" s="438"/>
      <c r="G211" s="438"/>
      <c r="H211" s="438"/>
      <c r="I211" s="1020" t="str">
        <f>IF(OR(D211="",D211="-"),"",VLOOKUP(D211,'Fatores de Emissão'!$E$181:$K$184,3,FALSE))</f>
        <v/>
      </c>
      <c r="J211" s="478" t="str">
        <f>IF(OR(D211="",D211="-"),"",VLOOKUP(D211,'Fatores de Emissão'!$E$181:$K$184,2,FALSE))</f>
        <v/>
      </c>
      <c r="K211" s="478" t="str">
        <f>IF(OR(D211="",D211="-"),"",VLOOKUP(D211,'Fatores de Emissão'!$E$181:$K$184,4,FALSE))</f>
        <v/>
      </c>
      <c r="L211" s="478" t="str">
        <f>IF(OR(D211="",D211="-"),"",VLOOKUP(D211,'Fatores de Emissão'!$E$181:$K$184,6,FALSE))</f>
        <v/>
      </c>
      <c r="M211" s="478" t="str">
        <f t="shared" si="20"/>
        <v/>
      </c>
      <c r="N211" s="478" t="str">
        <f t="shared" si="21"/>
        <v/>
      </c>
      <c r="O211" s="478" t="str">
        <f t="shared" si="22"/>
        <v/>
      </c>
      <c r="P211" s="479" t="str">
        <f t="shared" si="19"/>
        <v/>
      </c>
      <c r="Q211" s="480"/>
    </row>
    <row r="212" spans="1:58" s="237" customFormat="1" ht="15" hidden="1" customHeight="1" outlineLevel="2" x14ac:dyDescent="0.25">
      <c r="A212" s="363"/>
      <c r="B212" s="435"/>
      <c r="C212" s="435"/>
      <c r="D212" s="1268"/>
      <c r="E212" s="1268"/>
      <c r="F212" s="438"/>
      <c r="G212" s="438"/>
      <c r="H212" s="438"/>
      <c r="I212" s="1020" t="str">
        <f>IF(OR(D212="",D212="-"),"",VLOOKUP(D212,'Fatores de Emissão'!$E$181:$K$184,3,FALSE))</f>
        <v/>
      </c>
      <c r="J212" s="478" t="str">
        <f>IF(OR(D212="",D212="-"),"",VLOOKUP(D212,'Fatores de Emissão'!$E$181:$K$184,2,FALSE))</f>
        <v/>
      </c>
      <c r="K212" s="478" t="str">
        <f>IF(OR(D212="",D212="-"),"",VLOOKUP(D212,'Fatores de Emissão'!$E$181:$K$184,4,FALSE))</f>
        <v/>
      </c>
      <c r="L212" s="478" t="str">
        <f>IF(OR(D212="",D212="-"),"",VLOOKUP(D212,'Fatores de Emissão'!$E$181:$K$184,6,FALSE))</f>
        <v/>
      </c>
      <c r="M212" s="478" t="str">
        <f t="shared" si="20"/>
        <v/>
      </c>
      <c r="N212" s="478" t="str">
        <f t="shared" si="21"/>
        <v/>
      </c>
      <c r="O212" s="478" t="str">
        <f t="shared" si="22"/>
        <v/>
      </c>
      <c r="P212" s="479" t="str">
        <f t="shared" si="19"/>
        <v/>
      </c>
      <c r="Q212" s="480"/>
    </row>
    <row r="213" spans="1:58" s="237" customFormat="1" ht="15" hidden="1" customHeight="1" outlineLevel="2" x14ac:dyDescent="0.25">
      <c r="A213" s="363"/>
      <c r="B213" s="435"/>
      <c r="C213" s="435"/>
      <c r="D213" s="1268"/>
      <c r="E213" s="1268"/>
      <c r="F213" s="438"/>
      <c r="G213" s="438"/>
      <c r="H213" s="438"/>
      <c r="I213" s="1020" t="str">
        <f>IF(OR(D213="",D213="-"),"",VLOOKUP(D213,'Fatores de Emissão'!$E$181:$K$184,3,FALSE))</f>
        <v/>
      </c>
      <c r="J213" s="478" t="str">
        <f>IF(OR(D213="",D213="-"),"",VLOOKUP(D213,'Fatores de Emissão'!$E$181:$K$184,2,FALSE))</f>
        <v/>
      </c>
      <c r="K213" s="478" t="str">
        <f>IF(OR(D213="",D213="-"),"",VLOOKUP(D213,'Fatores de Emissão'!$E$181:$K$184,4,FALSE))</f>
        <v/>
      </c>
      <c r="L213" s="478" t="str">
        <f>IF(OR(D213="",D213="-"),"",VLOOKUP(D213,'Fatores de Emissão'!$E$181:$K$184,6,FALSE))</f>
        <v/>
      </c>
      <c r="M213" s="478" t="str">
        <f t="shared" si="20"/>
        <v/>
      </c>
      <c r="N213" s="478" t="str">
        <f t="shared" si="21"/>
        <v/>
      </c>
      <c r="O213" s="478" t="str">
        <f t="shared" si="22"/>
        <v/>
      </c>
      <c r="P213" s="479" t="str">
        <f t="shared" si="19"/>
        <v/>
      </c>
      <c r="Q213" s="480"/>
    </row>
    <row r="214" spans="1:58" s="237" customFormat="1" ht="15" hidden="1" customHeight="1" outlineLevel="2" x14ac:dyDescent="0.25">
      <c r="A214" s="363"/>
      <c r="B214" s="435"/>
      <c r="C214" s="435"/>
      <c r="D214" s="1268"/>
      <c r="E214" s="1268"/>
      <c r="F214" s="438"/>
      <c r="G214" s="438"/>
      <c r="H214" s="438"/>
      <c r="I214" s="1020" t="str">
        <f>IF(OR(D214="",D214="-"),"",VLOOKUP(D214,'Fatores de Emissão'!$E$181:$K$184,3,FALSE))</f>
        <v/>
      </c>
      <c r="J214" s="478" t="str">
        <f>IF(OR(D214="",D214="-"),"",VLOOKUP(D214,'Fatores de Emissão'!$E$181:$K$184,2,FALSE))</f>
        <v/>
      </c>
      <c r="K214" s="478" t="str">
        <f>IF(OR(D214="",D214="-"),"",VLOOKUP(D214,'Fatores de Emissão'!$E$181:$K$184,4,FALSE))</f>
        <v/>
      </c>
      <c r="L214" s="478" t="str">
        <f>IF(OR(D214="",D214="-"),"",VLOOKUP(D214,'Fatores de Emissão'!$E$181:$K$184,6,FALSE))</f>
        <v/>
      </c>
      <c r="M214" s="478" t="str">
        <f t="shared" si="20"/>
        <v/>
      </c>
      <c r="N214" s="478" t="str">
        <f t="shared" si="21"/>
        <v/>
      </c>
      <c r="O214" s="478" t="str">
        <f t="shared" si="22"/>
        <v/>
      </c>
      <c r="P214" s="479" t="str">
        <f t="shared" si="19"/>
        <v/>
      </c>
      <c r="Q214" s="480"/>
    </row>
    <row r="215" spans="1:58" s="237" customFormat="1" ht="15" hidden="1" customHeight="1" outlineLevel="2" x14ac:dyDescent="0.25">
      <c r="A215" s="363"/>
      <c r="B215" s="435"/>
      <c r="C215" s="435"/>
      <c r="D215" s="1268"/>
      <c r="E215" s="1268"/>
      <c r="F215" s="438"/>
      <c r="G215" s="438"/>
      <c r="H215" s="438"/>
      <c r="I215" s="1020" t="str">
        <f>IF(OR(D215="",D215="-"),"",VLOOKUP(D215,'Fatores de Emissão'!$E$181:$K$184,3,FALSE))</f>
        <v/>
      </c>
      <c r="J215" s="478" t="str">
        <f>IF(OR(D215="",D215="-"),"",VLOOKUP(D215,'Fatores de Emissão'!$E$181:$K$184,2,FALSE))</f>
        <v/>
      </c>
      <c r="K215" s="478" t="str">
        <f>IF(OR(D215="",D215="-"),"",VLOOKUP(D215,'Fatores de Emissão'!$E$181:$K$184,4,FALSE))</f>
        <v/>
      </c>
      <c r="L215" s="478" t="str">
        <f>IF(OR(D215="",D215="-"),"",VLOOKUP(D215,'Fatores de Emissão'!$E$181:$K$184,6,FALSE))</f>
        <v/>
      </c>
      <c r="M215" s="478" t="str">
        <f t="shared" si="20"/>
        <v/>
      </c>
      <c r="N215" s="478" t="str">
        <f t="shared" si="21"/>
        <v/>
      </c>
      <c r="O215" s="478" t="str">
        <f t="shared" si="22"/>
        <v/>
      </c>
      <c r="P215" s="479" t="str">
        <f t="shared" si="19"/>
        <v/>
      </c>
      <c r="Q215" s="480"/>
    </row>
    <row r="216" spans="1:58" s="237" customFormat="1" ht="15" customHeight="1" outlineLevel="1" x14ac:dyDescent="0.25">
      <c r="A216" s="363"/>
      <c r="B216" s="449"/>
      <c r="C216" s="363"/>
      <c r="D216" s="363"/>
      <c r="E216" s="363"/>
      <c r="F216" s="363"/>
      <c r="G216" s="363"/>
      <c r="H216" s="363"/>
      <c r="I216" s="363"/>
      <c r="J216" s="1273" t="s">
        <v>78</v>
      </c>
      <c r="K216" s="1274"/>
      <c r="L216" s="1275"/>
      <c r="M216" s="455">
        <f>SUM(M166:M215)</f>
        <v>0</v>
      </c>
      <c r="N216" s="455">
        <f>SUM(N166:N215)</f>
        <v>0</v>
      </c>
      <c r="O216" s="455">
        <f>SUM(O166:O215)</f>
        <v>0</v>
      </c>
      <c r="P216" s="455">
        <f>SUM(P166:P215)</f>
        <v>0</v>
      </c>
      <c r="Q216" s="455">
        <f>SUM(Q166:Q215)</f>
        <v>0</v>
      </c>
    </row>
    <row r="217" spans="1:58" s="237" customFormat="1" ht="15" customHeight="1" x14ac:dyDescent="0.25">
      <c r="A217" s="363"/>
      <c r="B217" s="388"/>
      <c r="C217" s="373"/>
      <c r="D217" s="442"/>
      <c r="E217" s="442"/>
      <c r="F217" s="373"/>
      <c r="G217" s="373"/>
      <c r="H217" s="373"/>
      <c r="I217" s="373"/>
      <c r="J217" s="373"/>
      <c r="K217" s="373"/>
      <c r="L217" s="373"/>
      <c r="M217" s="373"/>
      <c r="N217" s="373"/>
      <c r="O217" s="373"/>
      <c r="P217" s="373"/>
      <c r="Q217" s="373"/>
      <c r="R217" s="373"/>
      <c r="S217" s="373"/>
      <c r="T217" s="373"/>
      <c r="U217" s="373"/>
      <c r="V217" s="363"/>
      <c r="W217" s="373"/>
      <c r="X217" s="373"/>
      <c r="Z217" s="373"/>
      <c r="AA217" s="373"/>
      <c r="AB217" s="373"/>
    </row>
    <row r="218" spans="1:58" s="463" customFormat="1" ht="18" customHeight="1" x14ac:dyDescent="0.3">
      <c r="A218" s="458"/>
      <c r="B218" s="358" t="s">
        <v>1889</v>
      </c>
      <c r="C218" s="459"/>
      <c r="D218" s="460"/>
      <c r="E218" s="460"/>
      <c r="F218" s="460"/>
      <c r="G218" s="461"/>
      <c r="H218" s="461"/>
      <c r="I218" s="461"/>
      <c r="J218" s="461"/>
      <c r="K218" s="461"/>
      <c r="L218" s="461"/>
      <c r="M218" s="461"/>
      <c r="N218" s="461"/>
      <c r="O218" s="461"/>
      <c r="P218" s="461"/>
      <c r="Q218" s="461"/>
      <c r="R218" s="461"/>
      <c r="S218" s="461"/>
      <c r="T218" s="461"/>
      <c r="U218" s="461"/>
      <c r="V218" s="461"/>
      <c r="W218" s="461"/>
      <c r="X218" s="461"/>
      <c r="Y218" s="461"/>
      <c r="Z218" s="461"/>
      <c r="AA218" s="461"/>
      <c r="AB218" s="461"/>
      <c r="AC218" s="461"/>
      <c r="AD218" s="461"/>
      <c r="AE218" s="461"/>
      <c r="AF218" s="461"/>
      <c r="AG218" s="461"/>
      <c r="AH218" s="461"/>
      <c r="AI218" s="461"/>
      <c r="AJ218" s="461"/>
      <c r="AK218" s="461"/>
      <c r="AL218" s="461"/>
      <c r="AM218" s="461"/>
      <c r="AN218" s="461"/>
      <c r="AO218" s="461"/>
      <c r="AP218" s="461"/>
      <c r="AQ218" s="461"/>
      <c r="AR218" s="461"/>
      <c r="AS218" s="461"/>
      <c r="AT218" s="461"/>
      <c r="AU218" s="461"/>
      <c r="AV218" s="461"/>
      <c r="AW218" s="461"/>
      <c r="AX218" s="461"/>
      <c r="AY218" s="461"/>
      <c r="AZ218" s="461"/>
      <c r="BA218" s="461"/>
      <c r="BB218" s="461"/>
      <c r="BC218" s="461"/>
      <c r="BD218" s="461"/>
      <c r="BE218" s="461"/>
      <c r="BF218" s="462"/>
    </row>
    <row r="219" spans="1:58" ht="15" customHeight="1" outlineLevel="1" x14ac:dyDescent="0.2">
      <c r="A219" s="339"/>
      <c r="B219" s="342"/>
      <c r="C219" s="416"/>
      <c r="D219" s="416"/>
      <c r="E219" s="416"/>
      <c r="F219" s="339"/>
      <c r="G219" s="339"/>
      <c r="H219" s="339"/>
      <c r="I219" s="339"/>
      <c r="J219" s="339"/>
      <c r="K219" s="339"/>
      <c r="L219" s="339"/>
      <c r="M219" s="339"/>
      <c r="N219" s="339"/>
      <c r="O219" s="339"/>
      <c r="P219" s="339"/>
      <c r="Q219" s="339"/>
      <c r="R219" s="339"/>
      <c r="AI219" s="339"/>
      <c r="AJ219" s="339"/>
      <c r="AK219" s="339"/>
      <c r="AL219" s="339"/>
      <c r="AM219" s="339"/>
      <c r="AO219" s="339"/>
      <c r="AP219" s="339"/>
      <c r="AQ219" s="339"/>
    </row>
    <row r="220" spans="1:58" ht="15" customHeight="1" outlineLevel="1" x14ac:dyDescent="0.2">
      <c r="A220" s="339"/>
      <c r="B220" s="469" t="s">
        <v>124</v>
      </c>
      <c r="C220" s="416"/>
      <c r="D220" s="416"/>
      <c r="E220" s="416"/>
      <c r="F220" s="339"/>
      <c r="G220" s="339"/>
      <c r="H220" s="339"/>
      <c r="I220" s="339"/>
      <c r="J220" s="339"/>
      <c r="K220" s="339"/>
      <c r="L220" s="339"/>
      <c r="M220" s="339"/>
      <c r="N220" s="339"/>
      <c r="O220" s="339"/>
      <c r="P220" s="339"/>
      <c r="Q220" s="339"/>
      <c r="R220" s="339"/>
      <c r="AI220" s="339"/>
      <c r="AJ220" s="339"/>
      <c r="AK220" s="339"/>
      <c r="AL220" s="339"/>
      <c r="AM220" s="339"/>
      <c r="AO220" s="339"/>
      <c r="AP220" s="339"/>
      <c r="AQ220" s="339"/>
    </row>
    <row r="221" spans="1:58" s="237" customFormat="1" ht="15" customHeight="1" outlineLevel="1" x14ac:dyDescent="0.25">
      <c r="A221" s="363"/>
      <c r="B221" s="449" t="s">
        <v>1879</v>
      </c>
      <c r="C221" s="442"/>
      <c r="D221" s="442"/>
      <c r="E221" s="442"/>
      <c r="F221" s="363"/>
      <c r="G221" s="363"/>
      <c r="H221" s="363"/>
      <c r="I221" s="363"/>
      <c r="J221" s="363"/>
      <c r="K221" s="363"/>
      <c r="L221" s="363"/>
      <c r="M221" s="363"/>
      <c r="N221" s="363"/>
      <c r="O221" s="363"/>
      <c r="P221" s="363"/>
      <c r="Q221" s="363"/>
      <c r="R221" s="363"/>
      <c r="AI221" s="363"/>
      <c r="AJ221" s="363"/>
      <c r="AK221" s="363"/>
      <c r="AL221" s="363"/>
      <c r="AM221" s="363"/>
      <c r="AO221" s="363"/>
      <c r="AP221" s="363"/>
      <c r="AQ221" s="363"/>
    </row>
    <row r="222" spans="1:58" s="237" customFormat="1" ht="15" customHeight="1" outlineLevel="1" x14ac:dyDescent="0.25">
      <c r="A222" s="363"/>
      <c r="B222" s="470" t="s">
        <v>1880</v>
      </c>
      <c r="C222" s="442"/>
      <c r="D222" s="442"/>
      <c r="E222" s="442"/>
      <c r="F222" s="363"/>
      <c r="G222" s="363"/>
      <c r="H222" s="363"/>
      <c r="I222" s="363"/>
      <c r="J222" s="363"/>
      <c r="K222" s="363"/>
      <c r="L222" s="363"/>
      <c r="M222" s="363"/>
      <c r="N222" s="363"/>
      <c r="O222" s="363"/>
      <c r="P222" s="363"/>
      <c r="Q222" s="363"/>
      <c r="R222" s="363"/>
      <c r="AI222" s="363"/>
      <c r="AJ222" s="363"/>
      <c r="AK222" s="363"/>
      <c r="AL222" s="363"/>
      <c r="AM222" s="363"/>
      <c r="AO222" s="363"/>
      <c r="AP222" s="363"/>
      <c r="AQ222" s="363"/>
    </row>
    <row r="223" spans="1:58" s="237" customFormat="1" ht="15" customHeight="1" outlineLevel="1" x14ac:dyDescent="0.25">
      <c r="A223" s="363"/>
      <c r="B223" s="471" t="s">
        <v>2127</v>
      </c>
      <c r="C223" s="442"/>
      <c r="D223" s="442"/>
      <c r="E223" s="442"/>
      <c r="F223" s="363"/>
      <c r="G223" s="363"/>
      <c r="H223" s="363"/>
      <c r="I223" s="363"/>
      <c r="J223" s="363"/>
      <c r="K223" s="363"/>
      <c r="L223" s="363"/>
      <c r="M223" s="363"/>
      <c r="N223" s="363"/>
      <c r="O223" s="363"/>
      <c r="P223" s="363"/>
      <c r="Q223" s="363"/>
      <c r="R223" s="363"/>
      <c r="AI223" s="363"/>
      <c r="AJ223" s="363"/>
      <c r="AK223" s="363"/>
      <c r="AL223" s="363"/>
      <c r="AM223" s="363"/>
      <c r="AO223" s="363"/>
      <c r="AP223" s="363"/>
      <c r="AQ223" s="363"/>
    </row>
    <row r="224" spans="1:58" s="237" customFormat="1" ht="15" customHeight="1" outlineLevel="1" x14ac:dyDescent="0.25">
      <c r="A224" s="363"/>
      <c r="B224" s="470" t="s">
        <v>1881</v>
      </c>
      <c r="C224" s="442"/>
      <c r="D224" s="442"/>
      <c r="E224" s="442"/>
      <c r="F224" s="363"/>
      <c r="G224" s="363"/>
      <c r="H224" s="363"/>
      <c r="I224" s="363"/>
      <c r="J224" s="363"/>
      <c r="K224" s="363"/>
      <c r="L224" s="363"/>
      <c r="M224" s="363"/>
      <c r="N224" s="363"/>
      <c r="O224" s="363"/>
      <c r="P224" s="363"/>
      <c r="Q224" s="363"/>
      <c r="R224" s="363"/>
      <c r="AI224" s="363"/>
      <c r="AJ224" s="363"/>
      <c r="AK224" s="363"/>
      <c r="AL224" s="363"/>
      <c r="AM224" s="363"/>
      <c r="AO224" s="363"/>
      <c r="AP224" s="363"/>
      <c r="AQ224" s="363"/>
    </row>
    <row r="225" spans="1:59" s="237" customFormat="1" ht="15" customHeight="1" outlineLevel="1" x14ac:dyDescent="0.25">
      <c r="A225" s="363"/>
      <c r="B225" s="206" t="s">
        <v>1340</v>
      </c>
      <c r="C225" s="442"/>
      <c r="D225" s="442"/>
      <c r="E225" s="442"/>
      <c r="F225" s="363"/>
      <c r="G225" s="363"/>
      <c r="H225" s="363"/>
      <c r="I225" s="363"/>
      <c r="J225" s="363"/>
      <c r="K225" s="363"/>
      <c r="L225" s="363"/>
      <c r="M225" s="363"/>
      <c r="N225" s="363"/>
      <c r="O225" s="363"/>
      <c r="P225" s="363"/>
      <c r="Q225" s="363"/>
      <c r="R225" s="363"/>
      <c r="AI225" s="363"/>
      <c r="AJ225" s="363"/>
      <c r="AK225" s="363"/>
      <c r="AL225" s="363"/>
      <c r="AM225" s="363"/>
      <c r="AO225" s="363"/>
      <c r="AP225" s="363"/>
      <c r="AQ225" s="363"/>
    </row>
    <row r="226" spans="1:59" s="237" customFormat="1" ht="15" customHeight="1" outlineLevel="1" x14ac:dyDescent="0.25">
      <c r="A226" s="363"/>
      <c r="B226" s="206" t="s">
        <v>1882</v>
      </c>
      <c r="C226" s="442"/>
      <c r="D226" s="442"/>
      <c r="E226" s="442"/>
      <c r="F226" s="363"/>
      <c r="G226" s="363"/>
      <c r="H226" s="363"/>
      <c r="I226" s="363"/>
      <c r="J226" s="363"/>
      <c r="K226" s="363"/>
      <c r="L226" s="363"/>
      <c r="M226" s="363"/>
      <c r="N226" s="363"/>
      <c r="O226" s="363"/>
      <c r="P226" s="363"/>
      <c r="Q226" s="363"/>
      <c r="R226" s="363"/>
      <c r="AI226" s="363"/>
      <c r="AJ226" s="363"/>
      <c r="AK226" s="363"/>
      <c r="AL226" s="363"/>
      <c r="AM226" s="363"/>
      <c r="AO226" s="363"/>
      <c r="AP226" s="363"/>
      <c r="AQ226" s="363"/>
      <c r="BG226" s="433"/>
    </row>
    <row r="227" spans="1:59" s="237" customFormat="1" ht="15" customHeight="1" outlineLevel="1" x14ac:dyDescent="0.25">
      <c r="A227" s="363"/>
      <c r="B227" s="481"/>
      <c r="C227" s="442"/>
      <c r="D227" s="442"/>
      <c r="E227" s="442"/>
      <c r="F227" s="363"/>
      <c r="G227" s="363"/>
      <c r="H227" s="363"/>
      <c r="I227" s="363"/>
      <c r="J227" s="363"/>
      <c r="K227" s="363"/>
      <c r="L227" s="363"/>
      <c r="M227" s="363"/>
      <c r="N227" s="363"/>
      <c r="O227" s="363"/>
      <c r="P227" s="363"/>
      <c r="Q227" s="363"/>
      <c r="R227" s="363"/>
      <c r="AI227" s="363"/>
      <c r="AJ227" s="363"/>
      <c r="AK227" s="363"/>
      <c r="AL227" s="363"/>
      <c r="AM227" s="363"/>
      <c r="AO227" s="363"/>
      <c r="AP227" s="363"/>
      <c r="AQ227" s="363"/>
    </row>
    <row r="228" spans="1:59" s="237" customFormat="1" ht="15" customHeight="1" outlineLevel="1" x14ac:dyDescent="0.25">
      <c r="A228" s="363"/>
      <c r="B228" s="468" t="s">
        <v>1883</v>
      </c>
      <c r="C228" s="442"/>
      <c r="D228" s="442"/>
      <c r="E228" s="442"/>
      <c r="F228" s="363"/>
      <c r="G228" s="363"/>
      <c r="H228" s="363"/>
      <c r="I228" s="363"/>
      <c r="J228" s="363"/>
      <c r="K228" s="363"/>
      <c r="L228" s="363"/>
      <c r="M228" s="363"/>
      <c r="N228" s="363"/>
      <c r="O228" s="363"/>
      <c r="P228" s="363"/>
      <c r="Q228" s="363"/>
      <c r="R228" s="363"/>
      <c r="AI228" s="363"/>
      <c r="AJ228" s="363"/>
      <c r="AK228" s="363"/>
      <c r="AL228" s="363"/>
      <c r="AM228" s="363"/>
      <c r="AO228" s="363"/>
      <c r="AP228" s="363"/>
      <c r="AQ228" s="363"/>
    </row>
    <row r="229" spans="1:59" s="237" customFormat="1" ht="15" customHeight="1" outlineLevel="1" x14ac:dyDescent="0.25">
      <c r="A229" s="363"/>
      <c r="B229" s="1267" t="s">
        <v>1531</v>
      </c>
      <c r="C229" s="1267" t="s">
        <v>1868</v>
      </c>
      <c r="D229" s="1267" t="s">
        <v>1577</v>
      </c>
      <c r="E229" s="1267"/>
      <c r="F229" s="1249" t="s">
        <v>1743</v>
      </c>
      <c r="G229" s="1249" t="s">
        <v>1742</v>
      </c>
      <c r="H229" s="1249" t="s">
        <v>1861</v>
      </c>
      <c r="I229" s="1249" t="s">
        <v>1862</v>
      </c>
      <c r="J229" s="1267" t="s">
        <v>588</v>
      </c>
      <c r="K229" s="1267"/>
      <c r="L229" s="1267"/>
      <c r="M229" s="1249" t="s">
        <v>1408</v>
      </c>
      <c r="N229" s="1249" t="s">
        <v>1409</v>
      </c>
      <c r="O229" s="1249" t="s">
        <v>1410</v>
      </c>
      <c r="P229" s="1249" t="s">
        <v>1411</v>
      </c>
      <c r="Q229" s="1267" t="s">
        <v>1530</v>
      </c>
    </row>
    <row r="230" spans="1:59" s="237" customFormat="1" ht="15" customHeight="1" outlineLevel="1" x14ac:dyDescent="0.25">
      <c r="A230" s="363"/>
      <c r="B230" s="1267"/>
      <c r="C230" s="1267"/>
      <c r="D230" s="1267"/>
      <c r="E230" s="1267"/>
      <c r="F230" s="1266"/>
      <c r="G230" s="1266"/>
      <c r="H230" s="1266"/>
      <c r="I230" s="1266"/>
      <c r="J230" s="1267"/>
      <c r="K230" s="1267"/>
      <c r="L230" s="1267"/>
      <c r="M230" s="1266"/>
      <c r="N230" s="1266"/>
      <c r="O230" s="1266"/>
      <c r="P230" s="1266"/>
      <c r="Q230" s="1267"/>
    </row>
    <row r="231" spans="1:59" s="237" customFormat="1" ht="20.25" customHeight="1" outlineLevel="1" x14ac:dyDescent="0.25">
      <c r="A231" s="363"/>
      <c r="B231" s="1267"/>
      <c r="C231" s="1267"/>
      <c r="D231" s="1267"/>
      <c r="E231" s="1267"/>
      <c r="F231" s="1250"/>
      <c r="G231" s="1250"/>
      <c r="H231" s="1250"/>
      <c r="I231" s="1250"/>
      <c r="J231" s="426" t="s">
        <v>1394</v>
      </c>
      <c r="K231" s="426" t="s">
        <v>1863</v>
      </c>
      <c r="L231" s="426" t="s">
        <v>1864</v>
      </c>
      <c r="M231" s="1250"/>
      <c r="N231" s="1250"/>
      <c r="O231" s="1250"/>
      <c r="P231" s="1250"/>
      <c r="Q231" s="1267"/>
    </row>
    <row r="232" spans="1:59" s="237" customFormat="1" ht="15" customHeight="1" outlineLevel="1" x14ac:dyDescent="0.25">
      <c r="A232" s="427" t="s">
        <v>606</v>
      </c>
      <c r="B232" s="444" t="s">
        <v>610</v>
      </c>
      <c r="C232" s="1107" t="s">
        <v>92</v>
      </c>
      <c r="D232" s="1276" t="s">
        <v>1877</v>
      </c>
      <c r="E232" s="1277"/>
      <c r="F232" s="482">
        <v>1000</v>
      </c>
      <c r="G232" s="482">
        <v>1000</v>
      </c>
      <c r="H232" s="482"/>
      <c r="I232" s="483" t="s">
        <v>1539</v>
      </c>
      <c r="J232" s="484">
        <v>0.12</v>
      </c>
      <c r="K232" s="485">
        <v>1.3853116368000001E-4</v>
      </c>
      <c r="L232" s="485">
        <v>1.3853116368000001E-4</v>
      </c>
      <c r="M232" s="486">
        <v>115.16</v>
      </c>
      <c r="N232" s="486">
        <v>8.6962938000119985E-5</v>
      </c>
      <c r="O232" s="486">
        <v>8.6962938000119985E-5</v>
      </c>
      <c r="P232" s="485">
        <v>115.16</v>
      </c>
      <c r="Q232" s="486">
        <v>0</v>
      </c>
    </row>
    <row r="233" spans="1:59" s="237" customFormat="1" ht="15" customHeight="1" outlineLevel="1" x14ac:dyDescent="0.25">
      <c r="A233" s="363"/>
      <c r="B233" s="435"/>
      <c r="C233" s="435"/>
      <c r="D233" s="1268"/>
      <c r="E233" s="1268"/>
      <c r="F233" s="438"/>
      <c r="G233" s="438"/>
      <c r="H233" s="438"/>
      <c r="I233" s="1020" t="str">
        <f>IF(OR(D233="",D233="-"),"",VLOOKUP(D233,'Fatores de Emissão'!$E$192:$K$201,3,FALSE))</f>
        <v/>
      </c>
      <c r="J233" s="1111" t="str">
        <f>IF(OR(D233="",D233="-"),"",VLOOKUP(D233,'Fatores de Emissão'!$E$192:$K$201,2,FALSE))</f>
        <v/>
      </c>
      <c r="K233" s="1111" t="str">
        <f>IF(OR(D233="",D233="-"),"",VLOOKUP(D233,'Fatores de Emissão'!$E$192:$K$201,4,FALSE))</f>
        <v/>
      </c>
      <c r="L233" s="1111" t="str">
        <f>IF(OR(D233="",D233="-"),"",VLOOKUP(D233,'Fatores de Emissão'!$E$192:$K$201,6,FALSE))</f>
        <v/>
      </c>
      <c r="M233" s="478" t="str">
        <f>IF($D233="","",IF($I233="kg/p.km",$F233*$G233*J233/1000,$F233*$H233*J233/1000))</f>
        <v/>
      </c>
      <c r="N233" s="478" t="str">
        <f t="shared" ref="N233:O233" si="23">IF($D233="","",IF($I233="kg/p.km",$F233*$G233*K233/1000,$F233*$H233*K233/1000))</f>
        <v/>
      </c>
      <c r="O233" s="478" t="str">
        <f t="shared" si="23"/>
        <v/>
      </c>
      <c r="P233" s="451" t="str">
        <f>IF(ISERR(M233*gwp_CO2+N233*gwp_CH4+O233*gwp_N2O),"",M233*gwp_CO2+N233*gwp_CH4+O233*gwp_N2O)</f>
        <v/>
      </c>
      <c r="Q233" s="452"/>
    </row>
    <row r="234" spans="1:59" s="237" customFormat="1" ht="15" customHeight="1" outlineLevel="1" x14ac:dyDescent="0.25">
      <c r="A234" s="363"/>
      <c r="B234" s="435"/>
      <c r="C234" s="435"/>
      <c r="D234" s="1268"/>
      <c r="E234" s="1268"/>
      <c r="F234" s="438"/>
      <c r="G234" s="438"/>
      <c r="H234" s="438"/>
      <c r="I234" s="1020" t="str">
        <f>IF(OR(D234="",D234="-"),"",VLOOKUP(D234,'Fatores de Emissão'!$E$192:$K$201,3,FALSE))</f>
        <v/>
      </c>
      <c r="J234" s="1111" t="str">
        <f>IF(OR(D234="",D234="-"),"",VLOOKUP(D234,'Fatores de Emissão'!$E$192:$K$201,2,FALSE))</f>
        <v/>
      </c>
      <c r="K234" s="1111" t="str">
        <f>IF(OR(D234="",D234="-"),"",VLOOKUP(D234,'Fatores de Emissão'!$E$192:$K$201,4,FALSE))</f>
        <v/>
      </c>
      <c r="L234" s="1111" t="str">
        <f>IF(OR(D234="",D234="-"),"",VLOOKUP(D234,'Fatores de Emissão'!$E$192:$K$201,6,FALSE))</f>
        <v/>
      </c>
      <c r="M234" s="478" t="str">
        <f t="shared" ref="M234:M257" si="24">IF($D234="","",IF($I234="kg/p.km",$F234*$G234*J234/1000,$F234*$H234*J234/1000))</f>
        <v/>
      </c>
      <c r="N234" s="478" t="str">
        <f t="shared" ref="N234:N258" si="25">IF($D234="","",IF($I234="kg/p.km",$F234*$G234*K234/1000,$F234*$H234*K234/1000))</f>
        <v/>
      </c>
      <c r="O234" s="478" t="str">
        <f t="shared" ref="O234:O258" si="26">IF($D234="","",IF($I234="kg/p.km",$F234*$G234*L234/1000,$F234*$H234*L234/1000))</f>
        <v/>
      </c>
      <c r="P234" s="451" t="str">
        <f t="shared" ref="P234:P282" si="27">IF(ISERR(M234*gwp_CO2+N234*gwp_CH4+O234*gwp_N2O),"",M234*gwp_CO2+N234*gwp_CH4+O234*gwp_N2O)</f>
        <v/>
      </c>
      <c r="Q234" s="452"/>
    </row>
    <row r="235" spans="1:59" s="237" customFormat="1" ht="15" customHeight="1" outlineLevel="1" x14ac:dyDescent="0.25">
      <c r="A235" s="363"/>
      <c r="B235" s="435"/>
      <c r="C235" s="435"/>
      <c r="D235" s="1268"/>
      <c r="E235" s="1268"/>
      <c r="F235" s="438"/>
      <c r="G235" s="438"/>
      <c r="H235" s="438"/>
      <c r="I235" s="1020" t="str">
        <f>IF(OR(D235="",D235="-"),"",VLOOKUP(D235,'Fatores de Emissão'!$E$192:$K$201,3,FALSE))</f>
        <v/>
      </c>
      <c r="J235" s="1111" t="str">
        <f>IF(OR(D235="",D235="-"),"",VLOOKUP(D235,'Fatores de Emissão'!$E$192:$K$201,2,FALSE))</f>
        <v/>
      </c>
      <c r="K235" s="1111" t="str">
        <f>IF(OR(D235="",D235="-"),"",VLOOKUP(D235,'Fatores de Emissão'!$E$192:$K$201,4,FALSE))</f>
        <v/>
      </c>
      <c r="L235" s="1111" t="str">
        <f>IF(OR(D235="",D235="-"),"",VLOOKUP(D235,'Fatores de Emissão'!$E$192:$K$201,6,FALSE))</f>
        <v/>
      </c>
      <c r="M235" s="478" t="str">
        <f t="shared" si="24"/>
        <v/>
      </c>
      <c r="N235" s="478" t="str">
        <f t="shared" si="25"/>
        <v/>
      </c>
      <c r="O235" s="478" t="str">
        <f t="shared" si="26"/>
        <v/>
      </c>
      <c r="P235" s="451" t="str">
        <f t="shared" si="27"/>
        <v/>
      </c>
      <c r="Q235" s="452"/>
    </row>
    <row r="236" spans="1:59" s="237" customFormat="1" ht="15" customHeight="1" outlineLevel="1" x14ac:dyDescent="0.25">
      <c r="A236" s="363"/>
      <c r="B236" s="435"/>
      <c r="C236" s="435"/>
      <c r="D236" s="1268"/>
      <c r="E236" s="1268"/>
      <c r="F236" s="438"/>
      <c r="G236" s="438"/>
      <c r="H236" s="438"/>
      <c r="I236" s="1020" t="str">
        <f>IF(OR(D236="",D236="-"),"",VLOOKUP(D236,'Fatores de Emissão'!$E$192:$K$201,3,FALSE))</f>
        <v/>
      </c>
      <c r="J236" s="1111" t="str">
        <f>IF(OR(D236="",D236="-"),"",VLOOKUP(D236,'Fatores de Emissão'!$E$192:$K$201,2,FALSE))</f>
        <v/>
      </c>
      <c r="K236" s="1111" t="str">
        <f>IF(OR(D236="",D236="-"),"",VLOOKUP(D236,'Fatores de Emissão'!$E$192:$K$201,4,FALSE))</f>
        <v/>
      </c>
      <c r="L236" s="1111" t="str">
        <f>IF(OR(D236="",D236="-"),"",VLOOKUP(D236,'Fatores de Emissão'!$E$192:$K$201,6,FALSE))</f>
        <v/>
      </c>
      <c r="M236" s="478" t="str">
        <f t="shared" si="24"/>
        <v/>
      </c>
      <c r="N236" s="478" t="str">
        <f t="shared" si="25"/>
        <v/>
      </c>
      <c r="O236" s="478" t="str">
        <f t="shared" si="26"/>
        <v/>
      </c>
      <c r="P236" s="451" t="str">
        <f t="shared" si="27"/>
        <v/>
      </c>
      <c r="Q236" s="452"/>
    </row>
    <row r="237" spans="1:59" s="237" customFormat="1" ht="15" customHeight="1" outlineLevel="1" x14ac:dyDescent="0.25">
      <c r="A237" s="363"/>
      <c r="B237" s="435"/>
      <c r="C237" s="435"/>
      <c r="D237" s="1268"/>
      <c r="E237" s="1268"/>
      <c r="F237" s="438"/>
      <c r="G237" s="438"/>
      <c r="H237" s="438"/>
      <c r="I237" s="1020" t="str">
        <f>IF(OR(D237="",D237="-"),"",VLOOKUP(D237,'Fatores de Emissão'!$E$192:$K$201,3,FALSE))</f>
        <v/>
      </c>
      <c r="J237" s="1111" t="str">
        <f>IF(OR(D237="",D237="-"),"",VLOOKUP(D237,'Fatores de Emissão'!$E$192:$K$201,2,FALSE))</f>
        <v/>
      </c>
      <c r="K237" s="1111" t="str">
        <f>IF(OR(D237="",D237="-"),"",VLOOKUP(D237,'Fatores de Emissão'!$E$192:$K$201,4,FALSE))</f>
        <v/>
      </c>
      <c r="L237" s="1111" t="str">
        <f>IF(OR(D237="",D237="-"),"",VLOOKUP(D237,'Fatores de Emissão'!$E$192:$K$201,6,FALSE))</f>
        <v/>
      </c>
      <c r="M237" s="478" t="str">
        <f t="shared" si="24"/>
        <v/>
      </c>
      <c r="N237" s="478" t="str">
        <f t="shared" si="25"/>
        <v/>
      </c>
      <c r="O237" s="478" t="str">
        <f t="shared" si="26"/>
        <v/>
      </c>
      <c r="P237" s="451" t="str">
        <f t="shared" si="27"/>
        <v/>
      </c>
      <c r="Q237" s="452"/>
    </row>
    <row r="238" spans="1:59" s="237" customFormat="1" ht="15" customHeight="1" outlineLevel="1" x14ac:dyDescent="0.25">
      <c r="A238" s="363"/>
      <c r="B238" s="435"/>
      <c r="C238" s="435"/>
      <c r="D238" s="1268"/>
      <c r="E238" s="1268"/>
      <c r="F238" s="438"/>
      <c r="G238" s="438"/>
      <c r="H238" s="438"/>
      <c r="I238" s="1020" t="str">
        <f>IF(OR(D238="",D238="-"),"",VLOOKUP(D238,'Fatores de Emissão'!$E$192:$K$201,3,FALSE))</f>
        <v/>
      </c>
      <c r="J238" s="1111" t="str">
        <f>IF(OR(D238="",D238="-"),"",VLOOKUP(D238,'Fatores de Emissão'!$E$192:$K$201,2,FALSE))</f>
        <v/>
      </c>
      <c r="K238" s="1111" t="str">
        <f>IF(OR(D238="",D238="-"),"",VLOOKUP(D238,'Fatores de Emissão'!$E$192:$K$201,4,FALSE))</f>
        <v/>
      </c>
      <c r="L238" s="1111" t="str">
        <f>IF(OR(D238="",D238="-"),"",VLOOKUP(D238,'Fatores de Emissão'!$E$192:$K$201,6,FALSE))</f>
        <v/>
      </c>
      <c r="M238" s="478" t="str">
        <f t="shared" si="24"/>
        <v/>
      </c>
      <c r="N238" s="478" t="str">
        <f t="shared" si="25"/>
        <v/>
      </c>
      <c r="O238" s="478" t="str">
        <f t="shared" si="26"/>
        <v/>
      </c>
      <c r="P238" s="451" t="str">
        <f t="shared" si="27"/>
        <v/>
      </c>
      <c r="Q238" s="452"/>
    </row>
    <row r="239" spans="1:59" s="237" customFormat="1" ht="15" customHeight="1" outlineLevel="1" x14ac:dyDescent="0.25">
      <c r="A239" s="363"/>
      <c r="B239" s="435"/>
      <c r="C239" s="435"/>
      <c r="D239" s="1268"/>
      <c r="E239" s="1268"/>
      <c r="F239" s="438"/>
      <c r="G239" s="438"/>
      <c r="H239" s="438"/>
      <c r="I239" s="1020" t="str">
        <f>IF(OR(D239="",D239="-"),"",VLOOKUP(D239,'Fatores de Emissão'!$E$192:$K$201,3,FALSE))</f>
        <v/>
      </c>
      <c r="J239" s="1111" t="str">
        <f>IF(OR(D239="",D239="-"),"",VLOOKUP(D239,'Fatores de Emissão'!$E$192:$K$201,2,FALSE))</f>
        <v/>
      </c>
      <c r="K239" s="1111" t="str">
        <f>IF(OR(D239="",D239="-"),"",VLOOKUP(D239,'Fatores de Emissão'!$E$192:$K$201,4,FALSE))</f>
        <v/>
      </c>
      <c r="L239" s="1111" t="str">
        <f>IF(OR(D239="",D239="-"),"",VLOOKUP(D239,'Fatores de Emissão'!$E$192:$K$201,6,FALSE))</f>
        <v/>
      </c>
      <c r="M239" s="478" t="str">
        <f t="shared" si="24"/>
        <v/>
      </c>
      <c r="N239" s="478" t="str">
        <f t="shared" si="25"/>
        <v/>
      </c>
      <c r="O239" s="478" t="str">
        <f t="shared" si="26"/>
        <v/>
      </c>
      <c r="P239" s="451" t="str">
        <f t="shared" si="27"/>
        <v/>
      </c>
      <c r="Q239" s="452"/>
    </row>
    <row r="240" spans="1:59" s="237" customFormat="1" ht="15" customHeight="1" outlineLevel="1" x14ac:dyDescent="0.25">
      <c r="A240" s="363"/>
      <c r="B240" s="435"/>
      <c r="C240" s="435"/>
      <c r="D240" s="1268"/>
      <c r="E240" s="1268"/>
      <c r="F240" s="438"/>
      <c r="G240" s="438"/>
      <c r="H240" s="438"/>
      <c r="I240" s="1020" t="str">
        <f>IF(OR(D240="",D240="-"),"",VLOOKUP(D240,'Fatores de Emissão'!$E$192:$K$201,3,FALSE))</f>
        <v/>
      </c>
      <c r="J240" s="1111" t="str">
        <f>IF(OR(D240="",D240="-"),"",VLOOKUP(D240,'Fatores de Emissão'!$E$192:$K$201,2,FALSE))</f>
        <v/>
      </c>
      <c r="K240" s="1111" t="str">
        <f>IF(OR(D240="",D240="-"),"",VLOOKUP(D240,'Fatores de Emissão'!$E$192:$K$201,4,FALSE))</f>
        <v/>
      </c>
      <c r="L240" s="1111" t="str">
        <f>IF(OR(D240="",D240="-"),"",VLOOKUP(D240,'Fatores de Emissão'!$E$192:$K$201,6,FALSE))</f>
        <v/>
      </c>
      <c r="M240" s="478" t="str">
        <f t="shared" si="24"/>
        <v/>
      </c>
      <c r="N240" s="478" t="str">
        <f t="shared" si="25"/>
        <v/>
      </c>
      <c r="O240" s="478" t="str">
        <f t="shared" si="26"/>
        <v/>
      </c>
      <c r="P240" s="451" t="str">
        <f t="shared" si="27"/>
        <v/>
      </c>
      <c r="Q240" s="452"/>
    </row>
    <row r="241" spans="1:17" s="237" customFormat="1" ht="15" customHeight="1" outlineLevel="1" x14ac:dyDescent="0.25">
      <c r="A241" s="363"/>
      <c r="B241" s="435"/>
      <c r="C241" s="435"/>
      <c r="D241" s="1268"/>
      <c r="E241" s="1268"/>
      <c r="F241" s="438"/>
      <c r="G241" s="438"/>
      <c r="H241" s="438"/>
      <c r="I241" s="1020" t="str">
        <f>IF(OR(D241="",D241="-"),"",VLOOKUP(D241,'Fatores de Emissão'!$E$192:$K$201,3,FALSE))</f>
        <v/>
      </c>
      <c r="J241" s="1111" t="str">
        <f>IF(OR(D241="",D241="-"),"",VLOOKUP(D241,'Fatores de Emissão'!$E$192:$K$201,2,FALSE))</f>
        <v/>
      </c>
      <c r="K241" s="1111" t="str">
        <f>IF(OR(D241="",D241="-"),"",VLOOKUP(D241,'Fatores de Emissão'!$E$192:$K$201,4,FALSE))</f>
        <v/>
      </c>
      <c r="L241" s="1111" t="str">
        <f>IF(OR(D241="",D241="-"),"",VLOOKUP(D241,'Fatores de Emissão'!$E$192:$K$201,6,FALSE))</f>
        <v/>
      </c>
      <c r="M241" s="478" t="str">
        <f t="shared" si="24"/>
        <v/>
      </c>
      <c r="N241" s="478" t="str">
        <f t="shared" si="25"/>
        <v/>
      </c>
      <c r="O241" s="478" t="str">
        <f t="shared" si="26"/>
        <v/>
      </c>
      <c r="P241" s="451" t="str">
        <f t="shared" si="27"/>
        <v/>
      </c>
      <c r="Q241" s="452"/>
    </row>
    <row r="242" spans="1:17" s="237" customFormat="1" ht="15" customHeight="1" outlineLevel="1" collapsed="1" x14ac:dyDescent="0.25">
      <c r="A242" s="363"/>
      <c r="B242" s="435"/>
      <c r="C242" s="435"/>
      <c r="D242" s="1268"/>
      <c r="E242" s="1268"/>
      <c r="F242" s="438"/>
      <c r="G242" s="438"/>
      <c r="H242" s="438"/>
      <c r="I242" s="1020" t="str">
        <f>IF(OR(D242="",D242="-"),"",VLOOKUP(D242,'Fatores de Emissão'!$E$192:$K$201,3,FALSE))</f>
        <v/>
      </c>
      <c r="J242" s="1111" t="str">
        <f>IF(OR(D242="",D242="-"),"",VLOOKUP(D242,'Fatores de Emissão'!$E$192:$K$201,2,FALSE))</f>
        <v/>
      </c>
      <c r="K242" s="1111" t="str">
        <f>IF(OR(D242="",D242="-"),"",VLOOKUP(D242,'Fatores de Emissão'!$E$192:$K$201,4,FALSE))</f>
        <v/>
      </c>
      <c r="L242" s="1111" t="str">
        <f>IF(OR(D242="",D242="-"),"",VLOOKUP(D242,'Fatores de Emissão'!$E$192:$K$201,6,FALSE))</f>
        <v/>
      </c>
      <c r="M242" s="478" t="str">
        <f t="shared" si="24"/>
        <v/>
      </c>
      <c r="N242" s="478" t="str">
        <f t="shared" si="25"/>
        <v/>
      </c>
      <c r="O242" s="478" t="str">
        <f t="shared" si="26"/>
        <v/>
      </c>
      <c r="P242" s="451" t="str">
        <f t="shared" si="27"/>
        <v/>
      </c>
      <c r="Q242" s="452"/>
    </row>
    <row r="243" spans="1:17" s="237" customFormat="1" ht="15" hidden="1" customHeight="1" outlineLevel="2" x14ac:dyDescent="0.25">
      <c r="A243" s="363"/>
      <c r="B243" s="435"/>
      <c r="C243" s="435"/>
      <c r="D243" s="1268"/>
      <c r="E243" s="1268"/>
      <c r="F243" s="438"/>
      <c r="G243" s="438"/>
      <c r="H243" s="438"/>
      <c r="I243" s="1020" t="str">
        <f>IF(OR(D243="",D243="-"),"",VLOOKUP(D243,'Fatores de Emissão'!$E$192:$K$201,3,FALSE))</f>
        <v/>
      </c>
      <c r="J243" s="1111" t="str">
        <f>IF(OR(D243="",D243="-"),"",VLOOKUP(D243,'Fatores de Emissão'!$E$192:$K$201,2,FALSE))</f>
        <v/>
      </c>
      <c r="K243" s="1111" t="str">
        <f>IF(OR(D243="",D243="-"),"",VLOOKUP(D243,'Fatores de Emissão'!$E$192:$K$201,4,FALSE))</f>
        <v/>
      </c>
      <c r="L243" s="1111" t="str">
        <f>IF(OR(D243="",D243="-"),"",VLOOKUP(D243,'Fatores de Emissão'!$E$192:$K$201,6,FALSE))</f>
        <v/>
      </c>
      <c r="M243" s="478" t="str">
        <f t="shared" si="24"/>
        <v/>
      </c>
      <c r="N243" s="478" t="str">
        <f t="shared" si="25"/>
        <v/>
      </c>
      <c r="O243" s="478" t="str">
        <f t="shared" si="26"/>
        <v/>
      </c>
      <c r="P243" s="451" t="str">
        <f t="shared" si="27"/>
        <v/>
      </c>
      <c r="Q243" s="452"/>
    </row>
    <row r="244" spans="1:17" s="237" customFormat="1" ht="15" hidden="1" customHeight="1" outlineLevel="2" x14ac:dyDescent="0.25">
      <c r="A244" s="363"/>
      <c r="B244" s="435"/>
      <c r="C244" s="435"/>
      <c r="D244" s="1268"/>
      <c r="E244" s="1268"/>
      <c r="F244" s="438"/>
      <c r="G244" s="438"/>
      <c r="H244" s="438"/>
      <c r="I244" s="1020" t="str">
        <f>IF(OR(D244="",D244="-"),"",VLOOKUP(D244,'Fatores de Emissão'!$E$192:$K$201,3,FALSE))</f>
        <v/>
      </c>
      <c r="J244" s="1111" t="str">
        <f>IF(OR(D244="",D244="-"),"",VLOOKUP(D244,'Fatores de Emissão'!$E$192:$K$201,2,FALSE))</f>
        <v/>
      </c>
      <c r="K244" s="1111" t="str">
        <f>IF(OR(D244="",D244="-"),"",VLOOKUP(D244,'Fatores de Emissão'!$E$192:$K$201,4,FALSE))</f>
        <v/>
      </c>
      <c r="L244" s="1111" t="str">
        <f>IF(OR(D244="",D244="-"),"",VLOOKUP(D244,'Fatores de Emissão'!$E$192:$K$201,6,FALSE))</f>
        <v/>
      </c>
      <c r="M244" s="478" t="str">
        <f t="shared" si="24"/>
        <v/>
      </c>
      <c r="N244" s="478" t="str">
        <f t="shared" si="25"/>
        <v/>
      </c>
      <c r="O244" s="478" t="str">
        <f t="shared" si="26"/>
        <v/>
      </c>
      <c r="P244" s="451" t="str">
        <f t="shared" si="27"/>
        <v/>
      </c>
      <c r="Q244" s="452"/>
    </row>
    <row r="245" spans="1:17" s="237" customFormat="1" ht="15" hidden="1" customHeight="1" outlineLevel="2" x14ac:dyDescent="0.25">
      <c r="A245" s="363"/>
      <c r="B245" s="435"/>
      <c r="C245" s="435"/>
      <c r="D245" s="1268"/>
      <c r="E245" s="1268"/>
      <c r="F245" s="438"/>
      <c r="G245" s="438"/>
      <c r="H245" s="438"/>
      <c r="I245" s="1020" t="str">
        <f>IF(OR(D245="",D245="-"),"",VLOOKUP(D245,'Fatores de Emissão'!$E$192:$K$201,3,FALSE))</f>
        <v/>
      </c>
      <c r="J245" s="1111" t="str">
        <f>IF(OR(D245="",D245="-"),"",VLOOKUP(D245,'Fatores de Emissão'!$E$192:$K$201,2,FALSE))</f>
        <v/>
      </c>
      <c r="K245" s="1111" t="str">
        <f>IF(OR(D245="",D245="-"),"",VLOOKUP(D245,'Fatores de Emissão'!$E$192:$K$201,4,FALSE))</f>
        <v/>
      </c>
      <c r="L245" s="1111" t="str">
        <f>IF(OR(D245="",D245="-"),"",VLOOKUP(D245,'Fatores de Emissão'!$E$192:$K$201,6,FALSE))</f>
        <v/>
      </c>
      <c r="M245" s="478" t="str">
        <f t="shared" si="24"/>
        <v/>
      </c>
      <c r="N245" s="478" t="str">
        <f t="shared" si="25"/>
        <v/>
      </c>
      <c r="O245" s="478" t="str">
        <f t="shared" si="26"/>
        <v/>
      </c>
      <c r="P245" s="451" t="str">
        <f t="shared" si="27"/>
        <v/>
      </c>
      <c r="Q245" s="452"/>
    </row>
    <row r="246" spans="1:17" s="237" customFormat="1" ht="15" hidden="1" customHeight="1" outlineLevel="2" x14ac:dyDescent="0.25">
      <c r="A246" s="363"/>
      <c r="B246" s="435"/>
      <c r="C246" s="435"/>
      <c r="D246" s="1268"/>
      <c r="E246" s="1268"/>
      <c r="F246" s="438"/>
      <c r="G246" s="438"/>
      <c r="H246" s="438"/>
      <c r="I246" s="1020" t="str">
        <f>IF(OR(D246="",D246="-"),"",VLOOKUP(D246,'Fatores de Emissão'!$E$192:$K$201,3,FALSE))</f>
        <v/>
      </c>
      <c r="J246" s="1111" t="str">
        <f>IF(OR(D246="",D246="-"),"",VLOOKUP(D246,'Fatores de Emissão'!$E$192:$K$201,2,FALSE))</f>
        <v/>
      </c>
      <c r="K246" s="1111" t="str">
        <f>IF(OR(D246="",D246="-"),"",VLOOKUP(D246,'Fatores de Emissão'!$E$192:$K$201,4,FALSE))</f>
        <v/>
      </c>
      <c r="L246" s="1111" t="str">
        <f>IF(OR(D246="",D246="-"),"",VLOOKUP(D246,'Fatores de Emissão'!$E$192:$K$201,6,FALSE))</f>
        <v/>
      </c>
      <c r="M246" s="478" t="str">
        <f t="shared" si="24"/>
        <v/>
      </c>
      <c r="N246" s="478" t="str">
        <f t="shared" si="25"/>
        <v/>
      </c>
      <c r="O246" s="478" t="str">
        <f t="shared" si="26"/>
        <v/>
      </c>
      <c r="P246" s="451" t="str">
        <f t="shared" si="27"/>
        <v/>
      </c>
      <c r="Q246" s="452"/>
    </row>
    <row r="247" spans="1:17" s="237" customFormat="1" ht="15" hidden="1" customHeight="1" outlineLevel="2" x14ac:dyDescent="0.25">
      <c r="A247" s="363"/>
      <c r="B247" s="435"/>
      <c r="C247" s="435"/>
      <c r="D247" s="1268"/>
      <c r="E247" s="1268"/>
      <c r="F247" s="438"/>
      <c r="G247" s="438"/>
      <c r="H247" s="438"/>
      <c r="I247" s="1020" t="str">
        <f>IF(OR(D247="",D247="-"),"",VLOOKUP(D247,'Fatores de Emissão'!$E$192:$K$201,3,FALSE))</f>
        <v/>
      </c>
      <c r="J247" s="1111" t="str">
        <f>IF(OR(D247="",D247="-"),"",VLOOKUP(D247,'Fatores de Emissão'!$E$192:$K$201,2,FALSE))</f>
        <v/>
      </c>
      <c r="K247" s="1111" t="str">
        <f>IF(OR(D247="",D247="-"),"",VLOOKUP(D247,'Fatores de Emissão'!$E$192:$K$201,4,FALSE))</f>
        <v/>
      </c>
      <c r="L247" s="1111" t="str">
        <f>IF(OR(D247="",D247="-"),"",VLOOKUP(D247,'Fatores de Emissão'!$E$192:$K$201,6,FALSE))</f>
        <v/>
      </c>
      <c r="M247" s="478" t="str">
        <f t="shared" si="24"/>
        <v/>
      </c>
      <c r="N247" s="478" t="str">
        <f t="shared" si="25"/>
        <v/>
      </c>
      <c r="O247" s="478" t="str">
        <f t="shared" si="26"/>
        <v/>
      </c>
      <c r="P247" s="451" t="str">
        <f t="shared" si="27"/>
        <v/>
      </c>
      <c r="Q247" s="452"/>
    </row>
    <row r="248" spans="1:17" s="237" customFormat="1" ht="15" hidden="1" customHeight="1" outlineLevel="2" x14ac:dyDescent="0.25">
      <c r="A248" s="363"/>
      <c r="B248" s="435"/>
      <c r="C248" s="435"/>
      <c r="D248" s="1268"/>
      <c r="E248" s="1268"/>
      <c r="F248" s="438"/>
      <c r="G248" s="438"/>
      <c r="H248" s="438"/>
      <c r="I248" s="1020" t="str">
        <f>IF(OR(D248="",D248="-"),"",VLOOKUP(D248,'Fatores de Emissão'!$E$192:$K$201,3,FALSE))</f>
        <v/>
      </c>
      <c r="J248" s="1111" t="str">
        <f>IF(OR(D248="",D248="-"),"",VLOOKUP(D248,'Fatores de Emissão'!$E$192:$K$201,2,FALSE))</f>
        <v/>
      </c>
      <c r="K248" s="1111" t="str">
        <f>IF(OR(D248="",D248="-"),"",VLOOKUP(D248,'Fatores de Emissão'!$E$192:$K$201,4,FALSE))</f>
        <v/>
      </c>
      <c r="L248" s="1111" t="str">
        <f>IF(OR(D248="",D248="-"),"",VLOOKUP(D248,'Fatores de Emissão'!$E$192:$K$201,6,FALSE))</f>
        <v/>
      </c>
      <c r="M248" s="478" t="str">
        <f t="shared" si="24"/>
        <v/>
      </c>
      <c r="N248" s="478" t="str">
        <f t="shared" si="25"/>
        <v/>
      </c>
      <c r="O248" s="478" t="str">
        <f t="shared" si="26"/>
        <v/>
      </c>
      <c r="P248" s="451" t="str">
        <f t="shared" si="27"/>
        <v/>
      </c>
      <c r="Q248" s="452"/>
    </row>
    <row r="249" spans="1:17" s="237" customFormat="1" ht="15" hidden="1" customHeight="1" outlineLevel="2" x14ac:dyDescent="0.25">
      <c r="A249" s="363"/>
      <c r="B249" s="435"/>
      <c r="C249" s="435"/>
      <c r="D249" s="1268"/>
      <c r="E249" s="1268"/>
      <c r="F249" s="438"/>
      <c r="G249" s="438"/>
      <c r="H249" s="438"/>
      <c r="I249" s="1020" t="str">
        <f>IF(OR(D249="",D249="-"),"",VLOOKUP(D249,'Fatores de Emissão'!$E$192:$K$201,3,FALSE))</f>
        <v/>
      </c>
      <c r="J249" s="1111" t="str">
        <f>IF(OR(D249="",D249="-"),"",VLOOKUP(D249,'Fatores de Emissão'!$E$192:$K$201,2,FALSE))</f>
        <v/>
      </c>
      <c r="K249" s="1111" t="str">
        <f>IF(OR(D249="",D249="-"),"",VLOOKUP(D249,'Fatores de Emissão'!$E$192:$K$201,4,FALSE))</f>
        <v/>
      </c>
      <c r="L249" s="1111" t="str">
        <f>IF(OR(D249="",D249="-"),"",VLOOKUP(D249,'Fatores de Emissão'!$E$192:$K$201,6,FALSE))</f>
        <v/>
      </c>
      <c r="M249" s="478" t="str">
        <f t="shared" si="24"/>
        <v/>
      </c>
      <c r="N249" s="478" t="str">
        <f t="shared" si="25"/>
        <v/>
      </c>
      <c r="O249" s="478" t="str">
        <f t="shared" si="26"/>
        <v/>
      </c>
      <c r="P249" s="451" t="str">
        <f t="shared" si="27"/>
        <v/>
      </c>
      <c r="Q249" s="452"/>
    </row>
    <row r="250" spans="1:17" s="237" customFormat="1" ht="15" hidden="1" customHeight="1" outlineLevel="2" x14ac:dyDescent="0.25">
      <c r="A250" s="363"/>
      <c r="B250" s="435"/>
      <c r="C250" s="435"/>
      <c r="D250" s="1268"/>
      <c r="E250" s="1268"/>
      <c r="F250" s="438"/>
      <c r="G250" s="438"/>
      <c r="H250" s="438"/>
      <c r="I250" s="1020" t="str">
        <f>IF(OR(D250="",D250="-"),"",VLOOKUP(D250,'Fatores de Emissão'!$E$192:$K$201,3,FALSE))</f>
        <v/>
      </c>
      <c r="J250" s="1111" t="str">
        <f>IF(OR(D250="",D250="-"),"",VLOOKUP(D250,'Fatores de Emissão'!$E$192:$K$201,2,FALSE))</f>
        <v/>
      </c>
      <c r="K250" s="1111" t="str">
        <f>IF(OR(D250="",D250="-"),"",VLOOKUP(D250,'Fatores de Emissão'!$E$192:$K$201,4,FALSE))</f>
        <v/>
      </c>
      <c r="L250" s="1111" t="str">
        <f>IF(OR(D250="",D250="-"),"",VLOOKUP(D250,'Fatores de Emissão'!$E$192:$K$201,6,FALSE))</f>
        <v/>
      </c>
      <c r="M250" s="478" t="str">
        <f t="shared" si="24"/>
        <v/>
      </c>
      <c r="N250" s="478" t="str">
        <f t="shared" si="25"/>
        <v/>
      </c>
      <c r="O250" s="478" t="str">
        <f t="shared" si="26"/>
        <v/>
      </c>
      <c r="P250" s="451" t="str">
        <f t="shared" si="27"/>
        <v/>
      </c>
      <c r="Q250" s="452"/>
    </row>
    <row r="251" spans="1:17" s="237" customFormat="1" ht="15" hidden="1" customHeight="1" outlineLevel="2" x14ac:dyDescent="0.25">
      <c r="A251" s="363"/>
      <c r="B251" s="435"/>
      <c r="C251" s="435"/>
      <c r="D251" s="1268"/>
      <c r="E251" s="1268"/>
      <c r="F251" s="438"/>
      <c r="G251" s="438"/>
      <c r="H251" s="438"/>
      <c r="I251" s="1020" t="str">
        <f>IF(OR(D251="",D251="-"),"",VLOOKUP(D251,'Fatores de Emissão'!$E$192:$K$201,3,FALSE))</f>
        <v/>
      </c>
      <c r="J251" s="1111" t="str">
        <f>IF(OR(D251="",D251="-"),"",VLOOKUP(D251,'Fatores de Emissão'!$E$192:$K$201,2,FALSE))</f>
        <v/>
      </c>
      <c r="K251" s="1111" t="str">
        <f>IF(OR(D251="",D251="-"),"",VLOOKUP(D251,'Fatores de Emissão'!$E$192:$K$201,4,FALSE))</f>
        <v/>
      </c>
      <c r="L251" s="1111" t="str">
        <f>IF(OR(D251="",D251="-"),"",VLOOKUP(D251,'Fatores de Emissão'!$E$192:$K$201,6,FALSE))</f>
        <v/>
      </c>
      <c r="M251" s="478" t="str">
        <f t="shared" si="24"/>
        <v/>
      </c>
      <c r="N251" s="478" t="str">
        <f t="shared" si="25"/>
        <v/>
      </c>
      <c r="O251" s="478" t="str">
        <f t="shared" si="26"/>
        <v/>
      </c>
      <c r="P251" s="451" t="str">
        <f t="shared" si="27"/>
        <v/>
      </c>
      <c r="Q251" s="452"/>
    </row>
    <row r="252" spans="1:17" s="237" customFormat="1" ht="15" hidden="1" customHeight="1" outlineLevel="2" x14ac:dyDescent="0.25">
      <c r="A252" s="363"/>
      <c r="B252" s="435"/>
      <c r="C252" s="435"/>
      <c r="D252" s="1268"/>
      <c r="E252" s="1268"/>
      <c r="F252" s="438"/>
      <c r="G252" s="438"/>
      <c r="H252" s="438"/>
      <c r="I252" s="1020" t="str">
        <f>IF(OR(D252="",D252="-"),"",VLOOKUP(D252,'Fatores de Emissão'!$E$192:$K$201,3,FALSE))</f>
        <v/>
      </c>
      <c r="J252" s="1111" t="str">
        <f>IF(OR(D252="",D252="-"),"",VLOOKUP(D252,'Fatores de Emissão'!$E$192:$K$201,2,FALSE))</f>
        <v/>
      </c>
      <c r="K252" s="1111" t="str">
        <f>IF(OR(D252="",D252="-"),"",VLOOKUP(D252,'Fatores de Emissão'!$E$192:$K$201,4,FALSE))</f>
        <v/>
      </c>
      <c r="L252" s="1111" t="str">
        <f>IF(OR(D252="",D252="-"),"",VLOOKUP(D252,'Fatores de Emissão'!$E$192:$K$201,6,FALSE))</f>
        <v/>
      </c>
      <c r="M252" s="478" t="str">
        <f t="shared" si="24"/>
        <v/>
      </c>
      <c r="N252" s="478" t="str">
        <f t="shared" si="25"/>
        <v/>
      </c>
      <c r="O252" s="478" t="str">
        <f t="shared" si="26"/>
        <v/>
      </c>
      <c r="P252" s="451" t="str">
        <f t="shared" si="27"/>
        <v/>
      </c>
      <c r="Q252" s="452"/>
    </row>
    <row r="253" spans="1:17" s="237" customFormat="1" ht="15" hidden="1" customHeight="1" outlineLevel="2" x14ac:dyDescent="0.25">
      <c r="A253" s="363"/>
      <c r="B253" s="435"/>
      <c r="C253" s="435"/>
      <c r="D253" s="1268"/>
      <c r="E253" s="1268"/>
      <c r="F253" s="438"/>
      <c r="G253" s="438"/>
      <c r="H253" s="438"/>
      <c r="I253" s="1020" t="str">
        <f>IF(OR(D253="",D253="-"),"",VLOOKUP(D253,'Fatores de Emissão'!$E$192:$K$201,3,FALSE))</f>
        <v/>
      </c>
      <c r="J253" s="1111" t="str">
        <f>IF(OR(D253="",D253="-"),"",VLOOKUP(D253,'Fatores de Emissão'!$E$192:$K$201,2,FALSE))</f>
        <v/>
      </c>
      <c r="K253" s="1111" t="str">
        <f>IF(OR(D253="",D253="-"),"",VLOOKUP(D253,'Fatores de Emissão'!$E$192:$K$201,4,FALSE))</f>
        <v/>
      </c>
      <c r="L253" s="1111" t="str">
        <f>IF(OR(D253="",D253="-"),"",VLOOKUP(D253,'Fatores de Emissão'!$E$192:$K$201,6,FALSE))</f>
        <v/>
      </c>
      <c r="M253" s="478" t="str">
        <f t="shared" si="24"/>
        <v/>
      </c>
      <c r="N253" s="478" t="str">
        <f t="shared" si="25"/>
        <v/>
      </c>
      <c r="O253" s="478" t="str">
        <f t="shared" si="26"/>
        <v/>
      </c>
      <c r="P253" s="451" t="str">
        <f t="shared" si="27"/>
        <v/>
      </c>
      <c r="Q253" s="452"/>
    </row>
    <row r="254" spans="1:17" s="237" customFormat="1" ht="15" hidden="1" customHeight="1" outlineLevel="2" x14ac:dyDescent="0.25">
      <c r="A254" s="363"/>
      <c r="B254" s="435"/>
      <c r="C254" s="435"/>
      <c r="D254" s="1268"/>
      <c r="E254" s="1268"/>
      <c r="F254" s="438"/>
      <c r="G254" s="438"/>
      <c r="H254" s="438"/>
      <c r="I254" s="1020" t="str">
        <f>IF(OR(D254="",D254="-"),"",VLOOKUP(D254,'Fatores de Emissão'!$E$192:$K$201,3,FALSE))</f>
        <v/>
      </c>
      <c r="J254" s="1111" t="str">
        <f>IF(OR(D254="",D254="-"),"",VLOOKUP(D254,'Fatores de Emissão'!$E$192:$K$201,2,FALSE))</f>
        <v/>
      </c>
      <c r="K254" s="1111" t="str">
        <f>IF(OR(D254="",D254="-"),"",VLOOKUP(D254,'Fatores de Emissão'!$E$192:$K$201,4,FALSE))</f>
        <v/>
      </c>
      <c r="L254" s="1111" t="str">
        <f>IF(OR(D254="",D254="-"),"",VLOOKUP(D254,'Fatores de Emissão'!$E$192:$K$201,6,FALSE))</f>
        <v/>
      </c>
      <c r="M254" s="478" t="str">
        <f t="shared" si="24"/>
        <v/>
      </c>
      <c r="N254" s="478" t="str">
        <f t="shared" si="25"/>
        <v/>
      </c>
      <c r="O254" s="478" t="str">
        <f t="shared" si="26"/>
        <v/>
      </c>
      <c r="P254" s="451" t="str">
        <f t="shared" si="27"/>
        <v/>
      </c>
      <c r="Q254" s="452"/>
    </row>
    <row r="255" spans="1:17" s="237" customFormat="1" ht="15" hidden="1" customHeight="1" outlineLevel="2" x14ac:dyDescent="0.25">
      <c r="A255" s="363"/>
      <c r="B255" s="435"/>
      <c r="C255" s="435"/>
      <c r="D255" s="1268"/>
      <c r="E255" s="1268"/>
      <c r="F255" s="438"/>
      <c r="G255" s="438"/>
      <c r="H255" s="438"/>
      <c r="I255" s="1020" t="str">
        <f>IF(OR(D255="",D255="-"),"",VLOOKUP(D255,'Fatores de Emissão'!$E$192:$K$201,3,FALSE))</f>
        <v/>
      </c>
      <c r="J255" s="1111" t="str">
        <f>IF(OR(D255="",D255="-"),"",VLOOKUP(D255,'Fatores de Emissão'!$E$192:$K$201,2,FALSE))</f>
        <v/>
      </c>
      <c r="K255" s="1111" t="str">
        <f>IF(OR(D255="",D255="-"),"",VLOOKUP(D255,'Fatores de Emissão'!$E$192:$K$201,4,FALSE))</f>
        <v/>
      </c>
      <c r="L255" s="1111" t="str">
        <f>IF(OR(D255="",D255="-"),"",VLOOKUP(D255,'Fatores de Emissão'!$E$192:$K$201,6,FALSE))</f>
        <v/>
      </c>
      <c r="M255" s="478" t="str">
        <f t="shared" si="24"/>
        <v/>
      </c>
      <c r="N255" s="478" t="str">
        <f t="shared" si="25"/>
        <v/>
      </c>
      <c r="O255" s="478" t="str">
        <f t="shared" si="26"/>
        <v/>
      </c>
      <c r="P255" s="451" t="str">
        <f t="shared" si="27"/>
        <v/>
      </c>
      <c r="Q255" s="452"/>
    </row>
    <row r="256" spans="1:17" s="237" customFormat="1" ht="15" hidden="1" customHeight="1" outlineLevel="2" x14ac:dyDescent="0.25">
      <c r="A256" s="363"/>
      <c r="B256" s="435"/>
      <c r="C256" s="435"/>
      <c r="D256" s="1268"/>
      <c r="E256" s="1268"/>
      <c r="F256" s="438"/>
      <c r="G256" s="438"/>
      <c r="H256" s="438"/>
      <c r="I256" s="1020" t="str">
        <f>IF(OR(D256="",D256="-"),"",VLOOKUP(D256,'Fatores de Emissão'!$E$192:$K$201,3,FALSE))</f>
        <v/>
      </c>
      <c r="J256" s="1111" t="str">
        <f>IF(OR(D256="",D256="-"),"",VLOOKUP(D256,'Fatores de Emissão'!$E$192:$K$201,2,FALSE))</f>
        <v/>
      </c>
      <c r="K256" s="1111" t="str">
        <f>IF(OR(D256="",D256="-"),"",VLOOKUP(D256,'Fatores de Emissão'!$E$192:$K$201,4,FALSE))</f>
        <v/>
      </c>
      <c r="L256" s="1111" t="str">
        <f>IF(OR(D256="",D256="-"),"",VLOOKUP(D256,'Fatores de Emissão'!$E$192:$K$201,6,FALSE))</f>
        <v/>
      </c>
      <c r="M256" s="478" t="str">
        <f t="shared" si="24"/>
        <v/>
      </c>
      <c r="N256" s="478" t="str">
        <f t="shared" si="25"/>
        <v/>
      </c>
      <c r="O256" s="478" t="str">
        <f t="shared" si="26"/>
        <v/>
      </c>
      <c r="P256" s="451" t="str">
        <f t="shared" si="27"/>
        <v/>
      </c>
      <c r="Q256" s="452"/>
    </row>
    <row r="257" spans="1:17" s="237" customFormat="1" ht="15" hidden="1" customHeight="1" outlineLevel="2" x14ac:dyDescent="0.25">
      <c r="A257" s="363"/>
      <c r="B257" s="435"/>
      <c r="C257" s="435"/>
      <c r="D257" s="1268"/>
      <c r="E257" s="1268"/>
      <c r="F257" s="438"/>
      <c r="G257" s="438"/>
      <c r="H257" s="438"/>
      <c r="I257" s="1020" t="str">
        <f>IF(OR(D257="",D257="-"),"",VLOOKUP(D257,'Fatores de Emissão'!$E$192:$K$201,3,FALSE))</f>
        <v/>
      </c>
      <c r="J257" s="1111" t="str">
        <f>IF(OR(D257="",D257="-"),"",VLOOKUP(D257,'Fatores de Emissão'!$E$192:$K$201,2,FALSE))</f>
        <v/>
      </c>
      <c r="K257" s="1111" t="str">
        <f>IF(OR(D257="",D257="-"),"",VLOOKUP(D257,'Fatores de Emissão'!$E$192:$K$201,4,FALSE))</f>
        <v/>
      </c>
      <c r="L257" s="1111" t="str">
        <f>IF(OR(D257="",D257="-"),"",VLOOKUP(D257,'Fatores de Emissão'!$E$192:$K$201,6,FALSE))</f>
        <v/>
      </c>
      <c r="M257" s="478" t="str">
        <f t="shared" si="24"/>
        <v/>
      </c>
      <c r="N257" s="478" t="str">
        <f t="shared" si="25"/>
        <v/>
      </c>
      <c r="O257" s="478" t="str">
        <f t="shared" si="26"/>
        <v/>
      </c>
      <c r="P257" s="451" t="str">
        <f t="shared" si="27"/>
        <v/>
      </c>
      <c r="Q257" s="452"/>
    </row>
    <row r="258" spans="1:17" s="237" customFormat="1" ht="15" hidden="1" customHeight="1" outlineLevel="2" x14ac:dyDescent="0.25">
      <c r="A258" s="363"/>
      <c r="B258" s="435"/>
      <c r="C258" s="435"/>
      <c r="D258" s="1268"/>
      <c r="E258" s="1268"/>
      <c r="F258" s="438"/>
      <c r="G258" s="438"/>
      <c r="H258" s="438"/>
      <c r="I258" s="1020" t="str">
        <f>IF(OR(D258="",D258="-"),"",VLOOKUP(D258,'Fatores de Emissão'!$E$192:$K$201,3,FALSE))</f>
        <v/>
      </c>
      <c r="J258" s="1111" t="str">
        <f>IF(OR(D258="",D258="-"),"",VLOOKUP(D258,'Fatores de Emissão'!$E$192:$K$201,2,FALSE))</f>
        <v/>
      </c>
      <c r="K258" s="1111" t="str">
        <f>IF(OR(D258="",D258="-"),"",VLOOKUP(D258,'Fatores de Emissão'!$E$192:$K$201,4,FALSE))</f>
        <v/>
      </c>
      <c r="L258" s="1111" t="str">
        <f>IF(OR(D258="",D258="-"),"",VLOOKUP(D258,'Fatores de Emissão'!$E$192:$K$201,6,FALSE))</f>
        <v/>
      </c>
      <c r="M258" s="478" t="str">
        <f>IF($D258="","",IF($I258="kg/p.km",$F258*$G258*J258/1000,$F258*$H258*J258/1000))</f>
        <v/>
      </c>
      <c r="N258" s="478" t="str">
        <f t="shared" si="25"/>
        <v/>
      </c>
      <c r="O258" s="478" t="str">
        <f t="shared" si="26"/>
        <v/>
      </c>
      <c r="P258" s="451" t="str">
        <f t="shared" si="27"/>
        <v/>
      </c>
      <c r="Q258" s="452"/>
    </row>
    <row r="259" spans="1:17" s="237" customFormat="1" ht="15" hidden="1" customHeight="1" outlineLevel="2" x14ac:dyDescent="0.25">
      <c r="A259" s="363"/>
      <c r="B259" s="435"/>
      <c r="C259" s="435"/>
      <c r="D259" s="1268"/>
      <c r="E259" s="1268"/>
      <c r="F259" s="438"/>
      <c r="G259" s="438"/>
      <c r="H259" s="438"/>
      <c r="I259" s="1020" t="str">
        <f>IF(OR(D259="",D259="-"),"",VLOOKUP(D259,'Fatores de Emissão'!$E$192:$K$201,3,FALSE))</f>
        <v/>
      </c>
      <c r="J259" s="1111" t="str">
        <f>IF(OR(D259="",D259="-"),"",VLOOKUP(D259,'Fatores de Emissão'!$E$192:$K$201,2,FALSE))</f>
        <v/>
      </c>
      <c r="K259" s="1111" t="str">
        <f>IF(OR(D259="",D259="-"),"",VLOOKUP(D259,'Fatores de Emissão'!$E$192:$K$201,4,FALSE))</f>
        <v/>
      </c>
      <c r="L259" s="1111" t="str">
        <f>IF(OR(D259="",D259="-"),"",VLOOKUP(D259,'Fatores de Emissão'!$E$192:$K$201,6,FALSE))</f>
        <v/>
      </c>
      <c r="M259" s="478" t="str">
        <f t="shared" ref="M259:M282" si="28">IF($D259="","",IF($I259="kg/p.km",$F259*$G259*J259/1000,$F259*$H259*J259/1000))</f>
        <v/>
      </c>
      <c r="N259" s="478" t="str">
        <f t="shared" ref="N259:N282" si="29">IF($D259="","",IF($I259="kg/p.km",$F259*$G259*K259/1000,$F259*$H259*K259/1000))</f>
        <v/>
      </c>
      <c r="O259" s="478" t="str">
        <f t="shared" ref="O259:O282" si="30">IF($D259="","",IF($I259="kg/p.km",$F259*$G259*L259/1000,$F259*$H259*L259/1000))</f>
        <v/>
      </c>
      <c r="P259" s="451" t="str">
        <f t="shared" si="27"/>
        <v/>
      </c>
      <c r="Q259" s="452"/>
    </row>
    <row r="260" spans="1:17" s="237" customFormat="1" ht="15" hidden="1" customHeight="1" outlineLevel="2" x14ac:dyDescent="0.25">
      <c r="A260" s="363"/>
      <c r="B260" s="435"/>
      <c r="C260" s="435"/>
      <c r="D260" s="1268"/>
      <c r="E260" s="1268"/>
      <c r="F260" s="438"/>
      <c r="G260" s="438"/>
      <c r="H260" s="438"/>
      <c r="I260" s="1020" t="str">
        <f>IF(OR(D260="",D260="-"),"",VLOOKUP(D260,'Fatores de Emissão'!$E$192:$K$201,3,FALSE))</f>
        <v/>
      </c>
      <c r="J260" s="1111" t="str">
        <f>IF(OR(D260="",D260="-"),"",VLOOKUP(D260,'Fatores de Emissão'!$E$192:$K$201,2,FALSE))</f>
        <v/>
      </c>
      <c r="K260" s="1111" t="str">
        <f>IF(OR(D260="",D260="-"),"",VLOOKUP(D260,'Fatores de Emissão'!$E$192:$K$201,4,FALSE))</f>
        <v/>
      </c>
      <c r="L260" s="1111" t="str">
        <f>IF(OR(D260="",D260="-"),"",VLOOKUP(D260,'Fatores de Emissão'!$E$192:$K$201,6,FALSE))</f>
        <v/>
      </c>
      <c r="M260" s="478" t="str">
        <f t="shared" si="28"/>
        <v/>
      </c>
      <c r="N260" s="478" t="str">
        <f t="shared" si="29"/>
        <v/>
      </c>
      <c r="O260" s="478" t="str">
        <f t="shared" si="30"/>
        <v/>
      </c>
      <c r="P260" s="451" t="str">
        <f t="shared" si="27"/>
        <v/>
      </c>
      <c r="Q260" s="452"/>
    </row>
    <row r="261" spans="1:17" s="237" customFormat="1" ht="15" hidden="1" customHeight="1" outlineLevel="2" x14ac:dyDescent="0.25">
      <c r="A261" s="363"/>
      <c r="B261" s="435"/>
      <c r="C261" s="435"/>
      <c r="D261" s="1268"/>
      <c r="E261" s="1268"/>
      <c r="F261" s="438"/>
      <c r="G261" s="438"/>
      <c r="H261" s="438"/>
      <c r="I261" s="1020" t="str">
        <f>IF(OR(D261="",D261="-"),"",VLOOKUP(D261,'Fatores de Emissão'!$E$192:$K$201,3,FALSE))</f>
        <v/>
      </c>
      <c r="J261" s="1111" t="str">
        <f>IF(OR(D261="",D261="-"),"",VLOOKUP(D261,'Fatores de Emissão'!$E$192:$K$201,2,FALSE))</f>
        <v/>
      </c>
      <c r="K261" s="1111" t="str">
        <f>IF(OR(D261="",D261="-"),"",VLOOKUP(D261,'Fatores de Emissão'!$E$192:$K$201,4,FALSE))</f>
        <v/>
      </c>
      <c r="L261" s="1111" t="str">
        <f>IF(OR(D261="",D261="-"),"",VLOOKUP(D261,'Fatores de Emissão'!$E$192:$K$201,6,FALSE))</f>
        <v/>
      </c>
      <c r="M261" s="478" t="str">
        <f t="shared" si="28"/>
        <v/>
      </c>
      <c r="N261" s="478" t="str">
        <f t="shared" si="29"/>
        <v/>
      </c>
      <c r="O261" s="478" t="str">
        <f t="shared" si="30"/>
        <v/>
      </c>
      <c r="P261" s="451" t="str">
        <f t="shared" si="27"/>
        <v/>
      </c>
      <c r="Q261" s="452"/>
    </row>
    <row r="262" spans="1:17" s="237" customFormat="1" ht="15" hidden="1" customHeight="1" outlineLevel="2" x14ac:dyDescent="0.25">
      <c r="A262" s="363"/>
      <c r="B262" s="435"/>
      <c r="C262" s="435"/>
      <c r="D262" s="1268"/>
      <c r="E262" s="1268"/>
      <c r="F262" s="438"/>
      <c r="G262" s="438"/>
      <c r="H262" s="438"/>
      <c r="I262" s="1020" t="str">
        <f>IF(OR(D262="",D262="-"),"",VLOOKUP(D262,'Fatores de Emissão'!$E$192:$K$201,3,FALSE))</f>
        <v/>
      </c>
      <c r="J262" s="1111" t="str">
        <f>IF(OR(D262="",D262="-"),"",VLOOKUP(D262,'Fatores de Emissão'!$E$192:$K$201,2,FALSE))</f>
        <v/>
      </c>
      <c r="K262" s="1111" t="str">
        <f>IF(OR(D262="",D262="-"),"",VLOOKUP(D262,'Fatores de Emissão'!$E$192:$K$201,4,FALSE))</f>
        <v/>
      </c>
      <c r="L262" s="1111" t="str">
        <f>IF(OR(D262="",D262="-"),"",VLOOKUP(D262,'Fatores de Emissão'!$E$192:$K$201,6,FALSE))</f>
        <v/>
      </c>
      <c r="M262" s="478" t="str">
        <f t="shared" si="28"/>
        <v/>
      </c>
      <c r="N262" s="478" t="str">
        <f t="shared" si="29"/>
        <v/>
      </c>
      <c r="O262" s="478" t="str">
        <f t="shared" si="30"/>
        <v/>
      </c>
      <c r="P262" s="451" t="str">
        <f t="shared" si="27"/>
        <v/>
      </c>
      <c r="Q262" s="452"/>
    </row>
    <row r="263" spans="1:17" s="237" customFormat="1" ht="15" hidden="1" customHeight="1" outlineLevel="2" x14ac:dyDescent="0.25">
      <c r="A263" s="363"/>
      <c r="B263" s="435"/>
      <c r="C263" s="435"/>
      <c r="D263" s="1268"/>
      <c r="E263" s="1268"/>
      <c r="F263" s="438"/>
      <c r="G263" s="438"/>
      <c r="H263" s="438"/>
      <c r="I263" s="1020" t="str">
        <f>IF(OR(D263="",D263="-"),"",VLOOKUP(D263,'Fatores de Emissão'!$E$192:$K$201,3,FALSE))</f>
        <v/>
      </c>
      <c r="J263" s="1111" t="str">
        <f>IF(OR(D263="",D263="-"),"",VLOOKUP(D263,'Fatores de Emissão'!$E$192:$K$201,2,FALSE))</f>
        <v/>
      </c>
      <c r="K263" s="1111" t="str">
        <f>IF(OR(D263="",D263="-"),"",VLOOKUP(D263,'Fatores de Emissão'!$E$192:$K$201,4,FALSE))</f>
        <v/>
      </c>
      <c r="L263" s="1111" t="str">
        <f>IF(OR(D263="",D263="-"),"",VLOOKUP(D263,'Fatores de Emissão'!$E$192:$K$201,6,FALSE))</f>
        <v/>
      </c>
      <c r="M263" s="478" t="str">
        <f t="shared" si="28"/>
        <v/>
      </c>
      <c r="N263" s="478" t="str">
        <f t="shared" si="29"/>
        <v/>
      </c>
      <c r="O263" s="478" t="str">
        <f t="shared" si="30"/>
        <v/>
      </c>
      <c r="P263" s="451" t="str">
        <f t="shared" si="27"/>
        <v/>
      </c>
      <c r="Q263" s="452"/>
    </row>
    <row r="264" spans="1:17" s="237" customFormat="1" ht="15" hidden="1" customHeight="1" outlineLevel="2" x14ac:dyDescent="0.25">
      <c r="A264" s="363"/>
      <c r="B264" s="435"/>
      <c r="C264" s="435"/>
      <c r="D264" s="1268"/>
      <c r="E264" s="1268"/>
      <c r="F264" s="438"/>
      <c r="G264" s="438"/>
      <c r="H264" s="438"/>
      <c r="I264" s="1020" t="str">
        <f>IF(OR(D264="",D264="-"),"",VLOOKUP(D264,'Fatores de Emissão'!$E$192:$K$201,3,FALSE))</f>
        <v/>
      </c>
      <c r="J264" s="1111" t="str">
        <f>IF(OR(D264="",D264="-"),"",VLOOKUP(D264,'Fatores de Emissão'!$E$192:$K$201,2,FALSE))</f>
        <v/>
      </c>
      <c r="K264" s="1111" t="str">
        <f>IF(OR(D264="",D264="-"),"",VLOOKUP(D264,'Fatores de Emissão'!$E$192:$K$201,4,FALSE))</f>
        <v/>
      </c>
      <c r="L264" s="1111" t="str">
        <f>IF(OR(D264="",D264="-"),"",VLOOKUP(D264,'Fatores de Emissão'!$E$192:$K$201,6,FALSE))</f>
        <v/>
      </c>
      <c r="M264" s="478" t="str">
        <f t="shared" si="28"/>
        <v/>
      </c>
      <c r="N264" s="478" t="str">
        <f t="shared" si="29"/>
        <v/>
      </c>
      <c r="O264" s="478" t="str">
        <f t="shared" si="30"/>
        <v/>
      </c>
      <c r="P264" s="451" t="str">
        <f t="shared" si="27"/>
        <v/>
      </c>
      <c r="Q264" s="452"/>
    </row>
    <row r="265" spans="1:17" s="237" customFormat="1" ht="15" hidden="1" customHeight="1" outlineLevel="2" x14ac:dyDescent="0.25">
      <c r="A265" s="363"/>
      <c r="B265" s="435"/>
      <c r="C265" s="435"/>
      <c r="D265" s="1268"/>
      <c r="E265" s="1268"/>
      <c r="F265" s="438"/>
      <c r="G265" s="438"/>
      <c r="H265" s="438"/>
      <c r="I265" s="1020" t="str">
        <f>IF(OR(D265="",D265="-"),"",VLOOKUP(D265,'Fatores de Emissão'!$E$192:$K$201,3,FALSE))</f>
        <v/>
      </c>
      <c r="J265" s="1111" t="str">
        <f>IF(OR(D265="",D265="-"),"",VLOOKUP(D265,'Fatores de Emissão'!$E$192:$K$201,2,FALSE))</f>
        <v/>
      </c>
      <c r="K265" s="1111" t="str">
        <f>IF(OR(D265="",D265="-"),"",VLOOKUP(D265,'Fatores de Emissão'!$E$192:$K$201,4,FALSE))</f>
        <v/>
      </c>
      <c r="L265" s="1111" t="str">
        <f>IF(OR(D265="",D265="-"),"",VLOOKUP(D265,'Fatores de Emissão'!$E$192:$K$201,6,FALSE))</f>
        <v/>
      </c>
      <c r="M265" s="478" t="str">
        <f t="shared" si="28"/>
        <v/>
      </c>
      <c r="N265" s="478" t="str">
        <f t="shared" si="29"/>
        <v/>
      </c>
      <c r="O265" s="478" t="str">
        <f t="shared" si="30"/>
        <v/>
      </c>
      <c r="P265" s="451" t="str">
        <f t="shared" si="27"/>
        <v/>
      </c>
      <c r="Q265" s="452"/>
    </row>
    <row r="266" spans="1:17" s="237" customFormat="1" ht="15" hidden="1" customHeight="1" outlineLevel="2" x14ac:dyDescent="0.25">
      <c r="A266" s="363"/>
      <c r="B266" s="435"/>
      <c r="C266" s="435"/>
      <c r="D266" s="1268"/>
      <c r="E266" s="1268"/>
      <c r="F266" s="438"/>
      <c r="G266" s="438"/>
      <c r="H266" s="438"/>
      <c r="I266" s="1020" t="str">
        <f>IF(OR(D266="",D266="-"),"",VLOOKUP(D266,'Fatores de Emissão'!$E$192:$K$201,3,FALSE))</f>
        <v/>
      </c>
      <c r="J266" s="1111" t="str">
        <f>IF(OR(D266="",D266="-"),"",VLOOKUP(D266,'Fatores de Emissão'!$E$192:$K$201,2,FALSE))</f>
        <v/>
      </c>
      <c r="K266" s="1111" t="str">
        <f>IF(OR(D266="",D266="-"),"",VLOOKUP(D266,'Fatores de Emissão'!$E$192:$K$201,4,FALSE))</f>
        <v/>
      </c>
      <c r="L266" s="1111" t="str">
        <f>IF(OR(D266="",D266="-"),"",VLOOKUP(D266,'Fatores de Emissão'!$E$192:$K$201,6,FALSE))</f>
        <v/>
      </c>
      <c r="M266" s="478" t="str">
        <f t="shared" si="28"/>
        <v/>
      </c>
      <c r="N266" s="478" t="str">
        <f t="shared" si="29"/>
        <v/>
      </c>
      <c r="O266" s="478" t="str">
        <f t="shared" si="30"/>
        <v/>
      </c>
      <c r="P266" s="451" t="str">
        <f t="shared" si="27"/>
        <v/>
      </c>
      <c r="Q266" s="452"/>
    </row>
    <row r="267" spans="1:17" s="237" customFormat="1" ht="15" hidden="1" customHeight="1" outlineLevel="2" x14ac:dyDescent="0.25">
      <c r="A267" s="363"/>
      <c r="B267" s="435"/>
      <c r="C267" s="435"/>
      <c r="D267" s="1268"/>
      <c r="E267" s="1268"/>
      <c r="F267" s="438"/>
      <c r="G267" s="438"/>
      <c r="H267" s="438"/>
      <c r="I267" s="1020" t="str">
        <f>IF(OR(D267="",D267="-"),"",VLOOKUP(D267,'Fatores de Emissão'!$E$192:$K$201,3,FALSE))</f>
        <v/>
      </c>
      <c r="J267" s="1111" t="str">
        <f>IF(OR(D267="",D267="-"),"",VLOOKUP(D267,'Fatores de Emissão'!$E$192:$K$201,2,FALSE))</f>
        <v/>
      </c>
      <c r="K267" s="1111" t="str">
        <f>IF(OR(D267="",D267="-"),"",VLOOKUP(D267,'Fatores de Emissão'!$E$192:$K$201,4,FALSE))</f>
        <v/>
      </c>
      <c r="L267" s="1111" t="str">
        <f>IF(OR(D267="",D267="-"),"",VLOOKUP(D267,'Fatores de Emissão'!$E$192:$K$201,6,FALSE))</f>
        <v/>
      </c>
      <c r="M267" s="478" t="str">
        <f t="shared" si="28"/>
        <v/>
      </c>
      <c r="N267" s="478" t="str">
        <f t="shared" si="29"/>
        <v/>
      </c>
      <c r="O267" s="478" t="str">
        <f t="shared" si="30"/>
        <v/>
      </c>
      <c r="P267" s="451" t="str">
        <f t="shared" si="27"/>
        <v/>
      </c>
      <c r="Q267" s="452"/>
    </row>
    <row r="268" spans="1:17" s="237" customFormat="1" ht="15" hidden="1" customHeight="1" outlineLevel="2" x14ac:dyDescent="0.25">
      <c r="A268" s="363"/>
      <c r="B268" s="435"/>
      <c r="C268" s="435"/>
      <c r="D268" s="1268"/>
      <c r="E268" s="1268"/>
      <c r="F268" s="438"/>
      <c r="G268" s="438"/>
      <c r="H268" s="438"/>
      <c r="I268" s="1020" t="str">
        <f>IF(OR(D268="",D268="-"),"",VLOOKUP(D268,'Fatores de Emissão'!$E$192:$K$201,3,FALSE))</f>
        <v/>
      </c>
      <c r="J268" s="1111" t="str">
        <f>IF(OR(D268="",D268="-"),"",VLOOKUP(D268,'Fatores de Emissão'!$E$192:$K$201,2,FALSE))</f>
        <v/>
      </c>
      <c r="K268" s="1111" t="str">
        <f>IF(OR(D268="",D268="-"),"",VLOOKUP(D268,'Fatores de Emissão'!$E$192:$K$201,4,FALSE))</f>
        <v/>
      </c>
      <c r="L268" s="1111" t="str">
        <f>IF(OR(D268="",D268="-"),"",VLOOKUP(D268,'Fatores de Emissão'!$E$192:$K$201,6,FALSE))</f>
        <v/>
      </c>
      <c r="M268" s="478" t="str">
        <f t="shared" si="28"/>
        <v/>
      </c>
      <c r="N268" s="478" t="str">
        <f t="shared" si="29"/>
        <v/>
      </c>
      <c r="O268" s="478" t="str">
        <f t="shared" si="30"/>
        <v/>
      </c>
      <c r="P268" s="451" t="str">
        <f t="shared" si="27"/>
        <v/>
      </c>
      <c r="Q268" s="452"/>
    </row>
    <row r="269" spans="1:17" s="237" customFormat="1" ht="15" hidden="1" customHeight="1" outlineLevel="2" x14ac:dyDescent="0.25">
      <c r="A269" s="363"/>
      <c r="B269" s="435"/>
      <c r="C269" s="435"/>
      <c r="D269" s="1268"/>
      <c r="E269" s="1268"/>
      <c r="F269" s="438"/>
      <c r="G269" s="438"/>
      <c r="H269" s="438"/>
      <c r="I269" s="1020" t="str">
        <f>IF(OR(D269="",D269="-"),"",VLOOKUP(D269,'Fatores de Emissão'!$E$192:$K$201,3,FALSE))</f>
        <v/>
      </c>
      <c r="J269" s="1111" t="str">
        <f>IF(OR(D269="",D269="-"),"",VLOOKUP(D269,'Fatores de Emissão'!$E$192:$K$201,2,FALSE))</f>
        <v/>
      </c>
      <c r="K269" s="1111" t="str">
        <f>IF(OR(D269="",D269="-"),"",VLOOKUP(D269,'Fatores de Emissão'!$E$192:$K$201,4,FALSE))</f>
        <v/>
      </c>
      <c r="L269" s="1111" t="str">
        <f>IF(OR(D269="",D269="-"),"",VLOOKUP(D269,'Fatores de Emissão'!$E$192:$K$201,6,FALSE))</f>
        <v/>
      </c>
      <c r="M269" s="478" t="str">
        <f t="shared" si="28"/>
        <v/>
      </c>
      <c r="N269" s="478" t="str">
        <f t="shared" si="29"/>
        <v/>
      </c>
      <c r="O269" s="478" t="str">
        <f t="shared" si="30"/>
        <v/>
      </c>
      <c r="P269" s="451" t="str">
        <f t="shared" si="27"/>
        <v/>
      </c>
      <c r="Q269" s="452"/>
    </row>
    <row r="270" spans="1:17" s="237" customFormat="1" ht="15" hidden="1" customHeight="1" outlineLevel="2" x14ac:dyDescent="0.25">
      <c r="A270" s="363"/>
      <c r="B270" s="435"/>
      <c r="C270" s="435"/>
      <c r="D270" s="1268"/>
      <c r="E270" s="1268"/>
      <c r="F270" s="438"/>
      <c r="G270" s="438"/>
      <c r="H270" s="438"/>
      <c r="I270" s="1020" t="str">
        <f>IF(OR(D270="",D270="-"),"",VLOOKUP(D270,'Fatores de Emissão'!$E$192:$K$201,3,FALSE))</f>
        <v/>
      </c>
      <c r="J270" s="1111" t="str">
        <f>IF(OR(D270="",D270="-"),"",VLOOKUP(D270,'Fatores de Emissão'!$E$192:$K$201,2,FALSE))</f>
        <v/>
      </c>
      <c r="K270" s="1111" t="str">
        <f>IF(OR(D270="",D270="-"),"",VLOOKUP(D270,'Fatores de Emissão'!$E$192:$K$201,4,FALSE))</f>
        <v/>
      </c>
      <c r="L270" s="1111" t="str">
        <f>IF(OR(D270="",D270="-"),"",VLOOKUP(D270,'Fatores de Emissão'!$E$192:$K$201,6,FALSE))</f>
        <v/>
      </c>
      <c r="M270" s="478" t="str">
        <f t="shared" si="28"/>
        <v/>
      </c>
      <c r="N270" s="478" t="str">
        <f t="shared" si="29"/>
        <v/>
      </c>
      <c r="O270" s="478" t="str">
        <f t="shared" si="30"/>
        <v/>
      </c>
      <c r="P270" s="451" t="str">
        <f t="shared" si="27"/>
        <v/>
      </c>
      <c r="Q270" s="452"/>
    </row>
    <row r="271" spans="1:17" s="237" customFormat="1" ht="15" hidden="1" customHeight="1" outlineLevel="2" x14ac:dyDescent="0.25">
      <c r="A271" s="363"/>
      <c r="B271" s="435"/>
      <c r="C271" s="435"/>
      <c r="D271" s="1268"/>
      <c r="E271" s="1268"/>
      <c r="F271" s="438"/>
      <c r="G271" s="438"/>
      <c r="H271" s="438"/>
      <c r="I271" s="1020" t="str">
        <f>IF(OR(D271="",D271="-"),"",VLOOKUP(D271,'Fatores de Emissão'!$E$192:$K$201,3,FALSE))</f>
        <v/>
      </c>
      <c r="J271" s="1111" t="str">
        <f>IF(OR(D271="",D271="-"),"",VLOOKUP(D271,'Fatores de Emissão'!$E$192:$K$201,2,FALSE))</f>
        <v/>
      </c>
      <c r="K271" s="1111" t="str">
        <f>IF(OR(D271="",D271="-"),"",VLOOKUP(D271,'Fatores de Emissão'!$E$192:$K$201,4,FALSE))</f>
        <v/>
      </c>
      <c r="L271" s="1111" t="str">
        <f>IF(OR(D271="",D271="-"),"",VLOOKUP(D271,'Fatores de Emissão'!$E$192:$K$201,6,FALSE))</f>
        <v/>
      </c>
      <c r="M271" s="478" t="str">
        <f t="shared" si="28"/>
        <v/>
      </c>
      <c r="N271" s="478" t="str">
        <f t="shared" si="29"/>
        <v/>
      </c>
      <c r="O271" s="478" t="str">
        <f t="shared" si="30"/>
        <v/>
      </c>
      <c r="P271" s="451" t="str">
        <f t="shared" si="27"/>
        <v/>
      </c>
      <c r="Q271" s="452"/>
    </row>
    <row r="272" spans="1:17" s="237" customFormat="1" ht="15" hidden="1" customHeight="1" outlineLevel="2" x14ac:dyDescent="0.25">
      <c r="A272" s="363"/>
      <c r="B272" s="435"/>
      <c r="C272" s="435"/>
      <c r="D272" s="1268"/>
      <c r="E272" s="1268"/>
      <c r="F272" s="438"/>
      <c r="G272" s="438"/>
      <c r="H272" s="438"/>
      <c r="I272" s="1020" t="str">
        <f>IF(OR(D272="",D272="-"),"",VLOOKUP(D272,'Fatores de Emissão'!$E$192:$K$201,3,FALSE))</f>
        <v/>
      </c>
      <c r="J272" s="1111" t="str">
        <f>IF(OR(D272="",D272="-"),"",VLOOKUP(D272,'Fatores de Emissão'!$E$192:$K$201,2,FALSE))</f>
        <v/>
      </c>
      <c r="K272" s="1111" t="str">
        <f>IF(OR(D272="",D272="-"),"",VLOOKUP(D272,'Fatores de Emissão'!$E$192:$K$201,4,FALSE))</f>
        <v/>
      </c>
      <c r="L272" s="1111" t="str">
        <f>IF(OR(D272="",D272="-"),"",VLOOKUP(D272,'Fatores de Emissão'!$E$192:$K$201,6,FALSE))</f>
        <v/>
      </c>
      <c r="M272" s="478" t="str">
        <f t="shared" si="28"/>
        <v/>
      </c>
      <c r="N272" s="478" t="str">
        <f t="shared" si="29"/>
        <v/>
      </c>
      <c r="O272" s="478" t="str">
        <f t="shared" si="30"/>
        <v/>
      </c>
      <c r="P272" s="451" t="str">
        <f t="shared" si="27"/>
        <v/>
      </c>
      <c r="Q272" s="452"/>
    </row>
    <row r="273" spans="1:58" s="237" customFormat="1" ht="15" hidden="1" customHeight="1" outlineLevel="2" x14ac:dyDescent="0.25">
      <c r="A273" s="363"/>
      <c r="B273" s="435"/>
      <c r="C273" s="435"/>
      <c r="D273" s="1268"/>
      <c r="E273" s="1268"/>
      <c r="F273" s="438"/>
      <c r="G273" s="438"/>
      <c r="H273" s="438"/>
      <c r="I273" s="1020" t="str">
        <f>IF(OR(D273="",D273="-"),"",VLOOKUP(D273,'Fatores de Emissão'!$E$192:$K$201,3,FALSE))</f>
        <v/>
      </c>
      <c r="J273" s="1111" t="str">
        <f>IF(OR(D273="",D273="-"),"",VLOOKUP(D273,'Fatores de Emissão'!$E$192:$K$201,2,FALSE))</f>
        <v/>
      </c>
      <c r="K273" s="1111" t="str">
        <f>IF(OR(D273="",D273="-"),"",VLOOKUP(D273,'Fatores de Emissão'!$E$192:$K$201,4,FALSE))</f>
        <v/>
      </c>
      <c r="L273" s="1111" t="str">
        <f>IF(OR(D273="",D273="-"),"",VLOOKUP(D273,'Fatores de Emissão'!$E$192:$K$201,6,FALSE))</f>
        <v/>
      </c>
      <c r="M273" s="478" t="str">
        <f t="shared" si="28"/>
        <v/>
      </c>
      <c r="N273" s="478" t="str">
        <f t="shared" si="29"/>
        <v/>
      </c>
      <c r="O273" s="478" t="str">
        <f t="shared" si="30"/>
        <v/>
      </c>
      <c r="P273" s="451" t="str">
        <f t="shared" si="27"/>
        <v/>
      </c>
      <c r="Q273" s="452"/>
    </row>
    <row r="274" spans="1:58" s="237" customFormat="1" ht="15" hidden="1" customHeight="1" outlineLevel="2" x14ac:dyDescent="0.25">
      <c r="A274" s="363"/>
      <c r="B274" s="435"/>
      <c r="C274" s="435"/>
      <c r="D274" s="1268"/>
      <c r="E274" s="1268"/>
      <c r="F274" s="438"/>
      <c r="G274" s="438"/>
      <c r="H274" s="438"/>
      <c r="I274" s="1020" t="str">
        <f>IF(OR(D274="",D274="-"),"",VLOOKUP(D274,'Fatores de Emissão'!$E$192:$K$201,3,FALSE))</f>
        <v/>
      </c>
      <c r="J274" s="1111" t="str">
        <f>IF(OR(D274="",D274="-"),"",VLOOKUP(D274,'Fatores de Emissão'!$E$192:$K$201,2,FALSE))</f>
        <v/>
      </c>
      <c r="K274" s="1111" t="str">
        <f>IF(OR(D274="",D274="-"),"",VLOOKUP(D274,'Fatores de Emissão'!$E$192:$K$201,4,FALSE))</f>
        <v/>
      </c>
      <c r="L274" s="1111" t="str">
        <f>IF(OR(D274="",D274="-"),"",VLOOKUP(D274,'Fatores de Emissão'!$E$192:$K$201,6,FALSE))</f>
        <v/>
      </c>
      <c r="M274" s="478" t="str">
        <f t="shared" si="28"/>
        <v/>
      </c>
      <c r="N274" s="478" t="str">
        <f t="shared" si="29"/>
        <v/>
      </c>
      <c r="O274" s="478" t="str">
        <f t="shared" si="30"/>
        <v/>
      </c>
      <c r="P274" s="451" t="str">
        <f t="shared" si="27"/>
        <v/>
      </c>
      <c r="Q274" s="452"/>
    </row>
    <row r="275" spans="1:58" s="237" customFormat="1" ht="15" hidden="1" customHeight="1" outlineLevel="2" x14ac:dyDescent="0.25">
      <c r="A275" s="363"/>
      <c r="B275" s="435"/>
      <c r="C275" s="435"/>
      <c r="D275" s="1268"/>
      <c r="E275" s="1268"/>
      <c r="F275" s="438"/>
      <c r="G275" s="438"/>
      <c r="H275" s="438"/>
      <c r="I275" s="1020" t="str">
        <f>IF(OR(D275="",D275="-"),"",VLOOKUP(D275,'Fatores de Emissão'!$E$192:$K$201,3,FALSE))</f>
        <v/>
      </c>
      <c r="J275" s="1111" t="str">
        <f>IF(OR(D275="",D275="-"),"",VLOOKUP(D275,'Fatores de Emissão'!$E$192:$K$201,2,FALSE))</f>
        <v/>
      </c>
      <c r="K275" s="1111" t="str">
        <f>IF(OR(D275="",D275="-"),"",VLOOKUP(D275,'Fatores de Emissão'!$E$192:$K$201,4,FALSE))</f>
        <v/>
      </c>
      <c r="L275" s="1111" t="str">
        <f>IF(OR(D275="",D275="-"),"",VLOOKUP(D275,'Fatores de Emissão'!$E$192:$K$201,6,FALSE))</f>
        <v/>
      </c>
      <c r="M275" s="478" t="str">
        <f t="shared" si="28"/>
        <v/>
      </c>
      <c r="N275" s="478" t="str">
        <f t="shared" si="29"/>
        <v/>
      </c>
      <c r="O275" s="478" t="str">
        <f t="shared" si="30"/>
        <v/>
      </c>
      <c r="P275" s="451" t="str">
        <f t="shared" si="27"/>
        <v/>
      </c>
      <c r="Q275" s="452"/>
    </row>
    <row r="276" spans="1:58" s="237" customFormat="1" ht="15" hidden="1" customHeight="1" outlineLevel="2" x14ac:dyDescent="0.25">
      <c r="A276" s="363"/>
      <c r="B276" s="435"/>
      <c r="C276" s="435"/>
      <c r="D276" s="1268"/>
      <c r="E276" s="1268"/>
      <c r="F276" s="438"/>
      <c r="G276" s="438"/>
      <c r="H276" s="438"/>
      <c r="I276" s="1020" t="str">
        <f>IF(OR(D276="",D276="-"),"",VLOOKUP(D276,'Fatores de Emissão'!$E$192:$K$201,3,FALSE))</f>
        <v/>
      </c>
      <c r="J276" s="1111" t="str">
        <f>IF(OR(D276="",D276="-"),"",VLOOKUP(D276,'Fatores de Emissão'!$E$192:$K$201,2,FALSE))</f>
        <v/>
      </c>
      <c r="K276" s="1111" t="str">
        <f>IF(OR(D276="",D276="-"),"",VLOOKUP(D276,'Fatores de Emissão'!$E$192:$K$201,4,FALSE))</f>
        <v/>
      </c>
      <c r="L276" s="1111" t="str">
        <f>IF(OR(D276="",D276="-"),"",VLOOKUP(D276,'Fatores de Emissão'!$E$192:$K$201,6,FALSE))</f>
        <v/>
      </c>
      <c r="M276" s="478" t="str">
        <f t="shared" si="28"/>
        <v/>
      </c>
      <c r="N276" s="478" t="str">
        <f t="shared" si="29"/>
        <v/>
      </c>
      <c r="O276" s="478" t="str">
        <f t="shared" si="30"/>
        <v/>
      </c>
      <c r="P276" s="451" t="str">
        <f t="shared" si="27"/>
        <v/>
      </c>
      <c r="Q276" s="452"/>
    </row>
    <row r="277" spans="1:58" s="237" customFormat="1" ht="15" hidden="1" customHeight="1" outlineLevel="2" x14ac:dyDescent="0.25">
      <c r="A277" s="363"/>
      <c r="B277" s="435"/>
      <c r="C277" s="435"/>
      <c r="D277" s="1268"/>
      <c r="E277" s="1268"/>
      <c r="F277" s="438"/>
      <c r="G277" s="438"/>
      <c r="H277" s="438"/>
      <c r="I277" s="1020" t="str">
        <f>IF(OR(D277="",D277="-"),"",VLOOKUP(D277,'Fatores de Emissão'!$E$192:$K$201,3,FALSE))</f>
        <v/>
      </c>
      <c r="J277" s="1111" t="str">
        <f>IF(OR(D277="",D277="-"),"",VLOOKUP(D277,'Fatores de Emissão'!$E$192:$K$201,2,FALSE))</f>
        <v/>
      </c>
      <c r="K277" s="1111" t="str">
        <f>IF(OR(D277="",D277="-"),"",VLOOKUP(D277,'Fatores de Emissão'!$E$192:$K$201,4,FALSE))</f>
        <v/>
      </c>
      <c r="L277" s="1111" t="str">
        <f>IF(OR(D277="",D277="-"),"",VLOOKUP(D277,'Fatores de Emissão'!$E$192:$K$201,6,FALSE))</f>
        <v/>
      </c>
      <c r="M277" s="478" t="str">
        <f t="shared" si="28"/>
        <v/>
      </c>
      <c r="N277" s="478" t="str">
        <f t="shared" si="29"/>
        <v/>
      </c>
      <c r="O277" s="478" t="str">
        <f t="shared" si="30"/>
        <v/>
      </c>
      <c r="P277" s="451" t="str">
        <f t="shared" si="27"/>
        <v/>
      </c>
      <c r="Q277" s="452"/>
    </row>
    <row r="278" spans="1:58" s="237" customFormat="1" ht="15" hidden="1" customHeight="1" outlineLevel="2" x14ac:dyDescent="0.25">
      <c r="A278" s="363"/>
      <c r="B278" s="435"/>
      <c r="C278" s="435"/>
      <c r="D278" s="1268"/>
      <c r="E278" s="1268"/>
      <c r="F278" s="438"/>
      <c r="G278" s="438"/>
      <c r="H278" s="438"/>
      <c r="I278" s="1020" t="str">
        <f>IF(OR(D278="",D278="-"),"",VLOOKUP(D278,'Fatores de Emissão'!$E$192:$K$201,3,FALSE))</f>
        <v/>
      </c>
      <c r="J278" s="1111" t="str">
        <f>IF(OR(D278="",D278="-"),"",VLOOKUP(D278,'Fatores de Emissão'!$E$192:$K$201,2,FALSE))</f>
        <v/>
      </c>
      <c r="K278" s="1111" t="str">
        <f>IF(OR(D278="",D278="-"),"",VLOOKUP(D278,'Fatores de Emissão'!$E$192:$K$201,4,FALSE))</f>
        <v/>
      </c>
      <c r="L278" s="1111" t="str">
        <f>IF(OR(D278="",D278="-"),"",VLOOKUP(D278,'Fatores de Emissão'!$E$192:$K$201,6,FALSE))</f>
        <v/>
      </c>
      <c r="M278" s="478" t="str">
        <f t="shared" si="28"/>
        <v/>
      </c>
      <c r="N278" s="478" t="str">
        <f t="shared" si="29"/>
        <v/>
      </c>
      <c r="O278" s="478" t="str">
        <f t="shared" si="30"/>
        <v/>
      </c>
      <c r="P278" s="451" t="str">
        <f t="shared" si="27"/>
        <v/>
      </c>
      <c r="Q278" s="452"/>
    </row>
    <row r="279" spans="1:58" s="237" customFormat="1" ht="15" hidden="1" customHeight="1" outlineLevel="2" x14ac:dyDescent="0.25">
      <c r="A279" s="363"/>
      <c r="B279" s="435"/>
      <c r="C279" s="435"/>
      <c r="D279" s="1268"/>
      <c r="E279" s="1268"/>
      <c r="F279" s="438"/>
      <c r="G279" s="438"/>
      <c r="H279" s="438"/>
      <c r="I279" s="1020" t="str">
        <f>IF(OR(D279="",D279="-"),"",VLOOKUP(D279,'Fatores de Emissão'!$E$192:$K$201,3,FALSE))</f>
        <v/>
      </c>
      <c r="J279" s="1111" t="str">
        <f>IF(OR(D279="",D279="-"),"",VLOOKUP(D279,'Fatores de Emissão'!$E$192:$K$201,2,FALSE))</f>
        <v/>
      </c>
      <c r="K279" s="1111" t="str">
        <f>IF(OR(D279="",D279="-"),"",VLOOKUP(D279,'Fatores de Emissão'!$E$192:$K$201,4,FALSE))</f>
        <v/>
      </c>
      <c r="L279" s="1111" t="str">
        <f>IF(OR(D279="",D279="-"),"",VLOOKUP(D279,'Fatores de Emissão'!$E$192:$K$201,6,FALSE))</f>
        <v/>
      </c>
      <c r="M279" s="478" t="str">
        <f t="shared" si="28"/>
        <v/>
      </c>
      <c r="N279" s="478" t="str">
        <f t="shared" si="29"/>
        <v/>
      </c>
      <c r="O279" s="478" t="str">
        <f t="shared" si="30"/>
        <v/>
      </c>
      <c r="P279" s="451" t="str">
        <f t="shared" si="27"/>
        <v/>
      </c>
      <c r="Q279" s="452"/>
    </row>
    <row r="280" spans="1:58" s="237" customFormat="1" ht="15" hidden="1" customHeight="1" outlineLevel="2" x14ac:dyDescent="0.25">
      <c r="A280" s="363"/>
      <c r="B280" s="435"/>
      <c r="C280" s="435"/>
      <c r="D280" s="1268"/>
      <c r="E280" s="1268"/>
      <c r="F280" s="438"/>
      <c r="G280" s="438"/>
      <c r="H280" s="438"/>
      <c r="I280" s="1020" t="str">
        <f>IF(OR(D280="",D280="-"),"",VLOOKUP(D280,'Fatores de Emissão'!$E$192:$K$201,3,FALSE))</f>
        <v/>
      </c>
      <c r="J280" s="1111" t="str">
        <f>IF(OR(D280="",D280="-"),"",VLOOKUP(D280,'Fatores de Emissão'!$E$192:$K$201,2,FALSE))</f>
        <v/>
      </c>
      <c r="K280" s="1111" t="str">
        <f>IF(OR(D280="",D280="-"),"",VLOOKUP(D280,'Fatores de Emissão'!$E$192:$K$201,4,FALSE))</f>
        <v/>
      </c>
      <c r="L280" s="1111" t="str">
        <f>IF(OR(D280="",D280="-"),"",VLOOKUP(D280,'Fatores de Emissão'!$E$192:$K$201,6,FALSE))</f>
        <v/>
      </c>
      <c r="M280" s="478" t="str">
        <f t="shared" si="28"/>
        <v/>
      </c>
      <c r="N280" s="478" t="str">
        <f t="shared" si="29"/>
        <v/>
      </c>
      <c r="O280" s="478" t="str">
        <f t="shared" si="30"/>
        <v/>
      </c>
      <c r="P280" s="451" t="str">
        <f t="shared" si="27"/>
        <v/>
      </c>
      <c r="Q280" s="452"/>
    </row>
    <row r="281" spans="1:58" s="237" customFormat="1" ht="15" hidden="1" customHeight="1" outlineLevel="2" x14ac:dyDescent="0.25">
      <c r="A281" s="363"/>
      <c r="B281" s="435"/>
      <c r="C281" s="435"/>
      <c r="D281" s="1268"/>
      <c r="E281" s="1268"/>
      <c r="F281" s="438"/>
      <c r="G281" s="438"/>
      <c r="H281" s="438"/>
      <c r="I281" s="1020" t="str">
        <f>IF(OR(D281="",D281="-"),"",VLOOKUP(D281,'Fatores de Emissão'!$E$192:$K$201,3,FALSE))</f>
        <v/>
      </c>
      <c r="J281" s="1111" t="str">
        <f>IF(OR(D281="",D281="-"),"",VLOOKUP(D281,'Fatores de Emissão'!$E$192:$K$201,2,FALSE))</f>
        <v/>
      </c>
      <c r="K281" s="1111" t="str">
        <f>IF(OR(D281="",D281="-"),"",VLOOKUP(D281,'Fatores de Emissão'!$E$192:$K$201,4,FALSE))</f>
        <v/>
      </c>
      <c r="L281" s="1111" t="str">
        <f>IF(OR(D281="",D281="-"),"",VLOOKUP(D281,'Fatores de Emissão'!$E$192:$K$201,6,FALSE))</f>
        <v/>
      </c>
      <c r="M281" s="478" t="str">
        <f t="shared" si="28"/>
        <v/>
      </c>
      <c r="N281" s="478" t="str">
        <f t="shared" si="29"/>
        <v/>
      </c>
      <c r="O281" s="478" t="str">
        <f t="shared" si="30"/>
        <v/>
      </c>
      <c r="P281" s="451" t="str">
        <f t="shared" si="27"/>
        <v/>
      </c>
      <c r="Q281" s="452"/>
    </row>
    <row r="282" spans="1:58" s="237" customFormat="1" ht="15" hidden="1" customHeight="1" outlineLevel="2" x14ac:dyDescent="0.25">
      <c r="A282" s="363"/>
      <c r="B282" s="435"/>
      <c r="C282" s="435"/>
      <c r="D282" s="1268"/>
      <c r="E282" s="1268"/>
      <c r="F282" s="438"/>
      <c r="G282" s="438"/>
      <c r="H282" s="438"/>
      <c r="I282" s="1020" t="str">
        <f>IF(OR(D282="",D282="-"),"",VLOOKUP(D282,'Fatores de Emissão'!$E$192:$K$201,3,FALSE))</f>
        <v/>
      </c>
      <c r="J282" s="1111" t="str">
        <f>IF(OR(D282="",D282="-"),"",VLOOKUP(D282,'Fatores de Emissão'!$E$192:$K$201,2,FALSE))</f>
        <v/>
      </c>
      <c r="K282" s="1111" t="str">
        <f>IF(OR(D282="",D282="-"),"",VLOOKUP(D282,'Fatores de Emissão'!$E$192:$K$201,4,FALSE))</f>
        <v/>
      </c>
      <c r="L282" s="1111" t="str">
        <f>IF(OR(D282="",D282="-"),"",VLOOKUP(D282,'Fatores de Emissão'!$E$192:$K$201,6,FALSE))</f>
        <v/>
      </c>
      <c r="M282" s="478" t="str">
        <f t="shared" si="28"/>
        <v/>
      </c>
      <c r="N282" s="478" t="str">
        <f t="shared" si="29"/>
        <v/>
      </c>
      <c r="O282" s="478" t="str">
        <f t="shared" si="30"/>
        <v/>
      </c>
      <c r="P282" s="451" t="str">
        <f t="shared" si="27"/>
        <v/>
      </c>
      <c r="Q282" s="452"/>
    </row>
    <row r="283" spans="1:58" s="237" customFormat="1" ht="15" customHeight="1" outlineLevel="1" x14ac:dyDescent="0.25">
      <c r="A283" s="363"/>
      <c r="B283" s="449"/>
      <c r="C283" s="363"/>
      <c r="D283" s="363"/>
      <c r="E283" s="363"/>
      <c r="F283" s="363"/>
      <c r="G283" s="363"/>
      <c r="H283" s="363"/>
      <c r="I283" s="363"/>
      <c r="J283" s="1278" t="s">
        <v>78</v>
      </c>
      <c r="K283" s="1279"/>
      <c r="L283" s="1280"/>
      <c r="M283" s="487">
        <f>SUM(M233:M282)</f>
        <v>0</v>
      </c>
      <c r="N283" s="487">
        <f>SUM(N233:N282)</f>
        <v>0</v>
      </c>
      <c r="O283" s="487">
        <f>SUM(O233:O282)</f>
        <v>0</v>
      </c>
      <c r="P283" s="487">
        <f>SUM(P233:P282)</f>
        <v>0</v>
      </c>
      <c r="Q283" s="487">
        <f>SUM(Q233:Q282)</f>
        <v>0</v>
      </c>
    </row>
    <row r="284" spans="1:58" s="237" customFormat="1" ht="15" customHeight="1" x14ac:dyDescent="0.25">
      <c r="A284" s="363"/>
      <c r="B284" s="388"/>
      <c r="C284" s="373"/>
      <c r="D284" s="442"/>
      <c r="E284" s="442"/>
      <c r="F284" s="373"/>
      <c r="G284" s="373"/>
      <c r="H284" s="373"/>
      <c r="I284" s="373"/>
      <c r="J284" s="373"/>
      <c r="K284" s="373"/>
      <c r="L284" s="373"/>
      <c r="M284" s="373"/>
      <c r="N284" s="373"/>
      <c r="O284" s="373"/>
      <c r="P284" s="373"/>
      <c r="Q284" s="373"/>
      <c r="R284" s="373"/>
      <c r="S284" s="373"/>
      <c r="T284" s="373"/>
      <c r="U284" s="373"/>
      <c r="V284" s="363"/>
      <c r="W284" s="373"/>
      <c r="X284" s="373"/>
      <c r="Z284" s="373"/>
      <c r="AA284" s="373"/>
      <c r="AB284" s="373"/>
    </row>
    <row r="285" spans="1:58" s="463" customFormat="1" ht="18" customHeight="1" x14ac:dyDescent="0.3">
      <c r="A285" s="458"/>
      <c r="B285" s="358" t="s">
        <v>1888</v>
      </c>
      <c r="C285" s="459"/>
      <c r="D285" s="460"/>
      <c r="E285" s="460"/>
      <c r="F285" s="460"/>
      <c r="G285" s="461"/>
      <c r="H285" s="461"/>
      <c r="I285" s="461"/>
      <c r="J285" s="461"/>
      <c r="K285" s="461"/>
      <c r="L285" s="461"/>
      <c r="M285" s="461"/>
      <c r="N285" s="461"/>
      <c r="O285" s="461"/>
      <c r="P285" s="461"/>
      <c r="Q285" s="461"/>
      <c r="R285" s="461"/>
      <c r="S285" s="461"/>
      <c r="T285" s="461"/>
      <c r="U285" s="461"/>
      <c r="V285" s="461"/>
      <c r="W285" s="461"/>
      <c r="X285" s="461"/>
      <c r="Y285" s="461"/>
      <c r="Z285" s="461"/>
      <c r="AA285" s="461"/>
      <c r="AB285" s="461"/>
      <c r="AC285" s="461"/>
      <c r="AD285" s="461"/>
      <c r="AE285" s="461"/>
      <c r="AF285" s="461"/>
      <c r="AG285" s="461"/>
      <c r="AH285" s="461"/>
      <c r="AI285" s="461"/>
      <c r="AJ285" s="461"/>
      <c r="AK285" s="461"/>
      <c r="AL285" s="461"/>
      <c r="AM285" s="461"/>
      <c r="AN285" s="461"/>
      <c r="AO285" s="461"/>
      <c r="AP285" s="461"/>
      <c r="AQ285" s="461"/>
      <c r="AR285" s="461"/>
      <c r="AS285" s="461"/>
      <c r="AT285" s="461"/>
      <c r="AU285" s="461"/>
      <c r="AV285" s="461"/>
      <c r="AW285" s="461"/>
      <c r="AX285" s="461"/>
      <c r="AY285" s="461"/>
      <c r="AZ285" s="461"/>
      <c r="BA285" s="461"/>
      <c r="BB285" s="461"/>
      <c r="BC285" s="461"/>
      <c r="BD285" s="461"/>
      <c r="BE285" s="461"/>
      <c r="BF285" s="462"/>
    </row>
    <row r="286" spans="1:58" ht="15" customHeight="1" outlineLevel="1" x14ac:dyDescent="0.2">
      <c r="A286" s="339"/>
      <c r="B286" s="342"/>
      <c r="C286" s="416"/>
      <c r="D286" s="416"/>
      <c r="E286" s="416"/>
      <c r="F286" s="339"/>
      <c r="G286" s="339"/>
      <c r="H286" s="339"/>
      <c r="I286" s="339"/>
      <c r="J286" s="339"/>
      <c r="K286" s="339"/>
      <c r="L286" s="339"/>
      <c r="M286" s="339"/>
      <c r="N286" s="339"/>
      <c r="O286" s="339"/>
      <c r="P286" s="339"/>
      <c r="Q286" s="339"/>
      <c r="R286" s="339"/>
      <c r="AI286" s="339"/>
      <c r="AJ286" s="339"/>
      <c r="AK286" s="339"/>
      <c r="AL286" s="339"/>
      <c r="AM286" s="339"/>
      <c r="AO286" s="339"/>
      <c r="AP286" s="339"/>
      <c r="AQ286" s="339"/>
    </row>
    <row r="287" spans="1:58" ht="15" customHeight="1" outlineLevel="1" x14ac:dyDescent="0.2">
      <c r="A287" s="339"/>
      <c r="B287" s="469" t="s">
        <v>124</v>
      </c>
      <c r="C287" s="416"/>
      <c r="D287" s="416"/>
      <c r="E287" s="416"/>
      <c r="F287" s="339"/>
      <c r="G287" s="339"/>
      <c r="H287" s="339"/>
      <c r="I287" s="339"/>
      <c r="J287" s="339"/>
      <c r="K287" s="339"/>
      <c r="L287" s="339"/>
      <c r="M287" s="339"/>
      <c r="N287" s="339"/>
      <c r="O287" s="339"/>
      <c r="P287" s="339"/>
      <c r="Q287" s="339"/>
      <c r="R287" s="339"/>
      <c r="AI287" s="339"/>
      <c r="AJ287" s="339"/>
      <c r="AK287" s="339"/>
      <c r="AL287" s="339"/>
      <c r="AM287" s="339"/>
      <c r="AO287" s="339"/>
      <c r="AP287" s="339"/>
      <c r="AQ287" s="339"/>
    </row>
    <row r="288" spans="1:58" s="237" customFormat="1" ht="15" customHeight="1" outlineLevel="1" x14ac:dyDescent="0.25">
      <c r="A288" s="363"/>
      <c r="B288" s="449" t="s">
        <v>1887</v>
      </c>
      <c r="C288" s="442"/>
      <c r="D288" s="442"/>
      <c r="E288" s="442"/>
      <c r="F288" s="363"/>
      <c r="G288" s="363"/>
      <c r="H288" s="363"/>
      <c r="I288" s="363"/>
      <c r="J288" s="363"/>
      <c r="K288" s="363"/>
      <c r="L288" s="363"/>
      <c r="M288" s="363"/>
      <c r="N288" s="363"/>
      <c r="O288" s="363"/>
      <c r="P288" s="363"/>
      <c r="Q288" s="363"/>
      <c r="R288" s="363"/>
      <c r="AI288" s="363"/>
      <c r="AJ288" s="363"/>
      <c r="AK288" s="363"/>
      <c r="AL288" s="363"/>
      <c r="AM288" s="363"/>
      <c r="AO288" s="363"/>
      <c r="AP288" s="363"/>
      <c r="AQ288" s="363"/>
    </row>
    <row r="289" spans="1:43" s="237" customFormat="1" ht="15" customHeight="1" outlineLevel="1" x14ac:dyDescent="0.25">
      <c r="A289" s="363"/>
      <c r="B289" s="470" t="s">
        <v>1880</v>
      </c>
      <c r="C289" s="442"/>
      <c r="D289" s="442"/>
      <c r="E289" s="442"/>
      <c r="F289" s="363"/>
      <c r="G289" s="363"/>
      <c r="H289" s="363"/>
      <c r="I289" s="363"/>
      <c r="J289" s="363"/>
      <c r="K289" s="363"/>
      <c r="L289" s="363"/>
      <c r="M289" s="363"/>
      <c r="N289" s="363"/>
      <c r="O289" s="363"/>
      <c r="P289" s="363"/>
      <c r="Q289" s="363"/>
      <c r="R289" s="363"/>
      <c r="AI289" s="363"/>
      <c r="AJ289" s="363"/>
      <c r="AK289" s="363"/>
      <c r="AL289" s="363"/>
      <c r="AM289" s="363"/>
      <c r="AO289" s="363"/>
      <c r="AP289" s="363"/>
      <c r="AQ289" s="363"/>
    </row>
    <row r="290" spans="1:43" s="237" customFormat="1" ht="15" customHeight="1" outlineLevel="1" x14ac:dyDescent="0.25">
      <c r="A290" s="363"/>
      <c r="B290" s="471" t="s">
        <v>2119</v>
      </c>
      <c r="C290" s="442"/>
      <c r="D290" s="442"/>
      <c r="E290" s="442"/>
      <c r="F290" s="363"/>
      <c r="G290" s="363"/>
      <c r="H290" s="363"/>
      <c r="I290" s="363"/>
      <c r="J290" s="363"/>
      <c r="K290" s="363"/>
      <c r="L290" s="363"/>
      <c r="M290" s="363"/>
      <c r="N290" s="363"/>
      <c r="O290" s="363"/>
      <c r="P290" s="363"/>
      <c r="Q290" s="363"/>
      <c r="R290" s="363"/>
      <c r="AI290" s="363"/>
      <c r="AJ290" s="363"/>
      <c r="AK290" s="363"/>
      <c r="AL290" s="363"/>
      <c r="AM290" s="363"/>
      <c r="AO290" s="363"/>
      <c r="AP290" s="363"/>
      <c r="AQ290" s="363"/>
    </row>
    <row r="291" spans="1:43" s="237" customFormat="1" ht="15" customHeight="1" outlineLevel="1" x14ac:dyDescent="0.25">
      <c r="A291" s="363"/>
      <c r="B291" s="470" t="s">
        <v>1881</v>
      </c>
      <c r="C291" s="442"/>
      <c r="D291" s="442"/>
      <c r="E291" s="442"/>
      <c r="F291" s="363"/>
      <c r="G291" s="363"/>
      <c r="H291" s="363"/>
      <c r="I291" s="363"/>
      <c r="J291" s="363"/>
      <c r="K291" s="363"/>
      <c r="L291" s="363"/>
      <c r="M291" s="363"/>
      <c r="N291" s="363"/>
      <c r="O291" s="363"/>
      <c r="P291" s="363"/>
      <c r="Q291" s="363"/>
      <c r="R291" s="363"/>
      <c r="AI291" s="363"/>
      <c r="AJ291" s="363"/>
      <c r="AK291" s="363"/>
      <c r="AL291" s="363"/>
      <c r="AM291" s="363"/>
      <c r="AO291" s="363"/>
      <c r="AP291" s="363"/>
      <c r="AQ291" s="363"/>
    </row>
    <row r="292" spans="1:43" s="237" customFormat="1" ht="15" customHeight="1" outlineLevel="1" x14ac:dyDescent="0.25">
      <c r="A292" s="363"/>
      <c r="B292" s="206" t="s">
        <v>1340</v>
      </c>
      <c r="C292" s="442"/>
      <c r="D292" s="442"/>
      <c r="E292" s="442"/>
      <c r="F292" s="363"/>
      <c r="G292" s="363"/>
      <c r="H292" s="363"/>
      <c r="I292" s="363"/>
      <c r="J292" s="363"/>
      <c r="K292" s="363"/>
      <c r="L292" s="363"/>
      <c r="M292" s="363"/>
      <c r="N292" s="363"/>
      <c r="O292" s="363"/>
      <c r="P292" s="363"/>
      <c r="Q292" s="363"/>
      <c r="R292" s="363"/>
      <c r="AI292" s="363"/>
      <c r="AJ292" s="363"/>
      <c r="AK292" s="363"/>
      <c r="AL292" s="363"/>
      <c r="AM292" s="363"/>
      <c r="AO292" s="363"/>
      <c r="AP292" s="363"/>
      <c r="AQ292" s="363"/>
    </row>
    <row r="293" spans="1:43" s="237" customFormat="1" ht="15" customHeight="1" outlineLevel="1" x14ac:dyDescent="0.25">
      <c r="A293" s="363"/>
      <c r="B293" s="206" t="s">
        <v>1882</v>
      </c>
      <c r="C293" s="442"/>
      <c r="D293" s="442"/>
      <c r="E293" s="442"/>
      <c r="F293" s="363"/>
      <c r="G293" s="363"/>
      <c r="H293" s="363"/>
      <c r="I293" s="363"/>
      <c r="J293" s="363"/>
      <c r="K293" s="363"/>
      <c r="L293" s="363"/>
      <c r="M293" s="363"/>
      <c r="N293" s="363"/>
      <c r="O293" s="363"/>
      <c r="P293" s="363"/>
      <c r="Q293" s="363"/>
      <c r="R293" s="363"/>
      <c r="AI293" s="363"/>
      <c r="AJ293" s="363"/>
      <c r="AK293" s="363"/>
      <c r="AL293" s="363"/>
      <c r="AM293" s="363"/>
      <c r="AO293" s="363"/>
      <c r="AP293" s="363"/>
      <c r="AQ293" s="363"/>
    </row>
    <row r="294" spans="1:43" s="237" customFormat="1" ht="15" customHeight="1" outlineLevel="1" x14ac:dyDescent="0.25">
      <c r="A294" s="363"/>
      <c r="B294" s="481"/>
      <c r="C294" s="442"/>
      <c r="D294" s="442"/>
      <c r="E294" s="442"/>
      <c r="F294" s="363"/>
      <c r="G294" s="363"/>
      <c r="H294" s="363"/>
      <c r="I294" s="363"/>
      <c r="J294" s="363"/>
      <c r="K294" s="363"/>
      <c r="L294" s="363"/>
      <c r="M294" s="363"/>
      <c r="N294" s="363"/>
      <c r="O294" s="363"/>
      <c r="P294" s="363"/>
      <c r="Q294" s="363"/>
      <c r="R294" s="363"/>
      <c r="AI294" s="363"/>
      <c r="AJ294" s="363"/>
      <c r="AK294" s="363"/>
      <c r="AL294" s="363"/>
      <c r="AM294" s="363"/>
      <c r="AO294" s="363"/>
      <c r="AP294" s="363"/>
      <c r="AQ294" s="363"/>
    </row>
    <row r="295" spans="1:43" s="237" customFormat="1" ht="15" customHeight="1" outlineLevel="1" x14ac:dyDescent="0.25">
      <c r="A295" s="363"/>
      <c r="B295" s="468" t="s">
        <v>1886</v>
      </c>
      <c r="C295" s="442"/>
      <c r="D295" s="442"/>
      <c r="E295" s="442"/>
      <c r="F295" s="363"/>
      <c r="G295" s="363"/>
      <c r="H295" s="363"/>
      <c r="I295" s="363"/>
      <c r="J295" s="363"/>
      <c r="K295" s="363"/>
      <c r="L295" s="363"/>
      <c r="M295" s="363"/>
      <c r="N295" s="363"/>
      <c r="O295" s="363"/>
      <c r="P295" s="363"/>
      <c r="Q295" s="363"/>
      <c r="R295" s="363"/>
      <c r="AI295" s="363"/>
      <c r="AJ295" s="363"/>
      <c r="AK295" s="363"/>
      <c r="AL295" s="363"/>
      <c r="AM295" s="363"/>
      <c r="AO295" s="363"/>
      <c r="AP295" s="363"/>
      <c r="AQ295" s="363"/>
    </row>
    <row r="296" spans="1:43" s="237" customFormat="1" ht="15" customHeight="1" outlineLevel="1" x14ac:dyDescent="0.25">
      <c r="A296" s="363"/>
      <c r="B296" s="1267" t="s">
        <v>1531</v>
      </c>
      <c r="C296" s="1267" t="s">
        <v>1868</v>
      </c>
      <c r="D296" s="1267" t="s">
        <v>1577</v>
      </c>
      <c r="E296" s="1267"/>
      <c r="F296" s="1249" t="s">
        <v>1743</v>
      </c>
      <c r="G296" s="1249" t="s">
        <v>1742</v>
      </c>
      <c r="H296" s="1249" t="s">
        <v>1861</v>
      </c>
      <c r="I296" s="1249" t="s">
        <v>1862</v>
      </c>
      <c r="J296" s="1267" t="s">
        <v>588</v>
      </c>
      <c r="K296" s="1267"/>
      <c r="L296" s="1267"/>
      <c r="M296" s="1249" t="s">
        <v>1408</v>
      </c>
      <c r="N296" s="1249" t="s">
        <v>1409</v>
      </c>
      <c r="O296" s="1249" t="s">
        <v>1410</v>
      </c>
      <c r="P296" s="1249" t="s">
        <v>1411</v>
      </c>
      <c r="Q296" s="1267" t="s">
        <v>1530</v>
      </c>
    </row>
    <row r="297" spans="1:43" s="237" customFormat="1" ht="15" customHeight="1" outlineLevel="1" x14ac:dyDescent="0.25">
      <c r="A297" s="363"/>
      <c r="B297" s="1267"/>
      <c r="C297" s="1267"/>
      <c r="D297" s="1267"/>
      <c r="E297" s="1267"/>
      <c r="F297" s="1266"/>
      <c r="G297" s="1266"/>
      <c r="H297" s="1266"/>
      <c r="I297" s="1266"/>
      <c r="J297" s="1267"/>
      <c r="K297" s="1267"/>
      <c r="L297" s="1267"/>
      <c r="M297" s="1266"/>
      <c r="N297" s="1266"/>
      <c r="O297" s="1266"/>
      <c r="P297" s="1266"/>
      <c r="Q297" s="1267"/>
    </row>
    <row r="298" spans="1:43" s="237" customFormat="1" ht="23.25" customHeight="1" outlineLevel="1" x14ac:dyDescent="0.25">
      <c r="A298" s="363"/>
      <c r="B298" s="1267"/>
      <c r="C298" s="1267"/>
      <c r="D298" s="1267"/>
      <c r="E298" s="1267"/>
      <c r="F298" s="1250"/>
      <c r="G298" s="1250"/>
      <c r="H298" s="1250"/>
      <c r="I298" s="1250"/>
      <c r="J298" s="426" t="s">
        <v>1394</v>
      </c>
      <c r="K298" s="426" t="s">
        <v>1863</v>
      </c>
      <c r="L298" s="426" t="s">
        <v>1864</v>
      </c>
      <c r="M298" s="1250"/>
      <c r="N298" s="1250"/>
      <c r="O298" s="1250"/>
      <c r="P298" s="1250"/>
      <c r="Q298" s="1267"/>
    </row>
    <row r="299" spans="1:43" s="237" customFormat="1" ht="15" customHeight="1" outlineLevel="1" x14ac:dyDescent="0.25">
      <c r="A299" s="427" t="s">
        <v>606</v>
      </c>
      <c r="B299" s="444" t="s">
        <v>611</v>
      </c>
      <c r="C299" s="1107" t="s">
        <v>92</v>
      </c>
      <c r="D299" s="1281" t="s">
        <v>1709</v>
      </c>
      <c r="E299" s="1282"/>
      <c r="F299" s="482">
        <v>1000</v>
      </c>
      <c r="G299" s="482">
        <v>1000</v>
      </c>
      <c r="H299" s="482"/>
      <c r="I299" s="483" t="s">
        <v>1539</v>
      </c>
      <c r="J299" s="484">
        <v>0.17</v>
      </c>
      <c r="K299" s="488">
        <v>1.7617950000000003E-5</v>
      </c>
      <c r="L299" s="488">
        <v>7.0471800000000012E-5</v>
      </c>
      <c r="M299" s="484">
        <v>171.47</v>
      </c>
      <c r="N299" s="484">
        <v>1.0394590500000002E-4</v>
      </c>
      <c r="O299" s="484">
        <v>4.157836200000001E-4</v>
      </c>
      <c r="P299" s="488">
        <v>171.47</v>
      </c>
      <c r="Q299" s="484">
        <v>0</v>
      </c>
    </row>
    <row r="300" spans="1:43" s="237" customFormat="1" ht="15" customHeight="1" outlineLevel="1" x14ac:dyDescent="0.25">
      <c r="A300" s="363"/>
      <c r="B300" s="435"/>
      <c r="C300" s="435"/>
      <c r="D300" s="1268"/>
      <c r="E300" s="1268"/>
      <c r="F300" s="438"/>
      <c r="G300" s="438"/>
      <c r="H300" s="438"/>
      <c r="I300" s="1020" t="str">
        <f>IF(OR(D300="",D300="-"),"",VLOOKUP(D300,'Fatores de Emissão'!$D$209:$K$219,4,FALSE))</f>
        <v/>
      </c>
      <c r="J300" s="1111" t="str">
        <f>IF(OR(D300="",D300="-"),"",VLOOKUP(D300,'Fatores de Emissão'!$D$209:$K$219,3,FALSE))</f>
        <v/>
      </c>
      <c r="K300" s="1111" t="str">
        <f>IF(OR(D300="",D300="-"),"",VLOOKUP(D300,'Fatores de Emissão'!$D$209:$K$219,5,FALSE))</f>
        <v/>
      </c>
      <c r="L300" s="1111" t="str">
        <f>IF(OR(D300="",D300="-"),"",VLOOKUP(D300,'Fatores de Emissão'!$D$209:$K$219,7,FALSE))</f>
        <v/>
      </c>
      <c r="M300" s="478" t="str">
        <f>IF($D300="","",IF($I300="kg/p.km",$F300*1.08*$G300*J300/1000,$F300*1.08*$H300*J300/1000))</f>
        <v/>
      </c>
      <c r="N300" s="478" t="str">
        <f>IF($D300="","",IF($I300="kg/p.km",$F300*1.08*$G300*K300/1000,$F300*1.08*$H300*K300/1000))</f>
        <v/>
      </c>
      <c r="O300" s="478" t="str">
        <f>IF($D300="","",IF($I300="kg/p.km",$F300*1.08*$G300*L300/1000,$F300*1.08*$H300*L300/1000))</f>
        <v/>
      </c>
      <c r="P300" s="441" t="str">
        <f>IF(ISERR(M300*gwp_CO2+N300*gwp_CH4+O300*gwp_N2O),"",M300*gwp_CO2+N300*gwp_CH4+O300*gwp_N2O)</f>
        <v/>
      </c>
      <c r="Q300" s="440"/>
    </row>
    <row r="301" spans="1:43" s="237" customFormat="1" ht="15" customHeight="1" outlineLevel="1" x14ac:dyDescent="0.25">
      <c r="A301" s="363"/>
      <c r="B301" s="435"/>
      <c r="C301" s="435"/>
      <c r="D301" s="1268"/>
      <c r="E301" s="1268"/>
      <c r="F301" s="438"/>
      <c r="G301" s="438"/>
      <c r="H301" s="438"/>
      <c r="I301" s="1020" t="str">
        <f>IF(OR(D301="",D301="-"),"",VLOOKUP(D301,'Fatores de Emissão'!$D$209:$K$219,4,FALSE))</f>
        <v/>
      </c>
      <c r="J301" s="1111" t="str">
        <f>IF(OR(D301="",D301="-"),"",VLOOKUP(D301,'Fatores de Emissão'!$D$209:$K$219,3,FALSE))</f>
        <v/>
      </c>
      <c r="K301" s="1111" t="str">
        <f>IF(OR(D301="",D301="-"),"",VLOOKUP(D301,'Fatores de Emissão'!$D$209:$K$219,5,FALSE))</f>
        <v/>
      </c>
      <c r="L301" s="1111" t="str">
        <f>IF(OR(D301="",D301="-"),"",VLOOKUP(D301,'Fatores de Emissão'!$D$209:$K$219,7,FALSE))</f>
        <v/>
      </c>
      <c r="M301" s="478" t="str">
        <f t="shared" ref="M301:M326" si="31">IF($D301="","",IF($I301="kg/p.km",$F301*1.08*$G301*J301/1000,$F301*1.08*$H301*J301/1000))</f>
        <v/>
      </c>
      <c r="N301" s="478" t="str">
        <f t="shared" ref="N301:N326" si="32">IF($D301="","",IF($I301="kg/p.km",$F301*1.08*$G301*K301/1000,$F301*1.08*$H301*K301/1000))</f>
        <v/>
      </c>
      <c r="O301" s="478" t="str">
        <f t="shared" ref="O301:O326" si="33">IF($D301="","",IF($I301="kg/p.km",$F301*1.08*$G301*L301/1000,$F301*1.08*$H301*L301/1000))</f>
        <v/>
      </c>
      <c r="P301" s="441" t="str">
        <f t="shared" ref="P301:P349" si="34">IF(ISERR(M301*gwp_CO2+N301*gwp_CH4+O301*gwp_N2O),"",M301*gwp_CO2+N301*gwp_CH4+O301*gwp_N2O)</f>
        <v/>
      </c>
      <c r="Q301" s="440"/>
    </row>
    <row r="302" spans="1:43" s="237" customFormat="1" ht="15" customHeight="1" outlineLevel="1" x14ac:dyDescent="0.25">
      <c r="A302" s="363"/>
      <c r="B302" s="435"/>
      <c r="C302" s="435"/>
      <c r="D302" s="1268"/>
      <c r="E302" s="1268"/>
      <c r="F302" s="438"/>
      <c r="G302" s="438"/>
      <c r="H302" s="438"/>
      <c r="I302" s="1020" t="str">
        <f>IF(OR(D302="",D302="-"),"",VLOOKUP(D302,'Fatores de Emissão'!$D$209:$K$219,4,FALSE))</f>
        <v/>
      </c>
      <c r="J302" s="1111" t="str">
        <f>IF(OR(D302="",D302="-"),"",VLOOKUP(D302,'Fatores de Emissão'!$D$209:$K$219,3,FALSE))</f>
        <v/>
      </c>
      <c r="K302" s="1111" t="str">
        <f>IF(OR(D302="",D302="-"),"",VLOOKUP(D302,'Fatores de Emissão'!$D$209:$K$219,5,FALSE))</f>
        <v/>
      </c>
      <c r="L302" s="1111" t="str">
        <f>IF(OR(D302="",D302="-"),"",VLOOKUP(D302,'Fatores de Emissão'!$D$209:$K$219,7,FALSE))</f>
        <v/>
      </c>
      <c r="M302" s="478" t="str">
        <f t="shared" si="31"/>
        <v/>
      </c>
      <c r="N302" s="478" t="str">
        <f t="shared" si="32"/>
        <v/>
      </c>
      <c r="O302" s="478" t="str">
        <f t="shared" si="33"/>
        <v/>
      </c>
      <c r="P302" s="441" t="str">
        <f t="shared" si="34"/>
        <v/>
      </c>
      <c r="Q302" s="440"/>
    </row>
    <row r="303" spans="1:43" s="237" customFormat="1" ht="15" customHeight="1" outlineLevel="1" x14ac:dyDescent="0.25">
      <c r="A303" s="363"/>
      <c r="B303" s="435"/>
      <c r="C303" s="435"/>
      <c r="D303" s="1268"/>
      <c r="E303" s="1268"/>
      <c r="F303" s="438"/>
      <c r="G303" s="438"/>
      <c r="H303" s="438"/>
      <c r="I303" s="1020" t="str">
        <f>IF(OR(D303="",D303="-"),"",VLOOKUP(D303,'Fatores de Emissão'!$D$209:$K$219,4,FALSE))</f>
        <v/>
      </c>
      <c r="J303" s="1111" t="str">
        <f>IF(OR(D303="",D303="-"),"",VLOOKUP(D303,'Fatores de Emissão'!$D$209:$K$219,3,FALSE))</f>
        <v/>
      </c>
      <c r="K303" s="1111" t="str">
        <f>IF(OR(D303="",D303="-"),"",VLOOKUP(D303,'Fatores de Emissão'!$D$209:$K$219,5,FALSE))</f>
        <v/>
      </c>
      <c r="L303" s="1111" t="str">
        <f>IF(OR(D303="",D303="-"),"",VLOOKUP(D303,'Fatores de Emissão'!$D$209:$K$219,7,FALSE))</f>
        <v/>
      </c>
      <c r="M303" s="478" t="str">
        <f t="shared" si="31"/>
        <v/>
      </c>
      <c r="N303" s="478" t="str">
        <f t="shared" si="32"/>
        <v/>
      </c>
      <c r="O303" s="478" t="str">
        <f t="shared" si="33"/>
        <v/>
      </c>
      <c r="P303" s="441" t="str">
        <f t="shared" si="34"/>
        <v/>
      </c>
      <c r="Q303" s="440"/>
    </row>
    <row r="304" spans="1:43" s="237" customFormat="1" ht="15" customHeight="1" outlineLevel="1" x14ac:dyDescent="0.25">
      <c r="A304" s="363"/>
      <c r="B304" s="435"/>
      <c r="C304" s="435"/>
      <c r="D304" s="1268"/>
      <c r="E304" s="1268"/>
      <c r="F304" s="438"/>
      <c r="G304" s="438"/>
      <c r="H304" s="438"/>
      <c r="I304" s="1020" t="str">
        <f>IF(OR(D304="",D304="-"),"",VLOOKUP(D304,'Fatores de Emissão'!$D$209:$K$219,4,FALSE))</f>
        <v/>
      </c>
      <c r="J304" s="1111" t="str">
        <f>IF(OR(D304="",D304="-"),"",VLOOKUP(D304,'Fatores de Emissão'!$D$209:$K$219,3,FALSE))</f>
        <v/>
      </c>
      <c r="K304" s="1111" t="str">
        <f>IF(OR(D304="",D304="-"),"",VLOOKUP(D304,'Fatores de Emissão'!$D$209:$K$219,5,FALSE))</f>
        <v/>
      </c>
      <c r="L304" s="1111" t="str">
        <f>IF(OR(D304="",D304="-"),"",VLOOKUP(D304,'Fatores de Emissão'!$D$209:$K$219,7,FALSE))</f>
        <v/>
      </c>
      <c r="M304" s="478" t="str">
        <f t="shared" si="31"/>
        <v/>
      </c>
      <c r="N304" s="478" t="str">
        <f t="shared" si="32"/>
        <v/>
      </c>
      <c r="O304" s="478" t="str">
        <f t="shared" si="33"/>
        <v/>
      </c>
      <c r="P304" s="441" t="str">
        <f t="shared" si="34"/>
        <v/>
      </c>
      <c r="Q304" s="440"/>
    </row>
    <row r="305" spans="1:17" s="237" customFormat="1" ht="15" customHeight="1" outlineLevel="1" x14ac:dyDescent="0.25">
      <c r="A305" s="363"/>
      <c r="B305" s="435"/>
      <c r="C305" s="435"/>
      <c r="D305" s="1268"/>
      <c r="E305" s="1268"/>
      <c r="F305" s="438"/>
      <c r="G305" s="438"/>
      <c r="H305" s="438"/>
      <c r="I305" s="1020" t="str">
        <f>IF(OR(D305="",D305="-"),"",VLOOKUP(D305,'Fatores de Emissão'!$D$209:$K$219,4,FALSE))</f>
        <v/>
      </c>
      <c r="J305" s="1111" t="str">
        <f>IF(OR(D305="",D305="-"),"",VLOOKUP(D305,'Fatores de Emissão'!$D$209:$K$219,3,FALSE))</f>
        <v/>
      </c>
      <c r="K305" s="1111" t="str">
        <f>IF(OR(D305="",D305="-"),"",VLOOKUP(D305,'Fatores de Emissão'!$D$209:$K$219,5,FALSE))</f>
        <v/>
      </c>
      <c r="L305" s="1111" t="str">
        <f>IF(OR(D305="",D305="-"),"",VLOOKUP(D305,'Fatores de Emissão'!$D$209:$K$219,7,FALSE))</f>
        <v/>
      </c>
      <c r="M305" s="478" t="str">
        <f t="shared" si="31"/>
        <v/>
      </c>
      <c r="N305" s="478" t="str">
        <f t="shared" si="32"/>
        <v/>
      </c>
      <c r="O305" s="478" t="str">
        <f t="shared" si="33"/>
        <v/>
      </c>
      <c r="P305" s="441" t="str">
        <f t="shared" si="34"/>
        <v/>
      </c>
      <c r="Q305" s="440"/>
    </row>
    <row r="306" spans="1:17" s="237" customFormat="1" ht="15" customHeight="1" outlineLevel="1" x14ac:dyDescent="0.25">
      <c r="A306" s="363"/>
      <c r="B306" s="435"/>
      <c r="C306" s="435"/>
      <c r="D306" s="1268"/>
      <c r="E306" s="1268"/>
      <c r="F306" s="438"/>
      <c r="G306" s="438"/>
      <c r="H306" s="438"/>
      <c r="I306" s="1020" t="str">
        <f>IF(OR(D306="",D306="-"),"",VLOOKUP(D306,'Fatores de Emissão'!$D$209:$K$219,4,FALSE))</f>
        <v/>
      </c>
      <c r="J306" s="1111" t="str">
        <f>IF(OR(D306="",D306="-"),"",VLOOKUP(D306,'Fatores de Emissão'!$D$209:$K$219,3,FALSE))</f>
        <v/>
      </c>
      <c r="K306" s="1111" t="str">
        <f>IF(OR(D306="",D306="-"),"",VLOOKUP(D306,'Fatores de Emissão'!$D$209:$K$219,5,FALSE))</f>
        <v/>
      </c>
      <c r="L306" s="1111" t="str">
        <f>IF(OR(D306="",D306="-"),"",VLOOKUP(D306,'Fatores de Emissão'!$D$209:$K$219,7,FALSE))</f>
        <v/>
      </c>
      <c r="M306" s="478" t="str">
        <f t="shared" si="31"/>
        <v/>
      </c>
      <c r="N306" s="478" t="str">
        <f t="shared" si="32"/>
        <v/>
      </c>
      <c r="O306" s="478" t="str">
        <f t="shared" si="33"/>
        <v/>
      </c>
      <c r="P306" s="441" t="str">
        <f t="shared" si="34"/>
        <v/>
      </c>
      <c r="Q306" s="440"/>
    </row>
    <row r="307" spans="1:17" s="237" customFormat="1" ht="15" customHeight="1" outlineLevel="1" x14ac:dyDescent="0.25">
      <c r="A307" s="363"/>
      <c r="B307" s="435"/>
      <c r="C307" s="435"/>
      <c r="D307" s="1268"/>
      <c r="E307" s="1268"/>
      <c r="F307" s="438"/>
      <c r="G307" s="438"/>
      <c r="H307" s="438"/>
      <c r="I307" s="1020" t="str">
        <f>IF(OR(D307="",D307="-"),"",VLOOKUP(D307,'Fatores de Emissão'!$D$209:$K$219,4,FALSE))</f>
        <v/>
      </c>
      <c r="J307" s="1111" t="str">
        <f>IF(OR(D307="",D307="-"),"",VLOOKUP(D307,'Fatores de Emissão'!$D$209:$K$219,3,FALSE))</f>
        <v/>
      </c>
      <c r="K307" s="1111" t="str">
        <f>IF(OR(D307="",D307="-"),"",VLOOKUP(D307,'Fatores de Emissão'!$D$209:$K$219,5,FALSE))</f>
        <v/>
      </c>
      <c r="L307" s="1111" t="str">
        <f>IF(OR(D307="",D307="-"),"",VLOOKUP(D307,'Fatores de Emissão'!$D$209:$K$219,7,FALSE))</f>
        <v/>
      </c>
      <c r="M307" s="478" t="str">
        <f t="shared" si="31"/>
        <v/>
      </c>
      <c r="N307" s="478" t="str">
        <f t="shared" si="32"/>
        <v/>
      </c>
      <c r="O307" s="478" t="str">
        <f t="shared" si="33"/>
        <v/>
      </c>
      <c r="P307" s="441" t="str">
        <f t="shared" si="34"/>
        <v/>
      </c>
      <c r="Q307" s="440"/>
    </row>
    <row r="308" spans="1:17" s="237" customFormat="1" ht="15" customHeight="1" outlineLevel="1" x14ac:dyDescent="0.25">
      <c r="A308" s="363"/>
      <c r="B308" s="435"/>
      <c r="C308" s="435"/>
      <c r="D308" s="1268"/>
      <c r="E308" s="1268"/>
      <c r="F308" s="438"/>
      <c r="G308" s="438"/>
      <c r="H308" s="438"/>
      <c r="I308" s="1020" t="str">
        <f>IF(OR(D308="",D308="-"),"",VLOOKUP(D308,'Fatores de Emissão'!$D$209:$K$219,4,FALSE))</f>
        <v/>
      </c>
      <c r="J308" s="1111" t="str">
        <f>IF(OR(D308="",D308="-"),"",VLOOKUP(D308,'Fatores de Emissão'!$D$209:$K$219,3,FALSE))</f>
        <v/>
      </c>
      <c r="K308" s="1111" t="str">
        <f>IF(OR(D308="",D308="-"),"",VLOOKUP(D308,'Fatores de Emissão'!$D$209:$K$219,5,FALSE))</f>
        <v/>
      </c>
      <c r="L308" s="1111" t="str">
        <f>IF(OR(D308="",D308="-"),"",VLOOKUP(D308,'Fatores de Emissão'!$D$209:$K$219,7,FALSE))</f>
        <v/>
      </c>
      <c r="M308" s="478" t="str">
        <f t="shared" si="31"/>
        <v/>
      </c>
      <c r="N308" s="478" t="str">
        <f t="shared" si="32"/>
        <v/>
      </c>
      <c r="O308" s="478" t="str">
        <f t="shared" si="33"/>
        <v/>
      </c>
      <c r="P308" s="441" t="str">
        <f t="shared" si="34"/>
        <v/>
      </c>
      <c r="Q308" s="440"/>
    </row>
    <row r="309" spans="1:17" s="237" customFormat="1" ht="15" customHeight="1" outlineLevel="1" collapsed="1" x14ac:dyDescent="0.25">
      <c r="A309" s="363"/>
      <c r="B309" s="435"/>
      <c r="C309" s="435"/>
      <c r="D309" s="1268"/>
      <c r="E309" s="1268"/>
      <c r="F309" s="438"/>
      <c r="G309" s="438"/>
      <c r="H309" s="438"/>
      <c r="I309" s="1020" t="str">
        <f>IF(OR(D309="",D309="-"),"",VLOOKUP(D309,'Fatores de Emissão'!$D$209:$K$219,4,FALSE))</f>
        <v/>
      </c>
      <c r="J309" s="1111" t="str">
        <f>IF(OR(D309="",D309="-"),"",VLOOKUP(D309,'Fatores de Emissão'!$D$209:$K$219,3,FALSE))</f>
        <v/>
      </c>
      <c r="K309" s="1111" t="str">
        <f>IF(OR(D309="",D309="-"),"",VLOOKUP(D309,'Fatores de Emissão'!$D$209:$K$219,5,FALSE))</f>
        <v/>
      </c>
      <c r="L309" s="1111" t="str">
        <f>IF(OR(D309="",D309="-"),"",VLOOKUP(D309,'Fatores de Emissão'!$D$209:$K$219,7,FALSE))</f>
        <v/>
      </c>
      <c r="M309" s="478" t="str">
        <f t="shared" si="31"/>
        <v/>
      </c>
      <c r="N309" s="478" t="str">
        <f t="shared" si="32"/>
        <v/>
      </c>
      <c r="O309" s="478" t="str">
        <f t="shared" si="33"/>
        <v/>
      </c>
      <c r="P309" s="441" t="str">
        <f t="shared" si="34"/>
        <v/>
      </c>
      <c r="Q309" s="440"/>
    </row>
    <row r="310" spans="1:17" s="237" customFormat="1" ht="15" hidden="1" customHeight="1" outlineLevel="2" x14ac:dyDescent="0.25">
      <c r="A310" s="363"/>
      <c r="B310" s="435"/>
      <c r="C310" s="435"/>
      <c r="D310" s="1268"/>
      <c r="E310" s="1268"/>
      <c r="F310" s="438"/>
      <c r="G310" s="438"/>
      <c r="H310" s="438"/>
      <c r="I310" s="1020" t="str">
        <f>IF(OR(D310="",D310="-"),"",VLOOKUP(D310,'Fatores de Emissão'!$D$209:$K$219,4,FALSE))</f>
        <v/>
      </c>
      <c r="J310" s="1111" t="str">
        <f>IF(OR(D310="",D310="-"),"",VLOOKUP(D310,'Fatores de Emissão'!$D$209:$K$219,3,FALSE))</f>
        <v/>
      </c>
      <c r="K310" s="1111" t="str">
        <f>IF(OR(D310="",D310="-"),"",VLOOKUP(D310,'Fatores de Emissão'!$D$209:$K$219,5,FALSE))</f>
        <v/>
      </c>
      <c r="L310" s="1111" t="str">
        <f>IF(OR(D310="",D310="-"),"",VLOOKUP(D310,'Fatores de Emissão'!$D$209:$K$219,7,FALSE))</f>
        <v/>
      </c>
      <c r="M310" s="478" t="str">
        <f t="shared" si="31"/>
        <v/>
      </c>
      <c r="N310" s="478" t="str">
        <f t="shared" si="32"/>
        <v/>
      </c>
      <c r="O310" s="478" t="str">
        <f t="shared" si="33"/>
        <v/>
      </c>
      <c r="P310" s="441" t="str">
        <f t="shared" si="34"/>
        <v/>
      </c>
      <c r="Q310" s="440"/>
    </row>
    <row r="311" spans="1:17" s="237" customFormat="1" ht="15" hidden="1" customHeight="1" outlineLevel="2" x14ac:dyDescent="0.25">
      <c r="A311" s="363"/>
      <c r="B311" s="435"/>
      <c r="C311" s="435"/>
      <c r="D311" s="1268"/>
      <c r="E311" s="1268"/>
      <c r="F311" s="438"/>
      <c r="G311" s="438"/>
      <c r="H311" s="438"/>
      <c r="I311" s="1020" t="str">
        <f>IF(OR(D311="",D311="-"),"",VLOOKUP(D311,'Fatores de Emissão'!$D$209:$K$219,4,FALSE))</f>
        <v/>
      </c>
      <c r="J311" s="1111" t="str">
        <f>IF(OR(D311="",D311="-"),"",VLOOKUP(D311,'Fatores de Emissão'!$D$209:$K$219,3,FALSE))</f>
        <v/>
      </c>
      <c r="K311" s="1111" t="str">
        <f>IF(OR(D311="",D311="-"),"",VLOOKUP(D311,'Fatores de Emissão'!$D$209:$K$219,5,FALSE))</f>
        <v/>
      </c>
      <c r="L311" s="1111" t="str">
        <f>IF(OR(D311="",D311="-"),"",VLOOKUP(D311,'Fatores de Emissão'!$D$209:$K$219,7,FALSE))</f>
        <v/>
      </c>
      <c r="M311" s="478" t="str">
        <f t="shared" si="31"/>
        <v/>
      </c>
      <c r="N311" s="478" t="str">
        <f t="shared" si="32"/>
        <v/>
      </c>
      <c r="O311" s="478" t="str">
        <f t="shared" si="33"/>
        <v/>
      </c>
      <c r="P311" s="441" t="str">
        <f t="shared" si="34"/>
        <v/>
      </c>
      <c r="Q311" s="440"/>
    </row>
    <row r="312" spans="1:17" s="237" customFormat="1" ht="15" hidden="1" customHeight="1" outlineLevel="2" x14ac:dyDescent="0.25">
      <c r="A312" s="363"/>
      <c r="B312" s="435"/>
      <c r="C312" s="435"/>
      <c r="D312" s="1268"/>
      <c r="E312" s="1268"/>
      <c r="F312" s="438"/>
      <c r="G312" s="438"/>
      <c r="H312" s="438"/>
      <c r="I312" s="1020" t="str">
        <f>IF(OR(D312="",D312="-"),"",VLOOKUP(D312,'Fatores de Emissão'!$D$209:$K$219,4,FALSE))</f>
        <v/>
      </c>
      <c r="J312" s="1111" t="str">
        <f>IF(OR(D312="",D312="-"),"",VLOOKUP(D312,'Fatores de Emissão'!$D$209:$K$219,3,FALSE))</f>
        <v/>
      </c>
      <c r="K312" s="1111" t="str">
        <f>IF(OR(D312="",D312="-"),"",VLOOKUP(D312,'Fatores de Emissão'!$D$209:$K$219,5,FALSE))</f>
        <v/>
      </c>
      <c r="L312" s="1111" t="str">
        <f>IF(OR(D312="",D312="-"),"",VLOOKUP(D312,'Fatores de Emissão'!$D$209:$K$219,7,FALSE))</f>
        <v/>
      </c>
      <c r="M312" s="478" t="str">
        <f t="shared" si="31"/>
        <v/>
      </c>
      <c r="N312" s="478" t="str">
        <f t="shared" si="32"/>
        <v/>
      </c>
      <c r="O312" s="478" t="str">
        <f t="shared" si="33"/>
        <v/>
      </c>
      <c r="P312" s="441" t="str">
        <f t="shared" si="34"/>
        <v/>
      </c>
      <c r="Q312" s="440"/>
    </row>
    <row r="313" spans="1:17" s="237" customFormat="1" ht="15" hidden="1" customHeight="1" outlineLevel="2" x14ac:dyDescent="0.25">
      <c r="A313" s="363"/>
      <c r="B313" s="435"/>
      <c r="C313" s="435"/>
      <c r="D313" s="1268"/>
      <c r="E313" s="1268"/>
      <c r="F313" s="438"/>
      <c r="G313" s="438"/>
      <c r="H313" s="438"/>
      <c r="I313" s="1020" t="str">
        <f>IF(OR(D313="",D313="-"),"",VLOOKUP(D313,'Fatores de Emissão'!$D$209:$K$219,4,FALSE))</f>
        <v/>
      </c>
      <c r="J313" s="1111" t="str">
        <f>IF(OR(D313="",D313="-"),"",VLOOKUP(D313,'Fatores de Emissão'!$D$209:$K$219,3,FALSE))</f>
        <v/>
      </c>
      <c r="K313" s="1111" t="str">
        <f>IF(OR(D313="",D313="-"),"",VLOOKUP(D313,'Fatores de Emissão'!$D$209:$K$219,5,FALSE))</f>
        <v/>
      </c>
      <c r="L313" s="1111" t="str">
        <f>IF(OR(D313="",D313="-"),"",VLOOKUP(D313,'Fatores de Emissão'!$D$209:$K$219,7,FALSE))</f>
        <v/>
      </c>
      <c r="M313" s="478" t="str">
        <f t="shared" si="31"/>
        <v/>
      </c>
      <c r="N313" s="478" t="str">
        <f t="shared" si="32"/>
        <v/>
      </c>
      <c r="O313" s="478" t="str">
        <f t="shared" si="33"/>
        <v/>
      </c>
      <c r="P313" s="441" t="str">
        <f t="shared" si="34"/>
        <v/>
      </c>
      <c r="Q313" s="440"/>
    </row>
    <row r="314" spans="1:17" s="237" customFormat="1" ht="15" hidden="1" customHeight="1" outlineLevel="2" x14ac:dyDescent="0.25">
      <c r="A314" s="363"/>
      <c r="B314" s="435"/>
      <c r="C314" s="435"/>
      <c r="D314" s="1268"/>
      <c r="E314" s="1268"/>
      <c r="F314" s="438"/>
      <c r="G314" s="438"/>
      <c r="H314" s="438"/>
      <c r="I314" s="1020" t="str">
        <f>IF(OR(D314="",D314="-"),"",VLOOKUP(D314,'Fatores de Emissão'!$D$209:$K$219,4,FALSE))</f>
        <v/>
      </c>
      <c r="J314" s="1111" t="str">
        <f>IF(OR(D314="",D314="-"),"",VLOOKUP(D314,'Fatores de Emissão'!$D$209:$K$219,3,FALSE))</f>
        <v/>
      </c>
      <c r="K314" s="1111" t="str">
        <f>IF(OR(D314="",D314="-"),"",VLOOKUP(D314,'Fatores de Emissão'!$D$209:$K$219,5,FALSE))</f>
        <v/>
      </c>
      <c r="L314" s="1111" t="str">
        <f>IF(OR(D314="",D314="-"),"",VLOOKUP(D314,'Fatores de Emissão'!$D$209:$K$219,7,FALSE))</f>
        <v/>
      </c>
      <c r="M314" s="478" t="str">
        <f t="shared" si="31"/>
        <v/>
      </c>
      <c r="N314" s="478" t="str">
        <f t="shared" si="32"/>
        <v/>
      </c>
      <c r="O314" s="478" t="str">
        <f t="shared" si="33"/>
        <v/>
      </c>
      <c r="P314" s="441" t="str">
        <f t="shared" si="34"/>
        <v/>
      </c>
      <c r="Q314" s="440"/>
    </row>
    <row r="315" spans="1:17" s="237" customFormat="1" ht="15" hidden="1" customHeight="1" outlineLevel="2" x14ac:dyDescent="0.25">
      <c r="A315" s="363"/>
      <c r="B315" s="435"/>
      <c r="C315" s="435"/>
      <c r="D315" s="1268"/>
      <c r="E315" s="1268"/>
      <c r="F315" s="438"/>
      <c r="G315" s="438"/>
      <c r="H315" s="438"/>
      <c r="I315" s="1020" t="str">
        <f>IF(OR(D315="",D315="-"),"",VLOOKUP(D315,'Fatores de Emissão'!$D$209:$K$219,4,FALSE))</f>
        <v/>
      </c>
      <c r="J315" s="1111" t="str">
        <f>IF(OR(D315="",D315="-"),"",VLOOKUP(D315,'Fatores de Emissão'!$D$209:$K$219,3,FALSE))</f>
        <v/>
      </c>
      <c r="K315" s="1111" t="str">
        <f>IF(OR(D315="",D315="-"),"",VLOOKUP(D315,'Fatores de Emissão'!$D$209:$K$219,5,FALSE))</f>
        <v/>
      </c>
      <c r="L315" s="1111" t="str">
        <f>IF(OR(D315="",D315="-"),"",VLOOKUP(D315,'Fatores de Emissão'!$D$209:$K$219,7,FALSE))</f>
        <v/>
      </c>
      <c r="M315" s="478" t="str">
        <f t="shared" si="31"/>
        <v/>
      </c>
      <c r="N315" s="478" t="str">
        <f t="shared" si="32"/>
        <v/>
      </c>
      <c r="O315" s="478" t="str">
        <f t="shared" si="33"/>
        <v/>
      </c>
      <c r="P315" s="441" t="str">
        <f t="shared" si="34"/>
        <v/>
      </c>
      <c r="Q315" s="440"/>
    </row>
    <row r="316" spans="1:17" s="237" customFormat="1" ht="15" hidden="1" customHeight="1" outlineLevel="2" x14ac:dyDescent="0.25">
      <c r="A316" s="363"/>
      <c r="B316" s="435"/>
      <c r="C316" s="435"/>
      <c r="D316" s="1268"/>
      <c r="E316" s="1268"/>
      <c r="F316" s="438"/>
      <c r="G316" s="438"/>
      <c r="H316" s="438"/>
      <c r="I316" s="1020" t="str">
        <f>IF(OR(D316="",D316="-"),"",VLOOKUP(D316,'Fatores de Emissão'!$D$209:$K$219,4,FALSE))</f>
        <v/>
      </c>
      <c r="J316" s="1111" t="str">
        <f>IF(OR(D316="",D316="-"),"",VLOOKUP(D316,'Fatores de Emissão'!$D$209:$K$219,3,FALSE))</f>
        <v/>
      </c>
      <c r="K316" s="1111" t="str">
        <f>IF(OR(D316="",D316="-"),"",VLOOKUP(D316,'Fatores de Emissão'!$D$209:$K$219,5,FALSE))</f>
        <v/>
      </c>
      <c r="L316" s="1111" t="str">
        <f>IF(OR(D316="",D316="-"),"",VLOOKUP(D316,'Fatores de Emissão'!$D$209:$K$219,7,FALSE))</f>
        <v/>
      </c>
      <c r="M316" s="478" t="str">
        <f t="shared" si="31"/>
        <v/>
      </c>
      <c r="N316" s="478" t="str">
        <f t="shared" si="32"/>
        <v/>
      </c>
      <c r="O316" s="478" t="str">
        <f t="shared" si="33"/>
        <v/>
      </c>
      <c r="P316" s="441" t="str">
        <f t="shared" si="34"/>
        <v/>
      </c>
      <c r="Q316" s="440"/>
    </row>
    <row r="317" spans="1:17" s="237" customFormat="1" ht="15" hidden="1" customHeight="1" outlineLevel="2" x14ac:dyDescent="0.25">
      <c r="A317" s="363"/>
      <c r="B317" s="435"/>
      <c r="C317" s="435"/>
      <c r="D317" s="1268"/>
      <c r="E317" s="1268"/>
      <c r="F317" s="438"/>
      <c r="G317" s="438"/>
      <c r="H317" s="438"/>
      <c r="I317" s="1020" t="str">
        <f>IF(OR(D317="",D317="-"),"",VLOOKUP(D317,'Fatores de Emissão'!$D$209:$K$219,4,FALSE))</f>
        <v/>
      </c>
      <c r="J317" s="1111" t="str">
        <f>IF(OR(D317="",D317="-"),"",VLOOKUP(D317,'Fatores de Emissão'!$D$209:$K$219,3,FALSE))</f>
        <v/>
      </c>
      <c r="K317" s="1111" t="str">
        <f>IF(OR(D317="",D317="-"),"",VLOOKUP(D317,'Fatores de Emissão'!$D$209:$K$219,5,FALSE))</f>
        <v/>
      </c>
      <c r="L317" s="1111" t="str">
        <f>IF(OR(D317="",D317="-"),"",VLOOKUP(D317,'Fatores de Emissão'!$D$209:$K$219,7,FALSE))</f>
        <v/>
      </c>
      <c r="M317" s="478" t="str">
        <f t="shared" si="31"/>
        <v/>
      </c>
      <c r="N317" s="478" t="str">
        <f t="shared" si="32"/>
        <v/>
      </c>
      <c r="O317" s="478" t="str">
        <f t="shared" si="33"/>
        <v/>
      </c>
      <c r="P317" s="441" t="str">
        <f t="shared" si="34"/>
        <v/>
      </c>
      <c r="Q317" s="440"/>
    </row>
    <row r="318" spans="1:17" s="237" customFormat="1" ht="15" hidden="1" customHeight="1" outlineLevel="2" x14ac:dyDescent="0.25">
      <c r="A318" s="363"/>
      <c r="B318" s="435"/>
      <c r="C318" s="435"/>
      <c r="D318" s="1268"/>
      <c r="E318" s="1268"/>
      <c r="F318" s="438"/>
      <c r="G318" s="438"/>
      <c r="H318" s="438"/>
      <c r="I318" s="1020" t="str">
        <f>IF(OR(D318="",D318="-"),"",VLOOKUP(D318,'Fatores de Emissão'!$D$209:$K$219,4,FALSE))</f>
        <v/>
      </c>
      <c r="J318" s="1111" t="str">
        <f>IF(OR(D318="",D318="-"),"",VLOOKUP(D318,'Fatores de Emissão'!$D$209:$K$219,3,FALSE))</f>
        <v/>
      </c>
      <c r="K318" s="1111" t="str">
        <f>IF(OR(D318="",D318="-"),"",VLOOKUP(D318,'Fatores de Emissão'!$D$209:$K$219,5,FALSE))</f>
        <v/>
      </c>
      <c r="L318" s="1111" t="str">
        <f>IF(OR(D318="",D318="-"),"",VLOOKUP(D318,'Fatores de Emissão'!$D$209:$K$219,7,FALSE))</f>
        <v/>
      </c>
      <c r="M318" s="478" t="str">
        <f t="shared" si="31"/>
        <v/>
      </c>
      <c r="N318" s="478" t="str">
        <f t="shared" si="32"/>
        <v/>
      </c>
      <c r="O318" s="478" t="str">
        <f t="shared" si="33"/>
        <v/>
      </c>
      <c r="P318" s="441" t="str">
        <f t="shared" si="34"/>
        <v/>
      </c>
      <c r="Q318" s="440"/>
    </row>
    <row r="319" spans="1:17" s="237" customFormat="1" ht="15" hidden="1" customHeight="1" outlineLevel="2" x14ac:dyDescent="0.25">
      <c r="A319" s="363"/>
      <c r="B319" s="435"/>
      <c r="C319" s="435"/>
      <c r="D319" s="1268"/>
      <c r="E319" s="1268"/>
      <c r="F319" s="438"/>
      <c r="G319" s="438"/>
      <c r="H319" s="438"/>
      <c r="I319" s="1020" t="str">
        <f>IF(OR(D319="",D319="-"),"",VLOOKUP(D319,'Fatores de Emissão'!$D$209:$K$219,4,FALSE))</f>
        <v/>
      </c>
      <c r="J319" s="1111" t="str">
        <f>IF(OR(D319="",D319="-"),"",VLOOKUP(D319,'Fatores de Emissão'!$D$209:$K$219,3,FALSE))</f>
        <v/>
      </c>
      <c r="K319" s="1111" t="str">
        <f>IF(OR(D319="",D319="-"),"",VLOOKUP(D319,'Fatores de Emissão'!$D$209:$K$219,5,FALSE))</f>
        <v/>
      </c>
      <c r="L319" s="1111" t="str">
        <f>IF(OR(D319="",D319="-"),"",VLOOKUP(D319,'Fatores de Emissão'!$D$209:$K$219,7,FALSE))</f>
        <v/>
      </c>
      <c r="M319" s="478" t="str">
        <f t="shared" si="31"/>
        <v/>
      </c>
      <c r="N319" s="478" t="str">
        <f t="shared" si="32"/>
        <v/>
      </c>
      <c r="O319" s="478" t="str">
        <f t="shared" si="33"/>
        <v/>
      </c>
      <c r="P319" s="441" t="str">
        <f t="shared" si="34"/>
        <v/>
      </c>
      <c r="Q319" s="440"/>
    </row>
    <row r="320" spans="1:17" s="237" customFormat="1" ht="15" hidden="1" customHeight="1" outlineLevel="2" x14ac:dyDescent="0.25">
      <c r="A320" s="363"/>
      <c r="B320" s="435"/>
      <c r="C320" s="435"/>
      <c r="D320" s="1268"/>
      <c r="E320" s="1268"/>
      <c r="F320" s="438"/>
      <c r="G320" s="438"/>
      <c r="H320" s="438"/>
      <c r="I320" s="1020" t="str">
        <f>IF(OR(D320="",D320="-"),"",VLOOKUP(D320,'Fatores de Emissão'!$D$209:$K$219,4,FALSE))</f>
        <v/>
      </c>
      <c r="J320" s="1111" t="str">
        <f>IF(OR(D320="",D320="-"),"",VLOOKUP(D320,'Fatores de Emissão'!$D$209:$K$219,3,FALSE))</f>
        <v/>
      </c>
      <c r="K320" s="1111" t="str">
        <f>IF(OR(D320="",D320="-"),"",VLOOKUP(D320,'Fatores de Emissão'!$D$209:$K$219,5,FALSE))</f>
        <v/>
      </c>
      <c r="L320" s="1111" t="str">
        <f>IF(OR(D320="",D320="-"),"",VLOOKUP(D320,'Fatores de Emissão'!$D$209:$K$219,7,FALSE))</f>
        <v/>
      </c>
      <c r="M320" s="478" t="str">
        <f t="shared" si="31"/>
        <v/>
      </c>
      <c r="N320" s="478" t="str">
        <f t="shared" si="32"/>
        <v/>
      </c>
      <c r="O320" s="478" t="str">
        <f t="shared" si="33"/>
        <v/>
      </c>
      <c r="P320" s="441" t="str">
        <f t="shared" si="34"/>
        <v/>
      </c>
      <c r="Q320" s="440"/>
    </row>
    <row r="321" spans="1:17" s="237" customFormat="1" ht="15" hidden="1" customHeight="1" outlineLevel="2" x14ac:dyDescent="0.25">
      <c r="A321" s="363"/>
      <c r="B321" s="435"/>
      <c r="C321" s="435"/>
      <c r="D321" s="1268"/>
      <c r="E321" s="1268"/>
      <c r="F321" s="438"/>
      <c r="G321" s="438"/>
      <c r="H321" s="438"/>
      <c r="I321" s="1020" t="str">
        <f>IF(OR(D321="",D321="-"),"",VLOOKUP(D321,'Fatores de Emissão'!$D$209:$K$219,4,FALSE))</f>
        <v/>
      </c>
      <c r="J321" s="1111" t="str">
        <f>IF(OR(D321="",D321="-"),"",VLOOKUP(D321,'Fatores de Emissão'!$D$209:$K$219,3,FALSE))</f>
        <v/>
      </c>
      <c r="K321" s="1111" t="str">
        <f>IF(OR(D321="",D321="-"),"",VLOOKUP(D321,'Fatores de Emissão'!$D$209:$K$219,5,FALSE))</f>
        <v/>
      </c>
      <c r="L321" s="1111" t="str">
        <f>IF(OR(D321="",D321="-"),"",VLOOKUP(D321,'Fatores de Emissão'!$D$209:$K$219,7,FALSE))</f>
        <v/>
      </c>
      <c r="M321" s="478" t="str">
        <f t="shared" si="31"/>
        <v/>
      </c>
      <c r="N321" s="478" t="str">
        <f t="shared" si="32"/>
        <v/>
      </c>
      <c r="O321" s="478" t="str">
        <f t="shared" si="33"/>
        <v/>
      </c>
      <c r="P321" s="441" t="str">
        <f t="shared" si="34"/>
        <v/>
      </c>
      <c r="Q321" s="440"/>
    </row>
    <row r="322" spans="1:17" s="237" customFormat="1" ht="15" hidden="1" customHeight="1" outlineLevel="2" x14ac:dyDescent="0.25">
      <c r="A322" s="363"/>
      <c r="B322" s="435"/>
      <c r="C322" s="435"/>
      <c r="D322" s="1268"/>
      <c r="E322" s="1268"/>
      <c r="F322" s="438"/>
      <c r="G322" s="438"/>
      <c r="H322" s="438"/>
      <c r="I322" s="1020" t="str">
        <f>IF(OR(D322="",D322="-"),"",VLOOKUP(D322,'Fatores de Emissão'!$D$209:$K$219,4,FALSE))</f>
        <v/>
      </c>
      <c r="J322" s="1111" t="str">
        <f>IF(OR(D322="",D322="-"),"",VLOOKUP(D322,'Fatores de Emissão'!$D$209:$K$219,3,FALSE))</f>
        <v/>
      </c>
      <c r="K322" s="1111" t="str">
        <f>IF(OR(D322="",D322="-"),"",VLOOKUP(D322,'Fatores de Emissão'!$D$209:$K$219,5,FALSE))</f>
        <v/>
      </c>
      <c r="L322" s="1111" t="str">
        <f>IF(OR(D322="",D322="-"),"",VLOOKUP(D322,'Fatores de Emissão'!$D$209:$K$219,7,FALSE))</f>
        <v/>
      </c>
      <c r="M322" s="478" t="str">
        <f t="shared" si="31"/>
        <v/>
      </c>
      <c r="N322" s="478" t="str">
        <f t="shared" si="32"/>
        <v/>
      </c>
      <c r="O322" s="478" t="str">
        <f t="shared" si="33"/>
        <v/>
      </c>
      <c r="P322" s="441" t="str">
        <f t="shared" si="34"/>
        <v/>
      </c>
      <c r="Q322" s="440"/>
    </row>
    <row r="323" spans="1:17" s="237" customFormat="1" ht="15" hidden="1" customHeight="1" outlineLevel="2" x14ac:dyDescent="0.25">
      <c r="A323" s="363"/>
      <c r="B323" s="435"/>
      <c r="C323" s="435"/>
      <c r="D323" s="1268"/>
      <c r="E323" s="1268"/>
      <c r="F323" s="438"/>
      <c r="G323" s="438"/>
      <c r="H323" s="438"/>
      <c r="I323" s="1020" t="str">
        <f>IF(OR(D323="",D323="-"),"",VLOOKUP(D323,'Fatores de Emissão'!$D$209:$K$219,4,FALSE))</f>
        <v/>
      </c>
      <c r="J323" s="1111" t="str">
        <f>IF(OR(D323="",D323="-"),"",VLOOKUP(D323,'Fatores de Emissão'!$D$209:$K$219,3,FALSE))</f>
        <v/>
      </c>
      <c r="K323" s="1111" t="str">
        <f>IF(OR(D323="",D323="-"),"",VLOOKUP(D323,'Fatores de Emissão'!$D$209:$K$219,5,FALSE))</f>
        <v/>
      </c>
      <c r="L323" s="1111" t="str">
        <f>IF(OR(D323="",D323="-"),"",VLOOKUP(D323,'Fatores de Emissão'!$D$209:$K$219,7,FALSE))</f>
        <v/>
      </c>
      <c r="M323" s="478" t="str">
        <f t="shared" si="31"/>
        <v/>
      </c>
      <c r="N323" s="478" t="str">
        <f t="shared" si="32"/>
        <v/>
      </c>
      <c r="O323" s="478" t="str">
        <f t="shared" si="33"/>
        <v/>
      </c>
      <c r="P323" s="441" t="str">
        <f t="shared" si="34"/>
        <v/>
      </c>
      <c r="Q323" s="440"/>
    </row>
    <row r="324" spans="1:17" s="237" customFormat="1" ht="15" hidden="1" customHeight="1" outlineLevel="2" x14ac:dyDescent="0.25">
      <c r="A324" s="363"/>
      <c r="B324" s="435"/>
      <c r="C324" s="435"/>
      <c r="D324" s="1268"/>
      <c r="E324" s="1268"/>
      <c r="F324" s="438"/>
      <c r="G324" s="438"/>
      <c r="H324" s="438"/>
      <c r="I324" s="1020" t="str">
        <f>IF(OR(D324="",D324="-"),"",VLOOKUP(D324,'Fatores de Emissão'!$D$209:$K$219,4,FALSE))</f>
        <v/>
      </c>
      <c r="J324" s="1111" t="str">
        <f>IF(OR(D324="",D324="-"),"",VLOOKUP(D324,'Fatores de Emissão'!$D$209:$K$219,3,FALSE))</f>
        <v/>
      </c>
      <c r="K324" s="1111" t="str">
        <f>IF(OR(D324="",D324="-"),"",VLOOKUP(D324,'Fatores de Emissão'!$D$209:$K$219,5,FALSE))</f>
        <v/>
      </c>
      <c r="L324" s="1111" t="str">
        <f>IF(OR(D324="",D324="-"),"",VLOOKUP(D324,'Fatores de Emissão'!$D$209:$K$219,7,FALSE))</f>
        <v/>
      </c>
      <c r="M324" s="478" t="str">
        <f t="shared" si="31"/>
        <v/>
      </c>
      <c r="N324" s="478" t="str">
        <f t="shared" si="32"/>
        <v/>
      </c>
      <c r="O324" s="478" t="str">
        <f t="shared" si="33"/>
        <v/>
      </c>
      <c r="P324" s="441" t="str">
        <f t="shared" si="34"/>
        <v/>
      </c>
      <c r="Q324" s="440"/>
    </row>
    <row r="325" spans="1:17" s="237" customFormat="1" ht="15" hidden="1" customHeight="1" outlineLevel="2" x14ac:dyDescent="0.25">
      <c r="A325" s="363"/>
      <c r="B325" s="435"/>
      <c r="C325" s="435"/>
      <c r="D325" s="1268"/>
      <c r="E325" s="1268"/>
      <c r="F325" s="438"/>
      <c r="G325" s="438"/>
      <c r="H325" s="438"/>
      <c r="I325" s="1020" t="str">
        <f>IF(OR(D325="",D325="-"),"",VLOOKUP(D325,'Fatores de Emissão'!$D$209:$K$219,4,FALSE))</f>
        <v/>
      </c>
      <c r="J325" s="1111" t="str">
        <f>IF(OR(D325="",D325="-"),"",VLOOKUP(D325,'Fatores de Emissão'!$D$209:$K$219,3,FALSE))</f>
        <v/>
      </c>
      <c r="K325" s="1111" t="str">
        <f>IF(OR(D325="",D325="-"),"",VLOOKUP(D325,'Fatores de Emissão'!$D$209:$K$219,5,FALSE))</f>
        <v/>
      </c>
      <c r="L325" s="1111" t="str">
        <f>IF(OR(D325="",D325="-"),"",VLOOKUP(D325,'Fatores de Emissão'!$D$209:$K$219,7,FALSE))</f>
        <v/>
      </c>
      <c r="M325" s="478" t="str">
        <f t="shared" si="31"/>
        <v/>
      </c>
      <c r="N325" s="478" t="str">
        <f t="shared" si="32"/>
        <v/>
      </c>
      <c r="O325" s="478" t="str">
        <f t="shared" si="33"/>
        <v/>
      </c>
      <c r="P325" s="441" t="str">
        <f t="shared" si="34"/>
        <v/>
      </c>
      <c r="Q325" s="440"/>
    </row>
    <row r="326" spans="1:17" s="237" customFormat="1" ht="15" hidden="1" customHeight="1" outlineLevel="2" x14ac:dyDescent="0.25">
      <c r="A326" s="363"/>
      <c r="B326" s="435"/>
      <c r="C326" s="435"/>
      <c r="D326" s="1268"/>
      <c r="E326" s="1268"/>
      <c r="F326" s="438"/>
      <c r="G326" s="438"/>
      <c r="H326" s="438"/>
      <c r="I326" s="1020" t="str">
        <f>IF(OR(D326="",D326="-"),"",VLOOKUP(D326,'Fatores de Emissão'!$D$209:$K$219,4,FALSE))</f>
        <v/>
      </c>
      <c r="J326" s="1111" t="str">
        <f>IF(OR(D326="",D326="-"),"",VLOOKUP(D326,'Fatores de Emissão'!$D$209:$K$219,3,FALSE))</f>
        <v/>
      </c>
      <c r="K326" s="1111" t="str">
        <f>IF(OR(D326="",D326="-"),"",VLOOKUP(D326,'Fatores de Emissão'!$D$209:$K$219,5,FALSE))</f>
        <v/>
      </c>
      <c r="L326" s="1111" t="str">
        <f>IF(OR(D326="",D326="-"),"",VLOOKUP(D326,'Fatores de Emissão'!$D$209:$K$219,7,FALSE))</f>
        <v/>
      </c>
      <c r="M326" s="478" t="str">
        <f t="shared" si="31"/>
        <v/>
      </c>
      <c r="N326" s="478" t="str">
        <f t="shared" si="32"/>
        <v/>
      </c>
      <c r="O326" s="478" t="str">
        <f t="shared" si="33"/>
        <v/>
      </c>
      <c r="P326" s="441" t="str">
        <f t="shared" si="34"/>
        <v/>
      </c>
      <c r="Q326" s="440"/>
    </row>
    <row r="327" spans="1:17" s="237" customFormat="1" ht="15" hidden="1" customHeight="1" outlineLevel="2" x14ac:dyDescent="0.25">
      <c r="A327" s="363"/>
      <c r="B327" s="435"/>
      <c r="C327" s="435"/>
      <c r="D327" s="1268"/>
      <c r="E327" s="1268"/>
      <c r="F327" s="438"/>
      <c r="G327" s="438"/>
      <c r="H327" s="438"/>
      <c r="I327" s="1020" t="str">
        <f>IF(OR(D327="",D327="-"),"",VLOOKUP(D327,'Fatores de Emissão'!$D$209:$K$219,4,FALSE))</f>
        <v/>
      </c>
      <c r="J327" s="1111" t="str">
        <f>IF(OR(D327="",D327="-"),"",VLOOKUP(D327,'Fatores de Emissão'!$D$209:$K$219,3,FALSE))</f>
        <v/>
      </c>
      <c r="K327" s="1111" t="str">
        <f>IF(OR(D327="",D327="-"),"",VLOOKUP(D327,'Fatores de Emissão'!$D$209:$K$219,5,FALSE))</f>
        <v/>
      </c>
      <c r="L327" s="1111" t="str">
        <f>IF(OR(D327="",D327="-"),"",VLOOKUP(D327,'Fatores de Emissão'!$D$209:$K$219,7,FALSE))</f>
        <v/>
      </c>
      <c r="M327" s="478" t="str">
        <f>IF($D327="","",IF($I327="kg/p.km",$F327*1.08*$G327*J327/1000,$F327*1.08*$H327*J327/1000))</f>
        <v/>
      </c>
      <c r="N327" s="478" t="str">
        <f>IF($D327="","",IF($I327="kg/p.km",$F327*1.08*$G327*K327/1000,$F327*1.08*$H327*K327/1000))</f>
        <v/>
      </c>
      <c r="O327" s="478" t="str">
        <f>IF($D327="","",IF($I327="kg/p.km",$F327*1.08*$G327*L327/1000,$F327*1.08*$H327*L327/1000))</f>
        <v/>
      </c>
      <c r="P327" s="441" t="str">
        <f t="shared" si="34"/>
        <v/>
      </c>
      <c r="Q327" s="440"/>
    </row>
    <row r="328" spans="1:17" s="237" customFormat="1" ht="15" hidden="1" customHeight="1" outlineLevel="2" x14ac:dyDescent="0.25">
      <c r="A328" s="363"/>
      <c r="B328" s="435"/>
      <c r="C328" s="435"/>
      <c r="D328" s="1268"/>
      <c r="E328" s="1268"/>
      <c r="F328" s="438"/>
      <c r="G328" s="438"/>
      <c r="H328" s="438"/>
      <c r="I328" s="1020" t="str">
        <f>IF(OR(D328="",D328="-"),"",VLOOKUP(D328,'Fatores de Emissão'!$D$209:$K$219,4,FALSE))</f>
        <v/>
      </c>
      <c r="J328" s="1111" t="str">
        <f>IF(OR(D328="",D328="-"),"",VLOOKUP(D328,'Fatores de Emissão'!$D$209:$K$219,3,FALSE))</f>
        <v/>
      </c>
      <c r="K328" s="1111" t="str">
        <f>IF(OR(D328="",D328="-"),"",VLOOKUP(D328,'Fatores de Emissão'!$D$209:$K$219,5,FALSE))</f>
        <v/>
      </c>
      <c r="L328" s="1111" t="str">
        <f>IF(OR(D328="",D328="-"),"",VLOOKUP(D328,'Fatores de Emissão'!$D$209:$K$219,7,FALSE))</f>
        <v/>
      </c>
      <c r="M328" s="478" t="str">
        <f t="shared" ref="M328:M349" si="35">IF($D328="","",IF($I328="kg/p.km",$F328*1.08*$G328*J328/1000,$F328*1.08*$H328*J328/1000))</f>
        <v/>
      </c>
      <c r="N328" s="478" t="str">
        <f t="shared" ref="N328:N349" si="36">IF($D328="","",IF($I328="kg/p.km",$F328*1.08*$G328*K328/1000,$F328*1.08*$H328*K328/1000))</f>
        <v/>
      </c>
      <c r="O328" s="478" t="str">
        <f t="shared" ref="O328:O349" si="37">IF($D328="","",IF($I328="kg/p.km",$F328*1.08*$G328*L328/1000,$F328*1.08*$H328*L328/1000))</f>
        <v/>
      </c>
      <c r="P328" s="441" t="str">
        <f t="shared" si="34"/>
        <v/>
      </c>
      <c r="Q328" s="440"/>
    </row>
    <row r="329" spans="1:17" s="237" customFormat="1" ht="15" hidden="1" customHeight="1" outlineLevel="2" x14ac:dyDescent="0.25">
      <c r="A329" s="363"/>
      <c r="B329" s="435"/>
      <c r="C329" s="435"/>
      <c r="D329" s="1268"/>
      <c r="E329" s="1268"/>
      <c r="F329" s="438"/>
      <c r="G329" s="438"/>
      <c r="H329" s="438"/>
      <c r="I329" s="1020" t="str">
        <f>IF(OR(D329="",D329="-"),"",VLOOKUP(D329,'Fatores de Emissão'!$D$209:$K$219,4,FALSE))</f>
        <v/>
      </c>
      <c r="J329" s="1111" t="str">
        <f>IF(OR(D329="",D329="-"),"",VLOOKUP(D329,'Fatores de Emissão'!$D$209:$K$219,3,FALSE))</f>
        <v/>
      </c>
      <c r="K329" s="1111" t="str">
        <f>IF(OR(D329="",D329="-"),"",VLOOKUP(D329,'Fatores de Emissão'!$D$209:$K$219,5,FALSE))</f>
        <v/>
      </c>
      <c r="L329" s="1111" t="str">
        <f>IF(OR(D329="",D329="-"),"",VLOOKUP(D329,'Fatores de Emissão'!$D$209:$K$219,7,FALSE))</f>
        <v/>
      </c>
      <c r="M329" s="478" t="str">
        <f t="shared" si="35"/>
        <v/>
      </c>
      <c r="N329" s="478" t="str">
        <f t="shared" si="36"/>
        <v/>
      </c>
      <c r="O329" s="478" t="str">
        <f t="shared" si="37"/>
        <v/>
      </c>
      <c r="P329" s="441" t="str">
        <f t="shared" si="34"/>
        <v/>
      </c>
      <c r="Q329" s="440"/>
    </row>
    <row r="330" spans="1:17" s="237" customFormat="1" ht="15" hidden="1" customHeight="1" outlineLevel="2" x14ac:dyDescent="0.25">
      <c r="A330" s="363"/>
      <c r="B330" s="435"/>
      <c r="C330" s="435"/>
      <c r="D330" s="1268"/>
      <c r="E330" s="1268"/>
      <c r="F330" s="438"/>
      <c r="G330" s="438"/>
      <c r="H330" s="438"/>
      <c r="I330" s="1020" t="str">
        <f>IF(OR(D330="",D330="-"),"",VLOOKUP(D330,'Fatores de Emissão'!$D$209:$K$219,4,FALSE))</f>
        <v/>
      </c>
      <c r="J330" s="1111" t="str">
        <f>IF(OR(D330="",D330="-"),"",VLOOKUP(D330,'Fatores de Emissão'!$D$209:$K$219,3,FALSE))</f>
        <v/>
      </c>
      <c r="K330" s="1111" t="str">
        <f>IF(OR(D330="",D330="-"),"",VLOOKUP(D330,'Fatores de Emissão'!$D$209:$K$219,5,FALSE))</f>
        <v/>
      </c>
      <c r="L330" s="1111" t="str">
        <f>IF(OR(D330="",D330="-"),"",VLOOKUP(D330,'Fatores de Emissão'!$D$209:$K$219,7,FALSE))</f>
        <v/>
      </c>
      <c r="M330" s="478" t="str">
        <f t="shared" si="35"/>
        <v/>
      </c>
      <c r="N330" s="478" t="str">
        <f t="shared" si="36"/>
        <v/>
      </c>
      <c r="O330" s="478" t="str">
        <f t="shared" si="37"/>
        <v/>
      </c>
      <c r="P330" s="441" t="str">
        <f t="shared" si="34"/>
        <v/>
      </c>
      <c r="Q330" s="440"/>
    </row>
    <row r="331" spans="1:17" s="237" customFormat="1" ht="15" hidden="1" customHeight="1" outlineLevel="2" x14ac:dyDescent="0.25">
      <c r="A331" s="363"/>
      <c r="B331" s="435"/>
      <c r="C331" s="435"/>
      <c r="D331" s="1268"/>
      <c r="E331" s="1268"/>
      <c r="F331" s="438"/>
      <c r="G331" s="438"/>
      <c r="H331" s="438"/>
      <c r="I331" s="1020" t="str">
        <f>IF(OR(D331="",D331="-"),"",VLOOKUP(D331,'Fatores de Emissão'!$D$209:$K$219,4,FALSE))</f>
        <v/>
      </c>
      <c r="J331" s="1111" t="str">
        <f>IF(OR(D331="",D331="-"),"",VLOOKUP(D331,'Fatores de Emissão'!$D$209:$K$219,3,FALSE))</f>
        <v/>
      </c>
      <c r="K331" s="1111" t="str">
        <f>IF(OR(D331="",D331="-"),"",VLOOKUP(D331,'Fatores de Emissão'!$D$209:$K$219,5,FALSE))</f>
        <v/>
      </c>
      <c r="L331" s="1111" t="str">
        <f>IF(OR(D331="",D331="-"),"",VLOOKUP(D331,'Fatores de Emissão'!$D$209:$K$219,7,FALSE))</f>
        <v/>
      </c>
      <c r="M331" s="478" t="str">
        <f t="shared" si="35"/>
        <v/>
      </c>
      <c r="N331" s="478" t="str">
        <f t="shared" si="36"/>
        <v/>
      </c>
      <c r="O331" s="478" t="str">
        <f t="shared" si="37"/>
        <v/>
      </c>
      <c r="P331" s="441" t="str">
        <f t="shared" si="34"/>
        <v/>
      </c>
      <c r="Q331" s="440"/>
    </row>
    <row r="332" spans="1:17" s="237" customFormat="1" ht="15" hidden="1" customHeight="1" outlineLevel="2" x14ac:dyDescent="0.25">
      <c r="A332" s="363"/>
      <c r="B332" s="435"/>
      <c r="C332" s="435"/>
      <c r="D332" s="1268"/>
      <c r="E332" s="1268"/>
      <c r="F332" s="438"/>
      <c r="G332" s="438"/>
      <c r="H332" s="438"/>
      <c r="I332" s="1020" t="str">
        <f>IF(OR(D332="",D332="-"),"",VLOOKUP(D332,'Fatores de Emissão'!$D$209:$K$219,4,FALSE))</f>
        <v/>
      </c>
      <c r="J332" s="1111" t="str">
        <f>IF(OR(D332="",D332="-"),"",VLOOKUP(D332,'Fatores de Emissão'!$D$209:$K$219,3,FALSE))</f>
        <v/>
      </c>
      <c r="K332" s="1111" t="str">
        <f>IF(OR(D332="",D332="-"),"",VLOOKUP(D332,'Fatores de Emissão'!$D$209:$K$219,5,FALSE))</f>
        <v/>
      </c>
      <c r="L332" s="1111" t="str">
        <f>IF(OR(D332="",D332="-"),"",VLOOKUP(D332,'Fatores de Emissão'!$D$209:$K$219,7,FALSE))</f>
        <v/>
      </c>
      <c r="M332" s="478" t="str">
        <f t="shared" si="35"/>
        <v/>
      </c>
      <c r="N332" s="478" t="str">
        <f t="shared" si="36"/>
        <v/>
      </c>
      <c r="O332" s="478" t="str">
        <f t="shared" si="37"/>
        <v/>
      </c>
      <c r="P332" s="441" t="str">
        <f t="shared" si="34"/>
        <v/>
      </c>
      <c r="Q332" s="440"/>
    </row>
    <row r="333" spans="1:17" s="237" customFormat="1" ht="15" hidden="1" customHeight="1" outlineLevel="2" x14ac:dyDescent="0.25">
      <c r="A333" s="363"/>
      <c r="B333" s="435"/>
      <c r="C333" s="435"/>
      <c r="D333" s="1268"/>
      <c r="E333" s="1268"/>
      <c r="F333" s="438"/>
      <c r="G333" s="438"/>
      <c r="H333" s="438"/>
      <c r="I333" s="1020" t="str">
        <f>IF(OR(D333="",D333="-"),"",VLOOKUP(D333,'Fatores de Emissão'!$D$209:$K$219,4,FALSE))</f>
        <v/>
      </c>
      <c r="J333" s="1111" t="str">
        <f>IF(OR(D333="",D333="-"),"",VLOOKUP(D333,'Fatores de Emissão'!$D$209:$K$219,3,FALSE))</f>
        <v/>
      </c>
      <c r="K333" s="1111" t="str">
        <f>IF(OR(D333="",D333="-"),"",VLOOKUP(D333,'Fatores de Emissão'!$D$209:$K$219,5,FALSE))</f>
        <v/>
      </c>
      <c r="L333" s="1111" t="str">
        <f>IF(OR(D333="",D333="-"),"",VLOOKUP(D333,'Fatores de Emissão'!$D$209:$K$219,7,FALSE))</f>
        <v/>
      </c>
      <c r="M333" s="478" t="str">
        <f t="shared" si="35"/>
        <v/>
      </c>
      <c r="N333" s="478" t="str">
        <f t="shared" si="36"/>
        <v/>
      </c>
      <c r="O333" s="478" t="str">
        <f t="shared" si="37"/>
        <v/>
      </c>
      <c r="P333" s="441" t="str">
        <f t="shared" si="34"/>
        <v/>
      </c>
      <c r="Q333" s="440"/>
    </row>
    <row r="334" spans="1:17" s="237" customFormat="1" ht="15" hidden="1" customHeight="1" outlineLevel="2" x14ac:dyDescent="0.25">
      <c r="A334" s="363"/>
      <c r="B334" s="435"/>
      <c r="C334" s="435"/>
      <c r="D334" s="1268"/>
      <c r="E334" s="1268"/>
      <c r="F334" s="438"/>
      <c r="G334" s="438"/>
      <c r="H334" s="438"/>
      <c r="I334" s="1020" t="str">
        <f>IF(OR(D334="",D334="-"),"",VLOOKUP(D334,'Fatores de Emissão'!$D$209:$K$219,4,FALSE))</f>
        <v/>
      </c>
      <c r="J334" s="1111" t="str">
        <f>IF(OR(D334="",D334="-"),"",VLOOKUP(D334,'Fatores de Emissão'!$D$209:$K$219,3,FALSE))</f>
        <v/>
      </c>
      <c r="K334" s="1111" t="str">
        <f>IF(OR(D334="",D334="-"),"",VLOOKUP(D334,'Fatores de Emissão'!$D$209:$K$219,5,FALSE))</f>
        <v/>
      </c>
      <c r="L334" s="1111" t="str">
        <f>IF(OR(D334="",D334="-"),"",VLOOKUP(D334,'Fatores de Emissão'!$D$209:$K$219,7,FALSE))</f>
        <v/>
      </c>
      <c r="M334" s="478" t="str">
        <f t="shared" si="35"/>
        <v/>
      </c>
      <c r="N334" s="478" t="str">
        <f t="shared" si="36"/>
        <v/>
      </c>
      <c r="O334" s="478" t="str">
        <f t="shared" si="37"/>
        <v/>
      </c>
      <c r="P334" s="441" t="str">
        <f t="shared" si="34"/>
        <v/>
      </c>
      <c r="Q334" s="440"/>
    </row>
    <row r="335" spans="1:17" s="237" customFormat="1" ht="15" hidden="1" customHeight="1" outlineLevel="2" x14ac:dyDescent="0.25">
      <c r="A335" s="363"/>
      <c r="B335" s="435"/>
      <c r="C335" s="435"/>
      <c r="D335" s="1268"/>
      <c r="E335" s="1268"/>
      <c r="F335" s="438"/>
      <c r="G335" s="438"/>
      <c r="H335" s="438"/>
      <c r="I335" s="1020" t="str">
        <f>IF(OR(D335="",D335="-"),"",VLOOKUP(D335,'Fatores de Emissão'!$D$209:$K$219,4,FALSE))</f>
        <v/>
      </c>
      <c r="J335" s="1111" t="str">
        <f>IF(OR(D335="",D335="-"),"",VLOOKUP(D335,'Fatores de Emissão'!$D$209:$K$219,3,FALSE))</f>
        <v/>
      </c>
      <c r="K335" s="1111" t="str">
        <f>IF(OR(D335="",D335="-"),"",VLOOKUP(D335,'Fatores de Emissão'!$D$209:$K$219,5,FALSE))</f>
        <v/>
      </c>
      <c r="L335" s="1111" t="str">
        <f>IF(OR(D335="",D335="-"),"",VLOOKUP(D335,'Fatores de Emissão'!$D$209:$K$219,7,FALSE))</f>
        <v/>
      </c>
      <c r="M335" s="478" t="str">
        <f t="shared" si="35"/>
        <v/>
      </c>
      <c r="N335" s="478" t="str">
        <f t="shared" si="36"/>
        <v/>
      </c>
      <c r="O335" s="478" t="str">
        <f t="shared" si="37"/>
        <v/>
      </c>
      <c r="P335" s="441" t="str">
        <f t="shared" si="34"/>
        <v/>
      </c>
      <c r="Q335" s="440"/>
    </row>
    <row r="336" spans="1:17" s="237" customFormat="1" ht="15" hidden="1" customHeight="1" outlineLevel="2" x14ac:dyDescent="0.25">
      <c r="A336" s="363"/>
      <c r="B336" s="435"/>
      <c r="C336" s="435"/>
      <c r="D336" s="1268"/>
      <c r="E336" s="1268"/>
      <c r="F336" s="438"/>
      <c r="G336" s="438"/>
      <c r="H336" s="438"/>
      <c r="I336" s="1020" t="str">
        <f>IF(OR(D336="",D336="-"),"",VLOOKUP(D336,'Fatores de Emissão'!$D$209:$K$219,4,FALSE))</f>
        <v/>
      </c>
      <c r="J336" s="1111" t="str">
        <f>IF(OR(D336="",D336="-"),"",VLOOKUP(D336,'Fatores de Emissão'!$D$209:$K$219,3,FALSE))</f>
        <v/>
      </c>
      <c r="K336" s="1111" t="str">
        <f>IF(OR(D336="",D336="-"),"",VLOOKUP(D336,'Fatores de Emissão'!$D$209:$K$219,5,FALSE))</f>
        <v/>
      </c>
      <c r="L336" s="1111" t="str">
        <f>IF(OR(D336="",D336="-"),"",VLOOKUP(D336,'Fatores de Emissão'!$D$209:$K$219,7,FALSE))</f>
        <v/>
      </c>
      <c r="M336" s="478" t="str">
        <f t="shared" si="35"/>
        <v/>
      </c>
      <c r="N336" s="478" t="str">
        <f t="shared" si="36"/>
        <v/>
      </c>
      <c r="O336" s="478" t="str">
        <f t="shared" si="37"/>
        <v/>
      </c>
      <c r="P336" s="441" t="str">
        <f t="shared" si="34"/>
        <v/>
      </c>
      <c r="Q336" s="440"/>
    </row>
    <row r="337" spans="1:58" s="237" customFormat="1" ht="15" hidden="1" customHeight="1" outlineLevel="2" x14ac:dyDescent="0.25">
      <c r="A337" s="363"/>
      <c r="B337" s="435"/>
      <c r="C337" s="435"/>
      <c r="D337" s="1268"/>
      <c r="E337" s="1268"/>
      <c r="F337" s="438"/>
      <c r="G337" s="438"/>
      <c r="H337" s="438"/>
      <c r="I337" s="1020" t="str">
        <f>IF(OR(D337="",D337="-"),"",VLOOKUP(D337,'Fatores de Emissão'!$D$209:$K$219,4,FALSE))</f>
        <v/>
      </c>
      <c r="J337" s="1111" t="str">
        <f>IF(OR(D337="",D337="-"),"",VLOOKUP(D337,'Fatores de Emissão'!$D$209:$K$219,3,FALSE))</f>
        <v/>
      </c>
      <c r="K337" s="1111" t="str">
        <f>IF(OR(D337="",D337="-"),"",VLOOKUP(D337,'Fatores de Emissão'!$D$209:$K$219,5,FALSE))</f>
        <v/>
      </c>
      <c r="L337" s="1111" t="str">
        <f>IF(OR(D337="",D337="-"),"",VLOOKUP(D337,'Fatores de Emissão'!$D$209:$K$219,7,FALSE))</f>
        <v/>
      </c>
      <c r="M337" s="478" t="str">
        <f t="shared" si="35"/>
        <v/>
      </c>
      <c r="N337" s="478" t="str">
        <f t="shared" si="36"/>
        <v/>
      </c>
      <c r="O337" s="478" t="str">
        <f t="shared" si="37"/>
        <v/>
      </c>
      <c r="P337" s="441" t="str">
        <f t="shared" si="34"/>
        <v/>
      </c>
      <c r="Q337" s="440"/>
    </row>
    <row r="338" spans="1:58" s="237" customFormat="1" ht="15" hidden="1" customHeight="1" outlineLevel="2" x14ac:dyDescent="0.25">
      <c r="A338" s="363"/>
      <c r="B338" s="435"/>
      <c r="C338" s="435"/>
      <c r="D338" s="1268"/>
      <c r="E338" s="1268"/>
      <c r="F338" s="438"/>
      <c r="G338" s="438"/>
      <c r="H338" s="438"/>
      <c r="I338" s="1020" t="str">
        <f>IF(OR(D338="",D338="-"),"",VLOOKUP(D338,'Fatores de Emissão'!$D$209:$K$219,4,FALSE))</f>
        <v/>
      </c>
      <c r="J338" s="1111" t="str">
        <f>IF(OR(D338="",D338="-"),"",VLOOKUP(D338,'Fatores de Emissão'!$D$209:$K$219,3,FALSE))</f>
        <v/>
      </c>
      <c r="K338" s="1111" t="str">
        <f>IF(OR(D338="",D338="-"),"",VLOOKUP(D338,'Fatores de Emissão'!$D$209:$K$219,5,FALSE))</f>
        <v/>
      </c>
      <c r="L338" s="1111" t="str">
        <f>IF(OR(D338="",D338="-"),"",VLOOKUP(D338,'Fatores de Emissão'!$D$209:$K$219,7,FALSE))</f>
        <v/>
      </c>
      <c r="M338" s="478" t="str">
        <f t="shared" si="35"/>
        <v/>
      </c>
      <c r="N338" s="478" t="str">
        <f t="shared" si="36"/>
        <v/>
      </c>
      <c r="O338" s="478" t="str">
        <f t="shared" si="37"/>
        <v/>
      </c>
      <c r="P338" s="441" t="str">
        <f t="shared" si="34"/>
        <v/>
      </c>
      <c r="Q338" s="440"/>
    </row>
    <row r="339" spans="1:58" s="237" customFormat="1" ht="15" hidden="1" customHeight="1" outlineLevel="2" x14ac:dyDescent="0.25">
      <c r="A339" s="363"/>
      <c r="B339" s="435"/>
      <c r="C339" s="435"/>
      <c r="D339" s="1268"/>
      <c r="E339" s="1268"/>
      <c r="F339" s="438"/>
      <c r="G339" s="438"/>
      <c r="H339" s="438"/>
      <c r="I339" s="1020" t="str">
        <f>IF(OR(D339="",D339="-"),"",VLOOKUP(D339,'Fatores de Emissão'!$D$209:$K$219,4,FALSE))</f>
        <v/>
      </c>
      <c r="J339" s="1111" t="str">
        <f>IF(OR(D339="",D339="-"),"",VLOOKUP(D339,'Fatores de Emissão'!$D$209:$K$219,3,FALSE))</f>
        <v/>
      </c>
      <c r="K339" s="1111" t="str">
        <f>IF(OR(D339="",D339="-"),"",VLOOKUP(D339,'Fatores de Emissão'!$D$209:$K$219,5,FALSE))</f>
        <v/>
      </c>
      <c r="L339" s="1111" t="str">
        <f>IF(OR(D339="",D339="-"),"",VLOOKUP(D339,'Fatores de Emissão'!$D$209:$K$219,7,FALSE))</f>
        <v/>
      </c>
      <c r="M339" s="478" t="str">
        <f t="shared" si="35"/>
        <v/>
      </c>
      <c r="N339" s="478" t="str">
        <f t="shared" si="36"/>
        <v/>
      </c>
      <c r="O339" s="478" t="str">
        <f t="shared" si="37"/>
        <v/>
      </c>
      <c r="P339" s="441" t="str">
        <f t="shared" si="34"/>
        <v/>
      </c>
      <c r="Q339" s="440"/>
    </row>
    <row r="340" spans="1:58" s="237" customFormat="1" ht="15" hidden="1" customHeight="1" outlineLevel="2" x14ac:dyDescent="0.25">
      <c r="A340" s="363"/>
      <c r="B340" s="435"/>
      <c r="C340" s="435"/>
      <c r="D340" s="1268"/>
      <c r="E340" s="1268"/>
      <c r="F340" s="438"/>
      <c r="G340" s="438"/>
      <c r="H340" s="438"/>
      <c r="I340" s="1020" t="str">
        <f>IF(OR(D340="",D340="-"),"",VLOOKUP(D340,'Fatores de Emissão'!$D$209:$K$219,4,FALSE))</f>
        <v/>
      </c>
      <c r="J340" s="1111" t="str">
        <f>IF(OR(D340="",D340="-"),"",VLOOKUP(D340,'Fatores de Emissão'!$D$209:$K$219,3,FALSE))</f>
        <v/>
      </c>
      <c r="K340" s="1111" t="str">
        <f>IF(OR(D340="",D340="-"),"",VLOOKUP(D340,'Fatores de Emissão'!$D$209:$K$219,5,FALSE))</f>
        <v/>
      </c>
      <c r="L340" s="1111" t="str">
        <f>IF(OR(D340="",D340="-"),"",VLOOKUP(D340,'Fatores de Emissão'!$D$209:$K$219,7,FALSE))</f>
        <v/>
      </c>
      <c r="M340" s="478" t="str">
        <f t="shared" si="35"/>
        <v/>
      </c>
      <c r="N340" s="478" t="str">
        <f t="shared" si="36"/>
        <v/>
      </c>
      <c r="O340" s="478" t="str">
        <f t="shared" si="37"/>
        <v/>
      </c>
      <c r="P340" s="441" t="str">
        <f t="shared" si="34"/>
        <v/>
      </c>
      <c r="Q340" s="440"/>
    </row>
    <row r="341" spans="1:58" s="237" customFormat="1" ht="15" hidden="1" customHeight="1" outlineLevel="2" x14ac:dyDescent="0.25">
      <c r="A341" s="363"/>
      <c r="B341" s="435"/>
      <c r="C341" s="435"/>
      <c r="D341" s="1268"/>
      <c r="E341" s="1268"/>
      <c r="F341" s="438"/>
      <c r="G341" s="438"/>
      <c r="H341" s="438"/>
      <c r="I341" s="1020" t="str">
        <f>IF(OR(D341="",D341="-"),"",VLOOKUP(D341,'Fatores de Emissão'!$D$209:$K$219,4,FALSE))</f>
        <v/>
      </c>
      <c r="J341" s="1111" t="str">
        <f>IF(OR(D341="",D341="-"),"",VLOOKUP(D341,'Fatores de Emissão'!$D$209:$K$219,3,FALSE))</f>
        <v/>
      </c>
      <c r="K341" s="1111" t="str">
        <f>IF(OR(D341="",D341="-"),"",VLOOKUP(D341,'Fatores de Emissão'!$D$209:$K$219,5,FALSE))</f>
        <v/>
      </c>
      <c r="L341" s="1111" t="str">
        <f>IF(OR(D341="",D341="-"),"",VLOOKUP(D341,'Fatores de Emissão'!$D$209:$K$219,7,FALSE))</f>
        <v/>
      </c>
      <c r="M341" s="478" t="str">
        <f t="shared" si="35"/>
        <v/>
      </c>
      <c r="N341" s="478" t="str">
        <f t="shared" si="36"/>
        <v/>
      </c>
      <c r="O341" s="478" t="str">
        <f t="shared" si="37"/>
        <v/>
      </c>
      <c r="P341" s="441" t="str">
        <f t="shared" si="34"/>
        <v/>
      </c>
      <c r="Q341" s="440"/>
    </row>
    <row r="342" spans="1:58" s="237" customFormat="1" ht="15" hidden="1" customHeight="1" outlineLevel="2" x14ac:dyDescent="0.25">
      <c r="A342" s="363"/>
      <c r="B342" s="435"/>
      <c r="C342" s="435"/>
      <c r="D342" s="1268"/>
      <c r="E342" s="1268"/>
      <c r="F342" s="438"/>
      <c r="G342" s="438"/>
      <c r="H342" s="438"/>
      <c r="I342" s="1020" t="str">
        <f>IF(OR(D342="",D342="-"),"",VLOOKUP(D342,'Fatores de Emissão'!$D$209:$K$219,4,FALSE))</f>
        <v/>
      </c>
      <c r="J342" s="1111" t="str">
        <f>IF(OR(D342="",D342="-"),"",VLOOKUP(D342,'Fatores de Emissão'!$D$209:$K$219,3,FALSE))</f>
        <v/>
      </c>
      <c r="K342" s="1111" t="str">
        <f>IF(OR(D342="",D342="-"),"",VLOOKUP(D342,'Fatores de Emissão'!$D$209:$K$219,5,FALSE))</f>
        <v/>
      </c>
      <c r="L342" s="1111" t="str">
        <f>IF(OR(D342="",D342="-"),"",VLOOKUP(D342,'Fatores de Emissão'!$D$209:$K$219,7,FALSE))</f>
        <v/>
      </c>
      <c r="M342" s="478" t="str">
        <f t="shared" si="35"/>
        <v/>
      </c>
      <c r="N342" s="478" t="str">
        <f t="shared" si="36"/>
        <v/>
      </c>
      <c r="O342" s="478" t="str">
        <f t="shared" si="37"/>
        <v/>
      </c>
      <c r="P342" s="441" t="str">
        <f t="shared" si="34"/>
        <v/>
      </c>
      <c r="Q342" s="440"/>
    </row>
    <row r="343" spans="1:58" s="237" customFormat="1" ht="15" hidden="1" customHeight="1" outlineLevel="2" x14ac:dyDescent="0.25">
      <c r="A343" s="363"/>
      <c r="B343" s="435"/>
      <c r="C343" s="435"/>
      <c r="D343" s="1268"/>
      <c r="E343" s="1268"/>
      <c r="F343" s="438"/>
      <c r="G343" s="438"/>
      <c r="H343" s="438"/>
      <c r="I343" s="1020" t="str">
        <f>IF(OR(D343="",D343="-"),"",VLOOKUP(D343,'Fatores de Emissão'!$D$209:$K$219,4,FALSE))</f>
        <v/>
      </c>
      <c r="J343" s="1111" t="str">
        <f>IF(OR(D343="",D343="-"),"",VLOOKUP(D343,'Fatores de Emissão'!$D$209:$K$219,3,FALSE))</f>
        <v/>
      </c>
      <c r="K343" s="1111" t="str">
        <f>IF(OR(D343="",D343="-"),"",VLOOKUP(D343,'Fatores de Emissão'!$D$209:$K$219,5,FALSE))</f>
        <v/>
      </c>
      <c r="L343" s="1111" t="str">
        <f>IF(OR(D343="",D343="-"),"",VLOOKUP(D343,'Fatores de Emissão'!$D$209:$K$219,7,FALSE))</f>
        <v/>
      </c>
      <c r="M343" s="478" t="str">
        <f t="shared" si="35"/>
        <v/>
      </c>
      <c r="N343" s="478" t="str">
        <f t="shared" si="36"/>
        <v/>
      </c>
      <c r="O343" s="478" t="str">
        <f t="shared" si="37"/>
        <v/>
      </c>
      <c r="P343" s="441" t="str">
        <f t="shared" si="34"/>
        <v/>
      </c>
      <c r="Q343" s="440"/>
    </row>
    <row r="344" spans="1:58" s="237" customFormat="1" ht="15" hidden="1" customHeight="1" outlineLevel="2" x14ac:dyDescent="0.25">
      <c r="A344" s="363"/>
      <c r="B344" s="435"/>
      <c r="C344" s="435"/>
      <c r="D344" s="1268"/>
      <c r="E344" s="1268"/>
      <c r="F344" s="438"/>
      <c r="G344" s="438"/>
      <c r="H344" s="438"/>
      <c r="I344" s="1020" t="str">
        <f>IF(OR(D344="",D344="-"),"",VLOOKUP(D344,'Fatores de Emissão'!$D$209:$K$219,4,FALSE))</f>
        <v/>
      </c>
      <c r="J344" s="1111" t="str">
        <f>IF(OR(D344="",D344="-"),"",VLOOKUP(D344,'Fatores de Emissão'!$D$209:$K$219,3,FALSE))</f>
        <v/>
      </c>
      <c r="K344" s="1111" t="str">
        <f>IF(OR(D344="",D344="-"),"",VLOOKUP(D344,'Fatores de Emissão'!$D$209:$K$219,5,FALSE))</f>
        <v/>
      </c>
      <c r="L344" s="1111" t="str">
        <f>IF(OR(D344="",D344="-"),"",VLOOKUP(D344,'Fatores de Emissão'!$D$209:$K$219,7,FALSE))</f>
        <v/>
      </c>
      <c r="M344" s="478" t="str">
        <f t="shared" si="35"/>
        <v/>
      </c>
      <c r="N344" s="478" t="str">
        <f t="shared" si="36"/>
        <v/>
      </c>
      <c r="O344" s="478" t="str">
        <f t="shared" si="37"/>
        <v/>
      </c>
      <c r="P344" s="441" t="str">
        <f t="shared" si="34"/>
        <v/>
      </c>
      <c r="Q344" s="440"/>
    </row>
    <row r="345" spans="1:58" s="237" customFormat="1" ht="15" hidden="1" customHeight="1" outlineLevel="2" x14ac:dyDescent="0.25">
      <c r="A345" s="363"/>
      <c r="B345" s="435"/>
      <c r="C345" s="435"/>
      <c r="D345" s="1268"/>
      <c r="E345" s="1268"/>
      <c r="F345" s="438"/>
      <c r="G345" s="438"/>
      <c r="H345" s="438"/>
      <c r="I345" s="1020" t="str">
        <f>IF(OR(D345="",D345="-"),"",VLOOKUP(D345,'Fatores de Emissão'!$D$209:$K$219,4,FALSE))</f>
        <v/>
      </c>
      <c r="J345" s="1111" t="str">
        <f>IF(OR(D345="",D345="-"),"",VLOOKUP(D345,'Fatores de Emissão'!$D$209:$K$219,3,FALSE))</f>
        <v/>
      </c>
      <c r="K345" s="1111" t="str">
        <f>IF(OR(D345="",D345="-"),"",VLOOKUP(D345,'Fatores de Emissão'!$D$209:$K$219,5,FALSE))</f>
        <v/>
      </c>
      <c r="L345" s="1111" t="str">
        <f>IF(OR(D345="",D345="-"),"",VLOOKUP(D345,'Fatores de Emissão'!$D$209:$K$219,7,FALSE))</f>
        <v/>
      </c>
      <c r="M345" s="478" t="str">
        <f t="shared" si="35"/>
        <v/>
      </c>
      <c r="N345" s="478" t="str">
        <f t="shared" si="36"/>
        <v/>
      </c>
      <c r="O345" s="478" t="str">
        <f t="shared" si="37"/>
        <v/>
      </c>
      <c r="P345" s="441" t="str">
        <f t="shared" si="34"/>
        <v/>
      </c>
      <c r="Q345" s="440"/>
    </row>
    <row r="346" spans="1:58" s="237" customFormat="1" ht="15" hidden="1" customHeight="1" outlineLevel="2" x14ac:dyDescent="0.25">
      <c r="A346" s="363"/>
      <c r="B346" s="435"/>
      <c r="C346" s="435"/>
      <c r="D346" s="1268"/>
      <c r="E346" s="1268"/>
      <c r="F346" s="438"/>
      <c r="G346" s="438"/>
      <c r="H346" s="438"/>
      <c r="I346" s="1020" t="str">
        <f>IF(OR(D346="",D346="-"),"",VLOOKUP(D346,'Fatores de Emissão'!$D$209:$K$219,4,FALSE))</f>
        <v/>
      </c>
      <c r="J346" s="1111" t="str">
        <f>IF(OR(D346="",D346="-"),"",VLOOKUP(D346,'Fatores de Emissão'!$D$209:$K$219,3,FALSE))</f>
        <v/>
      </c>
      <c r="K346" s="1111" t="str">
        <f>IF(OR(D346="",D346="-"),"",VLOOKUP(D346,'Fatores de Emissão'!$D$209:$K$219,5,FALSE))</f>
        <v/>
      </c>
      <c r="L346" s="1111" t="str">
        <f>IF(OR(D346="",D346="-"),"",VLOOKUP(D346,'Fatores de Emissão'!$D$209:$K$219,7,FALSE))</f>
        <v/>
      </c>
      <c r="M346" s="478" t="str">
        <f t="shared" si="35"/>
        <v/>
      </c>
      <c r="N346" s="478" t="str">
        <f t="shared" si="36"/>
        <v/>
      </c>
      <c r="O346" s="478" t="str">
        <f t="shared" si="37"/>
        <v/>
      </c>
      <c r="P346" s="441" t="str">
        <f t="shared" si="34"/>
        <v/>
      </c>
      <c r="Q346" s="440"/>
    </row>
    <row r="347" spans="1:58" s="237" customFormat="1" ht="15" hidden="1" customHeight="1" outlineLevel="2" x14ac:dyDescent="0.25">
      <c r="A347" s="363"/>
      <c r="B347" s="435"/>
      <c r="C347" s="435"/>
      <c r="D347" s="1268"/>
      <c r="E347" s="1268"/>
      <c r="F347" s="438"/>
      <c r="G347" s="438"/>
      <c r="H347" s="438"/>
      <c r="I347" s="1020" t="str">
        <f>IF(OR(D347="",D347="-"),"",VLOOKUP(D347,'Fatores de Emissão'!$D$209:$K$219,4,FALSE))</f>
        <v/>
      </c>
      <c r="J347" s="1111" t="str">
        <f>IF(OR(D347="",D347="-"),"",VLOOKUP(D347,'Fatores de Emissão'!$D$209:$K$219,3,FALSE))</f>
        <v/>
      </c>
      <c r="K347" s="1111" t="str">
        <f>IF(OR(D347="",D347="-"),"",VLOOKUP(D347,'Fatores de Emissão'!$D$209:$K$219,5,FALSE))</f>
        <v/>
      </c>
      <c r="L347" s="1111" t="str">
        <f>IF(OR(D347="",D347="-"),"",VLOOKUP(D347,'Fatores de Emissão'!$D$209:$K$219,7,FALSE))</f>
        <v/>
      </c>
      <c r="M347" s="478" t="str">
        <f t="shared" si="35"/>
        <v/>
      </c>
      <c r="N347" s="478" t="str">
        <f t="shared" si="36"/>
        <v/>
      </c>
      <c r="O347" s="478" t="str">
        <f t="shared" si="37"/>
        <v/>
      </c>
      <c r="P347" s="441" t="str">
        <f t="shared" si="34"/>
        <v/>
      </c>
      <c r="Q347" s="440"/>
    </row>
    <row r="348" spans="1:58" s="237" customFormat="1" ht="15" hidden="1" customHeight="1" outlineLevel="2" x14ac:dyDescent="0.25">
      <c r="A348" s="363"/>
      <c r="B348" s="435"/>
      <c r="C348" s="435"/>
      <c r="D348" s="1268"/>
      <c r="E348" s="1268"/>
      <c r="F348" s="438"/>
      <c r="G348" s="438"/>
      <c r="H348" s="438"/>
      <c r="I348" s="1020" t="str">
        <f>IF(OR(D348="",D348="-"),"",VLOOKUP(D348,'Fatores de Emissão'!$D$209:$K$219,4,FALSE))</f>
        <v/>
      </c>
      <c r="J348" s="1111" t="str">
        <f>IF(OR(D348="",D348="-"),"",VLOOKUP(D348,'Fatores de Emissão'!$D$209:$K$219,3,FALSE))</f>
        <v/>
      </c>
      <c r="K348" s="1111" t="str">
        <f>IF(OR(D348="",D348="-"),"",VLOOKUP(D348,'Fatores de Emissão'!$D$209:$K$219,5,FALSE))</f>
        <v/>
      </c>
      <c r="L348" s="1111" t="str">
        <f>IF(OR(D348="",D348="-"),"",VLOOKUP(D348,'Fatores de Emissão'!$D$209:$K$219,7,FALSE))</f>
        <v/>
      </c>
      <c r="M348" s="478" t="str">
        <f t="shared" si="35"/>
        <v/>
      </c>
      <c r="N348" s="478" t="str">
        <f t="shared" si="36"/>
        <v/>
      </c>
      <c r="O348" s="478" t="str">
        <f t="shared" si="37"/>
        <v/>
      </c>
      <c r="P348" s="441" t="str">
        <f t="shared" si="34"/>
        <v/>
      </c>
      <c r="Q348" s="440"/>
    </row>
    <row r="349" spans="1:58" s="237" customFormat="1" ht="15" hidden="1" customHeight="1" outlineLevel="2" x14ac:dyDescent="0.25">
      <c r="A349" s="363"/>
      <c r="B349" s="435"/>
      <c r="C349" s="435"/>
      <c r="D349" s="1268"/>
      <c r="E349" s="1268"/>
      <c r="F349" s="438"/>
      <c r="G349" s="438"/>
      <c r="H349" s="438"/>
      <c r="I349" s="1020" t="str">
        <f>IF(OR(D349="",D349="-"),"",VLOOKUP(D349,'Fatores de Emissão'!$D$209:$K$219,4,FALSE))</f>
        <v/>
      </c>
      <c r="J349" s="1111" t="str">
        <f>IF(OR(D349="",D349="-"),"",VLOOKUP(D349,'Fatores de Emissão'!$D$209:$K$219,3,FALSE))</f>
        <v/>
      </c>
      <c r="K349" s="1111" t="str">
        <f>IF(OR(D349="",D349="-"),"",VLOOKUP(D349,'Fatores de Emissão'!$D$209:$K$219,5,FALSE))</f>
        <v/>
      </c>
      <c r="L349" s="1111" t="str">
        <f>IF(OR(D349="",D349="-"),"",VLOOKUP(D349,'Fatores de Emissão'!$D$209:$K$219,7,FALSE))</f>
        <v/>
      </c>
      <c r="M349" s="478" t="str">
        <f t="shared" si="35"/>
        <v/>
      </c>
      <c r="N349" s="478" t="str">
        <f t="shared" si="36"/>
        <v/>
      </c>
      <c r="O349" s="478" t="str">
        <f t="shared" si="37"/>
        <v/>
      </c>
      <c r="P349" s="441" t="str">
        <f t="shared" si="34"/>
        <v/>
      </c>
      <c r="Q349" s="440"/>
    </row>
    <row r="350" spans="1:58" s="237" customFormat="1" ht="15" customHeight="1" outlineLevel="1" x14ac:dyDescent="0.25">
      <c r="A350" s="363"/>
      <c r="B350" s="449"/>
      <c r="C350" s="363"/>
      <c r="D350" s="363"/>
      <c r="E350" s="363"/>
      <c r="F350" s="363"/>
      <c r="G350" s="363"/>
      <c r="H350" s="363"/>
      <c r="I350" s="363"/>
      <c r="J350" s="1278" t="s">
        <v>78</v>
      </c>
      <c r="K350" s="1279"/>
      <c r="L350" s="1280"/>
      <c r="M350" s="443">
        <f>SUM(M300:M349)</f>
        <v>0</v>
      </c>
      <c r="N350" s="443">
        <f>SUM(N300:N349)</f>
        <v>0</v>
      </c>
      <c r="O350" s="443">
        <f>SUM(O300:O349)</f>
        <v>0</v>
      </c>
      <c r="P350" s="443">
        <f>SUM(P300:P349)</f>
        <v>0</v>
      </c>
      <c r="Q350" s="443">
        <f>SUM(Q300:Q349)</f>
        <v>0</v>
      </c>
    </row>
    <row r="351" spans="1:58" s="237" customFormat="1" ht="15" customHeight="1" x14ac:dyDescent="0.25">
      <c r="A351" s="363"/>
      <c r="B351" s="388"/>
      <c r="C351" s="373"/>
      <c r="D351" s="442"/>
      <c r="E351" s="442"/>
      <c r="F351" s="373"/>
      <c r="G351" s="373"/>
      <c r="H351" s="373"/>
      <c r="I351" s="373"/>
      <c r="J351" s="373"/>
      <c r="K351" s="373"/>
      <c r="L351" s="373"/>
      <c r="M351" s="373"/>
      <c r="N351" s="373"/>
      <c r="O351" s="373"/>
      <c r="P351" s="373"/>
      <c r="Q351" s="373"/>
      <c r="R351" s="373"/>
      <c r="S351" s="373"/>
      <c r="T351" s="373"/>
      <c r="U351" s="373"/>
      <c r="V351" s="363"/>
      <c r="W351" s="373"/>
      <c r="X351" s="373"/>
      <c r="Z351" s="373"/>
      <c r="AA351" s="373"/>
      <c r="AB351" s="373"/>
    </row>
    <row r="352" spans="1:58" s="463" customFormat="1" ht="18" customHeight="1" x14ac:dyDescent="0.3">
      <c r="A352" s="464"/>
      <c r="B352" s="465" t="s">
        <v>1893</v>
      </c>
      <c r="C352" s="466"/>
      <c r="D352" s="466"/>
      <c r="E352" s="466"/>
      <c r="F352" s="466"/>
      <c r="G352" s="466"/>
      <c r="H352" s="466"/>
      <c r="I352" s="466"/>
      <c r="J352" s="466"/>
      <c r="K352" s="466"/>
      <c r="L352" s="466"/>
      <c r="M352" s="466"/>
      <c r="N352" s="466"/>
      <c r="O352" s="466"/>
      <c r="P352" s="466"/>
      <c r="Q352" s="466"/>
      <c r="R352" s="466"/>
      <c r="S352" s="466"/>
      <c r="T352" s="466"/>
      <c r="U352" s="466"/>
      <c r="V352" s="466"/>
      <c r="W352" s="466"/>
      <c r="X352" s="466"/>
      <c r="Y352" s="466"/>
      <c r="Z352" s="466"/>
      <c r="AA352" s="466"/>
      <c r="AB352" s="466"/>
      <c r="AC352" s="466"/>
      <c r="AD352" s="466"/>
      <c r="AE352" s="466"/>
      <c r="AF352" s="466"/>
      <c r="AG352" s="466"/>
      <c r="AH352" s="466"/>
      <c r="AI352" s="466"/>
      <c r="AJ352" s="466"/>
      <c r="AK352" s="466"/>
      <c r="AL352" s="466"/>
      <c r="AM352" s="466"/>
      <c r="AN352" s="466"/>
      <c r="AO352" s="466"/>
      <c r="AP352" s="466"/>
      <c r="AQ352" s="466"/>
      <c r="AR352" s="466"/>
      <c r="AS352" s="466"/>
      <c r="AT352" s="466"/>
      <c r="AU352" s="466"/>
      <c r="AV352" s="466"/>
      <c r="AW352" s="466"/>
      <c r="AX352" s="466"/>
      <c r="AY352" s="466"/>
      <c r="AZ352" s="466"/>
      <c r="BA352" s="466"/>
      <c r="BB352" s="466"/>
      <c r="BC352" s="466"/>
      <c r="BD352" s="466"/>
      <c r="BE352" s="466"/>
      <c r="BF352" s="467"/>
    </row>
    <row r="353" spans="1:28" ht="15.75" customHeight="1" x14ac:dyDescent="0.2">
      <c r="A353" s="339"/>
      <c r="B353" s="339"/>
      <c r="C353" s="339"/>
      <c r="D353" s="339"/>
      <c r="E353" s="339"/>
      <c r="F353" s="339"/>
      <c r="G353" s="339"/>
      <c r="H353" s="339"/>
      <c r="I353" s="339"/>
      <c r="J353" s="339"/>
      <c r="K353" s="339"/>
      <c r="L353" s="339"/>
      <c r="M353" s="339"/>
      <c r="N353" s="339"/>
      <c r="O353" s="339"/>
      <c r="P353" s="339"/>
      <c r="Q353" s="339"/>
      <c r="R353" s="339"/>
      <c r="S353" s="339"/>
      <c r="T353" s="339"/>
      <c r="U353" s="339"/>
      <c r="V353" s="339"/>
      <c r="W353" s="339"/>
      <c r="X353" s="339"/>
      <c r="Y353" s="339"/>
      <c r="Z353" s="339"/>
      <c r="AA353" s="339"/>
      <c r="AB353" s="339"/>
    </row>
    <row r="354" spans="1:28" ht="15" x14ac:dyDescent="0.25">
      <c r="A354" s="339"/>
      <c r="B354" s="362" t="s">
        <v>1894</v>
      </c>
      <c r="C354" s="338"/>
      <c r="D354" s="338"/>
      <c r="E354" s="339"/>
      <c r="F354" s="339"/>
      <c r="G354" s="339"/>
      <c r="H354" s="339"/>
      <c r="I354" s="339"/>
      <c r="J354" s="339"/>
      <c r="K354" s="339"/>
      <c r="L354" s="339"/>
      <c r="M354" s="339"/>
      <c r="N354" s="339"/>
      <c r="O354" s="339"/>
      <c r="P354" s="339"/>
      <c r="Q354" s="339"/>
      <c r="R354" s="339"/>
      <c r="S354" s="339"/>
      <c r="T354" s="339"/>
      <c r="U354" s="339"/>
      <c r="V354" s="339"/>
      <c r="W354" s="339"/>
      <c r="X354" s="339"/>
      <c r="Y354" s="339"/>
      <c r="Z354" s="339"/>
      <c r="AA354" s="339"/>
      <c r="AB354" s="339"/>
    </row>
    <row r="355" spans="1:28" ht="5.0999999999999996" customHeight="1" thickBot="1" x14ac:dyDescent="0.25">
      <c r="A355" s="339"/>
      <c r="B355" s="339"/>
      <c r="C355" s="339"/>
      <c r="D355" s="339"/>
      <c r="E355" s="339"/>
      <c r="F355" s="339"/>
      <c r="G355" s="339"/>
      <c r="H355" s="339"/>
      <c r="I355" s="339"/>
      <c r="J355" s="339"/>
      <c r="K355" s="339"/>
      <c r="L355" s="339"/>
      <c r="M355" s="339"/>
      <c r="N355" s="339"/>
      <c r="O355" s="339"/>
      <c r="P355" s="339"/>
      <c r="Q355" s="339"/>
      <c r="R355" s="339"/>
      <c r="S355" s="339"/>
      <c r="T355" s="339"/>
      <c r="U355" s="339"/>
      <c r="V355" s="339"/>
      <c r="W355" s="339"/>
      <c r="X355" s="339"/>
      <c r="Y355" s="339"/>
      <c r="Z355" s="339"/>
      <c r="AA355" s="339"/>
      <c r="AB355" s="339"/>
    </row>
    <row r="356" spans="1:28" ht="30" customHeight="1" thickBot="1" x14ac:dyDescent="0.25">
      <c r="A356" s="339"/>
      <c r="B356" s="409" t="s">
        <v>1407</v>
      </c>
      <c r="C356" s="347"/>
      <c r="D356" s="347"/>
      <c r="E356" s="347"/>
      <c r="F356" s="489">
        <f>SUM(total_CM_rod_opcao2_CO2bio,total_CM_rod_opcao3_CO2e,total_CM_ferro_CO2e,total_CM_hidro_CO2e,total_CM_aero_CO2e)</f>
        <v>0</v>
      </c>
      <c r="G356" s="419"/>
      <c r="H356" s="339"/>
      <c r="I356" s="339"/>
      <c r="J356" s="339"/>
      <c r="K356" s="339"/>
      <c r="L356" s="339"/>
      <c r="M356" s="339"/>
      <c r="N356" s="339"/>
      <c r="O356" s="339"/>
      <c r="P356" s="339"/>
      <c r="Q356" s="339"/>
      <c r="R356" s="339"/>
      <c r="S356" s="339"/>
      <c r="T356" s="339"/>
      <c r="U356" s="339"/>
      <c r="V356" s="339"/>
      <c r="W356" s="339"/>
      <c r="X356" s="339"/>
      <c r="Y356" s="339"/>
      <c r="Z356" s="339"/>
      <c r="AA356" s="339"/>
      <c r="AB356" s="339"/>
    </row>
    <row r="357" spans="1:28" ht="5.0999999999999996" customHeight="1" thickBot="1" x14ac:dyDescent="0.25">
      <c r="A357" s="339"/>
      <c r="B357" s="339"/>
      <c r="C357" s="339"/>
      <c r="D357" s="339"/>
      <c r="E357" s="339"/>
      <c r="F357" s="339"/>
      <c r="G357" s="339"/>
      <c r="H357" s="339"/>
      <c r="I357" s="339"/>
      <c r="J357" s="339"/>
      <c r="K357" s="339"/>
      <c r="L357" s="339"/>
      <c r="M357" s="339"/>
      <c r="N357" s="339"/>
      <c r="O357" s="339"/>
      <c r="P357" s="339"/>
      <c r="Q357" s="339"/>
      <c r="R357" s="339"/>
      <c r="S357" s="339"/>
      <c r="T357" s="339"/>
      <c r="U357" s="339"/>
      <c r="V357" s="339"/>
      <c r="W357" s="339"/>
      <c r="X357" s="339"/>
      <c r="Y357" s="339"/>
      <c r="Z357" s="339"/>
      <c r="AA357" s="339"/>
      <c r="AB357" s="339"/>
    </row>
    <row r="358" spans="1:28" ht="30" customHeight="1" thickBot="1" x14ac:dyDescent="0.25">
      <c r="A358" s="339"/>
      <c r="B358" s="410" t="s">
        <v>1504</v>
      </c>
      <c r="C358" s="348"/>
      <c r="D358" s="348"/>
      <c r="E358" s="348"/>
      <c r="F358" s="490">
        <f>SUM(total_CM_rod_opcao3_CO2bio,total_CM_ferro_CO2bio, total_CM_hidro_CO2bio, total_CM_aero_CO2bio)</f>
        <v>0</v>
      </c>
      <c r="G358" s="419"/>
      <c r="H358" s="339"/>
      <c r="I358" s="339"/>
      <c r="J358" s="339"/>
      <c r="K358" s="339"/>
      <c r="L358" s="339"/>
      <c r="M358" s="339"/>
      <c r="N358" s="339"/>
      <c r="O358" s="339"/>
      <c r="P358" s="339"/>
      <c r="Q358" s="339"/>
      <c r="R358" s="339"/>
      <c r="S358" s="339"/>
      <c r="T358" s="339"/>
      <c r="U358" s="339"/>
      <c r="V358" s="339"/>
      <c r="W358" s="339"/>
      <c r="X358" s="339"/>
      <c r="Y358" s="339"/>
      <c r="Z358" s="339"/>
      <c r="AA358" s="339"/>
      <c r="AB358" s="339"/>
    </row>
    <row r="359" spans="1:28" ht="15" customHeight="1" x14ac:dyDescent="0.2">
      <c r="A359" s="339"/>
      <c r="B359" s="339"/>
      <c r="C359" s="339"/>
      <c r="D359" s="339"/>
      <c r="E359" s="339"/>
      <c r="F359" s="339"/>
      <c r="G359" s="339"/>
      <c r="H359" s="339"/>
      <c r="I359" s="339"/>
      <c r="J359" s="339"/>
      <c r="K359" s="339"/>
      <c r="L359" s="339"/>
      <c r="M359" s="339"/>
      <c r="N359" s="339"/>
      <c r="O359" s="339"/>
      <c r="P359" s="339"/>
      <c r="Q359" s="339"/>
      <c r="R359" s="339"/>
      <c r="S359" s="339"/>
      <c r="T359" s="339"/>
      <c r="U359" s="339"/>
      <c r="V359" s="339"/>
      <c r="W359" s="339"/>
      <c r="X359" s="339"/>
      <c r="Y359" s="339"/>
      <c r="Z359" s="339"/>
      <c r="AA359" s="339"/>
      <c r="AB359" s="339"/>
    </row>
    <row r="360" spans="1:28" ht="15" customHeight="1" x14ac:dyDescent="0.25">
      <c r="A360" s="339"/>
      <c r="B360" s="362"/>
      <c r="C360" s="339"/>
      <c r="D360" s="339"/>
      <c r="E360" s="339"/>
      <c r="F360" s="339"/>
      <c r="G360" s="339"/>
      <c r="H360" s="339"/>
      <c r="I360" s="339"/>
      <c r="J360" s="339"/>
      <c r="K360" s="339"/>
      <c r="L360" s="339"/>
      <c r="M360" s="339"/>
      <c r="N360" s="339"/>
      <c r="O360" s="339"/>
      <c r="P360" s="339"/>
      <c r="Q360" s="339"/>
      <c r="R360" s="339"/>
      <c r="S360" s="339"/>
      <c r="T360" s="339"/>
      <c r="U360" s="339"/>
      <c r="V360" s="339"/>
      <c r="W360" s="339"/>
      <c r="X360" s="339"/>
      <c r="Y360" s="339"/>
      <c r="Z360" s="339"/>
      <c r="AA360" s="339"/>
      <c r="AB360" s="339"/>
    </row>
    <row r="361" spans="1:28" ht="15" customHeight="1" x14ac:dyDescent="0.25">
      <c r="A361" s="339"/>
      <c r="B361" s="491"/>
      <c r="C361" s="339"/>
      <c r="D361" s="339"/>
      <c r="E361" s="339"/>
      <c r="F361" s="339"/>
      <c r="G361" s="339"/>
      <c r="H361" s="339"/>
      <c r="I361" s="339"/>
      <c r="J361" s="339"/>
      <c r="K361" s="339"/>
      <c r="L361" s="339"/>
      <c r="M361" s="339"/>
      <c r="N361" s="339"/>
      <c r="O361" s="339"/>
      <c r="P361" s="339"/>
      <c r="Q361" s="339"/>
      <c r="R361" s="339"/>
      <c r="S361" s="339"/>
      <c r="T361" s="339"/>
      <c r="U361" s="339"/>
      <c r="V361" s="339"/>
      <c r="W361" s="339"/>
      <c r="X361" s="339"/>
      <c r="Y361" s="339"/>
      <c r="Z361" s="339"/>
      <c r="AA361" s="339"/>
      <c r="AB361" s="339"/>
    </row>
    <row r="362" spans="1:28" ht="15.75" customHeight="1" x14ac:dyDescent="0.2">
      <c r="E362" s="420"/>
    </row>
    <row r="363" spans="1:28" ht="15.75" hidden="1" customHeight="1" x14ac:dyDescent="0.2"/>
    <row r="364" spans="1:28" ht="15" hidden="1" customHeight="1" x14ac:dyDescent="0.2"/>
    <row r="365" spans="1:28" ht="15" hidden="1" customHeight="1" x14ac:dyDescent="0.2"/>
    <row r="366" spans="1:28" ht="15" hidden="1" customHeight="1" x14ac:dyDescent="0.2"/>
    <row r="367" spans="1:28" ht="15" hidden="1" customHeight="1" x14ac:dyDescent="0.2"/>
    <row r="368" spans="1:28" ht="15" hidden="1" customHeight="1" x14ac:dyDescent="0.2"/>
    <row r="369" ht="15" hidden="1" customHeight="1" x14ac:dyDescent="0.2"/>
    <row r="370" ht="15" hidden="1" customHeight="1" x14ac:dyDescent="0.2"/>
    <row r="371" ht="15" hidden="1" customHeight="1" x14ac:dyDescent="0.2"/>
    <row r="372" ht="15" hidden="1" customHeight="1" x14ac:dyDescent="0.2"/>
    <row r="373" ht="15" hidden="1" customHeight="1" x14ac:dyDescent="0.2"/>
    <row r="374" ht="15" hidden="1" customHeight="1" x14ac:dyDescent="0.2"/>
    <row r="375" ht="15" hidden="1" customHeight="1" x14ac:dyDescent="0.2"/>
    <row r="376" ht="15" hidden="1" customHeight="1" x14ac:dyDescent="0.2"/>
    <row r="377" ht="15" hidden="1" customHeight="1" x14ac:dyDescent="0.2"/>
    <row r="378" ht="15" hidden="1" customHeight="1" x14ac:dyDescent="0.2"/>
    <row r="379" ht="15" hidden="1" customHeight="1" x14ac:dyDescent="0.2"/>
    <row r="380" ht="15" hidden="1" customHeight="1" x14ac:dyDescent="0.2"/>
    <row r="381" ht="15" hidden="1" customHeight="1" x14ac:dyDescent="0.2"/>
    <row r="382" ht="15" hidden="1" customHeight="1" x14ac:dyDescent="0.2"/>
    <row r="383" ht="15" hidden="1" customHeight="1" x14ac:dyDescent="0.2"/>
    <row r="384" ht="15" hidden="1" customHeight="1" x14ac:dyDescent="0.2"/>
    <row r="385" ht="15" hidden="1" customHeight="1" x14ac:dyDescent="0.2"/>
    <row r="386" ht="15" hidden="1" customHeight="1" x14ac:dyDescent="0.2"/>
    <row r="387" ht="15" hidden="1" customHeight="1" x14ac:dyDescent="0.2"/>
    <row r="388" ht="15" hidden="1" customHeight="1" x14ac:dyDescent="0.2"/>
    <row r="389" ht="15" hidden="1" customHeight="1" x14ac:dyDescent="0.2"/>
    <row r="390" ht="15" hidden="1" customHeight="1" x14ac:dyDescent="0.2"/>
    <row r="391" ht="15" hidden="1" customHeight="1" x14ac:dyDescent="0.2"/>
    <row r="392" ht="15" hidden="1" customHeight="1" x14ac:dyDescent="0.2"/>
    <row r="393" ht="15" hidden="1" customHeight="1" x14ac:dyDescent="0.2"/>
    <row r="394" ht="15" hidden="1" customHeight="1" x14ac:dyDescent="0.2"/>
    <row r="395" ht="15" hidden="1" customHeight="1" x14ac:dyDescent="0.2"/>
    <row r="396" ht="15" hidden="1" customHeight="1" x14ac:dyDescent="0.2"/>
    <row r="397" ht="15" hidden="1" customHeight="1" x14ac:dyDescent="0.2"/>
    <row r="398" ht="15" hidden="1" customHeight="1" x14ac:dyDescent="0.2"/>
    <row r="399" ht="15" hidden="1" customHeight="1" x14ac:dyDescent="0.2"/>
    <row r="400" ht="15" hidden="1" customHeight="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sheetData>
  <dataConsolidate/>
  <mergeCells count="276">
    <mergeCell ref="P33:Q33"/>
    <mergeCell ref="P34:P35"/>
    <mergeCell ref="Q34:Q35"/>
    <mergeCell ref="R34:R35"/>
    <mergeCell ref="I95:K96"/>
    <mergeCell ref="E95:E97"/>
    <mergeCell ref="F162:F164"/>
    <mergeCell ref="G162:G164"/>
    <mergeCell ref="H162:H164"/>
    <mergeCell ref="M162:M164"/>
    <mergeCell ref="N162:N164"/>
    <mergeCell ref="O162:O164"/>
    <mergeCell ref="P162:P164"/>
    <mergeCell ref="Q162:Q164"/>
    <mergeCell ref="D44:E44"/>
    <mergeCell ref="D45:E45"/>
    <mergeCell ref="D46:E46"/>
    <mergeCell ref="D47:E47"/>
    <mergeCell ref="D53:E53"/>
    <mergeCell ref="D54:E54"/>
    <mergeCell ref="D55:E55"/>
    <mergeCell ref="N33:N35"/>
    <mergeCell ref="F33:F35"/>
    <mergeCell ref="M33:M35"/>
    <mergeCell ref="D13:F13"/>
    <mergeCell ref="B25:J26"/>
    <mergeCell ref="D210:E210"/>
    <mergeCell ref="D211:E211"/>
    <mergeCell ref="D212:E212"/>
    <mergeCell ref="D213:E213"/>
    <mergeCell ref="D214:E214"/>
    <mergeCell ref="D215:E215"/>
    <mergeCell ref="D201:E201"/>
    <mergeCell ref="D202:E202"/>
    <mergeCell ref="D203:E203"/>
    <mergeCell ref="D204:E204"/>
    <mergeCell ref="D205:E205"/>
    <mergeCell ref="D206:E206"/>
    <mergeCell ref="D207:E207"/>
    <mergeCell ref="D208:E208"/>
    <mergeCell ref="D209:E209"/>
    <mergeCell ref="D192:E192"/>
    <mergeCell ref="D193:E193"/>
    <mergeCell ref="D194:E194"/>
    <mergeCell ref="D195:E195"/>
    <mergeCell ref="D196:E196"/>
    <mergeCell ref="D197:E197"/>
    <mergeCell ref="D198:E198"/>
    <mergeCell ref="D344:E344"/>
    <mergeCell ref="D345:E345"/>
    <mergeCell ref="D346:E346"/>
    <mergeCell ref="D347:E347"/>
    <mergeCell ref="D348:E348"/>
    <mergeCell ref="D349:E349"/>
    <mergeCell ref="D320:E320"/>
    <mergeCell ref="D321:E321"/>
    <mergeCell ref="D322:E322"/>
    <mergeCell ref="D323:E323"/>
    <mergeCell ref="D324:E324"/>
    <mergeCell ref="D325:E325"/>
    <mergeCell ref="D308:E308"/>
    <mergeCell ref="D309:E309"/>
    <mergeCell ref="D310:E310"/>
    <mergeCell ref="D311:E311"/>
    <mergeCell ref="D312:E312"/>
    <mergeCell ref="D313:E313"/>
    <mergeCell ref="D314:E314"/>
    <mergeCell ref="D315:E315"/>
    <mergeCell ref="D316:E316"/>
    <mergeCell ref="J350:L350"/>
    <mergeCell ref="H87:J87"/>
    <mergeCell ref="D335:E335"/>
    <mergeCell ref="D336:E336"/>
    <mergeCell ref="D337:E337"/>
    <mergeCell ref="D338:E338"/>
    <mergeCell ref="D339:E339"/>
    <mergeCell ref="D340:E340"/>
    <mergeCell ref="D341:E341"/>
    <mergeCell ref="D342:E342"/>
    <mergeCell ref="D343:E343"/>
    <mergeCell ref="D326:E326"/>
    <mergeCell ref="D327:E327"/>
    <mergeCell ref="D328:E328"/>
    <mergeCell ref="D329:E329"/>
    <mergeCell ref="D330:E330"/>
    <mergeCell ref="D331:E331"/>
    <mergeCell ref="D332:E332"/>
    <mergeCell ref="D333:E333"/>
    <mergeCell ref="D334:E334"/>
    <mergeCell ref="D317:E317"/>
    <mergeCell ref="D318:E318"/>
    <mergeCell ref="D319:E319"/>
    <mergeCell ref="D299:E299"/>
    <mergeCell ref="D300:E300"/>
    <mergeCell ref="D301:E301"/>
    <mergeCell ref="D302:E302"/>
    <mergeCell ref="D303:E303"/>
    <mergeCell ref="D304:E304"/>
    <mergeCell ref="D305:E305"/>
    <mergeCell ref="D306:E306"/>
    <mergeCell ref="D307:E307"/>
    <mergeCell ref="M296:M298"/>
    <mergeCell ref="F296:F298"/>
    <mergeCell ref="G296:G298"/>
    <mergeCell ref="H296:H298"/>
    <mergeCell ref="N296:N298"/>
    <mergeCell ref="O296:O298"/>
    <mergeCell ref="P296:P298"/>
    <mergeCell ref="Q296:Q298"/>
    <mergeCell ref="D277:E277"/>
    <mergeCell ref="D278:E278"/>
    <mergeCell ref="D279:E279"/>
    <mergeCell ref="D280:E280"/>
    <mergeCell ref="D281:E281"/>
    <mergeCell ref="D282:E282"/>
    <mergeCell ref="J283:L283"/>
    <mergeCell ref="B296:B298"/>
    <mergeCell ref="C296:C298"/>
    <mergeCell ref="D296:E298"/>
    <mergeCell ref="I296:I298"/>
    <mergeCell ref="J296:L297"/>
    <mergeCell ref="D268:E268"/>
    <mergeCell ref="D269:E269"/>
    <mergeCell ref="D270:E270"/>
    <mergeCell ref="D271:E271"/>
    <mergeCell ref="D272:E272"/>
    <mergeCell ref="D273:E273"/>
    <mergeCell ref="D274:E274"/>
    <mergeCell ref="D275:E275"/>
    <mergeCell ref="D276:E276"/>
    <mergeCell ref="D259:E259"/>
    <mergeCell ref="D260:E260"/>
    <mergeCell ref="D261:E261"/>
    <mergeCell ref="D262:E262"/>
    <mergeCell ref="D263:E263"/>
    <mergeCell ref="D264:E264"/>
    <mergeCell ref="D265:E265"/>
    <mergeCell ref="D266:E266"/>
    <mergeCell ref="D267:E267"/>
    <mergeCell ref="D250:E250"/>
    <mergeCell ref="D251:E251"/>
    <mergeCell ref="D252:E252"/>
    <mergeCell ref="D253:E253"/>
    <mergeCell ref="D254:E254"/>
    <mergeCell ref="D255:E255"/>
    <mergeCell ref="D256:E256"/>
    <mergeCell ref="D257:E257"/>
    <mergeCell ref="D258:E258"/>
    <mergeCell ref="D241:E241"/>
    <mergeCell ref="D242:E242"/>
    <mergeCell ref="D243:E243"/>
    <mergeCell ref="D244:E244"/>
    <mergeCell ref="D245:E245"/>
    <mergeCell ref="D246:E246"/>
    <mergeCell ref="D247:E247"/>
    <mergeCell ref="D248:E248"/>
    <mergeCell ref="D249:E249"/>
    <mergeCell ref="D232:E232"/>
    <mergeCell ref="D233:E233"/>
    <mergeCell ref="D234:E234"/>
    <mergeCell ref="D235:E235"/>
    <mergeCell ref="D236:E236"/>
    <mergeCell ref="D237:E237"/>
    <mergeCell ref="D238:E238"/>
    <mergeCell ref="D239:E239"/>
    <mergeCell ref="D240:E240"/>
    <mergeCell ref="M229:M231"/>
    <mergeCell ref="N229:N231"/>
    <mergeCell ref="O229:O231"/>
    <mergeCell ref="P229:P231"/>
    <mergeCell ref="Q229:Q231"/>
    <mergeCell ref="J216:L216"/>
    <mergeCell ref="B229:B231"/>
    <mergeCell ref="C229:C231"/>
    <mergeCell ref="D229:E231"/>
    <mergeCell ref="I229:I231"/>
    <mergeCell ref="J229:L230"/>
    <mergeCell ref="F229:F231"/>
    <mergeCell ref="G229:G231"/>
    <mergeCell ref="H229:H231"/>
    <mergeCell ref="D199:E199"/>
    <mergeCell ref="D200:E200"/>
    <mergeCell ref="D183:E183"/>
    <mergeCell ref="D184:E184"/>
    <mergeCell ref="D185:E185"/>
    <mergeCell ref="D186:E186"/>
    <mergeCell ref="D187:E187"/>
    <mergeCell ref="D188:E188"/>
    <mergeCell ref="D189:E189"/>
    <mergeCell ref="D190:E190"/>
    <mergeCell ref="D191:E191"/>
    <mergeCell ref="D174:E174"/>
    <mergeCell ref="D175:E175"/>
    <mergeCell ref="D176:E176"/>
    <mergeCell ref="D177:E177"/>
    <mergeCell ref="D178:E178"/>
    <mergeCell ref="D179:E179"/>
    <mergeCell ref="D180:E180"/>
    <mergeCell ref="D181:E181"/>
    <mergeCell ref="D182:E182"/>
    <mergeCell ref="D165:E165"/>
    <mergeCell ref="D166:E166"/>
    <mergeCell ref="D167:E167"/>
    <mergeCell ref="D168:E168"/>
    <mergeCell ref="D169:E169"/>
    <mergeCell ref="D170:E170"/>
    <mergeCell ref="D171:E171"/>
    <mergeCell ref="D172:E172"/>
    <mergeCell ref="D173:E173"/>
    <mergeCell ref="B162:B164"/>
    <mergeCell ref="C162:C164"/>
    <mergeCell ref="D162:E164"/>
    <mergeCell ref="I162:I164"/>
    <mergeCell ref="J162:L163"/>
    <mergeCell ref="D84:E84"/>
    <mergeCell ref="D85:E85"/>
    <mergeCell ref="K33:K35"/>
    <mergeCell ref="L33:L35"/>
    <mergeCell ref="D38:E38"/>
    <mergeCell ref="D39:E39"/>
    <mergeCell ref="D40:E40"/>
    <mergeCell ref="D41:E41"/>
    <mergeCell ref="D42:E42"/>
    <mergeCell ref="D56:E56"/>
    <mergeCell ref="D57:E57"/>
    <mergeCell ref="D48:E48"/>
    <mergeCell ref="D49:E49"/>
    <mergeCell ref="D50:E50"/>
    <mergeCell ref="D51:E51"/>
    <mergeCell ref="D52:E52"/>
    <mergeCell ref="D63:E63"/>
    <mergeCell ref="D64:E64"/>
    <mergeCell ref="D43:E43"/>
    <mergeCell ref="H33:J34"/>
    <mergeCell ref="D33:E35"/>
    <mergeCell ref="B95:B97"/>
    <mergeCell ref="C95:C97"/>
    <mergeCell ref="D95:D97"/>
    <mergeCell ref="G33:G35"/>
    <mergeCell ref="B33:B35"/>
    <mergeCell ref="C33:C35"/>
    <mergeCell ref="D86:E86"/>
    <mergeCell ref="D79:E79"/>
    <mergeCell ref="D80:E80"/>
    <mergeCell ref="D81:E81"/>
    <mergeCell ref="D82:E82"/>
    <mergeCell ref="D83:E83"/>
    <mergeCell ref="D36:E36"/>
    <mergeCell ref="D37:E37"/>
    <mergeCell ref="D65:E65"/>
    <mergeCell ref="D66:E66"/>
    <mergeCell ref="D67:E67"/>
    <mergeCell ref="O95:O97"/>
    <mergeCell ref="P95:P97"/>
    <mergeCell ref="L95:L97"/>
    <mergeCell ref="M95:M97"/>
    <mergeCell ref="N95:N97"/>
    <mergeCell ref="F95:F97"/>
    <mergeCell ref="G95:G97"/>
    <mergeCell ref="H95:H97"/>
    <mergeCell ref="D58:E58"/>
    <mergeCell ref="D59:E59"/>
    <mergeCell ref="D60:E60"/>
    <mergeCell ref="D61:E61"/>
    <mergeCell ref="D62:E62"/>
    <mergeCell ref="D78:E78"/>
    <mergeCell ref="D73:E73"/>
    <mergeCell ref="D74:E74"/>
    <mergeCell ref="D75:E75"/>
    <mergeCell ref="D76:E76"/>
    <mergeCell ref="D77:E77"/>
    <mergeCell ref="D68:E68"/>
    <mergeCell ref="D69:E69"/>
    <mergeCell ref="D70:E70"/>
    <mergeCell ref="D71:E71"/>
    <mergeCell ref="D72:E72"/>
  </mergeCells>
  <phoneticPr fontId="8" type="noConversion"/>
  <conditionalFormatting sqref="D13">
    <cfRule type="containsText" dxfId="11344" priority="4659" operator="containsText" text="Escolha o ano do inventário na aba 'Introdução">
      <formula>NOT(ISERROR(SEARCH("Escolha o ano do inventário na aba 'Introdução",D13)))</formula>
    </cfRule>
  </conditionalFormatting>
  <conditionalFormatting sqref="D99:D149">
    <cfRule type="expression" dxfId="11343" priority="4780">
      <formula>#REF!&lt;&gt;""</formula>
    </cfRule>
  </conditionalFormatting>
  <conditionalFormatting sqref="D37">
    <cfRule type="expression" dxfId="11342" priority="4645">
      <formula>#REF!&lt;&gt;""</formula>
    </cfRule>
  </conditionalFormatting>
  <conditionalFormatting sqref="D79:D86">
    <cfRule type="expression" dxfId="11341" priority="4640">
      <formula>#REF!&lt;&gt;""</formula>
    </cfRule>
  </conditionalFormatting>
  <conditionalFormatting sqref="D38">
    <cfRule type="expression" dxfId="11340" priority="4631">
      <formula>#REF!&lt;&gt;""</formula>
    </cfRule>
  </conditionalFormatting>
  <conditionalFormatting sqref="D39:D78">
    <cfRule type="expression" dxfId="11339" priority="4630">
      <formula>#REF!&lt;&gt;""</formula>
    </cfRule>
  </conditionalFormatting>
  <conditionalFormatting sqref="D216">
    <cfRule type="expression" dxfId="11338" priority="4626">
      <formula>#REF!&lt;&gt;""</formula>
    </cfRule>
  </conditionalFormatting>
  <conditionalFormatting sqref="D233:D282">
    <cfRule type="expression" dxfId="11337" priority="4621">
      <formula>#REF!&lt;&gt;""</formula>
    </cfRule>
  </conditionalFormatting>
  <conditionalFormatting sqref="D299:D349">
    <cfRule type="expression" dxfId="11336" priority="4615">
      <formula>#REF!&lt;&gt;""</formula>
    </cfRule>
  </conditionalFormatting>
  <conditionalFormatting sqref="D350">
    <cfRule type="expression" dxfId="11335" priority="4614">
      <formula>#REF!&lt;&gt;""</formula>
    </cfRule>
  </conditionalFormatting>
  <conditionalFormatting sqref="D167:D215">
    <cfRule type="expression" dxfId="11334" priority="4605">
      <formula>#REF!&lt;&gt;""</formula>
    </cfRule>
  </conditionalFormatting>
  <conditionalFormatting sqref="D166">
    <cfRule type="expression" dxfId="11333" priority="4602">
      <formula>#REF!&lt;&gt;""</formula>
    </cfRule>
  </conditionalFormatting>
  <conditionalFormatting sqref="F349">
    <cfRule type="expression" dxfId="11332" priority="14">
      <formula>#REF!&lt;&gt;""</formula>
    </cfRule>
    <cfRule type="expression" dxfId="11331" priority="15">
      <formula>#REF!&lt;&gt;""</formula>
    </cfRule>
    <cfRule type="expression" dxfId="11330" priority="16">
      <formula>#REF!&lt;&gt;""</formula>
    </cfRule>
    <cfRule type="expression" dxfId="11329" priority="17">
      <formula>#REF!&lt;&gt;""</formula>
    </cfRule>
    <cfRule type="expression" dxfId="11328" priority="18">
      <formula>#REF!&lt;&gt;""</formula>
    </cfRule>
    <cfRule type="expression" dxfId="11327" priority="19">
      <formula>#REF!&lt;&gt;""</formula>
    </cfRule>
    <cfRule type="expression" dxfId="11326" priority="20">
      <formula>#REF!&lt;&gt;""</formula>
    </cfRule>
    <cfRule type="expression" dxfId="11325" priority="21">
      <formula>#REF!&lt;&gt;""</formula>
    </cfRule>
    <cfRule type="expression" dxfId="11324" priority="22">
      <formula>#REF!&lt;&gt;""</formula>
    </cfRule>
    <cfRule type="expression" dxfId="11323" priority="23">
      <formula>#REF!&lt;&gt;""</formula>
    </cfRule>
    <cfRule type="expression" dxfId="11322" priority="24">
      <formula>#REF!&lt;&gt;""</formula>
    </cfRule>
    <cfRule type="expression" dxfId="11321" priority="25">
      <formula>#REF!&lt;&gt;""</formula>
    </cfRule>
  </conditionalFormatting>
  <conditionalFormatting sqref="F300">
    <cfRule type="expression" dxfId="11320" priority="651">
      <formula>#REF!&lt;&gt;""</formula>
    </cfRule>
    <cfRule type="expression" dxfId="11319" priority="652">
      <formula>#REF!&lt;&gt;""</formula>
    </cfRule>
    <cfRule type="expression" dxfId="11318" priority="653">
      <formula>#REF!&lt;&gt;""</formula>
    </cfRule>
    <cfRule type="expression" dxfId="11317" priority="654">
      <formula>#REF!&lt;&gt;""</formula>
    </cfRule>
    <cfRule type="expression" dxfId="11316" priority="655">
      <formula>#REF!&lt;&gt;""</formula>
    </cfRule>
    <cfRule type="expression" dxfId="11315" priority="656">
      <formula>#REF!&lt;&gt;""</formula>
    </cfRule>
    <cfRule type="expression" dxfId="11314" priority="657">
      <formula>#REF!&lt;&gt;""</formula>
    </cfRule>
    <cfRule type="expression" dxfId="11313" priority="658">
      <formula>#REF!&lt;&gt;""</formula>
    </cfRule>
    <cfRule type="expression" dxfId="11312" priority="659">
      <formula>#REF!&lt;&gt;""</formula>
    </cfRule>
    <cfRule type="expression" dxfId="11311" priority="660">
      <formula>#REF!&lt;&gt;""</formula>
    </cfRule>
    <cfRule type="expression" dxfId="11310" priority="661">
      <formula>#REF!&lt;&gt;""</formula>
    </cfRule>
    <cfRule type="expression" dxfId="11309" priority="662">
      <formula>#REF!&lt;&gt;""</formula>
    </cfRule>
  </conditionalFormatting>
  <conditionalFormatting sqref="F301">
    <cfRule type="expression" dxfId="11308" priority="638">
      <formula>#REF!&lt;&gt;""</formula>
    </cfRule>
    <cfRule type="expression" dxfId="11307" priority="639">
      <formula>#REF!&lt;&gt;""</formula>
    </cfRule>
    <cfRule type="expression" dxfId="11306" priority="640">
      <formula>#REF!&lt;&gt;""</formula>
    </cfRule>
    <cfRule type="expression" dxfId="11305" priority="641">
      <formula>#REF!&lt;&gt;""</formula>
    </cfRule>
    <cfRule type="expression" dxfId="11304" priority="642">
      <formula>#REF!&lt;&gt;""</formula>
    </cfRule>
    <cfRule type="expression" dxfId="11303" priority="643">
      <formula>#REF!&lt;&gt;""</formula>
    </cfRule>
    <cfRule type="expression" dxfId="11302" priority="644">
      <formula>#REF!&lt;&gt;""</formula>
    </cfRule>
    <cfRule type="expression" dxfId="11301" priority="645">
      <formula>#REF!&lt;&gt;""</formula>
    </cfRule>
    <cfRule type="expression" dxfId="11300" priority="646">
      <formula>#REF!&lt;&gt;""</formula>
    </cfRule>
    <cfRule type="expression" dxfId="11299" priority="647">
      <formula>#REF!&lt;&gt;""</formula>
    </cfRule>
    <cfRule type="expression" dxfId="11298" priority="648">
      <formula>#REF!&lt;&gt;""</formula>
    </cfRule>
    <cfRule type="expression" dxfId="11297" priority="649">
      <formula>#REF!&lt;&gt;""</formula>
    </cfRule>
  </conditionalFormatting>
  <conditionalFormatting sqref="F302">
    <cfRule type="expression" dxfId="11296" priority="625">
      <formula>#REF!&lt;&gt;""</formula>
    </cfRule>
    <cfRule type="expression" dxfId="11295" priority="626">
      <formula>#REF!&lt;&gt;""</formula>
    </cfRule>
    <cfRule type="expression" dxfId="11294" priority="627">
      <formula>#REF!&lt;&gt;""</formula>
    </cfRule>
    <cfRule type="expression" dxfId="11293" priority="628">
      <formula>#REF!&lt;&gt;""</formula>
    </cfRule>
    <cfRule type="expression" dxfId="11292" priority="629">
      <formula>#REF!&lt;&gt;""</formula>
    </cfRule>
    <cfRule type="expression" dxfId="11291" priority="630">
      <formula>#REF!&lt;&gt;""</formula>
    </cfRule>
    <cfRule type="expression" dxfId="11290" priority="631">
      <formula>#REF!&lt;&gt;""</formula>
    </cfRule>
    <cfRule type="expression" dxfId="11289" priority="632">
      <formula>#REF!&lt;&gt;""</formula>
    </cfRule>
    <cfRule type="expression" dxfId="11288" priority="633">
      <formula>#REF!&lt;&gt;""</formula>
    </cfRule>
    <cfRule type="expression" dxfId="11287" priority="634">
      <formula>#REF!&lt;&gt;""</formula>
    </cfRule>
    <cfRule type="expression" dxfId="11286" priority="635">
      <formula>#REF!&lt;&gt;""</formula>
    </cfRule>
    <cfRule type="expression" dxfId="11285" priority="636">
      <formula>#REF!&lt;&gt;""</formula>
    </cfRule>
  </conditionalFormatting>
  <conditionalFormatting sqref="F303">
    <cfRule type="expression" dxfId="11284" priority="612">
      <formula>#REF!&lt;&gt;""</formula>
    </cfRule>
    <cfRule type="expression" dxfId="11283" priority="613">
      <formula>#REF!&lt;&gt;""</formula>
    </cfRule>
    <cfRule type="expression" dxfId="11282" priority="614">
      <formula>#REF!&lt;&gt;""</formula>
    </cfRule>
    <cfRule type="expression" dxfId="11281" priority="615">
      <formula>#REF!&lt;&gt;""</formula>
    </cfRule>
    <cfRule type="expression" dxfId="11280" priority="616">
      <formula>#REF!&lt;&gt;""</formula>
    </cfRule>
    <cfRule type="expression" dxfId="11279" priority="617">
      <formula>#REF!&lt;&gt;""</formula>
    </cfRule>
    <cfRule type="expression" dxfId="11278" priority="618">
      <formula>#REF!&lt;&gt;""</formula>
    </cfRule>
    <cfRule type="expression" dxfId="11277" priority="619">
      <formula>#REF!&lt;&gt;""</formula>
    </cfRule>
    <cfRule type="expression" dxfId="11276" priority="620">
      <formula>#REF!&lt;&gt;""</formula>
    </cfRule>
    <cfRule type="expression" dxfId="11275" priority="621">
      <formula>#REF!&lt;&gt;""</formula>
    </cfRule>
    <cfRule type="expression" dxfId="11274" priority="622">
      <formula>#REF!&lt;&gt;""</formula>
    </cfRule>
    <cfRule type="expression" dxfId="11273" priority="623">
      <formula>#REF!&lt;&gt;""</formula>
    </cfRule>
  </conditionalFormatting>
  <conditionalFormatting sqref="F304">
    <cfRule type="expression" dxfId="11272" priority="599">
      <formula>#REF!&lt;&gt;""</formula>
    </cfRule>
    <cfRule type="expression" dxfId="11271" priority="600">
      <formula>#REF!&lt;&gt;""</formula>
    </cfRule>
    <cfRule type="expression" dxfId="11270" priority="601">
      <formula>#REF!&lt;&gt;""</formula>
    </cfRule>
    <cfRule type="expression" dxfId="11269" priority="602">
      <formula>#REF!&lt;&gt;""</formula>
    </cfRule>
    <cfRule type="expression" dxfId="11268" priority="603">
      <formula>#REF!&lt;&gt;""</formula>
    </cfRule>
    <cfRule type="expression" dxfId="11267" priority="604">
      <formula>#REF!&lt;&gt;""</formula>
    </cfRule>
    <cfRule type="expression" dxfId="11266" priority="605">
      <formula>#REF!&lt;&gt;""</formula>
    </cfRule>
    <cfRule type="expression" dxfId="11265" priority="606">
      <formula>#REF!&lt;&gt;""</formula>
    </cfRule>
    <cfRule type="expression" dxfId="11264" priority="607">
      <formula>#REF!&lt;&gt;""</formula>
    </cfRule>
    <cfRule type="expression" dxfId="11263" priority="608">
      <formula>#REF!&lt;&gt;""</formula>
    </cfRule>
    <cfRule type="expression" dxfId="11262" priority="609">
      <formula>#REF!&lt;&gt;""</formula>
    </cfRule>
    <cfRule type="expression" dxfId="11261" priority="610">
      <formula>#REF!&lt;&gt;""</formula>
    </cfRule>
  </conditionalFormatting>
  <conditionalFormatting sqref="F305">
    <cfRule type="expression" dxfId="11260" priority="586">
      <formula>#REF!&lt;&gt;""</formula>
    </cfRule>
    <cfRule type="expression" dxfId="11259" priority="587">
      <formula>#REF!&lt;&gt;""</formula>
    </cfRule>
    <cfRule type="expression" dxfId="11258" priority="588">
      <formula>#REF!&lt;&gt;""</formula>
    </cfRule>
    <cfRule type="expression" dxfId="11257" priority="589">
      <formula>#REF!&lt;&gt;""</formula>
    </cfRule>
    <cfRule type="expression" dxfId="11256" priority="590">
      <formula>#REF!&lt;&gt;""</formula>
    </cfRule>
    <cfRule type="expression" dxfId="11255" priority="591">
      <formula>#REF!&lt;&gt;""</formula>
    </cfRule>
    <cfRule type="expression" dxfId="11254" priority="592">
      <formula>#REF!&lt;&gt;""</formula>
    </cfRule>
    <cfRule type="expression" dxfId="11253" priority="593">
      <formula>#REF!&lt;&gt;""</formula>
    </cfRule>
    <cfRule type="expression" dxfId="11252" priority="594">
      <formula>#REF!&lt;&gt;""</formula>
    </cfRule>
    <cfRule type="expression" dxfId="11251" priority="595">
      <formula>#REF!&lt;&gt;""</formula>
    </cfRule>
    <cfRule type="expression" dxfId="11250" priority="596">
      <formula>#REF!&lt;&gt;""</formula>
    </cfRule>
    <cfRule type="expression" dxfId="11249" priority="597">
      <formula>#REF!&lt;&gt;""</formula>
    </cfRule>
  </conditionalFormatting>
  <conditionalFormatting sqref="F306">
    <cfRule type="expression" dxfId="11248" priority="573">
      <formula>#REF!&lt;&gt;""</formula>
    </cfRule>
    <cfRule type="expression" dxfId="11247" priority="574">
      <formula>#REF!&lt;&gt;""</formula>
    </cfRule>
    <cfRule type="expression" dxfId="11246" priority="575">
      <formula>#REF!&lt;&gt;""</formula>
    </cfRule>
    <cfRule type="expression" dxfId="11245" priority="576">
      <formula>#REF!&lt;&gt;""</formula>
    </cfRule>
    <cfRule type="expression" dxfId="11244" priority="577">
      <formula>#REF!&lt;&gt;""</formula>
    </cfRule>
    <cfRule type="expression" dxfId="11243" priority="578">
      <formula>#REF!&lt;&gt;""</formula>
    </cfRule>
    <cfRule type="expression" dxfId="11242" priority="579">
      <formula>#REF!&lt;&gt;""</formula>
    </cfRule>
    <cfRule type="expression" dxfId="11241" priority="580">
      <formula>#REF!&lt;&gt;""</formula>
    </cfRule>
    <cfRule type="expression" dxfId="11240" priority="581">
      <formula>#REF!&lt;&gt;""</formula>
    </cfRule>
    <cfRule type="expression" dxfId="11239" priority="582">
      <formula>#REF!&lt;&gt;""</formula>
    </cfRule>
    <cfRule type="expression" dxfId="11238" priority="583">
      <formula>#REF!&lt;&gt;""</formula>
    </cfRule>
    <cfRule type="expression" dxfId="11237" priority="584">
      <formula>#REF!&lt;&gt;""</formula>
    </cfRule>
  </conditionalFormatting>
  <conditionalFormatting sqref="F307">
    <cfRule type="expression" dxfId="11236" priority="560">
      <formula>#REF!&lt;&gt;""</formula>
    </cfRule>
    <cfRule type="expression" dxfId="11235" priority="561">
      <formula>#REF!&lt;&gt;""</formula>
    </cfRule>
    <cfRule type="expression" dxfId="11234" priority="562">
      <formula>#REF!&lt;&gt;""</formula>
    </cfRule>
    <cfRule type="expression" dxfId="11233" priority="563">
      <formula>#REF!&lt;&gt;""</formula>
    </cfRule>
    <cfRule type="expression" dxfId="11232" priority="564">
      <formula>#REF!&lt;&gt;""</formula>
    </cfRule>
    <cfRule type="expression" dxfId="11231" priority="565">
      <formula>#REF!&lt;&gt;""</formula>
    </cfRule>
    <cfRule type="expression" dxfId="11230" priority="566">
      <formula>#REF!&lt;&gt;""</formula>
    </cfRule>
    <cfRule type="expression" dxfId="11229" priority="567">
      <formula>#REF!&lt;&gt;""</formula>
    </cfRule>
    <cfRule type="expression" dxfId="11228" priority="568">
      <formula>#REF!&lt;&gt;""</formula>
    </cfRule>
    <cfRule type="expression" dxfId="11227" priority="569">
      <formula>#REF!&lt;&gt;""</formula>
    </cfRule>
    <cfRule type="expression" dxfId="11226" priority="570">
      <formula>#REF!&lt;&gt;""</formula>
    </cfRule>
    <cfRule type="expression" dxfId="11225" priority="571">
      <formula>#REF!&lt;&gt;""</formula>
    </cfRule>
  </conditionalFormatting>
  <conditionalFormatting sqref="F308">
    <cfRule type="expression" dxfId="11224" priority="547">
      <formula>#REF!&lt;&gt;""</formula>
    </cfRule>
    <cfRule type="expression" dxfId="11223" priority="548">
      <formula>#REF!&lt;&gt;""</formula>
    </cfRule>
    <cfRule type="expression" dxfId="11222" priority="549">
      <formula>#REF!&lt;&gt;""</formula>
    </cfRule>
    <cfRule type="expression" dxfId="11221" priority="550">
      <formula>#REF!&lt;&gt;""</formula>
    </cfRule>
    <cfRule type="expression" dxfId="11220" priority="551">
      <formula>#REF!&lt;&gt;""</formula>
    </cfRule>
    <cfRule type="expression" dxfId="11219" priority="552">
      <formula>#REF!&lt;&gt;""</formula>
    </cfRule>
    <cfRule type="expression" dxfId="11218" priority="553">
      <formula>#REF!&lt;&gt;""</formula>
    </cfRule>
    <cfRule type="expression" dxfId="11217" priority="554">
      <formula>#REF!&lt;&gt;""</formula>
    </cfRule>
    <cfRule type="expression" dxfId="11216" priority="555">
      <formula>#REF!&lt;&gt;""</formula>
    </cfRule>
    <cfRule type="expression" dxfId="11215" priority="556">
      <formula>#REF!&lt;&gt;""</formula>
    </cfRule>
    <cfRule type="expression" dxfId="11214" priority="557">
      <formula>#REF!&lt;&gt;""</formula>
    </cfRule>
    <cfRule type="expression" dxfId="11213" priority="558">
      <formula>#REF!&lt;&gt;""</formula>
    </cfRule>
  </conditionalFormatting>
  <conditionalFormatting sqref="F309">
    <cfRule type="expression" dxfId="11212" priority="534">
      <formula>#REF!&lt;&gt;""</formula>
    </cfRule>
    <cfRule type="expression" dxfId="11211" priority="535">
      <formula>#REF!&lt;&gt;""</formula>
    </cfRule>
    <cfRule type="expression" dxfId="11210" priority="536">
      <formula>#REF!&lt;&gt;""</formula>
    </cfRule>
    <cfRule type="expression" dxfId="11209" priority="537">
      <formula>#REF!&lt;&gt;""</formula>
    </cfRule>
    <cfRule type="expression" dxfId="11208" priority="538">
      <formula>#REF!&lt;&gt;""</formula>
    </cfRule>
    <cfRule type="expression" dxfId="11207" priority="539">
      <formula>#REF!&lt;&gt;""</formula>
    </cfRule>
    <cfRule type="expression" dxfId="11206" priority="540">
      <formula>#REF!&lt;&gt;""</formula>
    </cfRule>
    <cfRule type="expression" dxfId="11205" priority="541">
      <formula>#REF!&lt;&gt;""</formula>
    </cfRule>
    <cfRule type="expression" dxfId="11204" priority="542">
      <formula>#REF!&lt;&gt;""</formula>
    </cfRule>
    <cfRule type="expression" dxfId="11203" priority="543">
      <formula>#REF!&lt;&gt;""</formula>
    </cfRule>
    <cfRule type="expression" dxfId="11202" priority="544">
      <formula>#REF!&lt;&gt;""</formula>
    </cfRule>
    <cfRule type="expression" dxfId="11201" priority="545">
      <formula>#REF!&lt;&gt;""</formula>
    </cfRule>
  </conditionalFormatting>
  <conditionalFormatting sqref="F310">
    <cfRule type="expression" dxfId="11200" priority="521">
      <formula>#REF!&lt;&gt;""</formula>
    </cfRule>
    <cfRule type="expression" dxfId="11199" priority="522">
      <formula>#REF!&lt;&gt;""</formula>
    </cfRule>
    <cfRule type="expression" dxfId="11198" priority="523">
      <formula>#REF!&lt;&gt;""</formula>
    </cfRule>
    <cfRule type="expression" dxfId="11197" priority="524">
      <formula>#REF!&lt;&gt;""</formula>
    </cfRule>
    <cfRule type="expression" dxfId="11196" priority="525">
      <formula>#REF!&lt;&gt;""</formula>
    </cfRule>
    <cfRule type="expression" dxfId="11195" priority="526">
      <formula>#REF!&lt;&gt;""</formula>
    </cfRule>
    <cfRule type="expression" dxfId="11194" priority="527">
      <formula>#REF!&lt;&gt;""</formula>
    </cfRule>
    <cfRule type="expression" dxfId="11193" priority="528">
      <formula>#REF!&lt;&gt;""</formula>
    </cfRule>
    <cfRule type="expression" dxfId="11192" priority="529">
      <formula>#REF!&lt;&gt;""</formula>
    </cfRule>
    <cfRule type="expression" dxfId="11191" priority="530">
      <formula>#REF!&lt;&gt;""</formula>
    </cfRule>
    <cfRule type="expression" dxfId="11190" priority="531">
      <formula>#REF!&lt;&gt;""</formula>
    </cfRule>
    <cfRule type="expression" dxfId="11189" priority="532">
      <formula>#REF!&lt;&gt;""</formula>
    </cfRule>
  </conditionalFormatting>
  <conditionalFormatting sqref="F311">
    <cfRule type="expression" dxfId="11188" priority="508">
      <formula>#REF!&lt;&gt;""</formula>
    </cfRule>
    <cfRule type="expression" dxfId="11187" priority="509">
      <formula>#REF!&lt;&gt;""</formula>
    </cfRule>
    <cfRule type="expression" dxfId="11186" priority="510">
      <formula>#REF!&lt;&gt;""</formula>
    </cfRule>
    <cfRule type="expression" dxfId="11185" priority="511">
      <formula>#REF!&lt;&gt;""</formula>
    </cfRule>
    <cfRule type="expression" dxfId="11184" priority="512">
      <formula>#REF!&lt;&gt;""</formula>
    </cfRule>
    <cfRule type="expression" dxfId="11183" priority="513">
      <formula>#REF!&lt;&gt;""</formula>
    </cfRule>
    <cfRule type="expression" dxfId="11182" priority="514">
      <formula>#REF!&lt;&gt;""</formula>
    </cfRule>
    <cfRule type="expression" dxfId="11181" priority="515">
      <formula>#REF!&lt;&gt;""</formula>
    </cfRule>
    <cfRule type="expression" dxfId="11180" priority="516">
      <formula>#REF!&lt;&gt;""</formula>
    </cfRule>
    <cfRule type="expression" dxfId="11179" priority="517">
      <formula>#REF!&lt;&gt;""</formula>
    </cfRule>
    <cfRule type="expression" dxfId="11178" priority="518">
      <formula>#REF!&lt;&gt;""</formula>
    </cfRule>
    <cfRule type="expression" dxfId="11177" priority="519">
      <formula>#REF!&lt;&gt;""</formula>
    </cfRule>
  </conditionalFormatting>
  <conditionalFormatting sqref="F312">
    <cfRule type="expression" dxfId="11176" priority="495">
      <formula>#REF!&lt;&gt;""</formula>
    </cfRule>
    <cfRule type="expression" dxfId="11175" priority="496">
      <formula>#REF!&lt;&gt;""</formula>
    </cfRule>
    <cfRule type="expression" dxfId="11174" priority="497">
      <formula>#REF!&lt;&gt;""</formula>
    </cfRule>
    <cfRule type="expression" dxfId="11173" priority="498">
      <formula>#REF!&lt;&gt;""</formula>
    </cfRule>
    <cfRule type="expression" dxfId="11172" priority="499">
      <formula>#REF!&lt;&gt;""</formula>
    </cfRule>
    <cfRule type="expression" dxfId="11171" priority="500">
      <formula>#REF!&lt;&gt;""</formula>
    </cfRule>
    <cfRule type="expression" dxfId="11170" priority="501">
      <formula>#REF!&lt;&gt;""</formula>
    </cfRule>
    <cfRule type="expression" dxfId="11169" priority="502">
      <formula>#REF!&lt;&gt;""</formula>
    </cfRule>
    <cfRule type="expression" dxfId="11168" priority="503">
      <formula>#REF!&lt;&gt;""</formula>
    </cfRule>
    <cfRule type="expression" dxfId="11167" priority="504">
      <formula>#REF!&lt;&gt;""</formula>
    </cfRule>
    <cfRule type="expression" dxfId="11166" priority="505">
      <formula>#REF!&lt;&gt;""</formula>
    </cfRule>
    <cfRule type="expression" dxfId="11165" priority="506">
      <formula>#REF!&lt;&gt;""</formula>
    </cfRule>
  </conditionalFormatting>
  <conditionalFormatting sqref="F313">
    <cfRule type="expression" dxfId="11164" priority="482">
      <formula>#REF!&lt;&gt;""</formula>
    </cfRule>
    <cfRule type="expression" dxfId="11163" priority="483">
      <formula>#REF!&lt;&gt;""</formula>
    </cfRule>
    <cfRule type="expression" dxfId="11162" priority="484">
      <formula>#REF!&lt;&gt;""</formula>
    </cfRule>
    <cfRule type="expression" dxfId="11161" priority="485">
      <formula>#REF!&lt;&gt;""</formula>
    </cfRule>
    <cfRule type="expression" dxfId="11160" priority="486">
      <formula>#REF!&lt;&gt;""</formula>
    </cfRule>
    <cfRule type="expression" dxfId="11159" priority="487">
      <formula>#REF!&lt;&gt;""</formula>
    </cfRule>
    <cfRule type="expression" dxfId="11158" priority="488">
      <formula>#REF!&lt;&gt;""</formula>
    </cfRule>
    <cfRule type="expression" dxfId="11157" priority="489">
      <formula>#REF!&lt;&gt;""</formula>
    </cfRule>
    <cfRule type="expression" dxfId="11156" priority="490">
      <formula>#REF!&lt;&gt;""</formula>
    </cfRule>
    <cfRule type="expression" dxfId="11155" priority="491">
      <formula>#REF!&lt;&gt;""</formula>
    </cfRule>
    <cfRule type="expression" dxfId="11154" priority="492">
      <formula>#REF!&lt;&gt;""</formula>
    </cfRule>
    <cfRule type="expression" dxfId="11153" priority="493">
      <formula>#REF!&lt;&gt;""</formula>
    </cfRule>
  </conditionalFormatting>
  <conditionalFormatting sqref="F314">
    <cfRule type="expression" dxfId="11152" priority="469">
      <formula>#REF!&lt;&gt;""</formula>
    </cfRule>
    <cfRule type="expression" dxfId="11151" priority="470">
      <formula>#REF!&lt;&gt;""</formula>
    </cfRule>
    <cfRule type="expression" dxfId="11150" priority="471">
      <formula>#REF!&lt;&gt;""</formula>
    </cfRule>
    <cfRule type="expression" dxfId="11149" priority="472">
      <formula>#REF!&lt;&gt;""</formula>
    </cfRule>
    <cfRule type="expression" dxfId="11148" priority="473">
      <formula>#REF!&lt;&gt;""</formula>
    </cfRule>
    <cfRule type="expression" dxfId="11147" priority="474">
      <formula>#REF!&lt;&gt;""</formula>
    </cfRule>
    <cfRule type="expression" dxfId="11146" priority="475">
      <formula>#REF!&lt;&gt;""</formula>
    </cfRule>
    <cfRule type="expression" dxfId="11145" priority="476">
      <formula>#REF!&lt;&gt;""</formula>
    </cfRule>
    <cfRule type="expression" dxfId="11144" priority="477">
      <formula>#REF!&lt;&gt;""</formula>
    </cfRule>
    <cfRule type="expression" dxfId="11143" priority="478">
      <formula>#REF!&lt;&gt;""</formula>
    </cfRule>
    <cfRule type="expression" dxfId="11142" priority="479">
      <formula>#REF!&lt;&gt;""</formula>
    </cfRule>
    <cfRule type="expression" dxfId="11141" priority="480">
      <formula>#REF!&lt;&gt;""</formula>
    </cfRule>
  </conditionalFormatting>
  <conditionalFormatting sqref="F315">
    <cfRule type="expression" dxfId="11140" priority="456">
      <formula>#REF!&lt;&gt;""</formula>
    </cfRule>
    <cfRule type="expression" dxfId="11139" priority="457">
      <formula>#REF!&lt;&gt;""</formula>
    </cfRule>
    <cfRule type="expression" dxfId="11138" priority="458">
      <formula>#REF!&lt;&gt;""</formula>
    </cfRule>
    <cfRule type="expression" dxfId="11137" priority="459">
      <formula>#REF!&lt;&gt;""</formula>
    </cfRule>
    <cfRule type="expression" dxfId="11136" priority="460">
      <formula>#REF!&lt;&gt;""</formula>
    </cfRule>
    <cfRule type="expression" dxfId="11135" priority="461">
      <formula>#REF!&lt;&gt;""</formula>
    </cfRule>
    <cfRule type="expression" dxfId="11134" priority="462">
      <formula>#REF!&lt;&gt;""</formula>
    </cfRule>
    <cfRule type="expression" dxfId="11133" priority="463">
      <formula>#REF!&lt;&gt;""</formula>
    </cfRule>
    <cfRule type="expression" dxfId="11132" priority="464">
      <formula>#REF!&lt;&gt;""</formula>
    </cfRule>
    <cfRule type="expression" dxfId="11131" priority="465">
      <formula>#REF!&lt;&gt;""</formula>
    </cfRule>
    <cfRule type="expression" dxfId="11130" priority="466">
      <formula>#REF!&lt;&gt;""</formula>
    </cfRule>
    <cfRule type="expression" dxfId="11129" priority="467">
      <formula>#REF!&lt;&gt;""</formula>
    </cfRule>
  </conditionalFormatting>
  <conditionalFormatting sqref="F316">
    <cfRule type="expression" dxfId="11128" priority="443">
      <formula>#REF!&lt;&gt;""</formula>
    </cfRule>
    <cfRule type="expression" dxfId="11127" priority="444">
      <formula>#REF!&lt;&gt;""</formula>
    </cfRule>
    <cfRule type="expression" dxfId="11126" priority="445">
      <formula>#REF!&lt;&gt;""</formula>
    </cfRule>
    <cfRule type="expression" dxfId="11125" priority="446">
      <formula>#REF!&lt;&gt;""</formula>
    </cfRule>
    <cfRule type="expression" dxfId="11124" priority="447">
      <formula>#REF!&lt;&gt;""</formula>
    </cfRule>
    <cfRule type="expression" dxfId="11123" priority="448">
      <formula>#REF!&lt;&gt;""</formula>
    </cfRule>
    <cfRule type="expression" dxfId="11122" priority="449">
      <formula>#REF!&lt;&gt;""</formula>
    </cfRule>
    <cfRule type="expression" dxfId="11121" priority="450">
      <formula>#REF!&lt;&gt;""</formula>
    </cfRule>
    <cfRule type="expression" dxfId="11120" priority="451">
      <formula>#REF!&lt;&gt;""</formula>
    </cfRule>
    <cfRule type="expression" dxfId="11119" priority="452">
      <formula>#REF!&lt;&gt;""</formula>
    </cfRule>
    <cfRule type="expression" dxfId="11118" priority="453">
      <formula>#REF!&lt;&gt;""</formula>
    </cfRule>
    <cfRule type="expression" dxfId="11117" priority="454">
      <formula>#REF!&lt;&gt;""</formula>
    </cfRule>
  </conditionalFormatting>
  <conditionalFormatting sqref="F317">
    <cfRule type="expression" dxfId="11116" priority="430">
      <formula>#REF!&lt;&gt;""</formula>
    </cfRule>
    <cfRule type="expression" dxfId="11115" priority="431">
      <formula>#REF!&lt;&gt;""</formula>
    </cfRule>
    <cfRule type="expression" dxfId="11114" priority="432">
      <formula>#REF!&lt;&gt;""</formula>
    </cfRule>
    <cfRule type="expression" dxfId="11113" priority="433">
      <formula>#REF!&lt;&gt;""</formula>
    </cfRule>
    <cfRule type="expression" dxfId="11112" priority="434">
      <formula>#REF!&lt;&gt;""</formula>
    </cfRule>
    <cfRule type="expression" dxfId="11111" priority="435">
      <formula>#REF!&lt;&gt;""</formula>
    </cfRule>
    <cfRule type="expression" dxfId="11110" priority="436">
      <formula>#REF!&lt;&gt;""</formula>
    </cfRule>
    <cfRule type="expression" dxfId="11109" priority="437">
      <formula>#REF!&lt;&gt;""</formula>
    </cfRule>
    <cfRule type="expression" dxfId="11108" priority="438">
      <formula>#REF!&lt;&gt;""</formula>
    </cfRule>
    <cfRule type="expression" dxfId="11107" priority="439">
      <formula>#REF!&lt;&gt;""</formula>
    </cfRule>
    <cfRule type="expression" dxfId="11106" priority="440">
      <formula>#REF!&lt;&gt;""</formula>
    </cfRule>
    <cfRule type="expression" dxfId="11105" priority="441">
      <formula>#REF!&lt;&gt;""</formula>
    </cfRule>
  </conditionalFormatting>
  <conditionalFormatting sqref="F318">
    <cfRule type="expression" dxfId="11104" priority="417">
      <formula>#REF!&lt;&gt;""</formula>
    </cfRule>
    <cfRule type="expression" dxfId="11103" priority="418">
      <formula>#REF!&lt;&gt;""</formula>
    </cfRule>
    <cfRule type="expression" dxfId="11102" priority="419">
      <formula>#REF!&lt;&gt;""</formula>
    </cfRule>
    <cfRule type="expression" dxfId="11101" priority="420">
      <formula>#REF!&lt;&gt;""</formula>
    </cfRule>
    <cfRule type="expression" dxfId="11100" priority="421">
      <formula>#REF!&lt;&gt;""</formula>
    </cfRule>
    <cfRule type="expression" dxfId="11099" priority="422">
      <formula>#REF!&lt;&gt;""</formula>
    </cfRule>
    <cfRule type="expression" dxfId="11098" priority="423">
      <formula>#REF!&lt;&gt;""</formula>
    </cfRule>
    <cfRule type="expression" dxfId="11097" priority="424">
      <formula>#REF!&lt;&gt;""</formula>
    </cfRule>
    <cfRule type="expression" dxfId="11096" priority="425">
      <formula>#REF!&lt;&gt;""</formula>
    </cfRule>
    <cfRule type="expression" dxfId="11095" priority="426">
      <formula>#REF!&lt;&gt;""</formula>
    </cfRule>
    <cfRule type="expression" dxfId="11094" priority="427">
      <formula>#REF!&lt;&gt;""</formula>
    </cfRule>
    <cfRule type="expression" dxfId="11093" priority="428">
      <formula>#REF!&lt;&gt;""</formula>
    </cfRule>
  </conditionalFormatting>
  <conditionalFormatting sqref="F319">
    <cfRule type="expression" dxfId="11092" priority="404">
      <formula>#REF!&lt;&gt;""</formula>
    </cfRule>
    <cfRule type="expression" dxfId="11091" priority="405">
      <formula>#REF!&lt;&gt;""</formula>
    </cfRule>
    <cfRule type="expression" dxfId="11090" priority="406">
      <formula>#REF!&lt;&gt;""</formula>
    </cfRule>
    <cfRule type="expression" dxfId="11089" priority="407">
      <formula>#REF!&lt;&gt;""</formula>
    </cfRule>
    <cfRule type="expression" dxfId="11088" priority="408">
      <formula>#REF!&lt;&gt;""</formula>
    </cfRule>
    <cfRule type="expression" dxfId="11087" priority="409">
      <formula>#REF!&lt;&gt;""</formula>
    </cfRule>
    <cfRule type="expression" dxfId="11086" priority="410">
      <formula>#REF!&lt;&gt;""</formula>
    </cfRule>
    <cfRule type="expression" dxfId="11085" priority="411">
      <formula>#REF!&lt;&gt;""</formula>
    </cfRule>
    <cfRule type="expression" dxfId="11084" priority="412">
      <formula>#REF!&lt;&gt;""</formula>
    </cfRule>
    <cfRule type="expression" dxfId="11083" priority="413">
      <formula>#REF!&lt;&gt;""</formula>
    </cfRule>
    <cfRule type="expression" dxfId="11082" priority="414">
      <formula>#REF!&lt;&gt;""</formula>
    </cfRule>
    <cfRule type="expression" dxfId="11081" priority="415">
      <formula>#REF!&lt;&gt;""</formula>
    </cfRule>
  </conditionalFormatting>
  <conditionalFormatting sqref="F320">
    <cfRule type="expression" dxfId="11080" priority="391">
      <formula>#REF!&lt;&gt;""</formula>
    </cfRule>
    <cfRule type="expression" dxfId="11079" priority="392">
      <formula>#REF!&lt;&gt;""</formula>
    </cfRule>
    <cfRule type="expression" dxfId="11078" priority="393">
      <formula>#REF!&lt;&gt;""</formula>
    </cfRule>
    <cfRule type="expression" dxfId="11077" priority="394">
      <formula>#REF!&lt;&gt;""</formula>
    </cfRule>
    <cfRule type="expression" dxfId="11076" priority="395">
      <formula>#REF!&lt;&gt;""</formula>
    </cfRule>
    <cfRule type="expression" dxfId="11075" priority="396">
      <formula>#REF!&lt;&gt;""</formula>
    </cfRule>
    <cfRule type="expression" dxfId="11074" priority="397">
      <formula>#REF!&lt;&gt;""</formula>
    </cfRule>
    <cfRule type="expression" dxfId="11073" priority="398">
      <formula>#REF!&lt;&gt;""</formula>
    </cfRule>
    <cfRule type="expression" dxfId="11072" priority="399">
      <formula>#REF!&lt;&gt;""</formula>
    </cfRule>
    <cfRule type="expression" dxfId="11071" priority="400">
      <formula>#REF!&lt;&gt;""</formula>
    </cfRule>
    <cfRule type="expression" dxfId="11070" priority="401">
      <formula>#REF!&lt;&gt;""</formula>
    </cfRule>
    <cfRule type="expression" dxfId="11069" priority="402">
      <formula>#REF!&lt;&gt;""</formula>
    </cfRule>
  </conditionalFormatting>
  <conditionalFormatting sqref="F321">
    <cfRule type="expression" dxfId="11068" priority="378">
      <formula>#REF!&lt;&gt;""</formula>
    </cfRule>
    <cfRule type="expression" dxfId="11067" priority="379">
      <formula>#REF!&lt;&gt;""</formula>
    </cfRule>
    <cfRule type="expression" dxfId="11066" priority="380">
      <formula>#REF!&lt;&gt;""</formula>
    </cfRule>
    <cfRule type="expression" dxfId="11065" priority="381">
      <formula>#REF!&lt;&gt;""</formula>
    </cfRule>
    <cfRule type="expression" dxfId="11064" priority="382">
      <formula>#REF!&lt;&gt;""</formula>
    </cfRule>
    <cfRule type="expression" dxfId="11063" priority="383">
      <formula>#REF!&lt;&gt;""</formula>
    </cfRule>
    <cfRule type="expression" dxfId="11062" priority="384">
      <formula>#REF!&lt;&gt;""</formula>
    </cfRule>
    <cfRule type="expression" dxfId="11061" priority="385">
      <formula>#REF!&lt;&gt;""</formula>
    </cfRule>
    <cfRule type="expression" dxfId="11060" priority="386">
      <formula>#REF!&lt;&gt;""</formula>
    </cfRule>
    <cfRule type="expression" dxfId="11059" priority="387">
      <formula>#REF!&lt;&gt;""</formula>
    </cfRule>
    <cfRule type="expression" dxfId="11058" priority="388">
      <formula>#REF!&lt;&gt;""</formula>
    </cfRule>
    <cfRule type="expression" dxfId="11057" priority="389">
      <formula>#REF!&lt;&gt;""</formula>
    </cfRule>
  </conditionalFormatting>
  <conditionalFormatting sqref="F322">
    <cfRule type="expression" dxfId="11056" priority="365">
      <formula>#REF!&lt;&gt;""</formula>
    </cfRule>
    <cfRule type="expression" dxfId="11055" priority="366">
      <formula>#REF!&lt;&gt;""</formula>
    </cfRule>
    <cfRule type="expression" dxfId="11054" priority="367">
      <formula>#REF!&lt;&gt;""</formula>
    </cfRule>
    <cfRule type="expression" dxfId="11053" priority="368">
      <formula>#REF!&lt;&gt;""</formula>
    </cfRule>
    <cfRule type="expression" dxfId="11052" priority="369">
      <formula>#REF!&lt;&gt;""</formula>
    </cfRule>
    <cfRule type="expression" dxfId="11051" priority="370">
      <formula>#REF!&lt;&gt;""</formula>
    </cfRule>
    <cfRule type="expression" dxfId="11050" priority="371">
      <formula>#REF!&lt;&gt;""</formula>
    </cfRule>
    <cfRule type="expression" dxfId="11049" priority="372">
      <formula>#REF!&lt;&gt;""</formula>
    </cfRule>
    <cfRule type="expression" dxfId="11048" priority="373">
      <formula>#REF!&lt;&gt;""</formula>
    </cfRule>
    <cfRule type="expression" dxfId="11047" priority="374">
      <formula>#REF!&lt;&gt;""</formula>
    </cfRule>
    <cfRule type="expression" dxfId="11046" priority="375">
      <formula>#REF!&lt;&gt;""</formula>
    </cfRule>
    <cfRule type="expression" dxfId="11045" priority="376">
      <formula>#REF!&lt;&gt;""</formula>
    </cfRule>
  </conditionalFormatting>
  <conditionalFormatting sqref="F323">
    <cfRule type="expression" dxfId="11044" priority="352">
      <formula>#REF!&lt;&gt;""</formula>
    </cfRule>
    <cfRule type="expression" dxfId="11043" priority="353">
      <formula>#REF!&lt;&gt;""</formula>
    </cfRule>
    <cfRule type="expression" dxfId="11042" priority="354">
      <formula>#REF!&lt;&gt;""</formula>
    </cfRule>
    <cfRule type="expression" dxfId="11041" priority="355">
      <formula>#REF!&lt;&gt;""</formula>
    </cfRule>
    <cfRule type="expression" dxfId="11040" priority="356">
      <formula>#REF!&lt;&gt;""</formula>
    </cfRule>
    <cfRule type="expression" dxfId="11039" priority="357">
      <formula>#REF!&lt;&gt;""</formula>
    </cfRule>
    <cfRule type="expression" dxfId="11038" priority="358">
      <formula>#REF!&lt;&gt;""</formula>
    </cfRule>
    <cfRule type="expression" dxfId="11037" priority="359">
      <formula>#REF!&lt;&gt;""</formula>
    </cfRule>
    <cfRule type="expression" dxfId="11036" priority="360">
      <formula>#REF!&lt;&gt;""</formula>
    </cfRule>
    <cfRule type="expression" dxfId="11035" priority="361">
      <formula>#REF!&lt;&gt;""</formula>
    </cfRule>
    <cfRule type="expression" dxfId="11034" priority="362">
      <formula>#REF!&lt;&gt;""</formula>
    </cfRule>
    <cfRule type="expression" dxfId="11033" priority="363">
      <formula>#REF!&lt;&gt;""</formula>
    </cfRule>
  </conditionalFormatting>
  <conditionalFormatting sqref="F324">
    <cfRule type="expression" dxfId="11032" priority="339">
      <formula>#REF!&lt;&gt;""</formula>
    </cfRule>
    <cfRule type="expression" dxfId="11031" priority="340">
      <formula>#REF!&lt;&gt;""</formula>
    </cfRule>
    <cfRule type="expression" dxfId="11030" priority="341">
      <formula>#REF!&lt;&gt;""</formula>
    </cfRule>
    <cfRule type="expression" dxfId="11029" priority="342">
      <formula>#REF!&lt;&gt;""</formula>
    </cfRule>
    <cfRule type="expression" dxfId="11028" priority="343">
      <formula>#REF!&lt;&gt;""</formula>
    </cfRule>
    <cfRule type="expression" dxfId="11027" priority="344">
      <formula>#REF!&lt;&gt;""</formula>
    </cfRule>
    <cfRule type="expression" dxfId="11026" priority="345">
      <formula>#REF!&lt;&gt;""</formula>
    </cfRule>
    <cfRule type="expression" dxfId="11025" priority="346">
      <formula>#REF!&lt;&gt;""</formula>
    </cfRule>
    <cfRule type="expression" dxfId="11024" priority="347">
      <formula>#REF!&lt;&gt;""</formula>
    </cfRule>
    <cfRule type="expression" dxfId="11023" priority="348">
      <formula>#REF!&lt;&gt;""</formula>
    </cfRule>
    <cfRule type="expression" dxfId="11022" priority="349">
      <formula>#REF!&lt;&gt;""</formula>
    </cfRule>
    <cfRule type="expression" dxfId="11021" priority="350">
      <formula>#REF!&lt;&gt;""</formula>
    </cfRule>
  </conditionalFormatting>
  <conditionalFormatting sqref="F325">
    <cfRule type="expression" dxfId="11020" priority="326">
      <formula>#REF!&lt;&gt;""</formula>
    </cfRule>
    <cfRule type="expression" dxfId="11019" priority="327">
      <formula>#REF!&lt;&gt;""</formula>
    </cfRule>
    <cfRule type="expression" dxfId="11018" priority="328">
      <formula>#REF!&lt;&gt;""</formula>
    </cfRule>
    <cfRule type="expression" dxfId="11017" priority="329">
      <formula>#REF!&lt;&gt;""</formula>
    </cfRule>
    <cfRule type="expression" dxfId="11016" priority="330">
      <formula>#REF!&lt;&gt;""</formula>
    </cfRule>
    <cfRule type="expression" dxfId="11015" priority="331">
      <formula>#REF!&lt;&gt;""</formula>
    </cfRule>
    <cfRule type="expression" dxfId="11014" priority="332">
      <formula>#REF!&lt;&gt;""</formula>
    </cfRule>
    <cfRule type="expression" dxfId="11013" priority="333">
      <formula>#REF!&lt;&gt;""</formula>
    </cfRule>
    <cfRule type="expression" dxfId="11012" priority="334">
      <formula>#REF!&lt;&gt;""</formula>
    </cfRule>
    <cfRule type="expression" dxfId="11011" priority="335">
      <formula>#REF!&lt;&gt;""</formula>
    </cfRule>
    <cfRule type="expression" dxfId="11010" priority="336">
      <formula>#REF!&lt;&gt;""</formula>
    </cfRule>
    <cfRule type="expression" dxfId="11009" priority="337">
      <formula>#REF!&lt;&gt;""</formula>
    </cfRule>
  </conditionalFormatting>
  <conditionalFormatting sqref="F326">
    <cfRule type="expression" dxfId="11008" priority="313">
      <formula>#REF!&lt;&gt;""</formula>
    </cfRule>
    <cfRule type="expression" dxfId="11007" priority="314">
      <formula>#REF!&lt;&gt;""</formula>
    </cfRule>
    <cfRule type="expression" dxfId="11006" priority="315">
      <formula>#REF!&lt;&gt;""</formula>
    </cfRule>
    <cfRule type="expression" dxfId="11005" priority="316">
      <formula>#REF!&lt;&gt;""</formula>
    </cfRule>
    <cfRule type="expression" dxfId="11004" priority="317">
      <formula>#REF!&lt;&gt;""</formula>
    </cfRule>
    <cfRule type="expression" dxfId="11003" priority="318">
      <formula>#REF!&lt;&gt;""</formula>
    </cfRule>
    <cfRule type="expression" dxfId="11002" priority="319">
      <formula>#REF!&lt;&gt;""</formula>
    </cfRule>
    <cfRule type="expression" dxfId="11001" priority="320">
      <formula>#REF!&lt;&gt;""</formula>
    </cfRule>
    <cfRule type="expression" dxfId="11000" priority="321">
      <formula>#REF!&lt;&gt;""</formula>
    </cfRule>
    <cfRule type="expression" dxfId="10999" priority="322">
      <formula>#REF!&lt;&gt;""</formula>
    </cfRule>
    <cfRule type="expression" dxfId="10998" priority="323">
      <formula>#REF!&lt;&gt;""</formula>
    </cfRule>
    <cfRule type="expression" dxfId="10997" priority="324">
      <formula>#REF!&lt;&gt;""</formula>
    </cfRule>
  </conditionalFormatting>
  <conditionalFormatting sqref="F327">
    <cfRule type="expression" dxfId="10996" priority="300">
      <formula>#REF!&lt;&gt;""</formula>
    </cfRule>
    <cfRule type="expression" dxfId="10995" priority="301">
      <formula>#REF!&lt;&gt;""</formula>
    </cfRule>
    <cfRule type="expression" dxfId="10994" priority="302">
      <formula>#REF!&lt;&gt;""</formula>
    </cfRule>
    <cfRule type="expression" dxfId="10993" priority="303">
      <formula>#REF!&lt;&gt;""</formula>
    </cfRule>
    <cfRule type="expression" dxfId="10992" priority="304">
      <formula>#REF!&lt;&gt;""</formula>
    </cfRule>
    <cfRule type="expression" dxfId="10991" priority="305">
      <formula>#REF!&lt;&gt;""</formula>
    </cfRule>
    <cfRule type="expression" dxfId="10990" priority="306">
      <formula>#REF!&lt;&gt;""</formula>
    </cfRule>
    <cfRule type="expression" dxfId="10989" priority="307">
      <formula>#REF!&lt;&gt;""</formula>
    </cfRule>
    <cfRule type="expression" dxfId="10988" priority="308">
      <formula>#REF!&lt;&gt;""</formula>
    </cfRule>
    <cfRule type="expression" dxfId="10987" priority="309">
      <formula>#REF!&lt;&gt;""</formula>
    </cfRule>
    <cfRule type="expression" dxfId="10986" priority="310">
      <formula>#REF!&lt;&gt;""</formula>
    </cfRule>
    <cfRule type="expression" dxfId="10985" priority="311">
      <formula>#REF!&lt;&gt;""</formula>
    </cfRule>
  </conditionalFormatting>
  <conditionalFormatting sqref="F328">
    <cfRule type="expression" dxfId="10984" priority="287">
      <formula>#REF!&lt;&gt;""</formula>
    </cfRule>
    <cfRule type="expression" dxfId="10983" priority="288">
      <formula>#REF!&lt;&gt;""</formula>
    </cfRule>
    <cfRule type="expression" dxfId="10982" priority="289">
      <formula>#REF!&lt;&gt;""</formula>
    </cfRule>
    <cfRule type="expression" dxfId="10981" priority="290">
      <formula>#REF!&lt;&gt;""</formula>
    </cfRule>
    <cfRule type="expression" dxfId="10980" priority="291">
      <formula>#REF!&lt;&gt;""</formula>
    </cfRule>
    <cfRule type="expression" dxfId="10979" priority="292">
      <formula>#REF!&lt;&gt;""</formula>
    </cfRule>
    <cfRule type="expression" dxfId="10978" priority="293">
      <formula>#REF!&lt;&gt;""</formula>
    </cfRule>
    <cfRule type="expression" dxfId="10977" priority="294">
      <formula>#REF!&lt;&gt;""</formula>
    </cfRule>
    <cfRule type="expression" dxfId="10976" priority="295">
      <formula>#REF!&lt;&gt;""</formula>
    </cfRule>
    <cfRule type="expression" dxfId="10975" priority="296">
      <formula>#REF!&lt;&gt;""</formula>
    </cfRule>
    <cfRule type="expression" dxfId="10974" priority="297">
      <formula>#REF!&lt;&gt;""</formula>
    </cfRule>
    <cfRule type="expression" dxfId="10973" priority="298">
      <formula>#REF!&lt;&gt;""</formula>
    </cfRule>
  </conditionalFormatting>
  <conditionalFormatting sqref="F329">
    <cfRule type="expression" dxfId="10972" priority="274">
      <formula>#REF!&lt;&gt;""</formula>
    </cfRule>
    <cfRule type="expression" dxfId="10971" priority="275">
      <formula>#REF!&lt;&gt;""</formula>
    </cfRule>
    <cfRule type="expression" dxfId="10970" priority="276">
      <formula>#REF!&lt;&gt;""</formula>
    </cfRule>
    <cfRule type="expression" dxfId="10969" priority="277">
      <formula>#REF!&lt;&gt;""</formula>
    </cfRule>
    <cfRule type="expression" dxfId="10968" priority="278">
      <formula>#REF!&lt;&gt;""</formula>
    </cfRule>
    <cfRule type="expression" dxfId="10967" priority="279">
      <formula>#REF!&lt;&gt;""</formula>
    </cfRule>
    <cfRule type="expression" dxfId="10966" priority="280">
      <formula>#REF!&lt;&gt;""</formula>
    </cfRule>
    <cfRule type="expression" dxfId="10965" priority="281">
      <formula>#REF!&lt;&gt;""</formula>
    </cfRule>
    <cfRule type="expression" dxfId="10964" priority="282">
      <formula>#REF!&lt;&gt;""</formula>
    </cfRule>
    <cfRule type="expression" dxfId="10963" priority="283">
      <formula>#REF!&lt;&gt;""</formula>
    </cfRule>
    <cfRule type="expression" dxfId="10962" priority="284">
      <formula>#REF!&lt;&gt;""</formula>
    </cfRule>
    <cfRule type="expression" dxfId="10961" priority="285">
      <formula>#REF!&lt;&gt;""</formula>
    </cfRule>
  </conditionalFormatting>
  <conditionalFormatting sqref="F330">
    <cfRule type="expression" dxfId="10960" priority="261">
      <formula>#REF!&lt;&gt;""</formula>
    </cfRule>
    <cfRule type="expression" dxfId="10959" priority="262">
      <formula>#REF!&lt;&gt;""</formula>
    </cfRule>
    <cfRule type="expression" dxfId="10958" priority="263">
      <formula>#REF!&lt;&gt;""</formula>
    </cfRule>
    <cfRule type="expression" dxfId="10957" priority="264">
      <formula>#REF!&lt;&gt;""</formula>
    </cfRule>
    <cfRule type="expression" dxfId="10956" priority="265">
      <formula>#REF!&lt;&gt;""</formula>
    </cfRule>
    <cfRule type="expression" dxfId="10955" priority="266">
      <formula>#REF!&lt;&gt;""</formula>
    </cfRule>
    <cfRule type="expression" dxfId="10954" priority="267">
      <formula>#REF!&lt;&gt;""</formula>
    </cfRule>
    <cfRule type="expression" dxfId="10953" priority="268">
      <formula>#REF!&lt;&gt;""</formula>
    </cfRule>
    <cfRule type="expression" dxfId="10952" priority="269">
      <formula>#REF!&lt;&gt;""</formula>
    </cfRule>
    <cfRule type="expression" dxfId="10951" priority="270">
      <formula>#REF!&lt;&gt;""</formula>
    </cfRule>
    <cfRule type="expression" dxfId="10950" priority="271">
      <formula>#REF!&lt;&gt;""</formula>
    </cfRule>
    <cfRule type="expression" dxfId="10949" priority="272">
      <formula>#REF!&lt;&gt;""</formula>
    </cfRule>
  </conditionalFormatting>
  <conditionalFormatting sqref="F331">
    <cfRule type="expression" dxfId="10948" priority="248">
      <formula>#REF!&lt;&gt;""</formula>
    </cfRule>
    <cfRule type="expression" dxfId="10947" priority="249">
      <formula>#REF!&lt;&gt;""</formula>
    </cfRule>
    <cfRule type="expression" dxfId="10946" priority="250">
      <formula>#REF!&lt;&gt;""</formula>
    </cfRule>
    <cfRule type="expression" dxfId="10945" priority="251">
      <formula>#REF!&lt;&gt;""</formula>
    </cfRule>
    <cfRule type="expression" dxfId="10944" priority="252">
      <formula>#REF!&lt;&gt;""</formula>
    </cfRule>
    <cfRule type="expression" dxfId="10943" priority="253">
      <formula>#REF!&lt;&gt;""</formula>
    </cfRule>
    <cfRule type="expression" dxfId="10942" priority="254">
      <formula>#REF!&lt;&gt;""</formula>
    </cfRule>
    <cfRule type="expression" dxfId="10941" priority="255">
      <formula>#REF!&lt;&gt;""</formula>
    </cfRule>
    <cfRule type="expression" dxfId="10940" priority="256">
      <formula>#REF!&lt;&gt;""</formula>
    </cfRule>
    <cfRule type="expression" dxfId="10939" priority="257">
      <formula>#REF!&lt;&gt;""</formula>
    </cfRule>
    <cfRule type="expression" dxfId="10938" priority="258">
      <formula>#REF!&lt;&gt;""</formula>
    </cfRule>
    <cfRule type="expression" dxfId="10937" priority="259">
      <formula>#REF!&lt;&gt;""</formula>
    </cfRule>
  </conditionalFormatting>
  <conditionalFormatting sqref="F332">
    <cfRule type="expression" dxfId="10936" priority="235">
      <formula>#REF!&lt;&gt;""</formula>
    </cfRule>
    <cfRule type="expression" dxfId="10935" priority="236">
      <formula>#REF!&lt;&gt;""</formula>
    </cfRule>
    <cfRule type="expression" dxfId="10934" priority="237">
      <formula>#REF!&lt;&gt;""</formula>
    </cfRule>
    <cfRule type="expression" dxfId="10933" priority="238">
      <formula>#REF!&lt;&gt;""</formula>
    </cfRule>
    <cfRule type="expression" dxfId="10932" priority="239">
      <formula>#REF!&lt;&gt;""</formula>
    </cfRule>
    <cfRule type="expression" dxfId="10931" priority="240">
      <formula>#REF!&lt;&gt;""</formula>
    </cfRule>
    <cfRule type="expression" dxfId="10930" priority="241">
      <formula>#REF!&lt;&gt;""</formula>
    </cfRule>
    <cfRule type="expression" dxfId="10929" priority="242">
      <formula>#REF!&lt;&gt;""</formula>
    </cfRule>
    <cfRule type="expression" dxfId="10928" priority="243">
      <formula>#REF!&lt;&gt;""</formula>
    </cfRule>
    <cfRule type="expression" dxfId="10927" priority="244">
      <formula>#REF!&lt;&gt;""</formula>
    </cfRule>
    <cfRule type="expression" dxfId="10926" priority="245">
      <formula>#REF!&lt;&gt;""</formula>
    </cfRule>
    <cfRule type="expression" dxfId="10925" priority="246">
      <formula>#REF!&lt;&gt;""</formula>
    </cfRule>
  </conditionalFormatting>
  <conditionalFormatting sqref="F333">
    <cfRule type="expression" dxfId="10924" priority="222">
      <formula>#REF!&lt;&gt;""</formula>
    </cfRule>
    <cfRule type="expression" dxfId="10923" priority="223">
      <formula>#REF!&lt;&gt;""</formula>
    </cfRule>
    <cfRule type="expression" dxfId="10922" priority="224">
      <formula>#REF!&lt;&gt;""</formula>
    </cfRule>
    <cfRule type="expression" dxfId="10921" priority="225">
      <formula>#REF!&lt;&gt;""</formula>
    </cfRule>
    <cfRule type="expression" dxfId="10920" priority="226">
      <formula>#REF!&lt;&gt;""</formula>
    </cfRule>
    <cfRule type="expression" dxfId="10919" priority="227">
      <formula>#REF!&lt;&gt;""</formula>
    </cfRule>
    <cfRule type="expression" dxfId="10918" priority="228">
      <formula>#REF!&lt;&gt;""</formula>
    </cfRule>
    <cfRule type="expression" dxfId="10917" priority="229">
      <formula>#REF!&lt;&gt;""</formula>
    </cfRule>
    <cfRule type="expression" dxfId="10916" priority="230">
      <formula>#REF!&lt;&gt;""</formula>
    </cfRule>
    <cfRule type="expression" dxfId="10915" priority="231">
      <formula>#REF!&lt;&gt;""</formula>
    </cfRule>
    <cfRule type="expression" dxfId="10914" priority="232">
      <formula>#REF!&lt;&gt;""</formula>
    </cfRule>
    <cfRule type="expression" dxfId="10913" priority="233">
      <formula>#REF!&lt;&gt;""</formula>
    </cfRule>
  </conditionalFormatting>
  <conditionalFormatting sqref="F334">
    <cfRule type="expression" dxfId="10912" priority="209">
      <formula>#REF!&lt;&gt;""</formula>
    </cfRule>
    <cfRule type="expression" dxfId="10911" priority="210">
      <formula>#REF!&lt;&gt;""</formula>
    </cfRule>
    <cfRule type="expression" dxfId="10910" priority="211">
      <formula>#REF!&lt;&gt;""</formula>
    </cfRule>
    <cfRule type="expression" dxfId="10909" priority="212">
      <formula>#REF!&lt;&gt;""</formula>
    </cfRule>
    <cfRule type="expression" dxfId="10908" priority="213">
      <formula>#REF!&lt;&gt;""</formula>
    </cfRule>
    <cfRule type="expression" dxfId="10907" priority="214">
      <formula>#REF!&lt;&gt;""</formula>
    </cfRule>
    <cfRule type="expression" dxfId="10906" priority="215">
      <formula>#REF!&lt;&gt;""</formula>
    </cfRule>
    <cfRule type="expression" dxfId="10905" priority="216">
      <formula>#REF!&lt;&gt;""</formula>
    </cfRule>
    <cfRule type="expression" dxfId="10904" priority="217">
      <formula>#REF!&lt;&gt;""</formula>
    </cfRule>
    <cfRule type="expression" dxfId="10903" priority="218">
      <formula>#REF!&lt;&gt;""</formula>
    </cfRule>
    <cfRule type="expression" dxfId="10902" priority="219">
      <formula>#REF!&lt;&gt;""</formula>
    </cfRule>
    <cfRule type="expression" dxfId="10901" priority="220">
      <formula>#REF!&lt;&gt;""</formula>
    </cfRule>
  </conditionalFormatting>
  <conditionalFormatting sqref="F335">
    <cfRule type="expression" dxfId="10900" priority="196">
      <formula>#REF!&lt;&gt;""</formula>
    </cfRule>
    <cfRule type="expression" dxfId="10899" priority="197">
      <formula>#REF!&lt;&gt;""</formula>
    </cfRule>
    <cfRule type="expression" dxfId="10898" priority="198">
      <formula>#REF!&lt;&gt;""</formula>
    </cfRule>
    <cfRule type="expression" dxfId="10897" priority="199">
      <formula>#REF!&lt;&gt;""</formula>
    </cfRule>
    <cfRule type="expression" dxfId="10896" priority="200">
      <formula>#REF!&lt;&gt;""</formula>
    </cfRule>
    <cfRule type="expression" dxfId="10895" priority="201">
      <formula>#REF!&lt;&gt;""</formula>
    </cfRule>
    <cfRule type="expression" dxfId="10894" priority="202">
      <formula>#REF!&lt;&gt;""</formula>
    </cfRule>
    <cfRule type="expression" dxfId="10893" priority="203">
      <formula>#REF!&lt;&gt;""</formula>
    </cfRule>
    <cfRule type="expression" dxfId="10892" priority="204">
      <formula>#REF!&lt;&gt;""</formula>
    </cfRule>
    <cfRule type="expression" dxfId="10891" priority="205">
      <formula>#REF!&lt;&gt;""</formula>
    </cfRule>
    <cfRule type="expression" dxfId="10890" priority="206">
      <formula>#REF!&lt;&gt;""</formula>
    </cfRule>
    <cfRule type="expression" dxfId="10889" priority="207">
      <formula>#REF!&lt;&gt;""</formula>
    </cfRule>
  </conditionalFormatting>
  <conditionalFormatting sqref="F336">
    <cfRule type="expression" dxfId="10888" priority="183">
      <formula>#REF!&lt;&gt;""</formula>
    </cfRule>
    <cfRule type="expression" dxfId="10887" priority="184">
      <formula>#REF!&lt;&gt;""</formula>
    </cfRule>
    <cfRule type="expression" dxfId="10886" priority="185">
      <formula>#REF!&lt;&gt;""</formula>
    </cfRule>
    <cfRule type="expression" dxfId="10885" priority="186">
      <formula>#REF!&lt;&gt;""</formula>
    </cfRule>
    <cfRule type="expression" dxfId="10884" priority="187">
      <formula>#REF!&lt;&gt;""</formula>
    </cfRule>
    <cfRule type="expression" dxfId="10883" priority="188">
      <formula>#REF!&lt;&gt;""</formula>
    </cfRule>
    <cfRule type="expression" dxfId="10882" priority="189">
      <formula>#REF!&lt;&gt;""</formula>
    </cfRule>
    <cfRule type="expression" dxfId="10881" priority="190">
      <formula>#REF!&lt;&gt;""</formula>
    </cfRule>
    <cfRule type="expression" dxfId="10880" priority="191">
      <formula>#REF!&lt;&gt;""</formula>
    </cfRule>
    <cfRule type="expression" dxfId="10879" priority="192">
      <formula>#REF!&lt;&gt;""</formula>
    </cfRule>
    <cfRule type="expression" dxfId="10878" priority="193">
      <formula>#REF!&lt;&gt;""</formula>
    </cfRule>
    <cfRule type="expression" dxfId="10877" priority="194">
      <formula>#REF!&lt;&gt;""</formula>
    </cfRule>
  </conditionalFormatting>
  <conditionalFormatting sqref="F337">
    <cfRule type="expression" dxfId="10876" priority="170">
      <formula>#REF!&lt;&gt;""</formula>
    </cfRule>
    <cfRule type="expression" dxfId="10875" priority="171">
      <formula>#REF!&lt;&gt;""</formula>
    </cfRule>
    <cfRule type="expression" dxfId="10874" priority="172">
      <formula>#REF!&lt;&gt;""</formula>
    </cfRule>
    <cfRule type="expression" dxfId="10873" priority="173">
      <formula>#REF!&lt;&gt;""</formula>
    </cfRule>
    <cfRule type="expression" dxfId="10872" priority="174">
      <formula>#REF!&lt;&gt;""</formula>
    </cfRule>
    <cfRule type="expression" dxfId="10871" priority="175">
      <formula>#REF!&lt;&gt;""</formula>
    </cfRule>
    <cfRule type="expression" dxfId="10870" priority="176">
      <formula>#REF!&lt;&gt;""</formula>
    </cfRule>
    <cfRule type="expression" dxfId="10869" priority="177">
      <formula>#REF!&lt;&gt;""</formula>
    </cfRule>
    <cfRule type="expression" dxfId="10868" priority="178">
      <formula>#REF!&lt;&gt;""</formula>
    </cfRule>
    <cfRule type="expression" dxfId="10867" priority="179">
      <formula>#REF!&lt;&gt;""</formula>
    </cfRule>
    <cfRule type="expression" dxfId="10866" priority="180">
      <formula>#REF!&lt;&gt;""</formula>
    </cfRule>
    <cfRule type="expression" dxfId="10865" priority="181">
      <formula>#REF!&lt;&gt;""</formula>
    </cfRule>
  </conditionalFormatting>
  <conditionalFormatting sqref="F338">
    <cfRule type="expression" dxfId="10864" priority="157">
      <formula>#REF!&lt;&gt;""</formula>
    </cfRule>
    <cfRule type="expression" dxfId="10863" priority="158">
      <formula>#REF!&lt;&gt;""</formula>
    </cfRule>
    <cfRule type="expression" dxfId="10862" priority="159">
      <formula>#REF!&lt;&gt;""</formula>
    </cfRule>
    <cfRule type="expression" dxfId="10861" priority="160">
      <formula>#REF!&lt;&gt;""</formula>
    </cfRule>
    <cfRule type="expression" dxfId="10860" priority="161">
      <formula>#REF!&lt;&gt;""</formula>
    </cfRule>
    <cfRule type="expression" dxfId="10859" priority="162">
      <formula>#REF!&lt;&gt;""</formula>
    </cfRule>
    <cfRule type="expression" dxfId="10858" priority="163">
      <formula>#REF!&lt;&gt;""</formula>
    </cfRule>
    <cfRule type="expression" dxfId="10857" priority="164">
      <formula>#REF!&lt;&gt;""</formula>
    </cfRule>
    <cfRule type="expression" dxfId="10856" priority="165">
      <formula>#REF!&lt;&gt;""</formula>
    </cfRule>
    <cfRule type="expression" dxfId="10855" priority="166">
      <formula>#REF!&lt;&gt;""</formula>
    </cfRule>
    <cfRule type="expression" dxfId="10854" priority="167">
      <formula>#REF!&lt;&gt;""</formula>
    </cfRule>
    <cfRule type="expression" dxfId="10853" priority="168">
      <formula>#REF!&lt;&gt;""</formula>
    </cfRule>
  </conditionalFormatting>
  <conditionalFormatting sqref="F339">
    <cfRule type="expression" dxfId="10852" priority="144">
      <formula>#REF!&lt;&gt;""</formula>
    </cfRule>
    <cfRule type="expression" dxfId="10851" priority="145">
      <formula>#REF!&lt;&gt;""</formula>
    </cfRule>
    <cfRule type="expression" dxfId="10850" priority="146">
      <formula>#REF!&lt;&gt;""</formula>
    </cfRule>
    <cfRule type="expression" dxfId="10849" priority="147">
      <formula>#REF!&lt;&gt;""</formula>
    </cfRule>
    <cfRule type="expression" dxfId="10848" priority="148">
      <formula>#REF!&lt;&gt;""</formula>
    </cfRule>
    <cfRule type="expression" dxfId="10847" priority="149">
      <formula>#REF!&lt;&gt;""</formula>
    </cfRule>
    <cfRule type="expression" dxfId="10846" priority="150">
      <formula>#REF!&lt;&gt;""</formula>
    </cfRule>
    <cfRule type="expression" dxfId="10845" priority="151">
      <formula>#REF!&lt;&gt;""</formula>
    </cfRule>
    <cfRule type="expression" dxfId="10844" priority="152">
      <formula>#REF!&lt;&gt;""</formula>
    </cfRule>
    <cfRule type="expression" dxfId="10843" priority="153">
      <formula>#REF!&lt;&gt;""</formula>
    </cfRule>
    <cfRule type="expression" dxfId="10842" priority="154">
      <formula>#REF!&lt;&gt;""</formula>
    </cfRule>
    <cfRule type="expression" dxfId="10841" priority="155">
      <formula>#REF!&lt;&gt;""</formula>
    </cfRule>
  </conditionalFormatting>
  <conditionalFormatting sqref="F340">
    <cfRule type="expression" dxfId="10840" priority="131">
      <formula>#REF!&lt;&gt;""</formula>
    </cfRule>
    <cfRule type="expression" dxfId="10839" priority="132">
      <formula>#REF!&lt;&gt;""</formula>
    </cfRule>
    <cfRule type="expression" dxfId="10838" priority="133">
      <formula>#REF!&lt;&gt;""</formula>
    </cfRule>
    <cfRule type="expression" dxfId="10837" priority="134">
      <formula>#REF!&lt;&gt;""</formula>
    </cfRule>
    <cfRule type="expression" dxfId="10836" priority="135">
      <formula>#REF!&lt;&gt;""</formula>
    </cfRule>
    <cfRule type="expression" dxfId="10835" priority="136">
      <formula>#REF!&lt;&gt;""</formula>
    </cfRule>
    <cfRule type="expression" dxfId="10834" priority="137">
      <formula>#REF!&lt;&gt;""</formula>
    </cfRule>
    <cfRule type="expression" dxfId="10833" priority="138">
      <formula>#REF!&lt;&gt;""</formula>
    </cfRule>
    <cfRule type="expression" dxfId="10832" priority="139">
      <formula>#REF!&lt;&gt;""</formula>
    </cfRule>
    <cfRule type="expression" dxfId="10831" priority="140">
      <formula>#REF!&lt;&gt;""</formula>
    </cfRule>
    <cfRule type="expression" dxfId="10830" priority="141">
      <formula>#REF!&lt;&gt;""</formula>
    </cfRule>
    <cfRule type="expression" dxfId="10829" priority="142">
      <formula>#REF!&lt;&gt;""</formula>
    </cfRule>
  </conditionalFormatting>
  <conditionalFormatting sqref="F341">
    <cfRule type="expression" dxfId="10828" priority="118">
      <formula>#REF!&lt;&gt;""</formula>
    </cfRule>
    <cfRule type="expression" dxfId="10827" priority="119">
      <formula>#REF!&lt;&gt;""</formula>
    </cfRule>
    <cfRule type="expression" dxfId="10826" priority="120">
      <formula>#REF!&lt;&gt;""</formula>
    </cfRule>
    <cfRule type="expression" dxfId="10825" priority="121">
      <formula>#REF!&lt;&gt;""</formula>
    </cfRule>
    <cfRule type="expression" dxfId="10824" priority="122">
      <formula>#REF!&lt;&gt;""</formula>
    </cfRule>
    <cfRule type="expression" dxfId="10823" priority="123">
      <formula>#REF!&lt;&gt;""</formula>
    </cfRule>
    <cfRule type="expression" dxfId="10822" priority="124">
      <formula>#REF!&lt;&gt;""</formula>
    </cfRule>
    <cfRule type="expression" dxfId="10821" priority="125">
      <formula>#REF!&lt;&gt;""</formula>
    </cfRule>
    <cfRule type="expression" dxfId="10820" priority="126">
      <formula>#REF!&lt;&gt;""</formula>
    </cfRule>
    <cfRule type="expression" dxfId="10819" priority="127">
      <formula>#REF!&lt;&gt;""</formula>
    </cfRule>
    <cfRule type="expression" dxfId="10818" priority="128">
      <formula>#REF!&lt;&gt;""</formula>
    </cfRule>
    <cfRule type="expression" dxfId="10817" priority="129">
      <formula>#REF!&lt;&gt;""</formula>
    </cfRule>
  </conditionalFormatting>
  <conditionalFormatting sqref="F342">
    <cfRule type="expression" dxfId="10816" priority="105">
      <formula>#REF!&lt;&gt;""</formula>
    </cfRule>
    <cfRule type="expression" dxfId="10815" priority="106">
      <formula>#REF!&lt;&gt;""</formula>
    </cfRule>
    <cfRule type="expression" dxfId="10814" priority="107">
      <formula>#REF!&lt;&gt;""</formula>
    </cfRule>
    <cfRule type="expression" dxfId="10813" priority="108">
      <formula>#REF!&lt;&gt;""</formula>
    </cfRule>
    <cfRule type="expression" dxfId="10812" priority="109">
      <formula>#REF!&lt;&gt;""</formula>
    </cfRule>
    <cfRule type="expression" dxfId="10811" priority="110">
      <formula>#REF!&lt;&gt;""</formula>
    </cfRule>
    <cfRule type="expression" dxfId="10810" priority="111">
      <formula>#REF!&lt;&gt;""</formula>
    </cfRule>
    <cfRule type="expression" dxfId="10809" priority="112">
      <formula>#REF!&lt;&gt;""</formula>
    </cfRule>
    <cfRule type="expression" dxfId="10808" priority="113">
      <formula>#REF!&lt;&gt;""</formula>
    </cfRule>
    <cfRule type="expression" dxfId="10807" priority="114">
      <formula>#REF!&lt;&gt;""</formula>
    </cfRule>
    <cfRule type="expression" dxfId="10806" priority="115">
      <formula>#REF!&lt;&gt;""</formula>
    </cfRule>
    <cfRule type="expression" dxfId="10805" priority="116">
      <formula>#REF!&lt;&gt;""</formula>
    </cfRule>
  </conditionalFormatting>
  <conditionalFormatting sqref="F343">
    <cfRule type="expression" dxfId="10804" priority="92">
      <formula>#REF!&lt;&gt;""</formula>
    </cfRule>
    <cfRule type="expression" dxfId="10803" priority="93">
      <formula>#REF!&lt;&gt;""</formula>
    </cfRule>
    <cfRule type="expression" dxfId="10802" priority="94">
      <formula>#REF!&lt;&gt;""</formula>
    </cfRule>
    <cfRule type="expression" dxfId="10801" priority="95">
      <formula>#REF!&lt;&gt;""</formula>
    </cfRule>
    <cfRule type="expression" dxfId="10800" priority="96">
      <formula>#REF!&lt;&gt;""</formula>
    </cfRule>
    <cfRule type="expression" dxfId="10799" priority="97">
      <formula>#REF!&lt;&gt;""</formula>
    </cfRule>
    <cfRule type="expression" dxfId="10798" priority="98">
      <formula>#REF!&lt;&gt;""</formula>
    </cfRule>
    <cfRule type="expression" dxfId="10797" priority="99">
      <formula>#REF!&lt;&gt;""</formula>
    </cfRule>
    <cfRule type="expression" dxfId="10796" priority="100">
      <formula>#REF!&lt;&gt;""</formula>
    </cfRule>
    <cfRule type="expression" dxfId="10795" priority="101">
      <formula>#REF!&lt;&gt;""</formula>
    </cfRule>
    <cfRule type="expression" dxfId="10794" priority="102">
      <formula>#REF!&lt;&gt;""</formula>
    </cfRule>
    <cfRule type="expression" dxfId="10793" priority="103">
      <formula>#REF!&lt;&gt;""</formula>
    </cfRule>
  </conditionalFormatting>
  <conditionalFormatting sqref="F344">
    <cfRule type="expression" dxfId="10792" priority="79">
      <formula>#REF!&lt;&gt;""</formula>
    </cfRule>
    <cfRule type="expression" dxfId="10791" priority="80">
      <formula>#REF!&lt;&gt;""</formula>
    </cfRule>
    <cfRule type="expression" dxfId="10790" priority="81">
      <formula>#REF!&lt;&gt;""</formula>
    </cfRule>
    <cfRule type="expression" dxfId="10789" priority="82">
      <formula>#REF!&lt;&gt;""</formula>
    </cfRule>
    <cfRule type="expression" dxfId="10788" priority="83">
      <formula>#REF!&lt;&gt;""</formula>
    </cfRule>
    <cfRule type="expression" dxfId="10787" priority="84">
      <formula>#REF!&lt;&gt;""</formula>
    </cfRule>
    <cfRule type="expression" dxfId="10786" priority="85">
      <formula>#REF!&lt;&gt;""</formula>
    </cfRule>
    <cfRule type="expression" dxfId="10785" priority="86">
      <formula>#REF!&lt;&gt;""</formula>
    </cfRule>
    <cfRule type="expression" dxfId="10784" priority="87">
      <formula>#REF!&lt;&gt;""</formula>
    </cfRule>
    <cfRule type="expression" dxfId="10783" priority="88">
      <formula>#REF!&lt;&gt;""</formula>
    </cfRule>
    <cfRule type="expression" dxfId="10782" priority="89">
      <formula>#REF!&lt;&gt;""</formula>
    </cfRule>
    <cfRule type="expression" dxfId="10781" priority="90">
      <formula>#REF!&lt;&gt;""</formula>
    </cfRule>
  </conditionalFormatting>
  <conditionalFormatting sqref="F345">
    <cfRule type="expression" dxfId="10780" priority="66">
      <formula>#REF!&lt;&gt;""</formula>
    </cfRule>
    <cfRule type="expression" dxfId="10779" priority="67">
      <formula>#REF!&lt;&gt;""</formula>
    </cfRule>
    <cfRule type="expression" dxfId="10778" priority="68">
      <formula>#REF!&lt;&gt;""</formula>
    </cfRule>
    <cfRule type="expression" dxfId="10777" priority="69">
      <formula>#REF!&lt;&gt;""</formula>
    </cfRule>
    <cfRule type="expression" dxfId="10776" priority="70">
      <formula>#REF!&lt;&gt;""</formula>
    </cfRule>
    <cfRule type="expression" dxfId="10775" priority="71">
      <formula>#REF!&lt;&gt;""</formula>
    </cfRule>
    <cfRule type="expression" dxfId="10774" priority="72">
      <formula>#REF!&lt;&gt;""</formula>
    </cfRule>
    <cfRule type="expression" dxfId="10773" priority="73">
      <formula>#REF!&lt;&gt;""</formula>
    </cfRule>
    <cfRule type="expression" dxfId="10772" priority="74">
      <formula>#REF!&lt;&gt;""</formula>
    </cfRule>
    <cfRule type="expression" dxfId="10771" priority="75">
      <formula>#REF!&lt;&gt;""</formula>
    </cfRule>
    <cfRule type="expression" dxfId="10770" priority="76">
      <formula>#REF!&lt;&gt;""</formula>
    </cfRule>
    <cfRule type="expression" dxfId="10769" priority="77">
      <formula>#REF!&lt;&gt;""</formula>
    </cfRule>
  </conditionalFormatting>
  <conditionalFormatting sqref="F346">
    <cfRule type="expression" dxfId="10768" priority="53">
      <formula>#REF!&lt;&gt;""</formula>
    </cfRule>
    <cfRule type="expression" dxfId="10767" priority="54">
      <formula>#REF!&lt;&gt;""</formula>
    </cfRule>
    <cfRule type="expression" dxfId="10766" priority="55">
      <formula>#REF!&lt;&gt;""</formula>
    </cfRule>
    <cfRule type="expression" dxfId="10765" priority="56">
      <formula>#REF!&lt;&gt;""</formula>
    </cfRule>
    <cfRule type="expression" dxfId="10764" priority="57">
      <formula>#REF!&lt;&gt;""</formula>
    </cfRule>
    <cfRule type="expression" dxfId="10763" priority="58">
      <formula>#REF!&lt;&gt;""</formula>
    </cfRule>
    <cfRule type="expression" dxfId="10762" priority="59">
      <formula>#REF!&lt;&gt;""</formula>
    </cfRule>
    <cfRule type="expression" dxfId="10761" priority="60">
      <formula>#REF!&lt;&gt;""</formula>
    </cfRule>
    <cfRule type="expression" dxfId="10760" priority="61">
      <formula>#REF!&lt;&gt;""</formula>
    </cfRule>
    <cfRule type="expression" dxfId="10759" priority="62">
      <formula>#REF!&lt;&gt;""</formula>
    </cfRule>
    <cfRule type="expression" dxfId="10758" priority="63">
      <formula>#REF!&lt;&gt;""</formula>
    </cfRule>
    <cfRule type="expression" dxfId="10757" priority="64">
      <formula>#REF!&lt;&gt;""</formula>
    </cfRule>
  </conditionalFormatting>
  <conditionalFormatting sqref="F347">
    <cfRule type="expression" dxfId="10756" priority="40">
      <formula>#REF!&lt;&gt;""</formula>
    </cfRule>
    <cfRule type="expression" dxfId="10755" priority="41">
      <formula>#REF!&lt;&gt;""</formula>
    </cfRule>
    <cfRule type="expression" dxfId="10754" priority="42">
      <formula>#REF!&lt;&gt;""</formula>
    </cfRule>
    <cfRule type="expression" dxfId="10753" priority="43">
      <formula>#REF!&lt;&gt;""</formula>
    </cfRule>
    <cfRule type="expression" dxfId="10752" priority="44">
      <formula>#REF!&lt;&gt;""</formula>
    </cfRule>
    <cfRule type="expression" dxfId="10751" priority="45">
      <formula>#REF!&lt;&gt;""</formula>
    </cfRule>
    <cfRule type="expression" dxfId="10750" priority="46">
      <formula>#REF!&lt;&gt;""</formula>
    </cfRule>
    <cfRule type="expression" dxfId="10749" priority="47">
      <formula>#REF!&lt;&gt;""</formula>
    </cfRule>
    <cfRule type="expression" dxfId="10748" priority="48">
      <formula>#REF!&lt;&gt;""</formula>
    </cfRule>
    <cfRule type="expression" dxfId="10747" priority="49">
      <formula>#REF!&lt;&gt;""</formula>
    </cfRule>
    <cfRule type="expression" dxfId="10746" priority="50">
      <formula>#REF!&lt;&gt;""</formula>
    </cfRule>
    <cfRule type="expression" dxfId="10745" priority="51">
      <formula>#REF!&lt;&gt;""</formula>
    </cfRule>
  </conditionalFormatting>
  <conditionalFormatting sqref="F348">
    <cfRule type="expression" dxfId="10744" priority="27">
      <formula>#REF!&lt;&gt;""</formula>
    </cfRule>
    <cfRule type="expression" dxfId="10743" priority="28">
      <formula>#REF!&lt;&gt;""</formula>
    </cfRule>
    <cfRule type="expression" dxfId="10742" priority="29">
      <formula>#REF!&lt;&gt;""</formula>
    </cfRule>
    <cfRule type="expression" dxfId="10741" priority="30">
      <formula>#REF!&lt;&gt;""</formula>
    </cfRule>
    <cfRule type="expression" dxfId="10740" priority="31">
      <formula>#REF!&lt;&gt;""</formula>
    </cfRule>
    <cfRule type="expression" dxfId="10739" priority="32">
      <formula>#REF!&lt;&gt;""</formula>
    </cfRule>
    <cfRule type="expression" dxfId="10738" priority="33">
      <formula>#REF!&lt;&gt;""</formula>
    </cfRule>
    <cfRule type="expression" dxfId="10737" priority="34">
      <formula>#REF!&lt;&gt;""</formula>
    </cfRule>
    <cfRule type="expression" dxfId="10736" priority="35">
      <formula>#REF!&lt;&gt;""</formula>
    </cfRule>
    <cfRule type="expression" dxfId="10735" priority="36">
      <formula>#REF!&lt;&gt;""</formula>
    </cfRule>
    <cfRule type="expression" dxfId="10734" priority="37">
      <formula>#REF!&lt;&gt;""</formula>
    </cfRule>
    <cfRule type="expression" dxfId="10733" priority="38">
      <formula>#REF!&lt;&gt;""</formula>
    </cfRule>
  </conditionalFormatting>
  <conditionalFormatting sqref="F37">
    <cfRule type="expression" dxfId="10732" priority="3251">
      <formula>#REF!&lt;&gt;""</formula>
    </cfRule>
    <cfRule type="expression" dxfId="10731" priority="3252">
      <formula>#REF!&lt;&gt;""</formula>
    </cfRule>
    <cfRule type="expression" dxfId="10730" priority="3253">
      <formula>#REF!&lt;&gt;""</formula>
    </cfRule>
    <cfRule type="expression" dxfId="10729" priority="3254">
      <formula>#REF!&lt;&gt;""</formula>
    </cfRule>
    <cfRule type="expression" dxfId="10728" priority="3255">
      <formula>#REF!&lt;&gt;""</formula>
    </cfRule>
    <cfRule type="expression" dxfId="10727" priority="3256">
      <formula>#REF!&lt;&gt;""</formula>
    </cfRule>
    <cfRule type="expression" dxfId="10726" priority="3257">
      <formula>#REF!&lt;&gt;""</formula>
    </cfRule>
    <cfRule type="expression" dxfId="10725" priority="3258">
      <formula>#REF!&lt;&gt;""</formula>
    </cfRule>
    <cfRule type="expression" dxfId="10724" priority="3259">
      <formula>#REF!&lt;&gt;""</formula>
    </cfRule>
    <cfRule type="expression" dxfId="10723" priority="3260">
      <formula>#REF!&lt;&gt;""</formula>
    </cfRule>
    <cfRule type="expression" dxfId="10722" priority="3261">
      <formula>#REF!&lt;&gt;""</formula>
    </cfRule>
    <cfRule type="expression" dxfId="10721" priority="3262">
      <formula>#REF!&lt;&gt;""</formula>
    </cfRule>
  </conditionalFormatting>
  <conditionalFormatting sqref="F38">
    <cfRule type="expression" dxfId="10720" priority="3238">
      <formula>#REF!&lt;&gt;""</formula>
    </cfRule>
    <cfRule type="expression" dxfId="10719" priority="3239">
      <formula>#REF!&lt;&gt;""</formula>
    </cfRule>
    <cfRule type="expression" dxfId="10718" priority="3240">
      <formula>#REF!&lt;&gt;""</formula>
    </cfRule>
    <cfRule type="expression" dxfId="10717" priority="3241">
      <formula>#REF!&lt;&gt;""</formula>
    </cfRule>
    <cfRule type="expression" dxfId="10716" priority="3242">
      <formula>#REF!&lt;&gt;""</formula>
    </cfRule>
    <cfRule type="expression" dxfId="10715" priority="3243">
      <formula>#REF!&lt;&gt;""</formula>
    </cfRule>
    <cfRule type="expression" dxfId="10714" priority="3244">
      <formula>#REF!&lt;&gt;""</formula>
    </cfRule>
    <cfRule type="expression" dxfId="10713" priority="3245">
      <formula>#REF!&lt;&gt;""</formula>
    </cfRule>
    <cfRule type="expression" dxfId="10712" priority="3246">
      <formula>#REF!&lt;&gt;""</formula>
    </cfRule>
    <cfRule type="expression" dxfId="10711" priority="3247">
      <formula>#REF!&lt;&gt;""</formula>
    </cfRule>
    <cfRule type="expression" dxfId="10710" priority="3248">
      <formula>#REF!&lt;&gt;""</formula>
    </cfRule>
    <cfRule type="expression" dxfId="10709" priority="3249">
      <formula>#REF!&lt;&gt;""</formula>
    </cfRule>
  </conditionalFormatting>
  <conditionalFormatting sqref="F39">
    <cfRule type="expression" dxfId="10708" priority="3225">
      <formula>#REF!&lt;&gt;""</formula>
    </cfRule>
    <cfRule type="expression" dxfId="10707" priority="3226">
      <formula>#REF!&lt;&gt;""</formula>
    </cfRule>
    <cfRule type="expression" dxfId="10706" priority="3227">
      <formula>#REF!&lt;&gt;""</formula>
    </cfRule>
    <cfRule type="expression" dxfId="10705" priority="3228">
      <formula>#REF!&lt;&gt;""</formula>
    </cfRule>
    <cfRule type="expression" dxfId="10704" priority="3229">
      <formula>#REF!&lt;&gt;""</formula>
    </cfRule>
    <cfRule type="expression" dxfId="10703" priority="3230">
      <formula>#REF!&lt;&gt;""</formula>
    </cfRule>
    <cfRule type="expression" dxfId="10702" priority="3231">
      <formula>#REF!&lt;&gt;""</formula>
    </cfRule>
    <cfRule type="expression" dxfId="10701" priority="3232">
      <formula>#REF!&lt;&gt;""</formula>
    </cfRule>
    <cfRule type="expression" dxfId="10700" priority="3233">
      <formula>#REF!&lt;&gt;""</formula>
    </cfRule>
    <cfRule type="expression" dxfId="10699" priority="3234">
      <formula>#REF!&lt;&gt;""</formula>
    </cfRule>
    <cfRule type="expression" dxfId="10698" priority="3235">
      <formula>#REF!&lt;&gt;""</formula>
    </cfRule>
    <cfRule type="expression" dxfId="10697" priority="3236">
      <formula>#REF!&lt;&gt;""</formula>
    </cfRule>
  </conditionalFormatting>
  <conditionalFormatting sqref="F40">
    <cfRule type="expression" dxfId="10696" priority="3212">
      <formula>#REF!&lt;&gt;""</formula>
    </cfRule>
    <cfRule type="expression" dxfId="10695" priority="3213">
      <formula>#REF!&lt;&gt;""</formula>
    </cfRule>
    <cfRule type="expression" dxfId="10694" priority="3214">
      <formula>#REF!&lt;&gt;""</formula>
    </cfRule>
    <cfRule type="expression" dxfId="10693" priority="3215">
      <formula>#REF!&lt;&gt;""</formula>
    </cfRule>
    <cfRule type="expression" dxfId="10692" priority="3216">
      <formula>#REF!&lt;&gt;""</formula>
    </cfRule>
    <cfRule type="expression" dxfId="10691" priority="3217">
      <formula>#REF!&lt;&gt;""</formula>
    </cfRule>
    <cfRule type="expression" dxfId="10690" priority="3218">
      <formula>#REF!&lt;&gt;""</formula>
    </cfRule>
    <cfRule type="expression" dxfId="10689" priority="3219">
      <formula>#REF!&lt;&gt;""</formula>
    </cfRule>
    <cfRule type="expression" dxfId="10688" priority="3220">
      <formula>#REF!&lt;&gt;""</formula>
    </cfRule>
    <cfRule type="expression" dxfId="10687" priority="3221">
      <formula>#REF!&lt;&gt;""</formula>
    </cfRule>
    <cfRule type="expression" dxfId="10686" priority="3222">
      <formula>#REF!&lt;&gt;""</formula>
    </cfRule>
    <cfRule type="expression" dxfId="10685" priority="3223">
      <formula>#REF!&lt;&gt;""</formula>
    </cfRule>
  </conditionalFormatting>
  <conditionalFormatting sqref="F41">
    <cfRule type="expression" dxfId="10684" priority="3199">
      <formula>#REF!&lt;&gt;""</formula>
    </cfRule>
    <cfRule type="expression" dxfId="10683" priority="3200">
      <formula>#REF!&lt;&gt;""</formula>
    </cfRule>
    <cfRule type="expression" dxfId="10682" priority="3201">
      <formula>#REF!&lt;&gt;""</formula>
    </cfRule>
    <cfRule type="expression" dxfId="10681" priority="3202">
      <formula>#REF!&lt;&gt;""</formula>
    </cfRule>
    <cfRule type="expression" dxfId="10680" priority="3203">
      <formula>#REF!&lt;&gt;""</formula>
    </cfRule>
    <cfRule type="expression" dxfId="10679" priority="3204">
      <formula>#REF!&lt;&gt;""</formula>
    </cfRule>
    <cfRule type="expression" dxfId="10678" priority="3205">
      <formula>#REF!&lt;&gt;""</formula>
    </cfRule>
    <cfRule type="expression" dxfId="10677" priority="3206">
      <formula>#REF!&lt;&gt;""</formula>
    </cfRule>
    <cfRule type="expression" dxfId="10676" priority="3207">
      <formula>#REF!&lt;&gt;""</formula>
    </cfRule>
    <cfRule type="expression" dxfId="10675" priority="3208">
      <formula>#REF!&lt;&gt;""</formula>
    </cfRule>
    <cfRule type="expression" dxfId="10674" priority="3209">
      <formula>#REF!&lt;&gt;""</formula>
    </cfRule>
    <cfRule type="expression" dxfId="10673" priority="3210">
      <formula>#REF!&lt;&gt;""</formula>
    </cfRule>
  </conditionalFormatting>
  <conditionalFormatting sqref="F42">
    <cfRule type="expression" dxfId="10672" priority="3186">
      <formula>#REF!&lt;&gt;""</formula>
    </cfRule>
    <cfRule type="expression" dxfId="10671" priority="3187">
      <formula>#REF!&lt;&gt;""</formula>
    </cfRule>
    <cfRule type="expression" dxfId="10670" priority="3188">
      <formula>#REF!&lt;&gt;""</formula>
    </cfRule>
    <cfRule type="expression" dxfId="10669" priority="3189">
      <formula>#REF!&lt;&gt;""</formula>
    </cfRule>
    <cfRule type="expression" dxfId="10668" priority="3190">
      <formula>#REF!&lt;&gt;""</formula>
    </cfRule>
    <cfRule type="expression" dxfId="10667" priority="3191">
      <formula>#REF!&lt;&gt;""</formula>
    </cfRule>
    <cfRule type="expression" dxfId="10666" priority="3192">
      <formula>#REF!&lt;&gt;""</formula>
    </cfRule>
    <cfRule type="expression" dxfId="10665" priority="3193">
      <formula>#REF!&lt;&gt;""</formula>
    </cfRule>
    <cfRule type="expression" dxfId="10664" priority="3194">
      <formula>#REF!&lt;&gt;""</formula>
    </cfRule>
    <cfRule type="expression" dxfId="10663" priority="3195">
      <formula>#REF!&lt;&gt;""</formula>
    </cfRule>
    <cfRule type="expression" dxfId="10662" priority="3196">
      <formula>#REF!&lt;&gt;""</formula>
    </cfRule>
    <cfRule type="expression" dxfId="10661" priority="3197">
      <formula>#REF!&lt;&gt;""</formula>
    </cfRule>
  </conditionalFormatting>
  <conditionalFormatting sqref="F43">
    <cfRule type="expression" dxfId="10660" priority="3173">
      <formula>#REF!&lt;&gt;""</formula>
    </cfRule>
    <cfRule type="expression" dxfId="10659" priority="3174">
      <formula>#REF!&lt;&gt;""</formula>
    </cfRule>
    <cfRule type="expression" dxfId="10658" priority="3175">
      <formula>#REF!&lt;&gt;""</formula>
    </cfRule>
    <cfRule type="expression" dxfId="10657" priority="3176">
      <formula>#REF!&lt;&gt;""</formula>
    </cfRule>
    <cfRule type="expression" dxfId="10656" priority="3177">
      <formula>#REF!&lt;&gt;""</formula>
    </cfRule>
    <cfRule type="expression" dxfId="10655" priority="3178">
      <formula>#REF!&lt;&gt;""</formula>
    </cfRule>
    <cfRule type="expression" dxfId="10654" priority="3179">
      <formula>#REF!&lt;&gt;""</formula>
    </cfRule>
    <cfRule type="expression" dxfId="10653" priority="3180">
      <formula>#REF!&lt;&gt;""</formula>
    </cfRule>
    <cfRule type="expression" dxfId="10652" priority="3181">
      <formula>#REF!&lt;&gt;""</formula>
    </cfRule>
    <cfRule type="expression" dxfId="10651" priority="3182">
      <formula>#REF!&lt;&gt;""</formula>
    </cfRule>
    <cfRule type="expression" dxfId="10650" priority="3183">
      <formula>#REF!&lt;&gt;""</formula>
    </cfRule>
    <cfRule type="expression" dxfId="10649" priority="3184">
      <formula>#REF!&lt;&gt;""</formula>
    </cfRule>
  </conditionalFormatting>
  <conditionalFormatting sqref="F44">
    <cfRule type="expression" dxfId="10648" priority="3160">
      <formula>#REF!&lt;&gt;""</formula>
    </cfRule>
    <cfRule type="expression" dxfId="10647" priority="3161">
      <formula>#REF!&lt;&gt;""</formula>
    </cfRule>
    <cfRule type="expression" dxfId="10646" priority="3162">
      <formula>#REF!&lt;&gt;""</formula>
    </cfRule>
    <cfRule type="expression" dxfId="10645" priority="3163">
      <formula>#REF!&lt;&gt;""</formula>
    </cfRule>
    <cfRule type="expression" dxfId="10644" priority="3164">
      <formula>#REF!&lt;&gt;""</formula>
    </cfRule>
    <cfRule type="expression" dxfId="10643" priority="3165">
      <formula>#REF!&lt;&gt;""</formula>
    </cfRule>
    <cfRule type="expression" dxfId="10642" priority="3166">
      <formula>#REF!&lt;&gt;""</formula>
    </cfRule>
    <cfRule type="expression" dxfId="10641" priority="3167">
      <formula>#REF!&lt;&gt;""</formula>
    </cfRule>
    <cfRule type="expression" dxfId="10640" priority="3168">
      <formula>#REF!&lt;&gt;""</formula>
    </cfRule>
    <cfRule type="expression" dxfId="10639" priority="3169">
      <formula>#REF!&lt;&gt;""</formula>
    </cfRule>
    <cfRule type="expression" dxfId="10638" priority="3170">
      <formula>#REF!&lt;&gt;""</formula>
    </cfRule>
    <cfRule type="expression" dxfId="10637" priority="3171">
      <formula>#REF!&lt;&gt;""</formula>
    </cfRule>
  </conditionalFormatting>
  <conditionalFormatting sqref="F45">
    <cfRule type="expression" dxfId="10636" priority="3147">
      <formula>#REF!&lt;&gt;""</formula>
    </cfRule>
    <cfRule type="expression" dxfId="10635" priority="3148">
      <formula>#REF!&lt;&gt;""</formula>
    </cfRule>
    <cfRule type="expression" dxfId="10634" priority="3149">
      <formula>#REF!&lt;&gt;""</formula>
    </cfRule>
    <cfRule type="expression" dxfId="10633" priority="3150">
      <formula>#REF!&lt;&gt;""</formula>
    </cfRule>
    <cfRule type="expression" dxfId="10632" priority="3151">
      <formula>#REF!&lt;&gt;""</formula>
    </cfRule>
    <cfRule type="expression" dxfId="10631" priority="3152">
      <formula>#REF!&lt;&gt;""</formula>
    </cfRule>
    <cfRule type="expression" dxfId="10630" priority="3153">
      <formula>#REF!&lt;&gt;""</formula>
    </cfRule>
    <cfRule type="expression" dxfId="10629" priority="3154">
      <formula>#REF!&lt;&gt;""</formula>
    </cfRule>
    <cfRule type="expression" dxfId="10628" priority="3155">
      <formula>#REF!&lt;&gt;""</formula>
    </cfRule>
    <cfRule type="expression" dxfId="10627" priority="3156">
      <formula>#REF!&lt;&gt;""</formula>
    </cfRule>
    <cfRule type="expression" dxfId="10626" priority="3157">
      <formula>#REF!&lt;&gt;""</formula>
    </cfRule>
    <cfRule type="expression" dxfId="10625" priority="3158">
      <formula>#REF!&lt;&gt;""</formula>
    </cfRule>
  </conditionalFormatting>
  <conditionalFormatting sqref="F46">
    <cfRule type="expression" dxfId="10624" priority="3134">
      <formula>#REF!&lt;&gt;""</formula>
    </cfRule>
    <cfRule type="expression" dxfId="10623" priority="3135">
      <formula>#REF!&lt;&gt;""</formula>
    </cfRule>
    <cfRule type="expression" dxfId="10622" priority="3136">
      <formula>#REF!&lt;&gt;""</formula>
    </cfRule>
    <cfRule type="expression" dxfId="10621" priority="3137">
      <formula>#REF!&lt;&gt;""</formula>
    </cfRule>
    <cfRule type="expression" dxfId="10620" priority="3138">
      <formula>#REF!&lt;&gt;""</formula>
    </cfRule>
    <cfRule type="expression" dxfId="10619" priority="3139">
      <formula>#REF!&lt;&gt;""</formula>
    </cfRule>
    <cfRule type="expression" dxfId="10618" priority="3140">
      <formula>#REF!&lt;&gt;""</formula>
    </cfRule>
    <cfRule type="expression" dxfId="10617" priority="3141">
      <formula>#REF!&lt;&gt;""</formula>
    </cfRule>
    <cfRule type="expression" dxfId="10616" priority="3142">
      <formula>#REF!&lt;&gt;""</formula>
    </cfRule>
    <cfRule type="expression" dxfId="10615" priority="3143">
      <formula>#REF!&lt;&gt;""</formula>
    </cfRule>
    <cfRule type="expression" dxfId="10614" priority="3144">
      <formula>#REF!&lt;&gt;""</formula>
    </cfRule>
    <cfRule type="expression" dxfId="10613" priority="3145">
      <formula>#REF!&lt;&gt;""</formula>
    </cfRule>
  </conditionalFormatting>
  <conditionalFormatting sqref="F166">
    <cfRule type="expression" dxfId="10612" priority="1951">
      <formula>#REF!&lt;&gt;""</formula>
    </cfRule>
    <cfRule type="expression" dxfId="10611" priority="1952">
      <formula>#REF!&lt;&gt;""</formula>
    </cfRule>
    <cfRule type="expression" dxfId="10610" priority="1953">
      <formula>#REF!&lt;&gt;""</formula>
    </cfRule>
    <cfRule type="expression" dxfId="10609" priority="1954">
      <formula>#REF!&lt;&gt;""</formula>
    </cfRule>
    <cfRule type="expression" dxfId="10608" priority="1955">
      <formula>#REF!&lt;&gt;""</formula>
    </cfRule>
    <cfRule type="expression" dxfId="10607" priority="1956">
      <formula>#REF!&lt;&gt;""</formula>
    </cfRule>
    <cfRule type="expression" dxfId="10606" priority="1957">
      <formula>#REF!&lt;&gt;""</formula>
    </cfRule>
    <cfRule type="expression" dxfId="10605" priority="1958">
      <formula>#REF!&lt;&gt;""</formula>
    </cfRule>
    <cfRule type="expression" dxfId="10604" priority="1959">
      <formula>#REF!&lt;&gt;""</formula>
    </cfRule>
    <cfRule type="expression" dxfId="10603" priority="1960">
      <formula>#REF!&lt;&gt;""</formula>
    </cfRule>
    <cfRule type="expression" dxfId="10602" priority="1961">
      <formula>#REF!&lt;&gt;""</formula>
    </cfRule>
    <cfRule type="expression" dxfId="10601" priority="1962">
      <formula>#REF!&lt;&gt;""</formula>
    </cfRule>
  </conditionalFormatting>
  <conditionalFormatting sqref="F167">
    <cfRule type="expression" dxfId="10600" priority="1938">
      <formula>#REF!&lt;&gt;""</formula>
    </cfRule>
    <cfRule type="expression" dxfId="10599" priority="1939">
      <formula>#REF!&lt;&gt;""</formula>
    </cfRule>
    <cfRule type="expression" dxfId="10598" priority="1940">
      <formula>#REF!&lt;&gt;""</formula>
    </cfRule>
    <cfRule type="expression" dxfId="10597" priority="1941">
      <formula>#REF!&lt;&gt;""</formula>
    </cfRule>
    <cfRule type="expression" dxfId="10596" priority="1942">
      <formula>#REF!&lt;&gt;""</formula>
    </cfRule>
    <cfRule type="expression" dxfId="10595" priority="1943">
      <formula>#REF!&lt;&gt;""</formula>
    </cfRule>
    <cfRule type="expression" dxfId="10594" priority="1944">
      <formula>#REF!&lt;&gt;""</formula>
    </cfRule>
    <cfRule type="expression" dxfId="10593" priority="1945">
      <formula>#REF!&lt;&gt;""</formula>
    </cfRule>
    <cfRule type="expression" dxfId="10592" priority="1946">
      <formula>#REF!&lt;&gt;""</formula>
    </cfRule>
    <cfRule type="expression" dxfId="10591" priority="1947">
      <formula>#REF!&lt;&gt;""</formula>
    </cfRule>
    <cfRule type="expression" dxfId="10590" priority="1948">
      <formula>#REF!&lt;&gt;""</formula>
    </cfRule>
    <cfRule type="expression" dxfId="10589" priority="1949">
      <formula>#REF!&lt;&gt;""</formula>
    </cfRule>
  </conditionalFormatting>
  <conditionalFormatting sqref="F168">
    <cfRule type="expression" dxfId="10588" priority="1925">
      <formula>#REF!&lt;&gt;""</formula>
    </cfRule>
    <cfRule type="expression" dxfId="10587" priority="1926">
      <formula>#REF!&lt;&gt;""</formula>
    </cfRule>
    <cfRule type="expression" dxfId="10586" priority="1927">
      <formula>#REF!&lt;&gt;""</formula>
    </cfRule>
    <cfRule type="expression" dxfId="10585" priority="1928">
      <formula>#REF!&lt;&gt;""</formula>
    </cfRule>
    <cfRule type="expression" dxfId="10584" priority="1929">
      <formula>#REF!&lt;&gt;""</formula>
    </cfRule>
    <cfRule type="expression" dxfId="10583" priority="1930">
      <formula>#REF!&lt;&gt;""</formula>
    </cfRule>
    <cfRule type="expression" dxfId="10582" priority="1931">
      <formula>#REF!&lt;&gt;""</formula>
    </cfRule>
    <cfRule type="expression" dxfId="10581" priority="1932">
      <formula>#REF!&lt;&gt;""</formula>
    </cfRule>
    <cfRule type="expression" dxfId="10580" priority="1933">
      <formula>#REF!&lt;&gt;""</formula>
    </cfRule>
    <cfRule type="expression" dxfId="10579" priority="1934">
      <formula>#REF!&lt;&gt;""</formula>
    </cfRule>
    <cfRule type="expression" dxfId="10578" priority="1935">
      <formula>#REF!&lt;&gt;""</formula>
    </cfRule>
    <cfRule type="expression" dxfId="10577" priority="1936">
      <formula>#REF!&lt;&gt;""</formula>
    </cfRule>
  </conditionalFormatting>
  <conditionalFormatting sqref="F169">
    <cfRule type="expression" dxfId="10576" priority="1912">
      <formula>#REF!&lt;&gt;""</formula>
    </cfRule>
    <cfRule type="expression" dxfId="10575" priority="1913">
      <formula>#REF!&lt;&gt;""</formula>
    </cfRule>
    <cfRule type="expression" dxfId="10574" priority="1914">
      <formula>#REF!&lt;&gt;""</formula>
    </cfRule>
    <cfRule type="expression" dxfId="10573" priority="1915">
      <formula>#REF!&lt;&gt;""</formula>
    </cfRule>
    <cfRule type="expression" dxfId="10572" priority="1916">
      <formula>#REF!&lt;&gt;""</formula>
    </cfRule>
    <cfRule type="expression" dxfId="10571" priority="1917">
      <formula>#REF!&lt;&gt;""</formula>
    </cfRule>
    <cfRule type="expression" dxfId="10570" priority="1918">
      <formula>#REF!&lt;&gt;""</formula>
    </cfRule>
    <cfRule type="expression" dxfId="10569" priority="1919">
      <formula>#REF!&lt;&gt;""</formula>
    </cfRule>
    <cfRule type="expression" dxfId="10568" priority="1920">
      <formula>#REF!&lt;&gt;""</formula>
    </cfRule>
    <cfRule type="expression" dxfId="10567" priority="1921">
      <formula>#REF!&lt;&gt;""</formula>
    </cfRule>
    <cfRule type="expression" dxfId="10566" priority="1922">
      <formula>#REF!&lt;&gt;""</formula>
    </cfRule>
    <cfRule type="expression" dxfId="10565" priority="1923">
      <formula>#REF!&lt;&gt;""</formula>
    </cfRule>
  </conditionalFormatting>
  <conditionalFormatting sqref="F170">
    <cfRule type="expression" dxfId="10564" priority="1899">
      <formula>#REF!&lt;&gt;""</formula>
    </cfRule>
    <cfRule type="expression" dxfId="10563" priority="1900">
      <formula>#REF!&lt;&gt;""</formula>
    </cfRule>
    <cfRule type="expression" dxfId="10562" priority="1901">
      <formula>#REF!&lt;&gt;""</formula>
    </cfRule>
    <cfRule type="expression" dxfId="10561" priority="1902">
      <formula>#REF!&lt;&gt;""</formula>
    </cfRule>
    <cfRule type="expression" dxfId="10560" priority="1903">
      <formula>#REF!&lt;&gt;""</formula>
    </cfRule>
    <cfRule type="expression" dxfId="10559" priority="1904">
      <formula>#REF!&lt;&gt;""</formula>
    </cfRule>
    <cfRule type="expression" dxfId="10558" priority="1905">
      <formula>#REF!&lt;&gt;""</formula>
    </cfRule>
    <cfRule type="expression" dxfId="10557" priority="1906">
      <formula>#REF!&lt;&gt;""</formula>
    </cfRule>
    <cfRule type="expression" dxfId="10556" priority="1907">
      <formula>#REF!&lt;&gt;""</formula>
    </cfRule>
    <cfRule type="expression" dxfId="10555" priority="1908">
      <formula>#REF!&lt;&gt;""</formula>
    </cfRule>
    <cfRule type="expression" dxfId="10554" priority="1909">
      <formula>#REF!&lt;&gt;""</formula>
    </cfRule>
    <cfRule type="expression" dxfId="10553" priority="1910">
      <formula>#REF!&lt;&gt;""</formula>
    </cfRule>
  </conditionalFormatting>
  <conditionalFormatting sqref="F171">
    <cfRule type="expression" dxfId="10552" priority="1886">
      <formula>#REF!&lt;&gt;""</formula>
    </cfRule>
    <cfRule type="expression" dxfId="10551" priority="1887">
      <formula>#REF!&lt;&gt;""</formula>
    </cfRule>
    <cfRule type="expression" dxfId="10550" priority="1888">
      <formula>#REF!&lt;&gt;""</formula>
    </cfRule>
    <cfRule type="expression" dxfId="10549" priority="1889">
      <formula>#REF!&lt;&gt;""</formula>
    </cfRule>
    <cfRule type="expression" dxfId="10548" priority="1890">
      <formula>#REF!&lt;&gt;""</formula>
    </cfRule>
    <cfRule type="expression" dxfId="10547" priority="1891">
      <formula>#REF!&lt;&gt;""</formula>
    </cfRule>
    <cfRule type="expression" dxfId="10546" priority="1892">
      <formula>#REF!&lt;&gt;""</formula>
    </cfRule>
    <cfRule type="expression" dxfId="10545" priority="1893">
      <formula>#REF!&lt;&gt;""</formula>
    </cfRule>
    <cfRule type="expression" dxfId="10544" priority="1894">
      <formula>#REF!&lt;&gt;""</formula>
    </cfRule>
    <cfRule type="expression" dxfId="10543" priority="1895">
      <formula>#REF!&lt;&gt;""</formula>
    </cfRule>
    <cfRule type="expression" dxfId="10542" priority="1896">
      <formula>#REF!&lt;&gt;""</formula>
    </cfRule>
    <cfRule type="expression" dxfId="10541" priority="1897">
      <formula>#REF!&lt;&gt;""</formula>
    </cfRule>
  </conditionalFormatting>
  <conditionalFormatting sqref="F172">
    <cfRule type="expression" dxfId="10540" priority="1873">
      <formula>#REF!&lt;&gt;""</formula>
    </cfRule>
    <cfRule type="expression" dxfId="10539" priority="1874">
      <formula>#REF!&lt;&gt;""</formula>
    </cfRule>
    <cfRule type="expression" dxfId="10538" priority="1875">
      <formula>#REF!&lt;&gt;""</formula>
    </cfRule>
    <cfRule type="expression" dxfId="10537" priority="1876">
      <formula>#REF!&lt;&gt;""</formula>
    </cfRule>
    <cfRule type="expression" dxfId="10536" priority="1877">
      <formula>#REF!&lt;&gt;""</formula>
    </cfRule>
    <cfRule type="expression" dxfId="10535" priority="1878">
      <formula>#REF!&lt;&gt;""</formula>
    </cfRule>
    <cfRule type="expression" dxfId="10534" priority="1879">
      <formula>#REF!&lt;&gt;""</formula>
    </cfRule>
    <cfRule type="expression" dxfId="10533" priority="1880">
      <formula>#REF!&lt;&gt;""</formula>
    </cfRule>
    <cfRule type="expression" dxfId="10532" priority="1881">
      <formula>#REF!&lt;&gt;""</formula>
    </cfRule>
    <cfRule type="expression" dxfId="10531" priority="1882">
      <formula>#REF!&lt;&gt;""</formula>
    </cfRule>
    <cfRule type="expression" dxfId="10530" priority="1883">
      <formula>#REF!&lt;&gt;""</formula>
    </cfRule>
    <cfRule type="expression" dxfId="10529" priority="1884">
      <formula>#REF!&lt;&gt;""</formula>
    </cfRule>
  </conditionalFormatting>
  <conditionalFormatting sqref="F173">
    <cfRule type="expression" dxfId="10528" priority="1860">
      <formula>#REF!&lt;&gt;""</formula>
    </cfRule>
    <cfRule type="expression" dxfId="10527" priority="1861">
      <formula>#REF!&lt;&gt;""</formula>
    </cfRule>
    <cfRule type="expression" dxfId="10526" priority="1862">
      <formula>#REF!&lt;&gt;""</formula>
    </cfRule>
    <cfRule type="expression" dxfId="10525" priority="1863">
      <formula>#REF!&lt;&gt;""</formula>
    </cfRule>
    <cfRule type="expression" dxfId="10524" priority="1864">
      <formula>#REF!&lt;&gt;""</formula>
    </cfRule>
    <cfRule type="expression" dxfId="10523" priority="1865">
      <formula>#REF!&lt;&gt;""</formula>
    </cfRule>
    <cfRule type="expression" dxfId="10522" priority="1866">
      <formula>#REF!&lt;&gt;""</formula>
    </cfRule>
    <cfRule type="expression" dxfId="10521" priority="1867">
      <formula>#REF!&lt;&gt;""</formula>
    </cfRule>
    <cfRule type="expression" dxfId="10520" priority="1868">
      <formula>#REF!&lt;&gt;""</formula>
    </cfRule>
    <cfRule type="expression" dxfId="10519" priority="1869">
      <formula>#REF!&lt;&gt;""</formula>
    </cfRule>
    <cfRule type="expression" dxfId="10518" priority="1870">
      <formula>#REF!&lt;&gt;""</formula>
    </cfRule>
    <cfRule type="expression" dxfId="10517" priority="1871">
      <formula>#REF!&lt;&gt;""</formula>
    </cfRule>
  </conditionalFormatting>
  <conditionalFormatting sqref="F174">
    <cfRule type="expression" dxfId="10516" priority="1847">
      <formula>#REF!&lt;&gt;""</formula>
    </cfRule>
    <cfRule type="expression" dxfId="10515" priority="1848">
      <formula>#REF!&lt;&gt;""</formula>
    </cfRule>
    <cfRule type="expression" dxfId="10514" priority="1849">
      <formula>#REF!&lt;&gt;""</formula>
    </cfRule>
    <cfRule type="expression" dxfId="10513" priority="1850">
      <formula>#REF!&lt;&gt;""</formula>
    </cfRule>
    <cfRule type="expression" dxfId="10512" priority="1851">
      <formula>#REF!&lt;&gt;""</formula>
    </cfRule>
    <cfRule type="expression" dxfId="10511" priority="1852">
      <formula>#REF!&lt;&gt;""</formula>
    </cfRule>
    <cfRule type="expression" dxfId="10510" priority="1853">
      <formula>#REF!&lt;&gt;""</formula>
    </cfRule>
    <cfRule type="expression" dxfId="10509" priority="1854">
      <formula>#REF!&lt;&gt;""</formula>
    </cfRule>
    <cfRule type="expression" dxfId="10508" priority="1855">
      <formula>#REF!&lt;&gt;""</formula>
    </cfRule>
    <cfRule type="expression" dxfId="10507" priority="1856">
      <formula>#REF!&lt;&gt;""</formula>
    </cfRule>
    <cfRule type="expression" dxfId="10506" priority="1857">
      <formula>#REF!&lt;&gt;""</formula>
    </cfRule>
    <cfRule type="expression" dxfId="10505" priority="1858">
      <formula>#REF!&lt;&gt;""</formula>
    </cfRule>
  </conditionalFormatting>
  <conditionalFormatting sqref="F175">
    <cfRule type="expression" dxfId="10504" priority="1834">
      <formula>#REF!&lt;&gt;""</formula>
    </cfRule>
    <cfRule type="expression" dxfId="10503" priority="1835">
      <formula>#REF!&lt;&gt;""</formula>
    </cfRule>
    <cfRule type="expression" dxfId="10502" priority="1836">
      <formula>#REF!&lt;&gt;""</formula>
    </cfRule>
    <cfRule type="expression" dxfId="10501" priority="1837">
      <formula>#REF!&lt;&gt;""</formula>
    </cfRule>
    <cfRule type="expression" dxfId="10500" priority="1838">
      <formula>#REF!&lt;&gt;""</formula>
    </cfRule>
    <cfRule type="expression" dxfId="10499" priority="1839">
      <formula>#REF!&lt;&gt;""</formula>
    </cfRule>
    <cfRule type="expression" dxfId="10498" priority="1840">
      <formula>#REF!&lt;&gt;""</formula>
    </cfRule>
    <cfRule type="expression" dxfId="10497" priority="1841">
      <formula>#REF!&lt;&gt;""</formula>
    </cfRule>
    <cfRule type="expression" dxfId="10496" priority="1842">
      <formula>#REF!&lt;&gt;""</formula>
    </cfRule>
    <cfRule type="expression" dxfId="10495" priority="1843">
      <formula>#REF!&lt;&gt;""</formula>
    </cfRule>
    <cfRule type="expression" dxfId="10494" priority="1844">
      <formula>#REF!&lt;&gt;""</formula>
    </cfRule>
    <cfRule type="expression" dxfId="10493" priority="1845">
      <formula>#REF!&lt;&gt;""</formula>
    </cfRule>
  </conditionalFormatting>
  <conditionalFormatting sqref="F176">
    <cfRule type="expression" dxfId="10492" priority="1821">
      <formula>#REF!&lt;&gt;""</formula>
    </cfRule>
    <cfRule type="expression" dxfId="10491" priority="1822">
      <formula>#REF!&lt;&gt;""</formula>
    </cfRule>
    <cfRule type="expression" dxfId="10490" priority="1823">
      <formula>#REF!&lt;&gt;""</formula>
    </cfRule>
    <cfRule type="expression" dxfId="10489" priority="1824">
      <formula>#REF!&lt;&gt;""</formula>
    </cfRule>
    <cfRule type="expression" dxfId="10488" priority="1825">
      <formula>#REF!&lt;&gt;""</formula>
    </cfRule>
    <cfRule type="expression" dxfId="10487" priority="1826">
      <formula>#REF!&lt;&gt;""</formula>
    </cfRule>
    <cfRule type="expression" dxfId="10486" priority="1827">
      <formula>#REF!&lt;&gt;""</formula>
    </cfRule>
    <cfRule type="expression" dxfId="10485" priority="1828">
      <formula>#REF!&lt;&gt;""</formula>
    </cfRule>
    <cfRule type="expression" dxfId="10484" priority="1829">
      <formula>#REF!&lt;&gt;""</formula>
    </cfRule>
    <cfRule type="expression" dxfId="10483" priority="1830">
      <formula>#REF!&lt;&gt;""</formula>
    </cfRule>
    <cfRule type="expression" dxfId="10482" priority="1831">
      <formula>#REF!&lt;&gt;""</formula>
    </cfRule>
    <cfRule type="expression" dxfId="10481" priority="1832">
      <formula>#REF!&lt;&gt;""</formula>
    </cfRule>
  </conditionalFormatting>
  <conditionalFormatting sqref="F177">
    <cfRule type="expression" dxfId="10480" priority="1808">
      <formula>#REF!&lt;&gt;""</formula>
    </cfRule>
    <cfRule type="expression" dxfId="10479" priority="1809">
      <formula>#REF!&lt;&gt;""</formula>
    </cfRule>
    <cfRule type="expression" dxfId="10478" priority="1810">
      <formula>#REF!&lt;&gt;""</formula>
    </cfRule>
    <cfRule type="expression" dxfId="10477" priority="1811">
      <formula>#REF!&lt;&gt;""</formula>
    </cfRule>
    <cfRule type="expression" dxfId="10476" priority="1812">
      <formula>#REF!&lt;&gt;""</formula>
    </cfRule>
    <cfRule type="expression" dxfId="10475" priority="1813">
      <formula>#REF!&lt;&gt;""</formula>
    </cfRule>
    <cfRule type="expression" dxfId="10474" priority="1814">
      <formula>#REF!&lt;&gt;""</formula>
    </cfRule>
    <cfRule type="expression" dxfId="10473" priority="1815">
      <formula>#REF!&lt;&gt;""</formula>
    </cfRule>
    <cfRule type="expression" dxfId="10472" priority="1816">
      <formula>#REF!&lt;&gt;""</formula>
    </cfRule>
    <cfRule type="expression" dxfId="10471" priority="1817">
      <formula>#REF!&lt;&gt;""</formula>
    </cfRule>
    <cfRule type="expression" dxfId="10470" priority="1818">
      <formula>#REF!&lt;&gt;""</formula>
    </cfRule>
    <cfRule type="expression" dxfId="10469" priority="1819">
      <formula>#REF!&lt;&gt;""</formula>
    </cfRule>
  </conditionalFormatting>
  <conditionalFormatting sqref="F178">
    <cfRule type="expression" dxfId="10468" priority="1795">
      <formula>#REF!&lt;&gt;""</formula>
    </cfRule>
    <cfRule type="expression" dxfId="10467" priority="1796">
      <formula>#REF!&lt;&gt;""</formula>
    </cfRule>
    <cfRule type="expression" dxfId="10466" priority="1797">
      <formula>#REF!&lt;&gt;""</formula>
    </cfRule>
    <cfRule type="expression" dxfId="10465" priority="1798">
      <formula>#REF!&lt;&gt;""</formula>
    </cfRule>
    <cfRule type="expression" dxfId="10464" priority="1799">
      <formula>#REF!&lt;&gt;""</formula>
    </cfRule>
    <cfRule type="expression" dxfId="10463" priority="1800">
      <formula>#REF!&lt;&gt;""</formula>
    </cfRule>
    <cfRule type="expression" dxfId="10462" priority="1801">
      <formula>#REF!&lt;&gt;""</formula>
    </cfRule>
    <cfRule type="expression" dxfId="10461" priority="1802">
      <formula>#REF!&lt;&gt;""</formula>
    </cfRule>
    <cfRule type="expression" dxfId="10460" priority="1803">
      <formula>#REF!&lt;&gt;""</formula>
    </cfRule>
    <cfRule type="expression" dxfId="10459" priority="1804">
      <formula>#REF!&lt;&gt;""</formula>
    </cfRule>
    <cfRule type="expression" dxfId="10458" priority="1805">
      <formula>#REF!&lt;&gt;""</formula>
    </cfRule>
    <cfRule type="expression" dxfId="10457" priority="1806">
      <formula>#REF!&lt;&gt;""</formula>
    </cfRule>
  </conditionalFormatting>
  <conditionalFormatting sqref="F179">
    <cfRule type="expression" dxfId="10456" priority="1782">
      <formula>#REF!&lt;&gt;""</formula>
    </cfRule>
    <cfRule type="expression" dxfId="10455" priority="1783">
      <formula>#REF!&lt;&gt;""</formula>
    </cfRule>
    <cfRule type="expression" dxfId="10454" priority="1784">
      <formula>#REF!&lt;&gt;""</formula>
    </cfRule>
    <cfRule type="expression" dxfId="10453" priority="1785">
      <formula>#REF!&lt;&gt;""</formula>
    </cfRule>
    <cfRule type="expression" dxfId="10452" priority="1786">
      <formula>#REF!&lt;&gt;""</formula>
    </cfRule>
    <cfRule type="expression" dxfId="10451" priority="1787">
      <formula>#REF!&lt;&gt;""</formula>
    </cfRule>
    <cfRule type="expression" dxfId="10450" priority="1788">
      <formula>#REF!&lt;&gt;""</formula>
    </cfRule>
    <cfRule type="expression" dxfId="10449" priority="1789">
      <formula>#REF!&lt;&gt;""</formula>
    </cfRule>
    <cfRule type="expression" dxfId="10448" priority="1790">
      <formula>#REF!&lt;&gt;""</formula>
    </cfRule>
    <cfRule type="expression" dxfId="10447" priority="1791">
      <formula>#REF!&lt;&gt;""</formula>
    </cfRule>
    <cfRule type="expression" dxfId="10446" priority="1792">
      <formula>#REF!&lt;&gt;""</formula>
    </cfRule>
    <cfRule type="expression" dxfId="10445" priority="1793">
      <formula>#REF!&lt;&gt;""</formula>
    </cfRule>
  </conditionalFormatting>
  <conditionalFormatting sqref="F180">
    <cfRule type="expression" dxfId="10444" priority="1769">
      <formula>#REF!&lt;&gt;""</formula>
    </cfRule>
    <cfRule type="expression" dxfId="10443" priority="1770">
      <formula>#REF!&lt;&gt;""</formula>
    </cfRule>
    <cfRule type="expression" dxfId="10442" priority="1771">
      <formula>#REF!&lt;&gt;""</formula>
    </cfRule>
    <cfRule type="expression" dxfId="10441" priority="1772">
      <formula>#REF!&lt;&gt;""</formula>
    </cfRule>
    <cfRule type="expression" dxfId="10440" priority="1773">
      <formula>#REF!&lt;&gt;""</formula>
    </cfRule>
    <cfRule type="expression" dxfId="10439" priority="1774">
      <formula>#REF!&lt;&gt;""</formula>
    </cfRule>
    <cfRule type="expression" dxfId="10438" priority="1775">
      <formula>#REF!&lt;&gt;""</formula>
    </cfRule>
    <cfRule type="expression" dxfId="10437" priority="1776">
      <formula>#REF!&lt;&gt;""</formula>
    </cfRule>
    <cfRule type="expression" dxfId="10436" priority="1777">
      <formula>#REF!&lt;&gt;""</formula>
    </cfRule>
    <cfRule type="expression" dxfId="10435" priority="1778">
      <formula>#REF!&lt;&gt;""</formula>
    </cfRule>
    <cfRule type="expression" dxfId="10434" priority="1779">
      <formula>#REF!&lt;&gt;""</formula>
    </cfRule>
    <cfRule type="expression" dxfId="10433" priority="1780">
      <formula>#REF!&lt;&gt;""</formula>
    </cfRule>
  </conditionalFormatting>
  <conditionalFormatting sqref="F181">
    <cfRule type="expression" dxfId="10432" priority="1756">
      <formula>#REF!&lt;&gt;""</formula>
    </cfRule>
    <cfRule type="expression" dxfId="10431" priority="1757">
      <formula>#REF!&lt;&gt;""</formula>
    </cfRule>
    <cfRule type="expression" dxfId="10430" priority="1758">
      <formula>#REF!&lt;&gt;""</formula>
    </cfRule>
    <cfRule type="expression" dxfId="10429" priority="1759">
      <formula>#REF!&lt;&gt;""</formula>
    </cfRule>
    <cfRule type="expression" dxfId="10428" priority="1760">
      <formula>#REF!&lt;&gt;""</formula>
    </cfRule>
    <cfRule type="expression" dxfId="10427" priority="1761">
      <formula>#REF!&lt;&gt;""</formula>
    </cfRule>
    <cfRule type="expression" dxfId="10426" priority="1762">
      <formula>#REF!&lt;&gt;""</formula>
    </cfRule>
    <cfRule type="expression" dxfId="10425" priority="1763">
      <formula>#REF!&lt;&gt;""</formula>
    </cfRule>
    <cfRule type="expression" dxfId="10424" priority="1764">
      <formula>#REF!&lt;&gt;""</formula>
    </cfRule>
    <cfRule type="expression" dxfId="10423" priority="1765">
      <formula>#REF!&lt;&gt;""</formula>
    </cfRule>
    <cfRule type="expression" dxfId="10422" priority="1766">
      <formula>#REF!&lt;&gt;""</formula>
    </cfRule>
    <cfRule type="expression" dxfId="10421" priority="1767">
      <formula>#REF!&lt;&gt;""</formula>
    </cfRule>
  </conditionalFormatting>
  <conditionalFormatting sqref="F182">
    <cfRule type="expression" dxfId="10420" priority="1743">
      <formula>#REF!&lt;&gt;""</formula>
    </cfRule>
    <cfRule type="expression" dxfId="10419" priority="1744">
      <formula>#REF!&lt;&gt;""</formula>
    </cfRule>
    <cfRule type="expression" dxfId="10418" priority="1745">
      <formula>#REF!&lt;&gt;""</formula>
    </cfRule>
    <cfRule type="expression" dxfId="10417" priority="1746">
      <formula>#REF!&lt;&gt;""</formula>
    </cfRule>
    <cfRule type="expression" dxfId="10416" priority="1747">
      <formula>#REF!&lt;&gt;""</formula>
    </cfRule>
    <cfRule type="expression" dxfId="10415" priority="1748">
      <formula>#REF!&lt;&gt;""</formula>
    </cfRule>
    <cfRule type="expression" dxfId="10414" priority="1749">
      <formula>#REF!&lt;&gt;""</formula>
    </cfRule>
    <cfRule type="expression" dxfId="10413" priority="1750">
      <formula>#REF!&lt;&gt;""</formula>
    </cfRule>
    <cfRule type="expression" dxfId="10412" priority="1751">
      <formula>#REF!&lt;&gt;""</formula>
    </cfRule>
    <cfRule type="expression" dxfId="10411" priority="1752">
      <formula>#REF!&lt;&gt;""</formula>
    </cfRule>
    <cfRule type="expression" dxfId="10410" priority="1753">
      <formula>#REF!&lt;&gt;""</formula>
    </cfRule>
    <cfRule type="expression" dxfId="10409" priority="1754">
      <formula>#REF!&lt;&gt;""</formula>
    </cfRule>
  </conditionalFormatting>
  <conditionalFormatting sqref="F183">
    <cfRule type="expression" dxfId="10408" priority="1730">
      <formula>#REF!&lt;&gt;""</formula>
    </cfRule>
    <cfRule type="expression" dxfId="10407" priority="1731">
      <formula>#REF!&lt;&gt;""</formula>
    </cfRule>
    <cfRule type="expression" dxfId="10406" priority="1732">
      <formula>#REF!&lt;&gt;""</formula>
    </cfRule>
    <cfRule type="expression" dxfId="10405" priority="1733">
      <formula>#REF!&lt;&gt;""</formula>
    </cfRule>
    <cfRule type="expression" dxfId="10404" priority="1734">
      <formula>#REF!&lt;&gt;""</formula>
    </cfRule>
    <cfRule type="expression" dxfId="10403" priority="1735">
      <formula>#REF!&lt;&gt;""</formula>
    </cfRule>
    <cfRule type="expression" dxfId="10402" priority="1736">
      <formula>#REF!&lt;&gt;""</formula>
    </cfRule>
    <cfRule type="expression" dxfId="10401" priority="1737">
      <formula>#REF!&lt;&gt;""</formula>
    </cfRule>
    <cfRule type="expression" dxfId="10400" priority="1738">
      <formula>#REF!&lt;&gt;""</formula>
    </cfRule>
    <cfRule type="expression" dxfId="10399" priority="1739">
      <formula>#REF!&lt;&gt;""</formula>
    </cfRule>
    <cfRule type="expression" dxfId="10398" priority="1740">
      <formula>#REF!&lt;&gt;""</formula>
    </cfRule>
    <cfRule type="expression" dxfId="10397" priority="1741">
      <formula>#REF!&lt;&gt;""</formula>
    </cfRule>
  </conditionalFormatting>
  <conditionalFormatting sqref="F184">
    <cfRule type="expression" dxfId="10396" priority="1717">
      <formula>#REF!&lt;&gt;""</formula>
    </cfRule>
    <cfRule type="expression" dxfId="10395" priority="1718">
      <formula>#REF!&lt;&gt;""</formula>
    </cfRule>
    <cfRule type="expression" dxfId="10394" priority="1719">
      <formula>#REF!&lt;&gt;""</formula>
    </cfRule>
    <cfRule type="expression" dxfId="10393" priority="1720">
      <formula>#REF!&lt;&gt;""</formula>
    </cfRule>
    <cfRule type="expression" dxfId="10392" priority="1721">
      <formula>#REF!&lt;&gt;""</formula>
    </cfRule>
    <cfRule type="expression" dxfId="10391" priority="1722">
      <formula>#REF!&lt;&gt;""</formula>
    </cfRule>
    <cfRule type="expression" dxfId="10390" priority="1723">
      <formula>#REF!&lt;&gt;""</formula>
    </cfRule>
    <cfRule type="expression" dxfId="10389" priority="1724">
      <formula>#REF!&lt;&gt;""</formula>
    </cfRule>
    <cfRule type="expression" dxfId="10388" priority="1725">
      <formula>#REF!&lt;&gt;""</formula>
    </cfRule>
    <cfRule type="expression" dxfId="10387" priority="1726">
      <formula>#REF!&lt;&gt;""</formula>
    </cfRule>
    <cfRule type="expression" dxfId="10386" priority="1727">
      <formula>#REF!&lt;&gt;""</formula>
    </cfRule>
    <cfRule type="expression" dxfId="10385" priority="1728">
      <formula>#REF!&lt;&gt;""</formula>
    </cfRule>
  </conditionalFormatting>
  <conditionalFormatting sqref="F185">
    <cfRule type="expression" dxfId="10384" priority="1704">
      <formula>#REF!&lt;&gt;""</formula>
    </cfRule>
    <cfRule type="expression" dxfId="10383" priority="1705">
      <formula>#REF!&lt;&gt;""</formula>
    </cfRule>
    <cfRule type="expression" dxfId="10382" priority="1706">
      <formula>#REF!&lt;&gt;""</formula>
    </cfRule>
    <cfRule type="expression" dxfId="10381" priority="1707">
      <formula>#REF!&lt;&gt;""</formula>
    </cfRule>
    <cfRule type="expression" dxfId="10380" priority="1708">
      <formula>#REF!&lt;&gt;""</formula>
    </cfRule>
    <cfRule type="expression" dxfId="10379" priority="1709">
      <formula>#REF!&lt;&gt;""</formula>
    </cfRule>
    <cfRule type="expression" dxfId="10378" priority="1710">
      <formula>#REF!&lt;&gt;""</formula>
    </cfRule>
    <cfRule type="expression" dxfId="10377" priority="1711">
      <formula>#REF!&lt;&gt;""</formula>
    </cfRule>
    <cfRule type="expression" dxfId="10376" priority="1712">
      <formula>#REF!&lt;&gt;""</formula>
    </cfRule>
    <cfRule type="expression" dxfId="10375" priority="1713">
      <formula>#REF!&lt;&gt;""</formula>
    </cfRule>
    <cfRule type="expression" dxfId="10374" priority="1714">
      <formula>#REF!&lt;&gt;""</formula>
    </cfRule>
    <cfRule type="expression" dxfId="10373" priority="1715">
      <formula>#REF!&lt;&gt;""</formula>
    </cfRule>
  </conditionalFormatting>
  <conditionalFormatting sqref="F186">
    <cfRule type="expression" dxfId="10372" priority="1691">
      <formula>#REF!&lt;&gt;""</formula>
    </cfRule>
    <cfRule type="expression" dxfId="10371" priority="1692">
      <formula>#REF!&lt;&gt;""</formula>
    </cfRule>
    <cfRule type="expression" dxfId="10370" priority="1693">
      <formula>#REF!&lt;&gt;""</formula>
    </cfRule>
    <cfRule type="expression" dxfId="10369" priority="1694">
      <formula>#REF!&lt;&gt;""</formula>
    </cfRule>
    <cfRule type="expression" dxfId="10368" priority="1695">
      <formula>#REF!&lt;&gt;""</formula>
    </cfRule>
    <cfRule type="expression" dxfId="10367" priority="1696">
      <formula>#REF!&lt;&gt;""</formula>
    </cfRule>
    <cfRule type="expression" dxfId="10366" priority="1697">
      <formula>#REF!&lt;&gt;""</formula>
    </cfRule>
    <cfRule type="expression" dxfId="10365" priority="1698">
      <formula>#REF!&lt;&gt;""</formula>
    </cfRule>
    <cfRule type="expression" dxfId="10364" priority="1699">
      <formula>#REF!&lt;&gt;""</formula>
    </cfRule>
    <cfRule type="expression" dxfId="10363" priority="1700">
      <formula>#REF!&lt;&gt;""</formula>
    </cfRule>
    <cfRule type="expression" dxfId="10362" priority="1701">
      <formula>#REF!&lt;&gt;""</formula>
    </cfRule>
    <cfRule type="expression" dxfId="10361" priority="1702">
      <formula>#REF!&lt;&gt;""</formula>
    </cfRule>
  </conditionalFormatting>
  <conditionalFormatting sqref="F187">
    <cfRule type="expression" dxfId="10360" priority="1678">
      <formula>#REF!&lt;&gt;""</formula>
    </cfRule>
    <cfRule type="expression" dxfId="10359" priority="1679">
      <formula>#REF!&lt;&gt;""</formula>
    </cfRule>
    <cfRule type="expression" dxfId="10358" priority="1680">
      <formula>#REF!&lt;&gt;""</formula>
    </cfRule>
    <cfRule type="expression" dxfId="10357" priority="1681">
      <formula>#REF!&lt;&gt;""</formula>
    </cfRule>
    <cfRule type="expression" dxfId="10356" priority="1682">
      <formula>#REF!&lt;&gt;""</formula>
    </cfRule>
    <cfRule type="expression" dxfId="10355" priority="1683">
      <formula>#REF!&lt;&gt;""</formula>
    </cfRule>
    <cfRule type="expression" dxfId="10354" priority="1684">
      <formula>#REF!&lt;&gt;""</formula>
    </cfRule>
    <cfRule type="expression" dxfId="10353" priority="1685">
      <formula>#REF!&lt;&gt;""</formula>
    </cfRule>
    <cfRule type="expression" dxfId="10352" priority="1686">
      <formula>#REF!&lt;&gt;""</formula>
    </cfRule>
    <cfRule type="expression" dxfId="10351" priority="1687">
      <formula>#REF!&lt;&gt;""</formula>
    </cfRule>
    <cfRule type="expression" dxfId="10350" priority="1688">
      <formula>#REF!&lt;&gt;""</formula>
    </cfRule>
    <cfRule type="expression" dxfId="10349" priority="1689">
      <formula>#REF!&lt;&gt;""</formula>
    </cfRule>
  </conditionalFormatting>
  <conditionalFormatting sqref="F188">
    <cfRule type="expression" dxfId="10348" priority="1665">
      <formula>#REF!&lt;&gt;""</formula>
    </cfRule>
    <cfRule type="expression" dxfId="10347" priority="1666">
      <formula>#REF!&lt;&gt;""</formula>
    </cfRule>
    <cfRule type="expression" dxfId="10346" priority="1667">
      <formula>#REF!&lt;&gt;""</formula>
    </cfRule>
    <cfRule type="expression" dxfId="10345" priority="1668">
      <formula>#REF!&lt;&gt;""</formula>
    </cfRule>
    <cfRule type="expression" dxfId="10344" priority="1669">
      <formula>#REF!&lt;&gt;""</formula>
    </cfRule>
    <cfRule type="expression" dxfId="10343" priority="1670">
      <formula>#REF!&lt;&gt;""</formula>
    </cfRule>
    <cfRule type="expression" dxfId="10342" priority="1671">
      <formula>#REF!&lt;&gt;""</formula>
    </cfRule>
    <cfRule type="expression" dxfId="10341" priority="1672">
      <formula>#REF!&lt;&gt;""</formula>
    </cfRule>
    <cfRule type="expression" dxfId="10340" priority="1673">
      <formula>#REF!&lt;&gt;""</formula>
    </cfRule>
    <cfRule type="expression" dxfId="10339" priority="1674">
      <formula>#REF!&lt;&gt;""</formula>
    </cfRule>
    <cfRule type="expression" dxfId="10338" priority="1675">
      <formula>#REF!&lt;&gt;""</formula>
    </cfRule>
    <cfRule type="expression" dxfId="10337" priority="1676">
      <formula>#REF!&lt;&gt;""</formula>
    </cfRule>
  </conditionalFormatting>
  <conditionalFormatting sqref="F189">
    <cfRule type="expression" dxfId="10336" priority="1652">
      <formula>#REF!&lt;&gt;""</formula>
    </cfRule>
    <cfRule type="expression" dxfId="10335" priority="1653">
      <formula>#REF!&lt;&gt;""</formula>
    </cfRule>
    <cfRule type="expression" dxfId="10334" priority="1654">
      <formula>#REF!&lt;&gt;""</formula>
    </cfRule>
    <cfRule type="expression" dxfId="10333" priority="1655">
      <formula>#REF!&lt;&gt;""</formula>
    </cfRule>
    <cfRule type="expression" dxfId="10332" priority="1656">
      <formula>#REF!&lt;&gt;""</formula>
    </cfRule>
    <cfRule type="expression" dxfId="10331" priority="1657">
      <formula>#REF!&lt;&gt;""</formula>
    </cfRule>
    <cfRule type="expression" dxfId="10330" priority="1658">
      <formula>#REF!&lt;&gt;""</formula>
    </cfRule>
    <cfRule type="expression" dxfId="10329" priority="1659">
      <formula>#REF!&lt;&gt;""</formula>
    </cfRule>
    <cfRule type="expression" dxfId="10328" priority="1660">
      <formula>#REF!&lt;&gt;""</formula>
    </cfRule>
    <cfRule type="expression" dxfId="10327" priority="1661">
      <formula>#REF!&lt;&gt;""</formula>
    </cfRule>
    <cfRule type="expression" dxfId="10326" priority="1662">
      <formula>#REF!&lt;&gt;""</formula>
    </cfRule>
    <cfRule type="expression" dxfId="10325" priority="1663">
      <formula>#REF!&lt;&gt;""</formula>
    </cfRule>
  </conditionalFormatting>
  <conditionalFormatting sqref="F190">
    <cfRule type="expression" dxfId="10324" priority="1639">
      <formula>#REF!&lt;&gt;""</formula>
    </cfRule>
    <cfRule type="expression" dxfId="10323" priority="1640">
      <formula>#REF!&lt;&gt;""</formula>
    </cfRule>
    <cfRule type="expression" dxfId="10322" priority="1641">
      <formula>#REF!&lt;&gt;""</formula>
    </cfRule>
    <cfRule type="expression" dxfId="10321" priority="1642">
      <formula>#REF!&lt;&gt;""</formula>
    </cfRule>
    <cfRule type="expression" dxfId="10320" priority="1643">
      <formula>#REF!&lt;&gt;""</formula>
    </cfRule>
    <cfRule type="expression" dxfId="10319" priority="1644">
      <formula>#REF!&lt;&gt;""</formula>
    </cfRule>
    <cfRule type="expression" dxfId="10318" priority="1645">
      <formula>#REF!&lt;&gt;""</formula>
    </cfRule>
    <cfRule type="expression" dxfId="10317" priority="1646">
      <formula>#REF!&lt;&gt;""</formula>
    </cfRule>
    <cfRule type="expression" dxfId="10316" priority="1647">
      <formula>#REF!&lt;&gt;""</formula>
    </cfRule>
    <cfRule type="expression" dxfId="10315" priority="1648">
      <formula>#REF!&lt;&gt;""</formula>
    </cfRule>
    <cfRule type="expression" dxfId="10314" priority="1649">
      <formula>#REF!&lt;&gt;""</formula>
    </cfRule>
    <cfRule type="expression" dxfId="10313" priority="1650">
      <formula>#REF!&lt;&gt;""</formula>
    </cfRule>
  </conditionalFormatting>
  <conditionalFormatting sqref="F191">
    <cfRule type="expression" dxfId="10312" priority="1626">
      <formula>#REF!&lt;&gt;""</formula>
    </cfRule>
    <cfRule type="expression" dxfId="10311" priority="1627">
      <formula>#REF!&lt;&gt;""</formula>
    </cfRule>
    <cfRule type="expression" dxfId="10310" priority="1628">
      <formula>#REF!&lt;&gt;""</formula>
    </cfRule>
    <cfRule type="expression" dxfId="10309" priority="1629">
      <formula>#REF!&lt;&gt;""</formula>
    </cfRule>
    <cfRule type="expression" dxfId="10308" priority="1630">
      <formula>#REF!&lt;&gt;""</formula>
    </cfRule>
    <cfRule type="expression" dxfId="10307" priority="1631">
      <formula>#REF!&lt;&gt;""</formula>
    </cfRule>
    <cfRule type="expression" dxfId="10306" priority="1632">
      <formula>#REF!&lt;&gt;""</formula>
    </cfRule>
    <cfRule type="expression" dxfId="10305" priority="1633">
      <formula>#REF!&lt;&gt;""</formula>
    </cfRule>
    <cfRule type="expression" dxfId="10304" priority="1634">
      <formula>#REF!&lt;&gt;""</formula>
    </cfRule>
    <cfRule type="expression" dxfId="10303" priority="1635">
      <formula>#REF!&lt;&gt;""</formula>
    </cfRule>
    <cfRule type="expression" dxfId="10302" priority="1636">
      <formula>#REF!&lt;&gt;""</formula>
    </cfRule>
    <cfRule type="expression" dxfId="10301" priority="1637">
      <formula>#REF!&lt;&gt;""</formula>
    </cfRule>
  </conditionalFormatting>
  <conditionalFormatting sqref="F192">
    <cfRule type="expression" dxfId="10300" priority="1613">
      <formula>#REF!&lt;&gt;""</formula>
    </cfRule>
    <cfRule type="expression" dxfId="10299" priority="1614">
      <formula>#REF!&lt;&gt;""</formula>
    </cfRule>
    <cfRule type="expression" dxfId="10298" priority="1615">
      <formula>#REF!&lt;&gt;""</formula>
    </cfRule>
    <cfRule type="expression" dxfId="10297" priority="1616">
      <formula>#REF!&lt;&gt;""</formula>
    </cfRule>
    <cfRule type="expression" dxfId="10296" priority="1617">
      <formula>#REF!&lt;&gt;""</formula>
    </cfRule>
    <cfRule type="expression" dxfId="10295" priority="1618">
      <formula>#REF!&lt;&gt;""</formula>
    </cfRule>
    <cfRule type="expression" dxfId="10294" priority="1619">
      <formula>#REF!&lt;&gt;""</formula>
    </cfRule>
    <cfRule type="expression" dxfId="10293" priority="1620">
      <formula>#REF!&lt;&gt;""</formula>
    </cfRule>
    <cfRule type="expression" dxfId="10292" priority="1621">
      <formula>#REF!&lt;&gt;""</formula>
    </cfRule>
    <cfRule type="expression" dxfId="10291" priority="1622">
      <formula>#REF!&lt;&gt;""</formula>
    </cfRule>
    <cfRule type="expression" dxfId="10290" priority="1623">
      <formula>#REF!&lt;&gt;""</formula>
    </cfRule>
    <cfRule type="expression" dxfId="10289" priority="1624">
      <formula>#REF!&lt;&gt;""</formula>
    </cfRule>
  </conditionalFormatting>
  <conditionalFormatting sqref="F193">
    <cfRule type="expression" dxfId="10288" priority="1600">
      <formula>#REF!&lt;&gt;""</formula>
    </cfRule>
    <cfRule type="expression" dxfId="10287" priority="1601">
      <formula>#REF!&lt;&gt;""</formula>
    </cfRule>
    <cfRule type="expression" dxfId="10286" priority="1602">
      <formula>#REF!&lt;&gt;""</formula>
    </cfRule>
    <cfRule type="expression" dxfId="10285" priority="1603">
      <formula>#REF!&lt;&gt;""</formula>
    </cfRule>
    <cfRule type="expression" dxfId="10284" priority="1604">
      <formula>#REF!&lt;&gt;""</formula>
    </cfRule>
    <cfRule type="expression" dxfId="10283" priority="1605">
      <formula>#REF!&lt;&gt;""</formula>
    </cfRule>
    <cfRule type="expression" dxfId="10282" priority="1606">
      <formula>#REF!&lt;&gt;""</formula>
    </cfRule>
    <cfRule type="expression" dxfId="10281" priority="1607">
      <formula>#REF!&lt;&gt;""</formula>
    </cfRule>
    <cfRule type="expression" dxfId="10280" priority="1608">
      <formula>#REF!&lt;&gt;""</formula>
    </cfRule>
    <cfRule type="expression" dxfId="10279" priority="1609">
      <formula>#REF!&lt;&gt;""</formula>
    </cfRule>
    <cfRule type="expression" dxfId="10278" priority="1610">
      <formula>#REF!&lt;&gt;""</formula>
    </cfRule>
    <cfRule type="expression" dxfId="10277" priority="1611">
      <formula>#REF!&lt;&gt;""</formula>
    </cfRule>
  </conditionalFormatting>
  <conditionalFormatting sqref="F194">
    <cfRule type="expression" dxfId="10276" priority="1587">
      <formula>#REF!&lt;&gt;""</formula>
    </cfRule>
    <cfRule type="expression" dxfId="10275" priority="1588">
      <formula>#REF!&lt;&gt;""</formula>
    </cfRule>
    <cfRule type="expression" dxfId="10274" priority="1589">
      <formula>#REF!&lt;&gt;""</formula>
    </cfRule>
    <cfRule type="expression" dxfId="10273" priority="1590">
      <formula>#REF!&lt;&gt;""</formula>
    </cfRule>
    <cfRule type="expression" dxfId="10272" priority="1591">
      <formula>#REF!&lt;&gt;""</formula>
    </cfRule>
    <cfRule type="expression" dxfId="10271" priority="1592">
      <formula>#REF!&lt;&gt;""</formula>
    </cfRule>
    <cfRule type="expression" dxfId="10270" priority="1593">
      <formula>#REF!&lt;&gt;""</formula>
    </cfRule>
    <cfRule type="expression" dxfId="10269" priority="1594">
      <formula>#REF!&lt;&gt;""</formula>
    </cfRule>
    <cfRule type="expression" dxfId="10268" priority="1595">
      <formula>#REF!&lt;&gt;""</formula>
    </cfRule>
    <cfRule type="expression" dxfId="10267" priority="1596">
      <formula>#REF!&lt;&gt;""</formula>
    </cfRule>
    <cfRule type="expression" dxfId="10266" priority="1597">
      <formula>#REF!&lt;&gt;""</formula>
    </cfRule>
    <cfRule type="expression" dxfId="10265" priority="1598">
      <formula>#REF!&lt;&gt;""</formula>
    </cfRule>
  </conditionalFormatting>
  <conditionalFormatting sqref="F195">
    <cfRule type="expression" dxfId="10264" priority="1574">
      <formula>#REF!&lt;&gt;""</formula>
    </cfRule>
    <cfRule type="expression" dxfId="10263" priority="1575">
      <formula>#REF!&lt;&gt;""</formula>
    </cfRule>
    <cfRule type="expression" dxfId="10262" priority="1576">
      <formula>#REF!&lt;&gt;""</formula>
    </cfRule>
    <cfRule type="expression" dxfId="10261" priority="1577">
      <formula>#REF!&lt;&gt;""</formula>
    </cfRule>
    <cfRule type="expression" dxfId="10260" priority="1578">
      <formula>#REF!&lt;&gt;""</formula>
    </cfRule>
    <cfRule type="expression" dxfId="10259" priority="1579">
      <formula>#REF!&lt;&gt;""</formula>
    </cfRule>
    <cfRule type="expression" dxfId="10258" priority="1580">
      <formula>#REF!&lt;&gt;""</formula>
    </cfRule>
    <cfRule type="expression" dxfId="10257" priority="1581">
      <formula>#REF!&lt;&gt;""</formula>
    </cfRule>
    <cfRule type="expression" dxfId="10256" priority="1582">
      <formula>#REF!&lt;&gt;""</formula>
    </cfRule>
    <cfRule type="expression" dxfId="10255" priority="1583">
      <formula>#REF!&lt;&gt;""</formula>
    </cfRule>
    <cfRule type="expression" dxfId="10254" priority="1584">
      <formula>#REF!&lt;&gt;""</formula>
    </cfRule>
    <cfRule type="expression" dxfId="10253" priority="1585">
      <formula>#REF!&lt;&gt;""</formula>
    </cfRule>
  </conditionalFormatting>
  <conditionalFormatting sqref="F196">
    <cfRule type="expression" dxfId="10252" priority="1561">
      <formula>#REF!&lt;&gt;""</formula>
    </cfRule>
    <cfRule type="expression" dxfId="10251" priority="1562">
      <formula>#REF!&lt;&gt;""</formula>
    </cfRule>
    <cfRule type="expression" dxfId="10250" priority="1563">
      <formula>#REF!&lt;&gt;""</formula>
    </cfRule>
    <cfRule type="expression" dxfId="10249" priority="1564">
      <formula>#REF!&lt;&gt;""</formula>
    </cfRule>
    <cfRule type="expression" dxfId="10248" priority="1565">
      <formula>#REF!&lt;&gt;""</formula>
    </cfRule>
    <cfRule type="expression" dxfId="10247" priority="1566">
      <formula>#REF!&lt;&gt;""</formula>
    </cfRule>
    <cfRule type="expression" dxfId="10246" priority="1567">
      <formula>#REF!&lt;&gt;""</formula>
    </cfRule>
    <cfRule type="expression" dxfId="10245" priority="1568">
      <formula>#REF!&lt;&gt;""</formula>
    </cfRule>
    <cfRule type="expression" dxfId="10244" priority="1569">
      <formula>#REF!&lt;&gt;""</formula>
    </cfRule>
    <cfRule type="expression" dxfId="10243" priority="1570">
      <formula>#REF!&lt;&gt;""</formula>
    </cfRule>
    <cfRule type="expression" dxfId="10242" priority="1571">
      <formula>#REF!&lt;&gt;""</formula>
    </cfRule>
    <cfRule type="expression" dxfId="10241" priority="1572">
      <formula>#REF!&lt;&gt;""</formula>
    </cfRule>
  </conditionalFormatting>
  <conditionalFormatting sqref="F197">
    <cfRule type="expression" dxfId="10240" priority="1548">
      <formula>#REF!&lt;&gt;""</formula>
    </cfRule>
    <cfRule type="expression" dxfId="10239" priority="1549">
      <formula>#REF!&lt;&gt;""</formula>
    </cfRule>
    <cfRule type="expression" dxfId="10238" priority="1550">
      <formula>#REF!&lt;&gt;""</formula>
    </cfRule>
    <cfRule type="expression" dxfId="10237" priority="1551">
      <formula>#REF!&lt;&gt;""</formula>
    </cfRule>
    <cfRule type="expression" dxfId="10236" priority="1552">
      <formula>#REF!&lt;&gt;""</formula>
    </cfRule>
    <cfRule type="expression" dxfId="10235" priority="1553">
      <formula>#REF!&lt;&gt;""</formula>
    </cfRule>
    <cfRule type="expression" dxfId="10234" priority="1554">
      <formula>#REF!&lt;&gt;""</formula>
    </cfRule>
    <cfRule type="expression" dxfId="10233" priority="1555">
      <formula>#REF!&lt;&gt;""</formula>
    </cfRule>
    <cfRule type="expression" dxfId="10232" priority="1556">
      <formula>#REF!&lt;&gt;""</formula>
    </cfRule>
    <cfRule type="expression" dxfId="10231" priority="1557">
      <formula>#REF!&lt;&gt;""</formula>
    </cfRule>
    <cfRule type="expression" dxfId="10230" priority="1558">
      <formula>#REF!&lt;&gt;""</formula>
    </cfRule>
    <cfRule type="expression" dxfId="10229" priority="1559">
      <formula>#REF!&lt;&gt;""</formula>
    </cfRule>
  </conditionalFormatting>
  <conditionalFormatting sqref="F198">
    <cfRule type="expression" dxfId="10228" priority="1535">
      <formula>#REF!&lt;&gt;""</formula>
    </cfRule>
    <cfRule type="expression" dxfId="10227" priority="1536">
      <formula>#REF!&lt;&gt;""</formula>
    </cfRule>
    <cfRule type="expression" dxfId="10226" priority="1537">
      <formula>#REF!&lt;&gt;""</formula>
    </cfRule>
    <cfRule type="expression" dxfId="10225" priority="1538">
      <formula>#REF!&lt;&gt;""</formula>
    </cfRule>
    <cfRule type="expression" dxfId="10224" priority="1539">
      <formula>#REF!&lt;&gt;""</formula>
    </cfRule>
    <cfRule type="expression" dxfId="10223" priority="1540">
      <formula>#REF!&lt;&gt;""</formula>
    </cfRule>
    <cfRule type="expression" dxfId="10222" priority="1541">
      <formula>#REF!&lt;&gt;""</formula>
    </cfRule>
    <cfRule type="expression" dxfId="10221" priority="1542">
      <formula>#REF!&lt;&gt;""</formula>
    </cfRule>
    <cfRule type="expression" dxfId="10220" priority="1543">
      <formula>#REF!&lt;&gt;""</formula>
    </cfRule>
    <cfRule type="expression" dxfId="10219" priority="1544">
      <formula>#REF!&lt;&gt;""</formula>
    </cfRule>
    <cfRule type="expression" dxfId="10218" priority="1545">
      <formula>#REF!&lt;&gt;""</formula>
    </cfRule>
    <cfRule type="expression" dxfId="10217" priority="1546">
      <formula>#REF!&lt;&gt;""</formula>
    </cfRule>
  </conditionalFormatting>
  <conditionalFormatting sqref="F199">
    <cfRule type="expression" dxfId="10216" priority="1522">
      <formula>#REF!&lt;&gt;""</formula>
    </cfRule>
    <cfRule type="expression" dxfId="10215" priority="1523">
      <formula>#REF!&lt;&gt;""</formula>
    </cfRule>
    <cfRule type="expression" dxfId="10214" priority="1524">
      <formula>#REF!&lt;&gt;""</formula>
    </cfRule>
    <cfRule type="expression" dxfId="10213" priority="1525">
      <formula>#REF!&lt;&gt;""</formula>
    </cfRule>
    <cfRule type="expression" dxfId="10212" priority="1526">
      <formula>#REF!&lt;&gt;""</formula>
    </cfRule>
    <cfRule type="expression" dxfId="10211" priority="1527">
      <formula>#REF!&lt;&gt;""</formula>
    </cfRule>
    <cfRule type="expression" dxfId="10210" priority="1528">
      <formula>#REF!&lt;&gt;""</formula>
    </cfRule>
    <cfRule type="expression" dxfId="10209" priority="1529">
      <formula>#REF!&lt;&gt;""</formula>
    </cfRule>
    <cfRule type="expression" dxfId="10208" priority="1530">
      <formula>#REF!&lt;&gt;""</formula>
    </cfRule>
    <cfRule type="expression" dxfId="10207" priority="1531">
      <formula>#REF!&lt;&gt;""</formula>
    </cfRule>
    <cfRule type="expression" dxfId="10206" priority="1532">
      <formula>#REF!&lt;&gt;""</formula>
    </cfRule>
    <cfRule type="expression" dxfId="10205" priority="1533">
      <formula>#REF!&lt;&gt;""</formula>
    </cfRule>
  </conditionalFormatting>
  <conditionalFormatting sqref="F200">
    <cfRule type="expression" dxfId="10204" priority="1509">
      <formula>#REF!&lt;&gt;""</formula>
    </cfRule>
    <cfRule type="expression" dxfId="10203" priority="1510">
      <formula>#REF!&lt;&gt;""</formula>
    </cfRule>
    <cfRule type="expression" dxfId="10202" priority="1511">
      <formula>#REF!&lt;&gt;""</formula>
    </cfRule>
    <cfRule type="expression" dxfId="10201" priority="1512">
      <formula>#REF!&lt;&gt;""</formula>
    </cfRule>
    <cfRule type="expression" dxfId="10200" priority="1513">
      <formula>#REF!&lt;&gt;""</formula>
    </cfRule>
    <cfRule type="expression" dxfId="10199" priority="1514">
      <formula>#REF!&lt;&gt;""</formula>
    </cfRule>
    <cfRule type="expression" dxfId="10198" priority="1515">
      <formula>#REF!&lt;&gt;""</formula>
    </cfRule>
    <cfRule type="expression" dxfId="10197" priority="1516">
      <formula>#REF!&lt;&gt;""</formula>
    </cfRule>
    <cfRule type="expression" dxfId="10196" priority="1517">
      <formula>#REF!&lt;&gt;""</formula>
    </cfRule>
    <cfRule type="expression" dxfId="10195" priority="1518">
      <formula>#REF!&lt;&gt;""</formula>
    </cfRule>
    <cfRule type="expression" dxfId="10194" priority="1519">
      <formula>#REF!&lt;&gt;""</formula>
    </cfRule>
    <cfRule type="expression" dxfId="10193" priority="1520">
      <formula>#REF!&lt;&gt;""</formula>
    </cfRule>
  </conditionalFormatting>
  <conditionalFormatting sqref="F201">
    <cfRule type="expression" dxfId="10192" priority="1496">
      <formula>#REF!&lt;&gt;""</formula>
    </cfRule>
    <cfRule type="expression" dxfId="10191" priority="1497">
      <formula>#REF!&lt;&gt;""</formula>
    </cfRule>
    <cfRule type="expression" dxfId="10190" priority="1498">
      <formula>#REF!&lt;&gt;""</formula>
    </cfRule>
    <cfRule type="expression" dxfId="10189" priority="1499">
      <formula>#REF!&lt;&gt;""</formula>
    </cfRule>
    <cfRule type="expression" dxfId="10188" priority="1500">
      <formula>#REF!&lt;&gt;""</formula>
    </cfRule>
    <cfRule type="expression" dxfId="10187" priority="1501">
      <formula>#REF!&lt;&gt;""</formula>
    </cfRule>
    <cfRule type="expression" dxfId="10186" priority="1502">
      <formula>#REF!&lt;&gt;""</formula>
    </cfRule>
    <cfRule type="expression" dxfId="10185" priority="1503">
      <formula>#REF!&lt;&gt;""</formula>
    </cfRule>
    <cfRule type="expression" dxfId="10184" priority="1504">
      <formula>#REF!&lt;&gt;""</formula>
    </cfRule>
    <cfRule type="expression" dxfId="10183" priority="1505">
      <formula>#REF!&lt;&gt;""</formula>
    </cfRule>
    <cfRule type="expression" dxfId="10182" priority="1506">
      <formula>#REF!&lt;&gt;""</formula>
    </cfRule>
    <cfRule type="expression" dxfId="10181" priority="1507">
      <formula>#REF!&lt;&gt;""</formula>
    </cfRule>
  </conditionalFormatting>
  <conditionalFormatting sqref="F202">
    <cfRule type="expression" dxfId="10180" priority="1483">
      <formula>#REF!&lt;&gt;""</formula>
    </cfRule>
    <cfRule type="expression" dxfId="10179" priority="1484">
      <formula>#REF!&lt;&gt;""</formula>
    </cfRule>
    <cfRule type="expression" dxfId="10178" priority="1485">
      <formula>#REF!&lt;&gt;""</formula>
    </cfRule>
    <cfRule type="expression" dxfId="10177" priority="1486">
      <formula>#REF!&lt;&gt;""</formula>
    </cfRule>
    <cfRule type="expression" dxfId="10176" priority="1487">
      <formula>#REF!&lt;&gt;""</formula>
    </cfRule>
    <cfRule type="expression" dxfId="10175" priority="1488">
      <formula>#REF!&lt;&gt;""</formula>
    </cfRule>
    <cfRule type="expression" dxfId="10174" priority="1489">
      <formula>#REF!&lt;&gt;""</formula>
    </cfRule>
    <cfRule type="expression" dxfId="10173" priority="1490">
      <formula>#REF!&lt;&gt;""</formula>
    </cfRule>
    <cfRule type="expression" dxfId="10172" priority="1491">
      <formula>#REF!&lt;&gt;""</formula>
    </cfRule>
    <cfRule type="expression" dxfId="10171" priority="1492">
      <formula>#REF!&lt;&gt;""</formula>
    </cfRule>
    <cfRule type="expression" dxfId="10170" priority="1493">
      <formula>#REF!&lt;&gt;""</formula>
    </cfRule>
    <cfRule type="expression" dxfId="10169" priority="1494">
      <formula>#REF!&lt;&gt;""</formula>
    </cfRule>
  </conditionalFormatting>
  <conditionalFormatting sqref="F203">
    <cfRule type="expression" dxfId="10168" priority="1470">
      <formula>#REF!&lt;&gt;""</formula>
    </cfRule>
    <cfRule type="expression" dxfId="10167" priority="1471">
      <formula>#REF!&lt;&gt;""</formula>
    </cfRule>
    <cfRule type="expression" dxfId="10166" priority="1472">
      <formula>#REF!&lt;&gt;""</formula>
    </cfRule>
    <cfRule type="expression" dxfId="10165" priority="1473">
      <formula>#REF!&lt;&gt;""</formula>
    </cfRule>
    <cfRule type="expression" dxfId="10164" priority="1474">
      <formula>#REF!&lt;&gt;""</formula>
    </cfRule>
    <cfRule type="expression" dxfId="10163" priority="1475">
      <formula>#REF!&lt;&gt;""</formula>
    </cfRule>
    <cfRule type="expression" dxfId="10162" priority="1476">
      <formula>#REF!&lt;&gt;""</formula>
    </cfRule>
    <cfRule type="expression" dxfId="10161" priority="1477">
      <formula>#REF!&lt;&gt;""</formula>
    </cfRule>
    <cfRule type="expression" dxfId="10160" priority="1478">
      <formula>#REF!&lt;&gt;""</formula>
    </cfRule>
    <cfRule type="expression" dxfId="10159" priority="1479">
      <formula>#REF!&lt;&gt;""</formula>
    </cfRule>
    <cfRule type="expression" dxfId="10158" priority="1480">
      <formula>#REF!&lt;&gt;""</formula>
    </cfRule>
    <cfRule type="expression" dxfId="10157" priority="1481">
      <formula>#REF!&lt;&gt;""</formula>
    </cfRule>
  </conditionalFormatting>
  <conditionalFormatting sqref="F204">
    <cfRule type="expression" dxfId="10156" priority="1457">
      <formula>#REF!&lt;&gt;""</formula>
    </cfRule>
    <cfRule type="expression" dxfId="10155" priority="1458">
      <formula>#REF!&lt;&gt;""</formula>
    </cfRule>
    <cfRule type="expression" dxfId="10154" priority="1459">
      <formula>#REF!&lt;&gt;""</formula>
    </cfRule>
    <cfRule type="expression" dxfId="10153" priority="1460">
      <formula>#REF!&lt;&gt;""</formula>
    </cfRule>
    <cfRule type="expression" dxfId="10152" priority="1461">
      <formula>#REF!&lt;&gt;""</formula>
    </cfRule>
    <cfRule type="expression" dxfId="10151" priority="1462">
      <formula>#REF!&lt;&gt;""</formula>
    </cfRule>
    <cfRule type="expression" dxfId="10150" priority="1463">
      <formula>#REF!&lt;&gt;""</formula>
    </cfRule>
    <cfRule type="expression" dxfId="10149" priority="1464">
      <formula>#REF!&lt;&gt;""</formula>
    </cfRule>
    <cfRule type="expression" dxfId="10148" priority="1465">
      <formula>#REF!&lt;&gt;""</formula>
    </cfRule>
    <cfRule type="expression" dxfId="10147" priority="1466">
      <formula>#REF!&lt;&gt;""</formula>
    </cfRule>
    <cfRule type="expression" dxfId="10146" priority="1467">
      <formula>#REF!&lt;&gt;""</formula>
    </cfRule>
    <cfRule type="expression" dxfId="10145" priority="1468">
      <formula>#REF!&lt;&gt;""</formula>
    </cfRule>
  </conditionalFormatting>
  <conditionalFormatting sqref="F205">
    <cfRule type="expression" dxfId="10144" priority="1444">
      <formula>#REF!&lt;&gt;""</formula>
    </cfRule>
    <cfRule type="expression" dxfId="10143" priority="1445">
      <formula>#REF!&lt;&gt;""</formula>
    </cfRule>
    <cfRule type="expression" dxfId="10142" priority="1446">
      <formula>#REF!&lt;&gt;""</formula>
    </cfRule>
    <cfRule type="expression" dxfId="10141" priority="1447">
      <formula>#REF!&lt;&gt;""</formula>
    </cfRule>
    <cfRule type="expression" dxfId="10140" priority="1448">
      <formula>#REF!&lt;&gt;""</formula>
    </cfRule>
    <cfRule type="expression" dxfId="10139" priority="1449">
      <formula>#REF!&lt;&gt;""</formula>
    </cfRule>
    <cfRule type="expression" dxfId="10138" priority="1450">
      <formula>#REF!&lt;&gt;""</formula>
    </cfRule>
    <cfRule type="expression" dxfId="10137" priority="1451">
      <formula>#REF!&lt;&gt;""</formula>
    </cfRule>
    <cfRule type="expression" dxfId="10136" priority="1452">
      <formula>#REF!&lt;&gt;""</formula>
    </cfRule>
    <cfRule type="expression" dxfId="10135" priority="1453">
      <formula>#REF!&lt;&gt;""</formula>
    </cfRule>
    <cfRule type="expression" dxfId="10134" priority="1454">
      <formula>#REF!&lt;&gt;""</formula>
    </cfRule>
    <cfRule type="expression" dxfId="10133" priority="1455">
      <formula>#REF!&lt;&gt;""</formula>
    </cfRule>
  </conditionalFormatting>
  <conditionalFormatting sqref="F206">
    <cfRule type="expression" dxfId="10132" priority="1431">
      <formula>#REF!&lt;&gt;""</formula>
    </cfRule>
    <cfRule type="expression" dxfId="10131" priority="1432">
      <formula>#REF!&lt;&gt;""</formula>
    </cfRule>
    <cfRule type="expression" dxfId="10130" priority="1433">
      <formula>#REF!&lt;&gt;""</formula>
    </cfRule>
    <cfRule type="expression" dxfId="10129" priority="1434">
      <formula>#REF!&lt;&gt;""</formula>
    </cfRule>
    <cfRule type="expression" dxfId="10128" priority="1435">
      <formula>#REF!&lt;&gt;""</formula>
    </cfRule>
    <cfRule type="expression" dxfId="10127" priority="1436">
      <formula>#REF!&lt;&gt;""</formula>
    </cfRule>
    <cfRule type="expression" dxfId="10126" priority="1437">
      <formula>#REF!&lt;&gt;""</formula>
    </cfRule>
    <cfRule type="expression" dxfId="10125" priority="1438">
      <formula>#REF!&lt;&gt;""</formula>
    </cfRule>
    <cfRule type="expression" dxfId="10124" priority="1439">
      <formula>#REF!&lt;&gt;""</formula>
    </cfRule>
    <cfRule type="expression" dxfId="10123" priority="1440">
      <formula>#REF!&lt;&gt;""</formula>
    </cfRule>
    <cfRule type="expression" dxfId="10122" priority="1441">
      <formula>#REF!&lt;&gt;""</formula>
    </cfRule>
    <cfRule type="expression" dxfId="10121" priority="1442">
      <formula>#REF!&lt;&gt;""</formula>
    </cfRule>
  </conditionalFormatting>
  <conditionalFormatting sqref="F207">
    <cfRule type="expression" dxfId="10120" priority="1418">
      <formula>#REF!&lt;&gt;""</formula>
    </cfRule>
    <cfRule type="expression" dxfId="10119" priority="1419">
      <formula>#REF!&lt;&gt;""</formula>
    </cfRule>
    <cfRule type="expression" dxfId="10118" priority="1420">
      <formula>#REF!&lt;&gt;""</formula>
    </cfRule>
    <cfRule type="expression" dxfId="10117" priority="1421">
      <formula>#REF!&lt;&gt;""</formula>
    </cfRule>
    <cfRule type="expression" dxfId="10116" priority="1422">
      <formula>#REF!&lt;&gt;""</formula>
    </cfRule>
    <cfRule type="expression" dxfId="10115" priority="1423">
      <formula>#REF!&lt;&gt;""</formula>
    </cfRule>
    <cfRule type="expression" dxfId="10114" priority="1424">
      <formula>#REF!&lt;&gt;""</formula>
    </cfRule>
    <cfRule type="expression" dxfId="10113" priority="1425">
      <formula>#REF!&lt;&gt;""</formula>
    </cfRule>
    <cfRule type="expression" dxfId="10112" priority="1426">
      <formula>#REF!&lt;&gt;""</formula>
    </cfRule>
    <cfRule type="expression" dxfId="10111" priority="1427">
      <formula>#REF!&lt;&gt;""</formula>
    </cfRule>
    <cfRule type="expression" dxfId="10110" priority="1428">
      <formula>#REF!&lt;&gt;""</formula>
    </cfRule>
    <cfRule type="expression" dxfId="10109" priority="1429">
      <formula>#REF!&lt;&gt;""</formula>
    </cfRule>
  </conditionalFormatting>
  <conditionalFormatting sqref="F208">
    <cfRule type="expression" dxfId="10108" priority="1405">
      <formula>#REF!&lt;&gt;""</formula>
    </cfRule>
    <cfRule type="expression" dxfId="10107" priority="1406">
      <formula>#REF!&lt;&gt;""</formula>
    </cfRule>
    <cfRule type="expression" dxfId="10106" priority="1407">
      <formula>#REF!&lt;&gt;""</formula>
    </cfRule>
    <cfRule type="expression" dxfId="10105" priority="1408">
      <formula>#REF!&lt;&gt;""</formula>
    </cfRule>
    <cfRule type="expression" dxfId="10104" priority="1409">
      <formula>#REF!&lt;&gt;""</formula>
    </cfRule>
    <cfRule type="expression" dxfId="10103" priority="1410">
      <formula>#REF!&lt;&gt;""</formula>
    </cfRule>
    <cfRule type="expression" dxfId="10102" priority="1411">
      <formula>#REF!&lt;&gt;""</formula>
    </cfRule>
    <cfRule type="expression" dxfId="10101" priority="1412">
      <formula>#REF!&lt;&gt;""</formula>
    </cfRule>
    <cfRule type="expression" dxfId="10100" priority="1413">
      <formula>#REF!&lt;&gt;""</formula>
    </cfRule>
    <cfRule type="expression" dxfId="10099" priority="1414">
      <formula>#REF!&lt;&gt;""</formula>
    </cfRule>
    <cfRule type="expression" dxfId="10098" priority="1415">
      <formula>#REF!&lt;&gt;""</formula>
    </cfRule>
    <cfRule type="expression" dxfId="10097" priority="1416">
      <formula>#REF!&lt;&gt;""</formula>
    </cfRule>
  </conditionalFormatting>
  <conditionalFormatting sqref="F209">
    <cfRule type="expression" dxfId="10096" priority="1392">
      <formula>#REF!&lt;&gt;""</formula>
    </cfRule>
    <cfRule type="expression" dxfId="10095" priority="1393">
      <formula>#REF!&lt;&gt;""</formula>
    </cfRule>
    <cfRule type="expression" dxfId="10094" priority="1394">
      <formula>#REF!&lt;&gt;""</formula>
    </cfRule>
    <cfRule type="expression" dxfId="10093" priority="1395">
      <formula>#REF!&lt;&gt;""</formula>
    </cfRule>
    <cfRule type="expression" dxfId="10092" priority="1396">
      <formula>#REF!&lt;&gt;""</formula>
    </cfRule>
    <cfRule type="expression" dxfId="10091" priority="1397">
      <formula>#REF!&lt;&gt;""</formula>
    </cfRule>
    <cfRule type="expression" dxfId="10090" priority="1398">
      <formula>#REF!&lt;&gt;""</formula>
    </cfRule>
    <cfRule type="expression" dxfId="10089" priority="1399">
      <formula>#REF!&lt;&gt;""</formula>
    </cfRule>
    <cfRule type="expression" dxfId="10088" priority="1400">
      <formula>#REF!&lt;&gt;""</formula>
    </cfRule>
    <cfRule type="expression" dxfId="10087" priority="1401">
      <formula>#REF!&lt;&gt;""</formula>
    </cfRule>
    <cfRule type="expression" dxfId="10086" priority="1402">
      <formula>#REF!&lt;&gt;""</formula>
    </cfRule>
    <cfRule type="expression" dxfId="10085" priority="1403">
      <formula>#REF!&lt;&gt;""</formula>
    </cfRule>
  </conditionalFormatting>
  <conditionalFormatting sqref="F210">
    <cfRule type="expression" dxfId="10084" priority="1379">
      <formula>#REF!&lt;&gt;""</formula>
    </cfRule>
    <cfRule type="expression" dxfId="10083" priority="1380">
      <formula>#REF!&lt;&gt;""</formula>
    </cfRule>
    <cfRule type="expression" dxfId="10082" priority="1381">
      <formula>#REF!&lt;&gt;""</formula>
    </cfRule>
    <cfRule type="expression" dxfId="10081" priority="1382">
      <formula>#REF!&lt;&gt;""</formula>
    </cfRule>
    <cfRule type="expression" dxfId="10080" priority="1383">
      <formula>#REF!&lt;&gt;""</formula>
    </cfRule>
    <cfRule type="expression" dxfId="10079" priority="1384">
      <formula>#REF!&lt;&gt;""</formula>
    </cfRule>
    <cfRule type="expression" dxfId="10078" priority="1385">
      <formula>#REF!&lt;&gt;""</formula>
    </cfRule>
    <cfRule type="expression" dxfId="10077" priority="1386">
      <formula>#REF!&lt;&gt;""</formula>
    </cfRule>
    <cfRule type="expression" dxfId="10076" priority="1387">
      <formula>#REF!&lt;&gt;""</formula>
    </cfRule>
    <cfRule type="expression" dxfId="10075" priority="1388">
      <formula>#REF!&lt;&gt;""</formula>
    </cfRule>
    <cfRule type="expression" dxfId="10074" priority="1389">
      <formula>#REF!&lt;&gt;""</formula>
    </cfRule>
    <cfRule type="expression" dxfId="10073" priority="1390">
      <formula>#REF!&lt;&gt;""</formula>
    </cfRule>
  </conditionalFormatting>
  <conditionalFormatting sqref="F211">
    <cfRule type="expression" dxfId="10072" priority="1366">
      <formula>#REF!&lt;&gt;""</formula>
    </cfRule>
    <cfRule type="expression" dxfId="10071" priority="1367">
      <formula>#REF!&lt;&gt;""</formula>
    </cfRule>
    <cfRule type="expression" dxfId="10070" priority="1368">
      <formula>#REF!&lt;&gt;""</formula>
    </cfRule>
    <cfRule type="expression" dxfId="10069" priority="1369">
      <formula>#REF!&lt;&gt;""</formula>
    </cfRule>
    <cfRule type="expression" dxfId="10068" priority="1370">
      <formula>#REF!&lt;&gt;""</formula>
    </cfRule>
    <cfRule type="expression" dxfId="10067" priority="1371">
      <formula>#REF!&lt;&gt;""</formula>
    </cfRule>
    <cfRule type="expression" dxfId="10066" priority="1372">
      <formula>#REF!&lt;&gt;""</formula>
    </cfRule>
    <cfRule type="expression" dxfId="10065" priority="1373">
      <formula>#REF!&lt;&gt;""</formula>
    </cfRule>
    <cfRule type="expression" dxfId="10064" priority="1374">
      <formula>#REF!&lt;&gt;""</formula>
    </cfRule>
    <cfRule type="expression" dxfId="10063" priority="1375">
      <formula>#REF!&lt;&gt;""</formula>
    </cfRule>
    <cfRule type="expression" dxfId="10062" priority="1376">
      <formula>#REF!&lt;&gt;""</formula>
    </cfRule>
    <cfRule type="expression" dxfId="10061" priority="1377">
      <formula>#REF!&lt;&gt;""</formula>
    </cfRule>
  </conditionalFormatting>
  <conditionalFormatting sqref="F212">
    <cfRule type="expression" dxfId="10060" priority="1353">
      <formula>#REF!&lt;&gt;""</formula>
    </cfRule>
    <cfRule type="expression" dxfId="10059" priority="1354">
      <formula>#REF!&lt;&gt;""</formula>
    </cfRule>
    <cfRule type="expression" dxfId="10058" priority="1355">
      <formula>#REF!&lt;&gt;""</formula>
    </cfRule>
    <cfRule type="expression" dxfId="10057" priority="1356">
      <formula>#REF!&lt;&gt;""</formula>
    </cfRule>
    <cfRule type="expression" dxfId="10056" priority="1357">
      <formula>#REF!&lt;&gt;""</formula>
    </cfRule>
    <cfRule type="expression" dxfId="10055" priority="1358">
      <formula>#REF!&lt;&gt;""</formula>
    </cfRule>
    <cfRule type="expression" dxfId="10054" priority="1359">
      <formula>#REF!&lt;&gt;""</formula>
    </cfRule>
    <cfRule type="expression" dxfId="10053" priority="1360">
      <formula>#REF!&lt;&gt;""</formula>
    </cfRule>
    <cfRule type="expression" dxfId="10052" priority="1361">
      <formula>#REF!&lt;&gt;""</formula>
    </cfRule>
    <cfRule type="expression" dxfId="10051" priority="1362">
      <formula>#REF!&lt;&gt;""</formula>
    </cfRule>
    <cfRule type="expression" dxfId="10050" priority="1363">
      <formula>#REF!&lt;&gt;""</formula>
    </cfRule>
    <cfRule type="expression" dxfId="10049" priority="1364">
      <formula>#REF!&lt;&gt;""</formula>
    </cfRule>
  </conditionalFormatting>
  <conditionalFormatting sqref="F213">
    <cfRule type="expression" dxfId="10048" priority="1340">
      <formula>#REF!&lt;&gt;""</formula>
    </cfRule>
    <cfRule type="expression" dxfId="10047" priority="1341">
      <formula>#REF!&lt;&gt;""</formula>
    </cfRule>
    <cfRule type="expression" dxfId="10046" priority="1342">
      <formula>#REF!&lt;&gt;""</formula>
    </cfRule>
    <cfRule type="expression" dxfId="10045" priority="1343">
      <formula>#REF!&lt;&gt;""</formula>
    </cfRule>
    <cfRule type="expression" dxfId="10044" priority="1344">
      <formula>#REF!&lt;&gt;""</formula>
    </cfRule>
    <cfRule type="expression" dxfId="10043" priority="1345">
      <formula>#REF!&lt;&gt;""</formula>
    </cfRule>
    <cfRule type="expression" dxfId="10042" priority="1346">
      <formula>#REF!&lt;&gt;""</formula>
    </cfRule>
    <cfRule type="expression" dxfId="10041" priority="1347">
      <formula>#REF!&lt;&gt;""</formula>
    </cfRule>
    <cfRule type="expression" dxfId="10040" priority="1348">
      <formula>#REF!&lt;&gt;""</formula>
    </cfRule>
    <cfRule type="expression" dxfId="10039" priority="1349">
      <formula>#REF!&lt;&gt;""</formula>
    </cfRule>
    <cfRule type="expression" dxfId="10038" priority="1350">
      <formula>#REF!&lt;&gt;""</formula>
    </cfRule>
    <cfRule type="expression" dxfId="10037" priority="1351">
      <formula>#REF!&lt;&gt;""</formula>
    </cfRule>
  </conditionalFormatting>
  <conditionalFormatting sqref="F214">
    <cfRule type="expression" dxfId="10036" priority="1327">
      <formula>#REF!&lt;&gt;""</formula>
    </cfRule>
    <cfRule type="expression" dxfId="10035" priority="1328">
      <formula>#REF!&lt;&gt;""</formula>
    </cfRule>
    <cfRule type="expression" dxfId="10034" priority="1329">
      <formula>#REF!&lt;&gt;""</formula>
    </cfRule>
    <cfRule type="expression" dxfId="10033" priority="1330">
      <formula>#REF!&lt;&gt;""</formula>
    </cfRule>
    <cfRule type="expression" dxfId="10032" priority="1331">
      <formula>#REF!&lt;&gt;""</formula>
    </cfRule>
    <cfRule type="expression" dxfId="10031" priority="1332">
      <formula>#REF!&lt;&gt;""</formula>
    </cfRule>
    <cfRule type="expression" dxfId="10030" priority="1333">
      <formula>#REF!&lt;&gt;""</formula>
    </cfRule>
    <cfRule type="expression" dxfId="10029" priority="1334">
      <formula>#REF!&lt;&gt;""</formula>
    </cfRule>
    <cfRule type="expression" dxfId="10028" priority="1335">
      <formula>#REF!&lt;&gt;""</formula>
    </cfRule>
    <cfRule type="expression" dxfId="10027" priority="1336">
      <formula>#REF!&lt;&gt;""</formula>
    </cfRule>
    <cfRule type="expression" dxfId="10026" priority="1337">
      <formula>#REF!&lt;&gt;""</formula>
    </cfRule>
    <cfRule type="expression" dxfId="10025" priority="1338">
      <formula>#REF!&lt;&gt;""</formula>
    </cfRule>
  </conditionalFormatting>
  <conditionalFormatting sqref="F215">
    <cfRule type="expression" dxfId="10024" priority="1314">
      <formula>#REF!&lt;&gt;""</formula>
    </cfRule>
    <cfRule type="expression" dxfId="10023" priority="1315">
      <formula>#REF!&lt;&gt;""</formula>
    </cfRule>
    <cfRule type="expression" dxfId="10022" priority="1316">
      <formula>#REF!&lt;&gt;""</formula>
    </cfRule>
    <cfRule type="expression" dxfId="10021" priority="1317">
      <formula>#REF!&lt;&gt;""</formula>
    </cfRule>
    <cfRule type="expression" dxfId="10020" priority="1318">
      <formula>#REF!&lt;&gt;""</formula>
    </cfRule>
    <cfRule type="expression" dxfId="10019" priority="1319">
      <formula>#REF!&lt;&gt;""</formula>
    </cfRule>
    <cfRule type="expression" dxfId="10018" priority="1320">
      <formula>#REF!&lt;&gt;""</formula>
    </cfRule>
    <cfRule type="expression" dxfId="10017" priority="1321">
      <formula>#REF!&lt;&gt;""</formula>
    </cfRule>
    <cfRule type="expression" dxfId="10016" priority="1322">
      <formula>#REF!&lt;&gt;""</formula>
    </cfRule>
    <cfRule type="expression" dxfId="10015" priority="1323">
      <formula>#REF!&lt;&gt;""</formula>
    </cfRule>
    <cfRule type="expression" dxfId="10014" priority="1324">
      <formula>#REF!&lt;&gt;""</formula>
    </cfRule>
    <cfRule type="expression" dxfId="10013" priority="1325">
      <formula>#REF!&lt;&gt;""</formula>
    </cfRule>
  </conditionalFormatting>
  <conditionalFormatting sqref="F233">
    <cfRule type="expression" dxfId="10012" priority="1301">
      <formula>#REF!&lt;&gt;""</formula>
    </cfRule>
    <cfRule type="expression" dxfId="10011" priority="1302">
      <formula>#REF!&lt;&gt;""</formula>
    </cfRule>
    <cfRule type="expression" dxfId="10010" priority="1303">
      <formula>#REF!&lt;&gt;""</formula>
    </cfRule>
    <cfRule type="expression" dxfId="10009" priority="1304">
      <formula>#REF!&lt;&gt;""</formula>
    </cfRule>
    <cfRule type="expression" dxfId="10008" priority="1305">
      <formula>#REF!&lt;&gt;""</formula>
    </cfRule>
    <cfRule type="expression" dxfId="10007" priority="1306">
      <formula>#REF!&lt;&gt;""</formula>
    </cfRule>
    <cfRule type="expression" dxfId="10006" priority="1307">
      <formula>#REF!&lt;&gt;""</formula>
    </cfRule>
    <cfRule type="expression" dxfId="10005" priority="1308">
      <formula>#REF!&lt;&gt;""</formula>
    </cfRule>
    <cfRule type="expression" dxfId="10004" priority="1309">
      <formula>#REF!&lt;&gt;""</formula>
    </cfRule>
    <cfRule type="expression" dxfId="10003" priority="1310">
      <formula>#REF!&lt;&gt;""</formula>
    </cfRule>
    <cfRule type="expression" dxfId="10002" priority="1311">
      <formula>#REF!&lt;&gt;""</formula>
    </cfRule>
    <cfRule type="expression" dxfId="10001" priority="1312">
      <formula>#REF!&lt;&gt;""</formula>
    </cfRule>
  </conditionalFormatting>
  <conditionalFormatting sqref="F234">
    <cfRule type="expression" dxfId="10000" priority="1288">
      <formula>#REF!&lt;&gt;""</formula>
    </cfRule>
    <cfRule type="expression" dxfId="9999" priority="1289">
      <formula>#REF!&lt;&gt;""</formula>
    </cfRule>
    <cfRule type="expression" dxfId="9998" priority="1290">
      <formula>#REF!&lt;&gt;""</formula>
    </cfRule>
    <cfRule type="expression" dxfId="9997" priority="1291">
      <formula>#REF!&lt;&gt;""</formula>
    </cfRule>
    <cfRule type="expression" dxfId="9996" priority="1292">
      <formula>#REF!&lt;&gt;""</formula>
    </cfRule>
    <cfRule type="expression" dxfId="9995" priority="1293">
      <formula>#REF!&lt;&gt;""</formula>
    </cfRule>
    <cfRule type="expression" dxfId="9994" priority="1294">
      <formula>#REF!&lt;&gt;""</formula>
    </cfRule>
    <cfRule type="expression" dxfId="9993" priority="1295">
      <formula>#REF!&lt;&gt;""</formula>
    </cfRule>
    <cfRule type="expression" dxfId="9992" priority="1296">
      <formula>#REF!&lt;&gt;""</formula>
    </cfRule>
    <cfRule type="expression" dxfId="9991" priority="1297">
      <formula>#REF!&lt;&gt;""</formula>
    </cfRule>
    <cfRule type="expression" dxfId="9990" priority="1298">
      <formula>#REF!&lt;&gt;""</formula>
    </cfRule>
    <cfRule type="expression" dxfId="9989" priority="1299">
      <formula>#REF!&lt;&gt;""</formula>
    </cfRule>
  </conditionalFormatting>
  <conditionalFormatting sqref="F235">
    <cfRule type="expression" dxfId="9988" priority="1275">
      <formula>#REF!&lt;&gt;""</formula>
    </cfRule>
    <cfRule type="expression" dxfId="9987" priority="1276">
      <formula>#REF!&lt;&gt;""</formula>
    </cfRule>
    <cfRule type="expression" dxfId="9986" priority="1277">
      <formula>#REF!&lt;&gt;""</formula>
    </cfRule>
    <cfRule type="expression" dxfId="9985" priority="1278">
      <formula>#REF!&lt;&gt;""</formula>
    </cfRule>
    <cfRule type="expression" dxfId="9984" priority="1279">
      <formula>#REF!&lt;&gt;""</formula>
    </cfRule>
    <cfRule type="expression" dxfId="9983" priority="1280">
      <formula>#REF!&lt;&gt;""</formula>
    </cfRule>
    <cfRule type="expression" dxfId="9982" priority="1281">
      <formula>#REF!&lt;&gt;""</formula>
    </cfRule>
    <cfRule type="expression" dxfId="9981" priority="1282">
      <formula>#REF!&lt;&gt;""</formula>
    </cfRule>
    <cfRule type="expression" dxfId="9980" priority="1283">
      <formula>#REF!&lt;&gt;""</formula>
    </cfRule>
    <cfRule type="expression" dxfId="9979" priority="1284">
      <formula>#REF!&lt;&gt;""</formula>
    </cfRule>
    <cfRule type="expression" dxfId="9978" priority="1285">
      <formula>#REF!&lt;&gt;""</formula>
    </cfRule>
    <cfRule type="expression" dxfId="9977" priority="1286">
      <formula>#REF!&lt;&gt;""</formula>
    </cfRule>
  </conditionalFormatting>
  <conditionalFormatting sqref="F236">
    <cfRule type="expression" dxfId="9976" priority="1262">
      <formula>#REF!&lt;&gt;""</formula>
    </cfRule>
    <cfRule type="expression" dxfId="9975" priority="1263">
      <formula>#REF!&lt;&gt;""</formula>
    </cfRule>
    <cfRule type="expression" dxfId="9974" priority="1264">
      <formula>#REF!&lt;&gt;""</formula>
    </cfRule>
    <cfRule type="expression" dxfId="9973" priority="1265">
      <formula>#REF!&lt;&gt;""</formula>
    </cfRule>
    <cfRule type="expression" dxfId="9972" priority="1266">
      <formula>#REF!&lt;&gt;""</formula>
    </cfRule>
    <cfRule type="expression" dxfId="9971" priority="1267">
      <formula>#REF!&lt;&gt;""</formula>
    </cfRule>
    <cfRule type="expression" dxfId="9970" priority="1268">
      <formula>#REF!&lt;&gt;""</formula>
    </cfRule>
    <cfRule type="expression" dxfId="9969" priority="1269">
      <formula>#REF!&lt;&gt;""</formula>
    </cfRule>
    <cfRule type="expression" dxfId="9968" priority="1270">
      <formula>#REF!&lt;&gt;""</formula>
    </cfRule>
    <cfRule type="expression" dxfId="9967" priority="1271">
      <formula>#REF!&lt;&gt;""</formula>
    </cfRule>
    <cfRule type="expression" dxfId="9966" priority="1272">
      <formula>#REF!&lt;&gt;""</formula>
    </cfRule>
    <cfRule type="expression" dxfId="9965" priority="1273">
      <formula>#REF!&lt;&gt;""</formula>
    </cfRule>
  </conditionalFormatting>
  <conditionalFormatting sqref="F237">
    <cfRule type="expression" dxfId="9964" priority="1249">
      <formula>#REF!&lt;&gt;""</formula>
    </cfRule>
    <cfRule type="expression" dxfId="9963" priority="1250">
      <formula>#REF!&lt;&gt;""</formula>
    </cfRule>
    <cfRule type="expression" dxfId="9962" priority="1251">
      <formula>#REF!&lt;&gt;""</formula>
    </cfRule>
    <cfRule type="expression" dxfId="9961" priority="1252">
      <formula>#REF!&lt;&gt;""</formula>
    </cfRule>
    <cfRule type="expression" dxfId="9960" priority="1253">
      <formula>#REF!&lt;&gt;""</formula>
    </cfRule>
    <cfRule type="expression" dxfId="9959" priority="1254">
      <formula>#REF!&lt;&gt;""</formula>
    </cfRule>
    <cfRule type="expression" dxfId="9958" priority="1255">
      <formula>#REF!&lt;&gt;""</formula>
    </cfRule>
    <cfRule type="expression" dxfId="9957" priority="1256">
      <formula>#REF!&lt;&gt;""</formula>
    </cfRule>
    <cfRule type="expression" dxfId="9956" priority="1257">
      <formula>#REF!&lt;&gt;""</formula>
    </cfRule>
    <cfRule type="expression" dxfId="9955" priority="1258">
      <formula>#REF!&lt;&gt;""</formula>
    </cfRule>
    <cfRule type="expression" dxfId="9954" priority="1259">
      <formula>#REF!&lt;&gt;""</formula>
    </cfRule>
    <cfRule type="expression" dxfId="9953" priority="1260">
      <formula>#REF!&lt;&gt;""</formula>
    </cfRule>
  </conditionalFormatting>
  <conditionalFormatting sqref="F238">
    <cfRule type="expression" dxfId="9952" priority="1236">
      <formula>#REF!&lt;&gt;""</formula>
    </cfRule>
    <cfRule type="expression" dxfId="9951" priority="1237">
      <formula>#REF!&lt;&gt;""</formula>
    </cfRule>
    <cfRule type="expression" dxfId="9950" priority="1238">
      <formula>#REF!&lt;&gt;""</formula>
    </cfRule>
    <cfRule type="expression" dxfId="9949" priority="1239">
      <formula>#REF!&lt;&gt;""</formula>
    </cfRule>
    <cfRule type="expression" dxfId="9948" priority="1240">
      <formula>#REF!&lt;&gt;""</formula>
    </cfRule>
    <cfRule type="expression" dxfId="9947" priority="1241">
      <formula>#REF!&lt;&gt;""</formula>
    </cfRule>
    <cfRule type="expression" dxfId="9946" priority="1242">
      <formula>#REF!&lt;&gt;""</formula>
    </cfRule>
    <cfRule type="expression" dxfId="9945" priority="1243">
      <formula>#REF!&lt;&gt;""</formula>
    </cfRule>
    <cfRule type="expression" dxfId="9944" priority="1244">
      <formula>#REF!&lt;&gt;""</formula>
    </cfRule>
    <cfRule type="expression" dxfId="9943" priority="1245">
      <formula>#REF!&lt;&gt;""</formula>
    </cfRule>
    <cfRule type="expression" dxfId="9942" priority="1246">
      <formula>#REF!&lt;&gt;""</formula>
    </cfRule>
    <cfRule type="expression" dxfId="9941" priority="1247">
      <formula>#REF!&lt;&gt;""</formula>
    </cfRule>
  </conditionalFormatting>
  <conditionalFormatting sqref="F239">
    <cfRule type="expression" dxfId="9940" priority="1223">
      <formula>#REF!&lt;&gt;""</formula>
    </cfRule>
    <cfRule type="expression" dxfId="9939" priority="1224">
      <formula>#REF!&lt;&gt;""</formula>
    </cfRule>
    <cfRule type="expression" dxfId="9938" priority="1225">
      <formula>#REF!&lt;&gt;""</formula>
    </cfRule>
    <cfRule type="expression" dxfId="9937" priority="1226">
      <formula>#REF!&lt;&gt;""</formula>
    </cfRule>
    <cfRule type="expression" dxfId="9936" priority="1227">
      <formula>#REF!&lt;&gt;""</formula>
    </cfRule>
    <cfRule type="expression" dxfId="9935" priority="1228">
      <formula>#REF!&lt;&gt;""</formula>
    </cfRule>
    <cfRule type="expression" dxfId="9934" priority="1229">
      <formula>#REF!&lt;&gt;""</formula>
    </cfRule>
    <cfRule type="expression" dxfId="9933" priority="1230">
      <formula>#REF!&lt;&gt;""</formula>
    </cfRule>
    <cfRule type="expression" dxfId="9932" priority="1231">
      <formula>#REF!&lt;&gt;""</formula>
    </cfRule>
    <cfRule type="expression" dxfId="9931" priority="1232">
      <formula>#REF!&lt;&gt;""</formula>
    </cfRule>
    <cfRule type="expression" dxfId="9930" priority="1233">
      <formula>#REF!&lt;&gt;""</formula>
    </cfRule>
    <cfRule type="expression" dxfId="9929" priority="1234">
      <formula>#REF!&lt;&gt;""</formula>
    </cfRule>
  </conditionalFormatting>
  <conditionalFormatting sqref="F240">
    <cfRule type="expression" dxfId="9928" priority="1210">
      <formula>#REF!&lt;&gt;""</formula>
    </cfRule>
    <cfRule type="expression" dxfId="9927" priority="1211">
      <formula>#REF!&lt;&gt;""</formula>
    </cfRule>
    <cfRule type="expression" dxfId="9926" priority="1212">
      <formula>#REF!&lt;&gt;""</formula>
    </cfRule>
    <cfRule type="expression" dxfId="9925" priority="1213">
      <formula>#REF!&lt;&gt;""</formula>
    </cfRule>
    <cfRule type="expression" dxfId="9924" priority="1214">
      <formula>#REF!&lt;&gt;""</formula>
    </cfRule>
    <cfRule type="expression" dxfId="9923" priority="1215">
      <formula>#REF!&lt;&gt;""</formula>
    </cfRule>
    <cfRule type="expression" dxfId="9922" priority="1216">
      <formula>#REF!&lt;&gt;""</formula>
    </cfRule>
    <cfRule type="expression" dxfId="9921" priority="1217">
      <formula>#REF!&lt;&gt;""</formula>
    </cfRule>
    <cfRule type="expression" dxfId="9920" priority="1218">
      <formula>#REF!&lt;&gt;""</formula>
    </cfRule>
    <cfRule type="expression" dxfId="9919" priority="1219">
      <formula>#REF!&lt;&gt;""</formula>
    </cfRule>
    <cfRule type="expression" dxfId="9918" priority="1220">
      <formula>#REF!&lt;&gt;""</formula>
    </cfRule>
    <cfRule type="expression" dxfId="9917" priority="1221">
      <formula>#REF!&lt;&gt;""</formula>
    </cfRule>
  </conditionalFormatting>
  <conditionalFormatting sqref="F241">
    <cfRule type="expression" dxfId="9916" priority="1197">
      <formula>#REF!&lt;&gt;""</formula>
    </cfRule>
    <cfRule type="expression" dxfId="9915" priority="1198">
      <formula>#REF!&lt;&gt;""</formula>
    </cfRule>
    <cfRule type="expression" dxfId="9914" priority="1199">
      <formula>#REF!&lt;&gt;""</formula>
    </cfRule>
    <cfRule type="expression" dxfId="9913" priority="1200">
      <formula>#REF!&lt;&gt;""</formula>
    </cfRule>
    <cfRule type="expression" dxfId="9912" priority="1201">
      <formula>#REF!&lt;&gt;""</formula>
    </cfRule>
    <cfRule type="expression" dxfId="9911" priority="1202">
      <formula>#REF!&lt;&gt;""</formula>
    </cfRule>
    <cfRule type="expression" dxfId="9910" priority="1203">
      <formula>#REF!&lt;&gt;""</formula>
    </cfRule>
    <cfRule type="expression" dxfId="9909" priority="1204">
      <formula>#REF!&lt;&gt;""</formula>
    </cfRule>
    <cfRule type="expression" dxfId="9908" priority="1205">
      <formula>#REF!&lt;&gt;""</formula>
    </cfRule>
    <cfRule type="expression" dxfId="9907" priority="1206">
      <formula>#REF!&lt;&gt;""</formula>
    </cfRule>
    <cfRule type="expression" dxfId="9906" priority="1207">
      <formula>#REF!&lt;&gt;""</formula>
    </cfRule>
    <cfRule type="expression" dxfId="9905" priority="1208">
      <formula>#REF!&lt;&gt;""</formula>
    </cfRule>
  </conditionalFormatting>
  <conditionalFormatting sqref="F242">
    <cfRule type="expression" dxfId="9904" priority="1184">
      <formula>#REF!&lt;&gt;""</formula>
    </cfRule>
    <cfRule type="expression" dxfId="9903" priority="1185">
      <formula>#REF!&lt;&gt;""</formula>
    </cfRule>
    <cfRule type="expression" dxfId="9902" priority="1186">
      <formula>#REF!&lt;&gt;""</formula>
    </cfRule>
    <cfRule type="expression" dxfId="9901" priority="1187">
      <formula>#REF!&lt;&gt;""</formula>
    </cfRule>
    <cfRule type="expression" dxfId="9900" priority="1188">
      <formula>#REF!&lt;&gt;""</formula>
    </cfRule>
    <cfRule type="expression" dxfId="9899" priority="1189">
      <formula>#REF!&lt;&gt;""</formula>
    </cfRule>
    <cfRule type="expression" dxfId="9898" priority="1190">
      <formula>#REF!&lt;&gt;""</formula>
    </cfRule>
    <cfRule type="expression" dxfId="9897" priority="1191">
      <formula>#REF!&lt;&gt;""</formula>
    </cfRule>
    <cfRule type="expression" dxfId="9896" priority="1192">
      <formula>#REF!&lt;&gt;""</formula>
    </cfRule>
    <cfRule type="expression" dxfId="9895" priority="1193">
      <formula>#REF!&lt;&gt;""</formula>
    </cfRule>
    <cfRule type="expression" dxfId="9894" priority="1194">
      <formula>#REF!&lt;&gt;""</formula>
    </cfRule>
    <cfRule type="expression" dxfId="9893" priority="1195">
      <formula>#REF!&lt;&gt;""</formula>
    </cfRule>
  </conditionalFormatting>
  <conditionalFormatting sqref="F243">
    <cfRule type="expression" dxfId="9892" priority="1171">
      <formula>#REF!&lt;&gt;""</formula>
    </cfRule>
    <cfRule type="expression" dxfId="9891" priority="1172">
      <formula>#REF!&lt;&gt;""</formula>
    </cfRule>
    <cfRule type="expression" dxfId="9890" priority="1173">
      <formula>#REF!&lt;&gt;""</formula>
    </cfRule>
    <cfRule type="expression" dxfId="9889" priority="1174">
      <formula>#REF!&lt;&gt;""</formula>
    </cfRule>
    <cfRule type="expression" dxfId="9888" priority="1175">
      <formula>#REF!&lt;&gt;""</formula>
    </cfRule>
    <cfRule type="expression" dxfId="9887" priority="1176">
      <formula>#REF!&lt;&gt;""</formula>
    </cfRule>
    <cfRule type="expression" dxfId="9886" priority="1177">
      <formula>#REF!&lt;&gt;""</formula>
    </cfRule>
    <cfRule type="expression" dxfId="9885" priority="1178">
      <formula>#REF!&lt;&gt;""</formula>
    </cfRule>
    <cfRule type="expression" dxfId="9884" priority="1179">
      <formula>#REF!&lt;&gt;""</formula>
    </cfRule>
    <cfRule type="expression" dxfId="9883" priority="1180">
      <formula>#REF!&lt;&gt;""</formula>
    </cfRule>
    <cfRule type="expression" dxfId="9882" priority="1181">
      <formula>#REF!&lt;&gt;""</formula>
    </cfRule>
    <cfRule type="expression" dxfId="9881" priority="1182">
      <formula>#REF!&lt;&gt;""</formula>
    </cfRule>
  </conditionalFormatting>
  <conditionalFormatting sqref="F244">
    <cfRule type="expression" dxfId="9880" priority="1158">
      <formula>#REF!&lt;&gt;""</formula>
    </cfRule>
    <cfRule type="expression" dxfId="9879" priority="1159">
      <formula>#REF!&lt;&gt;""</formula>
    </cfRule>
    <cfRule type="expression" dxfId="9878" priority="1160">
      <formula>#REF!&lt;&gt;""</formula>
    </cfRule>
    <cfRule type="expression" dxfId="9877" priority="1161">
      <formula>#REF!&lt;&gt;""</formula>
    </cfRule>
    <cfRule type="expression" dxfId="9876" priority="1162">
      <formula>#REF!&lt;&gt;""</formula>
    </cfRule>
    <cfRule type="expression" dxfId="9875" priority="1163">
      <formula>#REF!&lt;&gt;""</formula>
    </cfRule>
    <cfRule type="expression" dxfId="9874" priority="1164">
      <formula>#REF!&lt;&gt;""</formula>
    </cfRule>
    <cfRule type="expression" dxfId="9873" priority="1165">
      <formula>#REF!&lt;&gt;""</formula>
    </cfRule>
    <cfRule type="expression" dxfId="9872" priority="1166">
      <formula>#REF!&lt;&gt;""</formula>
    </cfRule>
    <cfRule type="expression" dxfId="9871" priority="1167">
      <formula>#REF!&lt;&gt;""</formula>
    </cfRule>
    <cfRule type="expression" dxfId="9870" priority="1168">
      <formula>#REF!&lt;&gt;""</formula>
    </cfRule>
    <cfRule type="expression" dxfId="9869" priority="1169">
      <formula>#REF!&lt;&gt;""</formula>
    </cfRule>
  </conditionalFormatting>
  <conditionalFormatting sqref="F245">
    <cfRule type="expression" dxfId="9868" priority="1145">
      <formula>#REF!&lt;&gt;""</formula>
    </cfRule>
    <cfRule type="expression" dxfId="9867" priority="1146">
      <formula>#REF!&lt;&gt;""</formula>
    </cfRule>
    <cfRule type="expression" dxfId="9866" priority="1147">
      <formula>#REF!&lt;&gt;""</formula>
    </cfRule>
    <cfRule type="expression" dxfId="9865" priority="1148">
      <formula>#REF!&lt;&gt;""</formula>
    </cfRule>
    <cfRule type="expression" dxfId="9864" priority="1149">
      <formula>#REF!&lt;&gt;""</formula>
    </cfRule>
    <cfRule type="expression" dxfId="9863" priority="1150">
      <formula>#REF!&lt;&gt;""</formula>
    </cfRule>
    <cfRule type="expression" dxfId="9862" priority="1151">
      <formula>#REF!&lt;&gt;""</formula>
    </cfRule>
    <cfRule type="expression" dxfId="9861" priority="1152">
      <formula>#REF!&lt;&gt;""</formula>
    </cfRule>
    <cfRule type="expression" dxfId="9860" priority="1153">
      <formula>#REF!&lt;&gt;""</formula>
    </cfRule>
    <cfRule type="expression" dxfId="9859" priority="1154">
      <formula>#REF!&lt;&gt;""</formula>
    </cfRule>
    <cfRule type="expression" dxfId="9858" priority="1155">
      <formula>#REF!&lt;&gt;""</formula>
    </cfRule>
    <cfRule type="expression" dxfId="9857" priority="1156">
      <formula>#REF!&lt;&gt;""</formula>
    </cfRule>
  </conditionalFormatting>
  <conditionalFormatting sqref="F246">
    <cfRule type="expression" dxfId="9856" priority="1132">
      <formula>#REF!&lt;&gt;""</formula>
    </cfRule>
    <cfRule type="expression" dxfId="9855" priority="1133">
      <formula>#REF!&lt;&gt;""</formula>
    </cfRule>
    <cfRule type="expression" dxfId="9854" priority="1134">
      <formula>#REF!&lt;&gt;""</formula>
    </cfRule>
    <cfRule type="expression" dxfId="9853" priority="1135">
      <formula>#REF!&lt;&gt;""</formula>
    </cfRule>
    <cfRule type="expression" dxfId="9852" priority="1136">
      <formula>#REF!&lt;&gt;""</formula>
    </cfRule>
    <cfRule type="expression" dxfId="9851" priority="1137">
      <formula>#REF!&lt;&gt;""</formula>
    </cfRule>
    <cfRule type="expression" dxfId="9850" priority="1138">
      <formula>#REF!&lt;&gt;""</formula>
    </cfRule>
    <cfRule type="expression" dxfId="9849" priority="1139">
      <formula>#REF!&lt;&gt;""</formula>
    </cfRule>
    <cfRule type="expression" dxfId="9848" priority="1140">
      <formula>#REF!&lt;&gt;""</formula>
    </cfRule>
    <cfRule type="expression" dxfId="9847" priority="1141">
      <formula>#REF!&lt;&gt;""</formula>
    </cfRule>
    <cfRule type="expression" dxfId="9846" priority="1142">
      <formula>#REF!&lt;&gt;""</formula>
    </cfRule>
    <cfRule type="expression" dxfId="9845" priority="1143">
      <formula>#REF!&lt;&gt;""</formula>
    </cfRule>
  </conditionalFormatting>
  <conditionalFormatting sqref="F247">
    <cfRule type="expression" dxfId="9844" priority="1119">
      <formula>#REF!&lt;&gt;""</formula>
    </cfRule>
    <cfRule type="expression" dxfId="9843" priority="1120">
      <formula>#REF!&lt;&gt;""</formula>
    </cfRule>
    <cfRule type="expression" dxfId="9842" priority="1121">
      <formula>#REF!&lt;&gt;""</formula>
    </cfRule>
    <cfRule type="expression" dxfId="9841" priority="1122">
      <formula>#REF!&lt;&gt;""</formula>
    </cfRule>
    <cfRule type="expression" dxfId="9840" priority="1123">
      <formula>#REF!&lt;&gt;""</formula>
    </cfRule>
    <cfRule type="expression" dxfId="9839" priority="1124">
      <formula>#REF!&lt;&gt;""</formula>
    </cfRule>
    <cfRule type="expression" dxfId="9838" priority="1125">
      <formula>#REF!&lt;&gt;""</formula>
    </cfRule>
    <cfRule type="expression" dxfId="9837" priority="1126">
      <formula>#REF!&lt;&gt;""</formula>
    </cfRule>
    <cfRule type="expression" dxfId="9836" priority="1127">
      <formula>#REF!&lt;&gt;""</formula>
    </cfRule>
    <cfRule type="expression" dxfId="9835" priority="1128">
      <formula>#REF!&lt;&gt;""</formula>
    </cfRule>
    <cfRule type="expression" dxfId="9834" priority="1129">
      <formula>#REF!&lt;&gt;""</formula>
    </cfRule>
    <cfRule type="expression" dxfId="9833" priority="1130">
      <formula>#REF!&lt;&gt;""</formula>
    </cfRule>
  </conditionalFormatting>
  <conditionalFormatting sqref="F248">
    <cfRule type="expression" dxfId="9832" priority="1106">
      <formula>#REF!&lt;&gt;""</formula>
    </cfRule>
    <cfRule type="expression" dxfId="9831" priority="1107">
      <formula>#REF!&lt;&gt;""</formula>
    </cfRule>
    <cfRule type="expression" dxfId="9830" priority="1108">
      <formula>#REF!&lt;&gt;""</formula>
    </cfRule>
    <cfRule type="expression" dxfId="9829" priority="1109">
      <formula>#REF!&lt;&gt;""</formula>
    </cfRule>
    <cfRule type="expression" dxfId="9828" priority="1110">
      <formula>#REF!&lt;&gt;""</formula>
    </cfRule>
    <cfRule type="expression" dxfId="9827" priority="1111">
      <formula>#REF!&lt;&gt;""</formula>
    </cfRule>
    <cfRule type="expression" dxfId="9826" priority="1112">
      <formula>#REF!&lt;&gt;""</formula>
    </cfRule>
    <cfRule type="expression" dxfId="9825" priority="1113">
      <formula>#REF!&lt;&gt;""</formula>
    </cfRule>
    <cfRule type="expression" dxfId="9824" priority="1114">
      <formula>#REF!&lt;&gt;""</formula>
    </cfRule>
    <cfRule type="expression" dxfId="9823" priority="1115">
      <formula>#REF!&lt;&gt;""</formula>
    </cfRule>
    <cfRule type="expression" dxfId="9822" priority="1116">
      <formula>#REF!&lt;&gt;""</formula>
    </cfRule>
    <cfRule type="expression" dxfId="9821" priority="1117">
      <formula>#REF!&lt;&gt;""</formula>
    </cfRule>
  </conditionalFormatting>
  <conditionalFormatting sqref="F249">
    <cfRule type="expression" dxfId="9820" priority="1093">
      <formula>#REF!&lt;&gt;""</formula>
    </cfRule>
    <cfRule type="expression" dxfId="9819" priority="1094">
      <formula>#REF!&lt;&gt;""</formula>
    </cfRule>
    <cfRule type="expression" dxfId="9818" priority="1095">
      <formula>#REF!&lt;&gt;""</formula>
    </cfRule>
    <cfRule type="expression" dxfId="9817" priority="1096">
      <formula>#REF!&lt;&gt;""</formula>
    </cfRule>
    <cfRule type="expression" dxfId="9816" priority="1097">
      <formula>#REF!&lt;&gt;""</formula>
    </cfRule>
    <cfRule type="expression" dxfId="9815" priority="1098">
      <formula>#REF!&lt;&gt;""</formula>
    </cfRule>
    <cfRule type="expression" dxfId="9814" priority="1099">
      <formula>#REF!&lt;&gt;""</formula>
    </cfRule>
    <cfRule type="expression" dxfId="9813" priority="1100">
      <formula>#REF!&lt;&gt;""</formula>
    </cfRule>
    <cfRule type="expression" dxfId="9812" priority="1101">
      <formula>#REF!&lt;&gt;""</formula>
    </cfRule>
    <cfRule type="expression" dxfId="9811" priority="1102">
      <formula>#REF!&lt;&gt;""</formula>
    </cfRule>
    <cfRule type="expression" dxfId="9810" priority="1103">
      <formula>#REF!&lt;&gt;""</formula>
    </cfRule>
    <cfRule type="expression" dxfId="9809" priority="1104">
      <formula>#REF!&lt;&gt;""</formula>
    </cfRule>
  </conditionalFormatting>
  <conditionalFormatting sqref="F250">
    <cfRule type="expression" dxfId="9808" priority="1080">
      <formula>#REF!&lt;&gt;""</formula>
    </cfRule>
    <cfRule type="expression" dxfId="9807" priority="1081">
      <formula>#REF!&lt;&gt;""</formula>
    </cfRule>
    <cfRule type="expression" dxfId="9806" priority="1082">
      <formula>#REF!&lt;&gt;""</formula>
    </cfRule>
    <cfRule type="expression" dxfId="9805" priority="1083">
      <formula>#REF!&lt;&gt;""</formula>
    </cfRule>
    <cfRule type="expression" dxfId="9804" priority="1084">
      <formula>#REF!&lt;&gt;""</formula>
    </cfRule>
    <cfRule type="expression" dxfId="9803" priority="1085">
      <formula>#REF!&lt;&gt;""</formula>
    </cfRule>
    <cfRule type="expression" dxfId="9802" priority="1086">
      <formula>#REF!&lt;&gt;""</formula>
    </cfRule>
    <cfRule type="expression" dxfId="9801" priority="1087">
      <formula>#REF!&lt;&gt;""</formula>
    </cfRule>
    <cfRule type="expression" dxfId="9800" priority="1088">
      <formula>#REF!&lt;&gt;""</formula>
    </cfRule>
    <cfRule type="expression" dxfId="9799" priority="1089">
      <formula>#REF!&lt;&gt;""</formula>
    </cfRule>
    <cfRule type="expression" dxfId="9798" priority="1090">
      <formula>#REF!&lt;&gt;""</formula>
    </cfRule>
    <cfRule type="expression" dxfId="9797" priority="1091">
      <formula>#REF!&lt;&gt;""</formula>
    </cfRule>
  </conditionalFormatting>
  <conditionalFormatting sqref="F251">
    <cfRule type="expression" dxfId="9796" priority="1067">
      <formula>#REF!&lt;&gt;""</formula>
    </cfRule>
    <cfRule type="expression" dxfId="9795" priority="1068">
      <formula>#REF!&lt;&gt;""</formula>
    </cfRule>
    <cfRule type="expression" dxfId="9794" priority="1069">
      <formula>#REF!&lt;&gt;""</formula>
    </cfRule>
    <cfRule type="expression" dxfId="9793" priority="1070">
      <formula>#REF!&lt;&gt;""</formula>
    </cfRule>
    <cfRule type="expression" dxfId="9792" priority="1071">
      <formula>#REF!&lt;&gt;""</formula>
    </cfRule>
    <cfRule type="expression" dxfId="9791" priority="1072">
      <formula>#REF!&lt;&gt;""</formula>
    </cfRule>
    <cfRule type="expression" dxfId="9790" priority="1073">
      <formula>#REF!&lt;&gt;""</formula>
    </cfRule>
    <cfRule type="expression" dxfId="9789" priority="1074">
      <formula>#REF!&lt;&gt;""</formula>
    </cfRule>
    <cfRule type="expression" dxfId="9788" priority="1075">
      <formula>#REF!&lt;&gt;""</formula>
    </cfRule>
    <cfRule type="expression" dxfId="9787" priority="1076">
      <formula>#REF!&lt;&gt;""</formula>
    </cfRule>
    <cfRule type="expression" dxfId="9786" priority="1077">
      <formula>#REF!&lt;&gt;""</formula>
    </cfRule>
    <cfRule type="expression" dxfId="9785" priority="1078">
      <formula>#REF!&lt;&gt;""</formula>
    </cfRule>
  </conditionalFormatting>
  <conditionalFormatting sqref="F252">
    <cfRule type="expression" dxfId="9784" priority="1054">
      <formula>#REF!&lt;&gt;""</formula>
    </cfRule>
    <cfRule type="expression" dxfId="9783" priority="1055">
      <formula>#REF!&lt;&gt;""</formula>
    </cfRule>
    <cfRule type="expression" dxfId="9782" priority="1056">
      <formula>#REF!&lt;&gt;""</formula>
    </cfRule>
    <cfRule type="expression" dxfId="9781" priority="1057">
      <formula>#REF!&lt;&gt;""</formula>
    </cfRule>
    <cfRule type="expression" dxfId="9780" priority="1058">
      <formula>#REF!&lt;&gt;""</formula>
    </cfRule>
    <cfRule type="expression" dxfId="9779" priority="1059">
      <formula>#REF!&lt;&gt;""</formula>
    </cfRule>
    <cfRule type="expression" dxfId="9778" priority="1060">
      <formula>#REF!&lt;&gt;""</formula>
    </cfRule>
    <cfRule type="expression" dxfId="9777" priority="1061">
      <formula>#REF!&lt;&gt;""</formula>
    </cfRule>
    <cfRule type="expression" dxfId="9776" priority="1062">
      <formula>#REF!&lt;&gt;""</formula>
    </cfRule>
    <cfRule type="expression" dxfId="9775" priority="1063">
      <formula>#REF!&lt;&gt;""</formula>
    </cfRule>
    <cfRule type="expression" dxfId="9774" priority="1064">
      <formula>#REF!&lt;&gt;""</formula>
    </cfRule>
    <cfRule type="expression" dxfId="9773" priority="1065">
      <formula>#REF!&lt;&gt;""</formula>
    </cfRule>
  </conditionalFormatting>
  <conditionalFormatting sqref="F253">
    <cfRule type="expression" dxfId="9772" priority="1041">
      <formula>#REF!&lt;&gt;""</formula>
    </cfRule>
    <cfRule type="expression" dxfId="9771" priority="1042">
      <formula>#REF!&lt;&gt;""</formula>
    </cfRule>
    <cfRule type="expression" dxfId="9770" priority="1043">
      <formula>#REF!&lt;&gt;""</formula>
    </cfRule>
    <cfRule type="expression" dxfId="9769" priority="1044">
      <formula>#REF!&lt;&gt;""</formula>
    </cfRule>
    <cfRule type="expression" dxfId="9768" priority="1045">
      <formula>#REF!&lt;&gt;""</formula>
    </cfRule>
    <cfRule type="expression" dxfId="9767" priority="1046">
      <formula>#REF!&lt;&gt;""</formula>
    </cfRule>
    <cfRule type="expression" dxfId="9766" priority="1047">
      <formula>#REF!&lt;&gt;""</formula>
    </cfRule>
    <cfRule type="expression" dxfId="9765" priority="1048">
      <formula>#REF!&lt;&gt;""</formula>
    </cfRule>
    <cfRule type="expression" dxfId="9764" priority="1049">
      <formula>#REF!&lt;&gt;""</formula>
    </cfRule>
    <cfRule type="expression" dxfId="9763" priority="1050">
      <formula>#REF!&lt;&gt;""</formula>
    </cfRule>
    <cfRule type="expression" dxfId="9762" priority="1051">
      <formula>#REF!&lt;&gt;""</formula>
    </cfRule>
    <cfRule type="expression" dxfId="9761" priority="1052">
      <formula>#REF!&lt;&gt;""</formula>
    </cfRule>
  </conditionalFormatting>
  <conditionalFormatting sqref="F254">
    <cfRule type="expression" dxfId="9760" priority="1028">
      <formula>#REF!&lt;&gt;""</formula>
    </cfRule>
    <cfRule type="expression" dxfId="9759" priority="1029">
      <formula>#REF!&lt;&gt;""</formula>
    </cfRule>
    <cfRule type="expression" dxfId="9758" priority="1030">
      <formula>#REF!&lt;&gt;""</formula>
    </cfRule>
    <cfRule type="expression" dxfId="9757" priority="1031">
      <formula>#REF!&lt;&gt;""</formula>
    </cfRule>
    <cfRule type="expression" dxfId="9756" priority="1032">
      <formula>#REF!&lt;&gt;""</formula>
    </cfRule>
    <cfRule type="expression" dxfId="9755" priority="1033">
      <formula>#REF!&lt;&gt;""</formula>
    </cfRule>
    <cfRule type="expression" dxfId="9754" priority="1034">
      <formula>#REF!&lt;&gt;""</formula>
    </cfRule>
    <cfRule type="expression" dxfId="9753" priority="1035">
      <formula>#REF!&lt;&gt;""</formula>
    </cfRule>
    <cfRule type="expression" dxfId="9752" priority="1036">
      <formula>#REF!&lt;&gt;""</formula>
    </cfRule>
    <cfRule type="expression" dxfId="9751" priority="1037">
      <formula>#REF!&lt;&gt;""</formula>
    </cfRule>
    <cfRule type="expression" dxfId="9750" priority="1038">
      <formula>#REF!&lt;&gt;""</formula>
    </cfRule>
    <cfRule type="expression" dxfId="9749" priority="1039">
      <formula>#REF!&lt;&gt;""</formula>
    </cfRule>
  </conditionalFormatting>
  <conditionalFormatting sqref="F255">
    <cfRule type="expression" dxfId="9748" priority="1015">
      <formula>#REF!&lt;&gt;""</formula>
    </cfRule>
    <cfRule type="expression" dxfId="9747" priority="1016">
      <formula>#REF!&lt;&gt;""</formula>
    </cfRule>
    <cfRule type="expression" dxfId="9746" priority="1017">
      <formula>#REF!&lt;&gt;""</formula>
    </cfRule>
    <cfRule type="expression" dxfId="9745" priority="1018">
      <formula>#REF!&lt;&gt;""</formula>
    </cfRule>
    <cfRule type="expression" dxfId="9744" priority="1019">
      <formula>#REF!&lt;&gt;""</formula>
    </cfRule>
    <cfRule type="expression" dxfId="9743" priority="1020">
      <formula>#REF!&lt;&gt;""</formula>
    </cfRule>
    <cfRule type="expression" dxfId="9742" priority="1021">
      <formula>#REF!&lt;&gt;""</formula>
    </cfRule>
    <cfRule type="expression" dxfId="9741" priority="1022">
      <formula>#REF!&lt;&gt;""</formula>
    </cfRule>
    <cfRule type="expression" dxfId="9740" priority="1023">
      <formula>#REF!&lt;&gt;""</formula>
    </cfRule>
    <cfRule type="expression" dxfId="9739" priority="1024">
      <formula>#REF!&lt;&gt;""</formula>
    </cfRule>
    <cfRule type="expression" dxfId="9738" priority="1025">
      <formula>#REF!&lt;&gt;""</formula>
    </cfRule>
    <cfRule type="expression" dxfId="9737" priority="1026">
      <formula>#REF!&lt;&gt;""</formula>
    </cfRule>
  </conditionalFormatting>
  <conditionalFormatting sqref="F256">
    <cfRule type="expression" dxfId="9736" priority="1002">
      <formula>#REF!&lt;&gt;""</formula>
    </cfRule>
    <cfRule type="expression" dxfId="9735" priority="1003">
      <formula>#REF!&lt;&gt;""</formula>
    </cfRule>
    <cfRule type="expression" dxfId="9734" priority="1004">
      <formula>#REF!&lt;&gt;""</formula>
    </cfRule>
    <cfRule type="expression" dxfId="9733" priority="1005">
      <formula>#REF!&lt;&gt;""</formula>
    </cfRule>
    <cfRule type="expression" dxfId="9732" priority="1006">
      <formula>#REF!&lt;&gt;""</formula>
    </cfRule>
    <cfRule type="expression" dxfId="9731" priority="1007">
      <formula>#REF!&lt;&gt;""</formula>
    </cfRule>
    <cfRule type="expression" dxfId="9730" priority="1008">
      <formula>#REF!&lt;&gt;""</formula>
    </cfRule>
    <cfRule type="expression" dxfId="9729" priority="1009">
      <formula>#REF!&lt;&gt;""</formula>
    </cfRule>
    <cfRule type="expression" dxfId="9728" priority="1010">
      <formula>#REF!&lt;&gt;""</formula>
    </cfRule>
    <cfRule type="expression" dxfId="9727" priority="1011">
      <formula>#REF!&lt;&gt;""</formula>
    </cfRule>
    <cfRule type="expression" dxfId="9726" priority="1012">
      <formula>#REF!&lt;&gt;""</formula>
    </cfRule>
    <cfRule type="expression" dxfId="9725" priority="1013">
      <formula>#REF!&lt;&gt;""</formula>
    </cfRule>
  </conditionalFormatting>
  <conditionalFormatting sqref="F257">
    <cfRule type="expression" dxfId="9724" priority="989">
      <formula>#REF!&lt;&gt;""</formula>
    </cfRule>
    <cfRule type="expression" dxfId="9723" priority="990">
      <formula>#REF!&lt;&gt;""</formula>
    </cfRule>
    <cfRule type="expression" dxfId="9722" priority="991">
      <formula>#REF!&lt;&gt;""</formula>
    </cfRule>
    <cfRule type="expression" dxfId="9721" priority="992">
      <formula>#REF!&lt;&gt;""</formula>
    </cfRule>
    <cfRule type="expression" dxfId="9720" priority="993">
      <formula>#REF!&lt;&gt;""</formula>
    </cfRule>
    <cfRule type="expression" dxfId="9719" priority="994">
      <formula>#REF!&lt;&gt;""</formula>
    </cfRule>
    <cfRule type="expression" dxfId="9718" priority="995">
      <formula>#REF!&lt;&gt;""</formula>
    </cfRule>
    <cfRule type="expression" dxfId="9717" priority="996">
      <formula>#REF!&lt;&gt;""</formula>
    </cfRule>
    <cfRule type="expression" dxfId="9716" priority="997">
      <formula>#REF!&lt;&gt;""</formula>
    </cfRule>
    <cfRule type="expression" dxfId="9715" priority="998">
      <formula>#REF!&lt;&gt;""</formula>
    </cfRule>
    <cfRule type="expression" dxfId="9714" priority="999">
      <formula>#REF!&lt;&gt;""</formula>
    </cfRule>
    <cfRule type="expression" dxfId="9713" priority="1000">
      <formula>#REF!&lt;&gt;""</formula>
    </cfRule>
  </conditionalFormatting>
  <conditionalFormatting sqref="F258">
    <cfRule type="expression" dxfId="9712" priority="976">
      <formula>#REF!&lt;&gt;""</formula>
    </cfRule>
    <cfRule type="expression" dxfId="9711" priority="977">
      <formula>#REF!&lt;&gt;""</formula>
    </cfRule>
    <cfRule type="expression" dxfId="9710" priority="978">
      <formula>#REF!&lt;&gt;""</formula>
    </cfRule>
    <cfRule type="expression" dxfId="9709" priority="979">
      <formula>#REF!&lt;&gt;""</formula>
    </cfRule>
    <cfRule type="expression" dxfId="9708" priority="980">
      <formula>#REF!&lt;&gt;""</formula>
    </cfRule>
    <cfRule type="expression" dxfId="9707" priority="981">
      <formula>#REF!&lt;&gt;""</formula>
    </cfRule>
    <cfRule type="expression" dxfId="9706" priority="982">
      <formula>#REF!&lt;&gt;""</formula>
    </cfRule>
    <cfRule type="expression" dxfId="9705" priority="983">
      <formula>#REF!&lt;&gt;""</formula>
    </cfRule>
    <cfRule type="expression" dxfId="9704" priority="984">
      <formula>#REF!&lt;&gt;""</formula>
    </cfRule>
    <cfRule type="expression" dxfId="9703" priority="985">
      <formula>#REF!&lt;&gt;""</formula>
    </cfRule>
    <cfRule type="expression" dxfId="9702" priority="986">
      <formula>#REF!&lt;&gt;""</formula>
    </cfRule>
    <cfRule type="expression" dxfId="9701" priority="987">
      <formula>#REF!&lt;&gt;""</formula>
    </cfRule>
  </conditionalFormatting>
  <conditionalFormatting sqref="F259">
    <cfRule type="expression" dxfId="9700" priority="963">
      <formula>#REF!&lt;&gt;""</formula>
    </cfRule>
    <cfRule type="expression" dxfId="9699" priority="964">
      <formula>#REF!&lt;&gt;""</formula>
    </cfRule>
    <cfRule type="expression" dxfId="9698" priority="965">
      <formula>#REF!&lt;&gt;""</formula>
    </cfRule>
    <cfRule type="expression" dxfId="9697" priority="966">
      <formula>#REF!&lt;&gt;""</formula>
    </cfRule>
    <cfRule type="expression" dxfId="9696" priority="967">
      <formula>#REF!&lt;&gt;""</formula>
    </cfRule>
    <cfRule type="expression" dxfId="9695" priority="968">
      <formula>#REF!&lt;&gt;""</formula>
    </cfRule>
    <cfRule type="expression" dxfId="9694" priority="969">
      <formula>#REF!&lt;&gt;""</formula>
    </cfRule>
    <cfRule type="expression" dxfId="9693" priority="970">
      <formula>#REF!&lt;&gt;""</formula>
    </cfRule>
    <cfRule type="expression" dxfId="9692" priority="971">
      <formula>#REF!&lt;&gt;""</formula>
    </cfRule>
    <cfRule type="expression" dxfId="9691" priority="972">
      <formula>#REF!&lt;&gt;""</formula>
    </cfRule>
    <cfRule type="expression" dxfId="9690" priority="973">
      <formula>#REF!&lt;&gt;""</formula>
    </cfRule>
    <cfRule type="expression" dxfId="9689" priority="974">
      <formula>#REF!&lt;&gt;""</formula>
    </cfRule>
  </conditionalFormatting>
  <conditionalFormatting sqref="F260">
    <cfRule type="expression" dxfId="9688" priority="950">
      <formula>#REF!&lt;&gt;""</formula>
    </cfRule>
    <cfRule type="expression" dxfId="9687" priority="951">
      <formula>#REF!&lt;&gt;""</formula>
    </cfRule>
    <cfRule type="expression" dxfId="9686" priority="952">
      <formula>#REF!&lt;&gt;""</formula>
    </cfRule>
    <cfRule type="expression" dxfId="9685" priority="953">
      <formula>#REF!&lt;&gt;""</formula>
    </cfRule>
    <cfRule type="expression" dxfId="9684" priority="954">
      <formula>#REF!&lt;&gt;""</formula>
    </cfRule>
    <cfRule type="expression" dxfId="9683" priority="955">
      <formula>#REF!&lt;&gt;""</formula>
    </cfRule>
    <cfRule type="expression" dxfId="9682" priority="956">
      <formula>#REF!&lt;&gt;""</formula>
    </cfRule>
    <cfRule type="expression" dxfId="9681" priority="957">
      <formula>#REF!&lt;&gt;""</formula>
    </cfRule>
    <cfRule type="expression" dxfId="9680" priority="958">
      <formula>#REF!&lt;&gt;""</formula>
    </cfRule>
    <cfRule type="expression" dxfId="9679" priority="959">
      <formula>#REF!&lt;&gt;""</formula>
    </cfRule>
    <cfRule type="expression" dxfId="9678" priority="960">
      <formula>#REF!&lt;&gt;""</formula>
    </cfRule>
    <cfRule type="expression" dxfId="9677" priority="961">
      <formula>#REF!&lt;&gt;""</formula>
    </cfRule>
  </conditionalFormatting>
  <conditionalFormatting sqref="F261">
    <cfRule type="expression" dxfId="9676" priority="937">
      <formula>#REF!&lt;&gt;""</formula>
    </cfRule>
    <cfRule type="expression" dxfId="9675" priority="938">
      <formula>#REF!&lt;&gt;""</formula>
    </cfRule>
    <cfRule type="expression" dxfId="9674" priority="939">
      <formula>#REF!&lt;&gt;""</formula>
    </cfRule>
    <cfRule type="expression" dxfId="9673" priority="940">
      <formula>#REF!&lt;&gt;""</formula>
    </cfRule>
    <cfRule type="expression" dxfId="9672" priority="941">
      <formula>#REF!&lt;&gt;""</formula>
    </cfRule>
    <cfRule type="expression" dxfId="9671" priority="942">
      <formula>#REF!&lt;&gt;""</formula>
    </cfRule>
    <cfRule type="expression" dxfId="9670" priority="943">
      <formula>#REF!&lt;&gt;""</formula>
    </cfRule>
    <cfRule type="expression" dxfId="9669" priority="944">
      <formula>#REF!&lt;&gt;""</formula>
    </cfRule>
    <cfRule type="expression" dxfId="9668" priority="945">
      <formula>#REF!&lt;&gt;""</formula>
    </cfRule>
    <cfRule type="expression" dxfId="9667" priority="946">
      <formula>#REF!&lt;&gt;""</formula>
    </cfRule>
    <cfRule type="expression" dxfId="9666" priority="947">
      <formula>#REF!&lt;&gt;""</formula>
    </cfRule>
    <cfRule type="expression" dxfId="9665" priority="948">
      <formula>#REF!&lt;&gt;""</formula>
    </cfRule>
  </conditionalFormatting>
  <conditionalFormatting sqref="F262">
    <cfRule type="expression" dxfId="9664" priority="924">
      <formula>#REF!&lt;&gt;""</formula>
    </cfRule>
    <cfRule type="expression" dxfId="9663" priority="925">
      <formula>#REF!&lt;&gt;""</formula>
    </cfRule>
    <cfRule type="expression" dxfId="9662" priority="926">
      <formula>#REF!&lt;&gt;""</formula>
    </cfRule>
    <cfRule type="expression" dxfId="9661" priority="927">
      <formula>#REF!&lt;&gt;""</formula>
    </cfRule>
    <cfRule type="expression" dxfId="9660" priority="928">
      <formula>#REF!&lt;&gt;""</formula>
    </cfRule>
    <cfRule type="expression" dxfId="9659" priority="929">
      <formula>#REF!&lt;&gt;""</formula>
    </cfRule>
    <cfRule type="expression" dxfId="9658" priority="930">
      <formula>#REF!&lt;&gt;""</formula>
    </cfRule>
    <cfRule type="expression" dxfId="9657" priority="931">
      <formula>#REF!&lt;&gt;""</formula>
    </cfRule>
    <cfRule type="expression" dxfId="9656" priority="932">
      <formula>#REF!&lt;&gt;""</formula>
    </cfRule>
    <cfRule type="expression" dxfId="9655" priority="933">
      <formula>#REF!&lt;&gt;""</formula>
    </cfRule>
    <cfRule type="expression" dxfId="9654" priority="934">
      <formula>#REF!&lt;&gt;""</formula>
    </cfRule>
    <cfRule type="expression" dxfId="9653" priority="935">
      <formula>#REF!&lt;&gt;""</formula>
    </cfRule>
  </conditionalFormatting>
  <conditionalFormatting sqref="F263">
    <cfRule type="expression" dxfId="9652" priority="911">
      <formula>#REF!&lt;&gt;""</formula>
    </cfRule>
    <cfRule type="expression" dxfId="9651" priority="912">
      <formula>#REF!&lt;&gt;""</formula>
    </cfRule>
    <cfRule type="expression" dxfId="9650" priority="913">
      <formula>#REF!&lt;&gt;""</formula>
    </cfRule>
    <cfRule type="expression" dxfId="9649" priority="914">
      <formula>#REF!&lt;&gt;""</formula>
    </cfRule>
    <cfRule type="expression" dxfId="9648" priority="915">
      <formula>#REF!&lt;&gt;""</formula>
    </cfRule>
    <cfRule type="expression" dxfId="9647" priority="916">
      <formula>#REF!&lt;&gt;""</formula>
    </cfRule>
    <cfRule type="expression" dxfId="9646" priority="917">
      <formula>#REF!&lt;&gt;""</formula>
    </cfRule>
    <cfRule type="expression" dxfId="9645" priority="918">
      <formula>#REF!&lt;&gt;""</formula>
    </cfRule>
    <cfRule type="expression" dxfId="9644" priority="919">
      <formula>#REF!&lt;&gt;""</formula>
    </cfRule>
    <cfRule type="expression" dxfId="9643" priority="920">
      <formula>#REF!&lt;&gt;""</formula>
    </cfRule>
    <cfRule type="expression" dxfId="9642" priority="921">
      <formula>#REF!&lt;&gt;""</formula>
    </cfRule>
    <cfRule type="expression" dxfId="9641" priority="922">
      <formula>#REF!&lt;&gt;""</formula>
    </cfRule>
  </conditionalFormatting>
  <conditionalFormatting sqref="F264">
    <cfRule type="expression" dxfId="9640" priority="898">
      <formula>#REF!&lt;&gt;""</formula>
    </cfRule>
    <cfRule type="expression" dxfId="9639" priority="899">
      <formula>#REF!&lt;&gt;""</formula>
    </cfRule>
    <cfRule type="expression" dxfId="9638" priority="900">
      <formula>#REF!&lt;&gt;""</formula>
    </cfRule>
    <cfRule type="expression" dxfId="9637" priority="901">
      <formula>#REF!&lt;&gt;""</formula>
    </cfRule>
    <cfRule type="expression" dxfId="9636" priority="902">
      <formula>#REF!&lt;&gt;""</formula>
    </cfRule>
    <cfRule type="expression" dxfId="9635" priority="903">
      <formula>#REF!&lt;&gt;""</formula>
    </cfRule>
    <cfRule type="expression" dxfId="9634" priority="904">
      <formula>#REF!&lt;&gt;""</formula>
    </cfRule>
    <cfRule type="expression" dxfId="9633" priority="905">
      <formula>#REF!&lt;&gt;""</formula>
    </cfRule>
    <cfRule type="expression" dxfId="9632" priority="906">
      <formula>#REF!&lt;&gt;""</formula>
    </cfRule>
    <cfRule type="expression" dxfId="9631" priority="907">
      <formula>#REF!&lt;&gt;""</formula>
    </cfRule>
    <cfRule type="expression" dxfId="9630" priority="908">
      <formula>#REF!&lt;&gt;""</formula>
    </cfRule>
    <cfRule type="expression" dxfId="9629" priority="909">
      <formula>#REF!&lt;&gt;""</formula>
    </cfRule>
  </conditionalFormatting>
  <conditionalFormatting sqref="F265">
    <cfRule type="expression" dxfId="9628" priority="885">
      <formula>#REF!&lt;&gt;""</formula>
    </cfRule>
    <cfRule type="expression" dxfId="9627" priority="886">
      <formula>#REF!&lt;&gt;""</formula>
    </cfRule>
    <cfRule type="expression" dxfId="9626" priority="887">
      <formula>#REF!&lt;&gt;""</formula>
    </cfRule>
    <cfRule type="expression" dxfId="9625" priority="888">
      <formula>#REF!&lt;&gt;""</formula>
    </cfRule>
    <cfRule type="expression" dxfId="9624" priority="889">
      <formula>#REF!&lt;&gt;""</formula>
    </cfRule>
    <cfRule type="expression" dxfId="9623" priority="890">
      <formula>#REF!&lt;&gt;""</formula>
    </cfRule>
    <cfRule type="expression" dxfId="9622" priority="891">
      <formula>#REF!&lt;&gt;""</formula>
    </cfRule>
    <cfRule type="expression" dxfId="9621" priority="892">
      <formula>#REF!&lt;&gt;""</formula>
    </cfRule>
    <cfRule type="expression" dxfId="9620" priority="893">
      <formula>#REF!&lt;&gt;""</formula>
    </cfRule>
    <cfRule type="expression" dxfId="9619" priority="894">
      <formula>#REF!&lt;&gt;""</formula>
    </cfRule>
    <cfRule type="expression" dxfId="9618" priority="895">
      <formula>#REF!&lt;&gt;""</formula>
    </cfRule>
    <cfRule type="expression" dxfId="9617" priority="896">
      <formula>#REF!&lt;&gt;""</formula>
    </cfRule>
  </conditionalFormatting>
  <conditionalFormatting sqref="F266">
    <cfRule type="expression" dxfId="9616" priority="872">
      <formula>#REF!&lt;&gt;""</formula>
    </cfRule>
    <cfRule type="expression" dxfId="9615" priority="873">
      <formula>#REF!&lt;&gt;""</formula>
    </cfRule>
    <cfRule type="expression" dxfId="9614" priority="874">
      <formula>#REF!&lt;&gt;""</formula>
    </cfRule>
    <cfRule type="expression" dxfId="9613" priority="875">
      <formula>#REF!&lt;&gt;""</formula>
    </cfRule>
    <cfRule type="expression" dxfId="9612" priority="876">
      <formula>#REF!&lt;&gt;""</formula>
    </cfRule>
    <cfRule type="expression" dxfId="9611" priority="877">
      <formula>#REF!&lt;&gt;""</formula>
    </cfRule>
    <cfRule type="expression" dxfId="9610" priority="878">
      <formula>#REF!&lt;&gt;""</formula>
    </cfRule>
    <cfRule type="expression" dxfId="9609" priority="879">
      <formula>#REF!&lt;&gt;""</formula>
    </cfRule>
    <cfRule type="expression" dxfId="9608" priority="880">
      <formula>#REF!&lt;&gt;""</formula>
    </cfRule>
    <cfRule type="expression" dxfId="9607" priority="881">
      <formula>#REF!&lt;&gt;""</formula>
    </cfRule>
    <cfRule type="expression" dxfId="9606" priority="882">
      <formula>#REF!&lt;&gt;""</formula>
    </cfRule>
    <cfRule type="expression" dxfId="9605" priority="883">
      <formula>#REF!&lt;&gt;""</formula>
    </cfRule>
  </conditionalFormatting>
  <conditionalFormatting sqref="F267">
    <cfRule type="expression" dxfId="9604" priority="859">
      <formula>#REF!&lt;&gt;""</formula>
    </cfRule>
    <cfRule type="expression" dxfId="9603" priority="860">
      <formula>#REF!&lt;&gt;""</formula>
    </cfRule>
    <cfRule type="expression" dxfId="9602" priority="861">
      <formula>#REF!&lt;&gt;""</formula>
    </cfRule>
    <cfRule type="expression" dxfId="9601" priority="862">
      <formula>#REF!&lt;&gt;""</formula>
    </cfRule>
    <cfRule type="expression" dxfId="9600" priority="863">
      <formula>#REF!&lt;&gt;""</formula>
    </cfRule>
    <cfRule type="expression" dxfId="9599" priority="864">
      <formula>#REF!&lt;&gt;""</formula>
    </cfRule>
    <cfRule type="expression" dxfId="9598" priority="865">
      <formula>#REF!&lt;&gt;""</formula>
    </cfRule>
    <cfRule type="expression" dxfId="9597" priority="866">
      <formula>#REF!&lt;&gt;""</formula>
    </cfRule>
    <cfRule type="expression" dxfId="9596" priority="867">
      <formula>#REF!&lt;&gt;""</formula>
    </cfRule>
    <cfRule type="expression" dxfId="9595" priority="868">
      <formula>#REF!&lt;&gt;""</formula>
    </cfRule>
    <cfRule type="expression" dxfId="9594" priority="869">
      <formula>#REF!&lt;&gt;""</formula>
    </cfRule>
    <cfRule type="expression" dxfId="9593" priority="870">
      <formula>#REF!&lt;&gt;""</formula>
    </cfRule>
  </conditionalFormatting>
  <conditionalFormatting sqref="F268">
    <cfRule type="expression" dxfId="9592" priority="846">
      <formula>#REF!&lt;&gt;""</formula>
    </cfRule>
    <cfRule type="expression" dxfId="9591" priority="847">
      <formula>#REF!&lt;&gt;""</formula>
    </cfRule>
    <cfRule type="expression" dxfId="9590" priority="848">
      <formula>#REF!&lt;&gt;""</formula>
    </cfRule>
    <cfRule type="expression" dxfId="9589" priority="849">
      <formula>#REF!&lt;&gt;""</formula>
    </cfRule>
    <cfRule type="expression" dxfId="9588" priority="850">
      <formula>#REF!&lt;&gt;""</formula>
    </cfRule>
    <cfRule type="expression" dxfId="9587" priority="851">
      <formula>#REF!&lt;&gt;""</formula>
    </cfRule>
    <cfRule type="expression" dxfId="9586" priority="852">
      <formula>#REF!&lt;&gt;""</formula>
    </cfRule>
    <cfRule type="expression" dxfId="9585" priority="853">
      <formula>#REF!&lt;&gt;""</formula>
    </cfRule>
    <cfRule type="expression" dxfId="9584" priority="854">
      <formula>#REF!&lt;&gt;""</formula>
    </cfRule>
    <cfRule type="expression" dxfId="9583" priority="855">
      <formula>#REF!&lt;&gt;""</formula>
    </cfRule>
    <cfRule type="expression" dxfId="9582" priority="856">
      <formula>#REF!&lt;&gt;""</formula>
    </cfRule>
    <cfRule type="expression" dxfId="9581" priority="857">
      <formula>#REF!&lt;&gt;""</formula>
    </cfRule>
  </conditionalFormatting>
  <conditionalFormatting sqref="F269">
    <cfRule type="expression" dxfId="9580" priority="833">
      <formula>#REF!&lt;&gt;""</formula>
    </cfRule>
    <cfRule type="expression" dxfId="9579" priority="834">
      <formula>#REF!&lt;&gt;""</formula>
    </cfRule>
    <cfRule type="expression" dxfId="9578" priority="835">
      <formula>#REF!&lt;&gt;""</formula>
    </cfRule>
    <cfRule type="expression" dxfId="9577" priority="836">
      <formula>#REF!&lt;&gt;""</formula>
    </cfRule>
    <cfRule type="expression" dxfId="9576" priority="837">
      <formula>#REF!&lt;&gt;""</formula>
    </cfRule>
    <cfRule type="expression" dxfId="9575" priority="838">
      <formula>#REF!&lt;&gt;""</formula>
    </cfRule>
    <cfRule type="expression" dxfId="9574" priority="839">
      <formula>#REF!&lt;&gt;""</formula>
    </cfRule>
    <cfRule type="expression" dxfId="9573" priority="840">
      <formula>#REF!&lt;&gt;""</formula>
    </cfRule>
    <cfRule type="expression" dxfId="9572" priority="841">
      <formula>#REF!&lt;&gt;""</formula>
    </cfRule>
    <cfRule type="expression" dxfId="9571" priority="842">
      <formula>#REF!&lt;&gt;""</formula>
    </cfRule>
    <cfRule type="expression" dxfId="9570" priority="843">
      <formula>#REF!&lt;&gt;""</formula>
    </cfRule>
    <cfRule type="expression" dxfId="9569" priority="844">
      <formula>#REF!&lt;&gt;""</formula>
    </cfRule>
  </conditionalFormatting>
  <conditionalFormatting sqref="F270">
    <cfRule type="expression" dxfId="9568" priority="820">
      <formula>#REF!&lt;&gt;""</formula>
    </cfRule>
    <cfRule type="expression" dxfId="9567" priority="821">
      <formula>#REF!&lt;&gt;""</formula>
    </cfRule>
    <cfRule type="expression" dxfId="9566" priority="822">
      <formula>#REF!&lt;&gt;""</formula>
    </cfRule>
    <cfRule type="expression" dxfId="9565" priority="823">
      <formula>#REF!&lt;&gt;""</formula>
    </cfRule>
    <cfRule type="expression" dxfId="9564" priority="824">
      <formula>#REF!&lt;&gt;""</formula>
    </cfRule>
    <cfRule type="expression" dxfId="9563" priority="825">
      <formula>#REF!&lt;&gt;""</formula>
    </cfRule>
    <cfRule type="expression" dxfId="9562" priority="826">
      <formula>#REF!&lt;&gt;""</formula>
    </cfRule>
    <cfRule type="expression" dxfId="9561" priority="827">
      <formula>#REF!&lt;&gt;""</formula>
    </cfRule>
    <cfRule type="expression" dxfId="9560" priority="828">
      <formula>#REF!&lt;&gt;""</formula>
    </cfRule>
    <cfRule type="expression" dxfId="9559" priority="829">
      <formula>#REF!&lt;&gt;""</formula>
    </cfRule>
    <cfRule type="expression" dxfId="9558" priority="830">
      <formula>#REF!&lt;&gt;""</formula>
    </cfRule>
    <cfRule type="expression" dxfId="9557" priority="831">
      <formula>#REF!&lt;&gt;""</formula>
    </cfRule>
  </conditionalFormatting>
  <conditionalFormatting sqref="F271">
    <cfRule type="expression" dxfId="9556" priority="807">
      <formula>#REF!&lt;&gt;""</formula>
    </cfRule>
    <cfRule type="expression" dxfId="9555" priority="808">
      <formula>#REF!&lt;&gt;""</formula>
    </cfRule>
    <cfRule type="expression" dxfId="9554" priority="809">
      <formula>#REF!&lt;&gt;""</formula>
    </cfRule>
    <cfRule type="expression" dxfId="9553" priority="810">
      <formula>#REF!&lt;&gt;""</formula>
    </cfRule>
    <cfRule type="expression" dxfId="9552" priority="811">
      <formula>#REF!&lt;&gt;""</formula>
    </cfRule>
    <cfRule type="expression" dxfId="9551" priority="812">
      <formula>#REF!&lt;&gt;""</formula>
    </cfRule>
    <cfRule type="expression" dxfId="9550" priority="813">
      <formula>#REF!&lt;&gt;""</formula>
    </cfRule>
    <cfRule type="expression" dxfId="9549" priority="814">
      <formula>#REF!&lt;&gt;""</formula>
    </cfRule>
    <cfRule type="expression" dxfId="9548" priority="815">
      <formula>#REF!&lt;&gt;""</formula>
    </cfRule>
    <cfRule type="expression" dxfId="9547" priority="816">
      <formula>#REF!&lt;&gt;""</formula>
    </cfRule>
    <cfRule type="expression" dxfId="9546" priority="817">
      <formula>#REF!&lt;&gt;""</formula>
    </cfRule>
    <cfRule type="expression" dxfId="9545" priority="818">
      <formula>#REF!&lt;&gt;""</formula>
    </cfRule>
  </conditionalFormatting>
  <conditionalFormatting sqref="F272">
    <cfRule type="expression" dxfId="9544" priority="794">
      <formula>#REF!&lt;&gt;""</formula>
    </cfRule>
    <cfRule type="expression" dxfId="9543" priority="795">
      <formula>#REF!&lt;&gt;""</formula>
    </cfRule>
    <cfRule type="expression" dxfId="9542" priority="796">
      <formula>#REF!&lt;&gt;""</formula>
    </cfRule>
    <cfRule type="expression" dxfId="9541" priority="797">
      <formula>#REF!&lt;&gt;""</formula>
    </cfRule>
    <cfRule type="expression" dxfId="9540" priority="798">
      <formula>#REF!&lt;&gt;""</formula>
    </cfRule>
    <cfRule type="expression" dxfId="9539" priority="799">
      <formula>#REF!&lt;&gt;""</formula>
    </cfRule>
    <cfRule type="expression" dxfId="9538" priority="800">
      <formula>#REF!&lt;&gt;""</formula>
    </cfRule>
    <cfRule type="expression" dxfId="9537" priority="801">
      <formula>#REF!&lt;&gt;""</formula>
    </cfRule>
    <cfRule type="expression" dxfId="9536" priority="802">
      <formula>#REF!&lt;&gt;""</formula>
    </cfRule>
    <cfRule type="expression" dxfId="9535" priority="803">
      <formula>#REF!&lt;&gt;""</formula>
    </cfRule>
    <cfRule type="expression" dxfId="9534" priority="804">
      <formula>#REF!&lt;&gt;""</formula>
    </cfRule>
    <cfRule type="expression" dxfId="9533" priority="805">
      <formula>#REF!&lt;&gt;""</formula>
    </cfRule>
  </conditionalFormatting>
  <conditionalFormatting sqref="F273">
    <cfRule type="expression" dxfId="9532" priority="781">
      <formula>#REF!&lt;&gt;""</formula>
    </cfRule>
    <cfRule type="expression" dxfId="9531" priority="782">
      <formula>#REF!&lt;&gt;""</formula>
    </cfRule>
    <cfRule type="expression" dxfId="9530" priority="783">
      <formula>#REF!&lt;&gt;""</formula>
    </cfRule>
    <cfRule type="expression" dxfId="9529" priority="784">
      <formula>#REF!&lt;&gt;""</formula>
    </cfRule>
    <cfRule type="expression" dxfId="9528" priority="785">
      <formula>#REF!&lt;&gt;""</formula>
    </cfRule>
    <cfRule type="expression" dxfId="9527" priority="786">
      <formula>#REF!&lt;&gt;""</formula>
    </cfRule>
    <cfRule type="expression" dxfId="9526" priority="787">
      <formula>#REF!&lt;&gt;""</formula>
    </cfRule>
    <cfRule type="expression" dxfId="9525" priority="788">
      <formula>#REF!&lt;&gt;""</formula>
    </cfRule>
    <cfRule type="expression" dxfId="9524" priority="789">
      <formula>#REF!&lt;&gt;""</formula>
    </cfRule>
    <cfRule type="expression" dxfId="9523" priority="790">
      <formula>#REF!&lt;&gt;""</formula>
    </cfRule>
    <cfRule type="expression" dxfId="9522" priority="791">
      <formula>#REF!&lt;&gt;""</formula>
    </cfRule>
    <cfRule type="expression" dxfId="9521" priority="792">
      <formula>#REF!&lt;&gt;""</formula>
    </cfRule>
  </conditionalFormatting>
  <conditionalFormatting sqref="F274">
    <cfRule type="expression" dxfId="9520" priority="768">
      <formula>#REF!&lt;&gt;""</formula>
    </cfRule>
    <cfRule type="expression" dxfId="9519" priority="769">
      <formula>#REF!&lt;&gt;""</formula>
    </cfRule>
    <cfRule type="expression" dxfId="9518" priority="770">
      <formula>#REF!&lt;&gt;""</formula>
    </cfRule>
    <cfRule type="expression" dxfId="9517" priority="771">
      <formula>#REF!&lt;&gt;""</formula>
    </cfRule>
    <cfRule type="expression" dxfId="9516" priority="772">
      <formula>#REF!&lt;&gt;""</formula>
    </cfRule>
    <cfRule type="expression" dxfId="9515" priority="773">
      <formula>#REF!&lt;&gt;""</formula>
    </cfRule>
    <cfRule type="expression" dxfId="9514" priority="774">
      <formula>#REF!&lt;&gt;""</formula>
    </cfRule>
    <cfRule type="expression" dxfId="9513" priority="775">
      <formula>#REF!&lt;&gt;""</formula>
    </cfRule>
    <cfRule type="expression" dxfId="9512" priority="776">
      <formula>#REF!&lt;&gt;""</formula>
    </cfRule>
    <cfRule type="expression" dxfId="9511" priority="777">
      <formula>#REF!&lt;&gt;""</formula>
    </cfRule>
    <cfRule type="expression" dxfId="9510" priority="778">
      <formula>#REF!&lt;&gt;""</formula>
    </cfRule>
    <cfRule type="expression" dxfId="9509" priority="779">
      <formula>#REF!&lt;&gt;""</formula>
    </cfRule>
  </conditionalFormatting>
  <conditionalFormatting sqref="F275">
    <cfRule type="expression" dxfId="9508" priority="755">
      <formula>#REF!&lt;&gt;""</formula>
    </cfRule>
    <cfRule type="expression" dxfId="9507" priority="756">
      <formula>#REF!&lt;&gt;""</formula>
    </cfRule>
    <cfRule type="expression" dxfId="9506" priority="757">
      <formula>#REF!&lt;&gt;""</formula>
    </cfRule>
    <cfRule type="expression" dxfId="9505" priority="758">
      <formula>#REF!&lt;&gt;""</formula>
    </cfRule>
    <cfRule type="expression" dxfId="9504" priority="759">
      <formula>#REF!&lt;&gt;""</formula>
    </cfRule>
    <cfRule type="expression" dxfId="9503" priority="760">
      <formula>#REF!&lt;&gt;""</formula>
    </cfRule>
    <cfRule type="expression" dxfId="9502" priority="761">
      <formula>#REF!&lt;&gt;""</formula>
    </cfRule>
    <cfRule type="expression" dxfId="9501" priority="762">
      <formula>#REF!&lt;&gt;""</formula>
    </cfRule>
    <cfRule type="expression" dxfId="9500" priority="763">
      <formula>#REF!&lt;&gt;""</formula>
    </cfRule>
    <cfRule type="expression" dxfId="9499" priority="764">
      <formula>#REF!&lt;&gt;""</formula>
    </cfRule>
    <cfRule type="expression" dxfId="9498" priority="765">
      <formula>#REF!&lt;&gt;""</formula>
    </cfRule>
    <cfRule type="expression" dxfId="9497" priority="766">
      <formula>#REF!&lt;&gt;""</formula>
    </cfRule>
  </conditionalFormatting>
  <conditionalFormatting sqref="F276">
    <cfRule type="expression" dxfId="9496" priority="742">
      <formula>#REF!&lt;&gt;""</formula>
    </cfRule>
    <cfRule type="expression" dxfId="9495" priority="743">
      <formula>#REF!&lt;&gt;""</formula>
    </cfRule>
    <cfRule type="expression" dxfId="9494" priority="744">
      <formula>#REF!&lt;&gt;""</formula>
    </cfRule>
    <cfRule type="expression" dxfId="9493" priority="745">
      <formula>#REF!&lt;&gt;""</formula>
    </cfRule>
    <cfRule type="expression" dxfId="9492" priority="746">
      <formula>#REF!&lt;&gt;""</formula>
    </cfRule>
    <cfRule type="expression" dxfId="9491" priority="747">
      <formula>#REF!&lt;&gt;""</formula>
    </cfRule>
    <cfRule type="expression" dxfId="9490" priority="748">
      <formula>#REF!&lt;&gt;""</formula>
    </cfRule>
    <cfRule type="expression" dxfId="9489" priority="749">
      <formula>#REF!&lt;&gt;""</formula>
    </cfRule>
    <cfRule type="expression" dxfId="9488" priority="750">
      <formula>#REF!&lt;&gt;""</formula>
    </cfRule>
    <cfRule type="expression" dxfId="9487" priority="751">
      <formula>#REF!&lt;&gt;""</formula>
    </cfRule>
    <cfRule type="expression" dxfId="9486" priority="752">
      <formula>#REF!&lt;&gt;""</formula>
    </cfRule>
    <cfRule type="expression" dxfId="9485" priority="753">
      <formula>#REF!&lt;&gt;""</formula>
    </cfRule>
  </conditionalFormatting>
  <conditionalFormatting sqref="F277">
    <cfRule type="expression" dxfId="9484" priority="729">
      <formula>#REF!&lt;&gt;""</formula>
    </cfRule>
    <cfRule type="expression" dxfId="9483" priority="730">
      <formula>#REF!&lt;&gt;""</formula>
    </cfRule>
    <cfRule type="expression" dxfId="9482" priority="731">
      <formula>#REF!&lt;&gt;""</formula>
    </cfRule>
    <cfRule type="expression" dxfId="9481" priority="732">
      <formula>#REF!&lt;&gt;""</formula>
    </cfRule>
    <cfRule type="expression" dxfId="9480" priority="733">
      <formula>#REF!&lt;&gt;""</formula>
    </cfRule>
    <cfRule type="expression" dxfId="9479" priority="734">
      <formula>#REF!&lt;&gt;""</formula>
    </cfRule>
    <cfRule type="expression" dxfId="9478" priority="735">
      <formula>#REF!&lt;&gt;""</formula>
    </cfRule>
    <cfRule type="expression" dxfId="9477" priority="736">
      <formula>#REF!&lt;&gt;""</formula>
    </cfRule>
    <cfRule type="expression" dxfId="9476" priority="737">
      <formula>#REF!&lt;&gt;""</formula>
    </cfRule>
    <cfRule type="expression" dxfId="9475" priority="738">
      <formula>#REF!&lt;&gt;""</formula>
    </cfRule>
    <cfRule type="expression" dxfId="9474" priority="739">
      <formula>#REF!&lt;&gt;""</formula>
    </cfRule>
    <cfRule type="expression" dxfId="9473" priority="740">
      <formula>#REF!&lt;&gt;""</formula>
    </cfRule>
  </conditionalFormatting>
  <conditionalFormatting sqref="F278">
    <cfRule type="expression" dxfId="9472" priority="716">
      <formula>#REF!&lt;&gt;""</formula>
    </cfRule>
    <cfRule type="expression" dxfId="9471" priority="717">
      <formula>#REF!&lt;&gt;""</formula>
    </cfRule>
    <cfRule type="expression" dxfId="9470" priority="718">
      <formula>#REF!&lt;&gt;""</formula>
    </cfRule>
    <cfRule type="expression" dxfId="9469" priority="719">
      <formula>#REF!&lt;&gt;""</formula>
    </cfRule>
    <cfRule type="expression" dxfId="9468" priority="720">
      <formula>#REF!&lt;&gt;""</formula>
    </cfRule>
    <cfRule type="expression" dxfId="9467" priority="721">
      <formula>#REF!&lt;&gt;""</formula>
    </cfRule>
    <cfRule type="expression" dxfId="9466" priority="722">
      <formula>#REF!&lt;&gt;""</formula>
    </cfRule>
    <cfRule type="expression" dxfId="9465" priority="723">
      <formula>#REF!&lt;&gt;""</formula>
    </cfRule>
    <cfRule type="expression" dxfId="9464" priority="724">
      <formula>#REF!&lt;&gt;""</formula>
    </cfRule>
    <cfRule type="expression" dxfId="9463" priority="725">
      <formula>#REF!&lt;&gt;""</formula>
    </cfRule>
    <cfRule type="expression" dxfId="9462" priority="726">
      <formula>#REF!&lt;&gt;""</formula>
    </cfRule>
    <cfRule type="expression" dxfId="9461" priority="727">
      <formula>#REF!&lt;&gt;""</formula>
    </cfRule>
  </conditionalFormatting>
  <conditionalFormatting sqref="F279">
    <cfRule type="expression" dxfId="9460" priority="703">
      <formula>#REF!&lt;&gt;""</formula>
    </cfRule>
    <cfRule type="expression" dxfId="9459" priority="704">
      <formula>#REF!&lt;&gt;""</formula>
    </cfRule>
    <cfRule type="expression" dxfId="9458" priority="705">
      <formula>#REF!&lt;&gt;""</formula>
    </cfRule>
    <cfRule type="expression" dxfId="9457" priority="706">
      <formula>#REF!&lt;&gt;""</formula>
    </cfRule>
    <cfRule type="expression" dxfId="9456" priority="707">
      <formula>#REF!&lt;&gt;""</formula>
    </cfRule>
    <cfRule type="expression" dxfId="9455" priority="708">
      <formula>#REF!&lt;&gt;""</formula>
    </cfRule>
    <cfRule type="expression" dxfId="9454" priority="709">
      <formula>#REF!&lt;&gt;""</formula>
    </cfRule>
    <cfRule type="expression" dxfId="9453" priority="710">
      <formula>#REF!&lt;&gt;""</formula>
    </cfRule>
    <cfRule type="expression" dxfId="9452" priority="711">
      <formula>#REF!&lt;&gt;""</formula>
    </cfRule>
    <cfRule type="expression" dxfId="9451" priority="712">
      <formula>#REF!&lt;&gt;""</formula>
    </cfRule>
    <cfRule type="expression" dxfId="9450" priority="713">
      <formula>#REF!&lt;&gt;""</formula>
    </cfRule>
    <cfRule type="expression" dxfId="9449" priority="714">
      <formula>#REF!&lt;&gt;""</formula>
    </cfRule>
  </conditionalFormatting>
  <conditionalFormatting sqref="F280">
    <cfRule type="expression" dxfId="9448" priority="690">
      <formula>#REF!&lt;&gt;""</formula>
    </cfRule>
    <cfRule type="expression" dxfId="9447" priority="691">
      <formula>#REF!&lt;&gt;""</formula>
    </cfRule>
    <cfRule type="expression" dxfId="9446" priority="692">
      <formula>#REF!&lt;&gt;""</formula>
    </cfRule>
    <cfRule type="expression" dxfId="9445" priority="693">
      <formula>#REF!&lt;&gt;""</formula>
    </cfRule>
    <cfRule type="expression" dxfId="9444" priority="694">
      <formula>#REF!&lt;&gt;""</formula>
    </cfRule>
    <cfRule type="expression" dxfId="9443" priority="695">
      <formula>#REF!&lt;&gt;""</formula>
    </cfRule>
    <cfRule type="expression" dxfId="9442" priority="696">
      <formula>#REF!&lt;&gt;""</formula>
    </cfRule>
    <cfRule type="expression" dxfId="9441" priority="697">
      <formula>#REF!&lt;&gt;""</formula>
    </cfRule>
    <cfRule type="expression" dxfId="9440" priority="698">
      <formula>#REF!&lt;&gt;""</formula>
    </cfRule>
    <cfRule type="expression" dxfId="9439" priority="699">
      <formula>#REF!&lt;&gt;""</formula>
    </cfRule>
    <cfRule type="expression" dxfId="9438" priority="700">
      <formula>#REF!&lt;&gt;""</formula>
    </cfRule>
    <cfRule type="expression" dxfId="9437" priority="701">
      <formula>#REF!&lt;&gt;""</formula>
    </cfRule>
  </conditionalFormatting>
  <conditionalFormatting sqref="F281">
    <cfRule type="expression" dxfId="9436" priority="677">
      <formula>#REF!&lt;&gt;""</formula>
    </cfRule>
    <cfRule type="expression" dxfId="9435" priority="678">
      <formula>#REF!&lt;&gt;""</formula>
    </cfRule>
    <cfRule type="expression" dxfId="9434" priority="679">
      <formula>#REF!&lt;&gt;""</formula>
    </cfRule>
    <cfRule type="expression" dxfId="9433" priority="680">
      <formula>#REF!&lt;&gt;""</formula>
    </cfRule>
    <cfRule type="expression" dxfId="9432" priority="681">
      <formula>#REF!&lt;&gt;""</formula>
    </cfRule>
    <cfRule type="expression" dxfId="9431" priority="682">
      <formula>#REF!&lt;&gt;""</formula>
    </cfRule>
    <cfRule type="expression" dxfId="9430" priority="683">
      <formula>#REF!&lt;&gt;""</formula>
    </cfRule>
    <cfRule type="expression" dxfId="9429" priority="684">
      <formula>#REF!&lt;&gt;""</formula>
    </cfRule>
    <cfRule type="expression" dxfId="9428" priority="685">
      <formula>#REF!&lt;&gt;""</formula>
    </cfRule>
    <cfRule type="expression" dxfId="9427" priority="686">
      <formula>#REF!&lt;&gt;""</formula>
    </cfRule>
    <cfRule type="expression" dxfId="9426" priority="687">
      <formula>#REF!&lt;&gt;""</formula>
    </cfRule>
    <cfRule type="expression" dxfId="9425" priority="688">
      <formula>#REF!&lt;&gt;""</formula>
    </cfRule>
  </conditionalFormatting>
  <conditionalFormatting sqref="F282">
    <cfRule type="expression" dxfId="9424" priority="664">
      <formula>#REF!&lt;&gt;""</formula>
    </cfRule>
    <cfRule type="expression" dxfId="9423" priority="665">
      <formula>#REF!&lt;&gt;""</formula>
    </cfRule>
    <cfRule type="expression" dxfId="9422" priority="666">
      <formula>#REF!&lt;&gt;""</formula>
    </cfRule>
    <cfRule type="expression" dxfId="9421" priority="667">
      <formula>#REF!&lt;&gt;""</formula>
    </cfRule>
    <cfRule type="expression" dxfId="9420" priority="668">
      <formula>#REF!&lt;&gt;""</formula>
    </cfRule>
    <cfRule type="expression" dxfId="9419" priority="669">
      <formula>#REF!&lt;&gt;""</formula>
    </cfRule>
    <cfRule type="expression" dxfId="9418" priority="670">
      <formula>#REF!&lt;&gt;""</formula>
    </cfRule>
    <cfRule type="expression" dxfId="9417" priority="671">
      <formula>#REF!&lt;&gt;""</formula>
    </cfRule>
    <cfRule type="expression" dxfId="9416" priority="672">
      <formula>#REF!&lt;&gt;""</formula>
    </cfRule>
    <cfRule type="expression" dxfId="9415" priority="673">
      <formula>#REF!&lt;&gt;""</formula>
    </cfRule>
    <cfRule type="expression" dxfId="9414" priority="674">
      <formula>#REF!&lt;&gt;""</formula>
    </cfRule>
    <cfRule type="expression" dxfId="9413" priority="675">
      <formula>#REF!&lt;&gt;""</formula>
    </cfRule>
  </conditionalFormatting>
  <conditionalFormatting sqref="F99:F148">
    <cfRule type="expression" dxfId="9412" priority="10" stopIfTrue="1">
      <formula>$H99&lt;&gt;"kg/p.km"</formula>
    </cfRule>
  </conditionalFormatting>
  <conditionalFormatting sqref="S1000">
    <cfRule type="expression" dxfId="9411" priority="11" stopIfTrue="1">
      <formula>"U100=kg/km"</formula>
    </cfRule>
  </conditionalFormatting>
  <conditionalFormatting sqref="G99:G148">
    <cfRule type="expression" dxfId="9410" priority="9" stopIfTrue="1">
      <formula>$H99&lt;&gt;"kg/t.km"</formula>
    </cfRule>
  </conditionalFormatting>
  <conditionalFormatting sqref="A149:D149">
    <cfRule type="expression" dxfId="9409" priority="4781" stopIfTrue="1">
      <formula>AND(#REF!&lt;&gt;0,SUM(#REF!)&lt;&gt;0)</formula>
    </cfRule>
  </conditionalFormatting>
  <conditionalFormatting sqref="F216:H216 F350:H350">
    <cfRule type="expression" dxfId="9408" priority="4782" stopIfTrue="1">
      <formula>AND($F216&lt;&gt;0,SUM(#REF!)&lt;&gt;0)</formula>
    </cfRule>
  </conditionalFormatting>
  <conditionalFormatting sqref="F98">
    <cfRule type="expression" dxfId="9407" priority="8" stopIfTrue="1">
      <formula>$H98&lt;&gt;"kg/p.km"</formula>
    </cfRule>
  </conditionalFormatting>
  <conditionalFormatting sqref="G98">
    <cfRule type="expression" dxfId="9406" priority="7" stopIfTrue="1">
      <formula>$H98&lt;&gt;"kg/t.km"</formula>
    </cfRule>
  </conditionalFormatting>
  <conditionalFormatting sqref="G166:G215">
    <cfRule type="expression" dxfId="9405" priority="6" stopIfTrue="1">
      <formula>$I166&lt;&gt;"kg/p.km"</formula>
    </cfRule>
  </conditionalFormatting>
  <conditionalFormatting sqref="H166:H215">
    <cfRule type="expression" dxfId="9404" priority="5" stopIfTrue="1">
      <formula>$I166&lt;&gt;"kg/t.km"</formula>
    </cfRule>
  </conditionalFormatting>
  <conditionalFormatting sqref="G233:G282">
    <cfRule type="expression" dxfId="9403" priority="4" stopIfTrue="1">
      <formula>$I233&lt;&gt;"kg/p.km"</formula>
    </cfRule>
  </conditionalFormatting>
  <conditionalFormatting sqref="H233:H282">
    <cfRule type="expression" dxfId="9402" priority="3" stopIfTrue="1">
      <formula>$I233&lt;&gt;"kg/t.km"</formula>
    </cfRule>
  </conditionalFormatting>
  <conditionalFormatting sqref="G300:G349">
    <cfRule type="expression" dxfId="9401" priority="2" stopIfTrue="1">
      <formula>$I300&lt;&gt;"kg/p.km"</formula>
    </cfRule>
  </conditionalFormatting>
  <conditionalFormatting sqref="H300:H349">
    <cfRule type="expression" dxfId="9400" priority="1" stopIfTrue="1">
      <formula>$I300&lt;&gt;"kg/t.km"</formula>
    </cfRule>
  </conditionalFormatting>
  <conditionalFormatting sqref="F47:F86">
    <cfRule type="expression" dxfId="9399" priority="5388">
      <formula>#REF!&lt;&gt;""</formula>
    </cfRule>
  </conditionalFormatting>
  <dataValidations count="3">
    <dataValidation type="custom" showInputMessage="1" showErrorMessage="1" errorTitle="Qual o ano da frota?" error="Existem fatores de emissão diferentes para frotas de anos diferentes. Escolha o ano da frota e caso haja frotas de anos diferentes, incluia em linhas diferentes para cada ano." sqref="A149:D149">
      <formula1>AND($D149&lt;&gt;0,#REF!=0)=FALSE</formula1>
    </dataValidation>
    <dataValidation type="list" allowBlank="1" showInputMessage="1" showErrorMessage="1" sqref="D47:E86">
      <formula1>lista_comb_movel</formula1>
    </dataValidation>
    <dataValidation showInputMessage="1" showErrorMessage="1" errorTitle="Qual o ano da frota?" error="Escolha o ano da frota." sqref="E99:H148 F98:G98 G166:I215 G233:L282 G300:L349"/>
  </dataValidations>
  <pageMargins left="0.70866141732283472" right="0.70866141732283472" top="0.74803149606299213" bottom="0.74803149606299213" header="0.31496062992125984" footer="0.31496062992125984"/>
  <pageSetup scale="11" orientation="landscape" r:id="rId1"/>
  <headerFooter alignWithMargins="0">
    <oddFooter>&amp;L&amp;"Arial,Italic"&amp;9EPA Climate Leaders Simplified GHG Emissions Calculator (Direct 2.0)&amp;R&amp;"Arial,Italic"&amp;9&amp;P of &amp;N</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'Fatores de Emissão'!$E$181:$E$184</xm:f>
          </x14:formula1>
          <xm:sqref>D166:E215</xm:sqref>
        </x14:dataValidation>
        <x14:dataValidation type="list" allowBlank="1" showInputMessage="1" showErrorMessage="1">
          <x14:formula1>
            <xm:f>'Fatores de Emissão'!$E$192:$E$201</xm:f>
          </x14:formula1>
          <xm:sqref>D233:E282</xm:sqref>
        </x14:dataValidation>
        <x14:dataValidation type="list" allowBlank="1" showInputMessage="1" showErrorMessage="1">
          <x14:formula1>
            <xm:f>'Fatores de Emissão'!$D$209:$D$219</xm:f>
          </x14:formula1>
          <xm:sqref>D300:E349</xm:sqref>
        </x14:dataValidation>
        <x14:dataValidation type="list" allowBlank="1" showInputMessage="1" showErrorMessage="1">
          <x14:formula1>
            <xm:f>'Fatores de Emissão'!$C$82:$C$97</xm:f>
          </x14:formula1>
          <xm:sqref>D37:E46</xm:sqref>
        </x14:dataValidation>
        <x14:dataValidation type="list" showInputMessage="1" showErrorMessage="1">
          <x14:formula1>
            <xm:f>'Fatores de Emissão'!$E$115:$E$173</xm:f>
          </x14:formula1>
          <xm:sqref>D99:D148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70C0"/>
    <outlinePr summaryBelow="0" summaryRight="0"/>
  </sheetPr>
  <dimension ref="A1:XFD323"/>
  <sheetViews>
    <sheetView showGridLines="0" topLeftCell="A34" zoomScale="70" zoomScaleNormal="70" workbookViewId="0">
      <selection activeCell="E22" sqref="E22"/>
    </sheetView>
  </sheetViews>
  <sheetFormatPr defaultColWidth="9.140625" defaultRowHeight="12.75" zeroHeight="1" outlineLevelRow="1" x14ac:dyDescent="0.2"/>
  <cols>
    <col min="1" max="1" width="5.7109375" style="339" customWidth="1"/>
    <col min="2" max="2" width="39.85546875" style="495" customWidth="1"/>
    <col min="3" max="3" width="41.42578125" style="495" customWidth="1"/>
    <col min="4" max="4" width="25.7109375" style="495" customWidth="1"/>
    <col min="5" max="6" width="22.7109375" style="495" customWidth="1"/>
    <col min="7" max="8" width="20.7109375" style="495" customWidth="1"/>
    <col min="9" max="10" width="16.7109375" style="495" customWidth="1"/>
    <col min="11" max="11" width="9" style="495" customWidth="1"/>
    <col min="12" max="12" width="6.7109375" style="495" customWidth="1"/>
    <col min="13" max="13" width="10.7109375" style="495" customWidth="1"/>
    <col min="14" max="28" width="20.7109375" style="195" customWidth="1"/>
    <col min="29" max="29" width="9.140625" style="195" customWidth="1"/>
    <col min="30" max="30" width="22" style="195" customWidth="1"/>
    <col min="31" max="31" width="17.5703125" style="195" customWidth="1"/>
    <col min="32" max="32" width="23" style="195" customWidth="1"/>
    <col min="33" max="33" width="24.140625" style="195" customWidth="1"/>
    <col min="34" max="34" width="19.85546875" style="195" customWidth="1"/>
    <col min="35" max="35" width="10.28515625" style="195" customWidth="1"/>
    <col min="36" max="36" width="35" style="195" customWidth="1"/>
    <col min="37" max="37" width="23.7109375" style="195" customWidth="1"/>
    <col min="38" max="38" width="43.5703125" style="195" customWidth="1"/>
    <col min="39" max="39" width="9.140625" style="195" customWidth="1"/>
    <col min="40" max="16384" width="9.140625" style="195"/>
  </cols>
  <sheetData>
    <row r="1" spans="1:13" ht="15" customHeight="1" x14ac:dyDescent="0.2">
      <c r="A1" s="290"/>
      <c r="B1" s="290"/>
      <c r="C1" s="290"/>
      <c r="D1" s="290"/>
      <c r="E1" s="290"/>
      <c r="F1" s="290"/>
      <c r="G1" s="290"/>
      <c r="H1" s="290"/>
      <c r="I1" s="290"/>
      <c r="J1" s="290"/>
      <c r="K1" s="290"/>
      <c r="L1" s="290"/>
      <c r="M1" s="290"/>
    </row>
    <row r="2" spans="1:13" ht="15" customHeight="1" x14ac:dyDescent="0.2">
      <c r="A2" s="290"/>
      <c r="B2" s="290"/>
      <c r="C2" s="290"/>
      <c r="D2" s="290"/>
      <c r="E2" s="290"/>
      <c r="F2" s="290"/>
      <c r="G2" s="290"/>
      <c r="H2" s="290"/>
      <c r="I2" s="290"/>
      <c r="J2" s="290"/>
      <c r="K2" s="290"/>
      <c r="L2" s="290"/>
      <c r="M2" s="290"/>
    </row>
    <row r="3" spans="1:13" ht="15" customHeight="1" x14ac:dyDescent="0.2">
      <c r="A3" s="290"/>
      <c r="B3" s="290"/>
      <c r="C3" s="290"/>
      <c r="D3" s="290"/>
      <c r="E3" s="290"/>
      <c r="F3" s="290"/>
      <c r="G3" s="290"/>
      <c r="H3" s="290"/>
      <c r="I3" s="290"/>
      <c r="J3" s="290"/>
      <c r="K3" s="290"/>
      <c r="L3" s="290"/>
      <c r="M3" s="290"/>
    </row>
    <row r="4" spans="1:13" ht="15" customHeight="1" x14ac:dyDescent="0.2">
      <c r="A4" s="290"/>
      <c r="B4" s="290"/>
      <c r="C4" s="290"/>
      <c r="D4" s="290"/>
      <c r="E4" s="290"/>
      <c r="F4" s="290"/>
      <c r="G4" s="290"/>
      <c r="H4" s="290"/>
      <c r="I4" s="290"/>
      <c r="J4" s="290"/>
      <c r="K4" s="290"/>
      <c r="L4" s="290"/>
      <c r="M4" s="290"/>
    </row>
    <row r="5" spans="1:13" ht="15" customHeight="1" x14ac:dyDescent="0.2">
      <c r="A5" s="290"/>
      <c r="B5" s="290"/>
      <c r="C5" s="290"/>
      <c r="D5" s="290"/>
      <c r="E5" s="290"/>
      <c r="F5" s="290"/>
      <c r="G5" s="290"/>
      <c r="H5" s="290"/>
      <c r="I5" s="290"/>
      <c r="J5" s="290"/>
      <c r="K5" s="290"/>
      <c r="L5" s="290"/>
      <c r="M5" s="290"/>
    </row>
    <row r="6" spans="1:13" ht="15" customHeight="1" x14ac:dyDescent="0.2">
      <c r="A6" s="290"/>
      <c r="B6" s="290"/>
      <c r="C6" s="290"/>
      <c r="D6" s="290"/>
      <c r="E6" s="290"/>
      <c r="F6" s="290"/>
      <c r="G6" s="290"/>
      <c r="H6" s="290"/>
      <c r="I6" s="290"/>
      <c r="J6" s="290"/>
      <c r="K6" s="290"/>
      <c r="L6" s="290"/>
      <c r="M6" s="290"/>
    </row>
    <row r="7" spans="1:13" ht="15" customHeight="1" x14ac:dyDescent="0.2">
      <c r="A7" s="290"/>
      <c r="B7" s="290"/>
      <c r="C7" s="290"/>
      <c r="D7" s="290"/>
      <c r="E7" s="290"/>
      <c r="F7" s="290"/>
      <c r="G7" s="290"/>
      <c r="H7" s="290"/>
      <c r="I7" s="290"/>
      <c r="J7" s="290"/>
      <c r="K7" s="290"/>
      <c r="L7" s="290"/>
      <c r="M7" s="290"/>
    </row>
    <row r="8" spans="1:13" ht="15" customHeight="1" x14ac:dyDescent="0.2">
      <c r="A8" s="290"/>
      <c r="B8" s="290"/>
      <c r="C8" s="290"/>
      <c r="D8" s="290"/>
      <c r="E8" s="290"/>
      <c r="F8" s="290"/>
      <c r="G8" s="290"/>
      <c r="H8" s="290"/>
      <c r="I8" s="290"/>
      <c r="J8" s="290"/>
      <c r="K8" s="290"/>
      <c r="L8" s="290"/>
      <c r="M8" s="290"/>
    </row>
    <row r="9" spans="1:13" ht="15" customHeight="1" x14ac:dyDescent="0.2">
      <c r="A9" s="290"/>
      <c r="B9" s="290"/>
      <c r="C9" s="290"/>
      <c r="D9" s="290"/>
      <c r="E9" s="290"/>
      <c r="F9" s="290"/>
      <c r="G9" s="290"/>
      <c r="H9" s="290"/>
      <c r="I9" s="290"/>
      <c r="J9" s="290"/>
      <c r="K9" s="290"/>
      <c r="L9" s="290"/>
      <c r="M9" s="290"/>
    </row>
    <row r="10" spans="1:13" ht="15" customHeight="1" x14ac:dyDescent="0.2">
      <c r="A10" s="290"/>
      <c r="B10" s="290"/>
      <c r="C10" s="290"/>
      <c r="D10" s="290"/>
      <c r="E10" s="290"/>
      <c r="F10" s="290"/>
      <c r="G10" s="290"/>
      <c r="H10" s="290"/>
      <c r="I10" s="290"/>
      <c r="J10" s="290"/>
      <c r="K10" s="290"/>
      <c r="L10" s="290"/>
      <c r="M10" s="290"/>
    </row>
    <row r="11" spans="1:13" ht="15" customHeight="1" x14ac:dyDescent="0.3">
      <c r="B11" s="208" t="s">
        <v>257</v>
      </c>
      <c r="C11" s="339"/>
      <c r="D11" s="339"/>
      <c r="E11" s="339"/>
      <c r="F11" s="339"/>
      <c r="G11" s="339"/>
      <c r="H11" s="339"/>
      <c r="I11" s="339"/>
      <c r="J11" s="339"/>
      <c r="K11" s="339"/>
      <c r="L11" s="339"/>
      <c r="M11" s="339"/>
    </row>
    <row r="12" spans="1:13" ht="15" customHeight="1" x14ac:dyDescent="0.2">
      <c r="B12" s="339"/>
      <c r="C12" s="339"/>
      <c r="D12" s="339"/>
      <c r="E12" s="339"/>
      <c r="F12" s="339"/>
      <c r="G12" s="339"/>
      <c r="H12" s="339"/>
      <c r="I12" s="339"/>
      <c r="J12" s="339"/>
      <c r="K12" s="339"/>
      <c r="L12" s="339"/>
      <c r="M12" s="339"/>
    </row>
    <row r="13" spans="1:13" ht="15" customHeight="1" x14ac:dyDescent="0.2">
      <c r="A13" s="417"/>
      <c r="B13" s="492"/>
      <c r="C13" s="510" t="s">
        <v>142</v>
      </c>
      <c r="D13" s="1297">
        <f>IF(OR(Ano="Selecione",Ano=0),"Escolha o ano do inventário na aba 'Introdução'",Ano)</f>
        <v>2030</v>
      </c>
      <c r="E13" s="1297"/>
      <c r="F13" s="1297"/>
      <c r="G13" s="418"/>
      <c r="H13" s="418"/>
      <c r="I13" s="418"/>
      <c r="J13" s="494"/>
      <c r="K13" s="494"/>
      <c r="L13" s="417"/>
      <c r="M13" s="417"/>
    </row>
    <row r="14" spans="1:13" ht="15" customHeight="1" x14ac:dyDescent="0.2">
      <c r="A14" s="417"/>
      <c r="C14" s="493"/>
      <c r="D14" s="496"/>
      <c r="E14" s="496"/>
      <c r="F14" s="496"/>
      <c r="G14" s="418"/>
      <c r="H14" s="418"/>
      <c r="I14" s="418"/>
      <c r="J14" s="494"/>
      <c r="K14" s="494"/>
      <c r="L14" s="417"/>
      <c r="M14" s="417"/>
    </row>
    <row r="15" spans="1:13" ht="15" customHeight="1" x14ac:dyDescent="0.2">
      <c r="A15" s="417"/>
      <c r="B15" s="469" t="s">
        <v>4</v>
      </c>
      <c r="C15" s="493"/>
      <c r="D15" s="497"/>
      <c r="E15" s="497"/>
      <c r="F15" s="497"/>
      <c r="G15" s="418"/>
      <c r="H15" s="418"/>
      <c r="I15" s="418"/>
      <c r="J15" s="494"/>
      <c r="K15" s="494"/>
      <c r="L15" s="417"/>
      <c r="M15" s="417"/>
    </row>
    <row r="16" spans="1:13" s="237" customFormat="1" ht="30" customHeight="1" x14ac:dyDescent="0.25">
      <c r="A16" s="449"/>
      <c r="B16" s="1300" t="s">
        <v>1933</v>
      </c>
      <c r="C16" s="1300"/>
      <c r="D16" s="1300"/>
      <c r="E16" s="1300"/>
      <c r="F16" s="1300"/>
      <c r="G16" s="1300"/>
      <c r="H16" s="1300"/>
      <c r="I16" s="468"/>
      <c r="J16" s="511"/>
      <c r="K16" s="511"/>
      <c r="L16" s="449"/>
      <c r="M16" s="449"/>
    </row>
    <row r="17" spans="1:16384" s="237" customFormat="1" ht="15" customHeight="1" x14ac:dyDescent="0.25">
      <c r="A17" s="449"/>
      <c r="B17" s="456" t="s">
        <v>2198</v>
      </c>
      <c r="C17" s="510"/>
      <c r="D17" s="512"/>
      <c r="E17" s="512"/>
      <c r="F17" s="512"/>
      <c r="G17" s="513"/>
      <c r="H17" s="468"/>
      <c r="I17" s="468"/>
      <c r="J17" s="511"/>
      <c r="K17" s="511"/>
      <c r="L17" s="449"/>
      <c r="M17" s="449"/>
    </row>
    <row r="18" spans="1:16384" s="237" customFormat="1" ht="15" customHeight="1" x14ac:dyDescent="0.25">
      <c r="A18" s="449"/>
      <c r="B18" s="456" t="s">
        <v>1343</v>
      </c>
      <c r="C18" s="510"/>
      <c r="D18" s="512"/>
      <c r="E18" s="512"/>
      <c r="F18" s="512"/>
      <c r="G18" s="513"/>
      <c r="H18" s="468"/>
      <c r="I18" s="468"/>
      <c r="J18" s="511"/>
      <c r="K18" s="511"/>
      <c r="L18" s="449"/>
      <c r="M18" s="449"/>
    </row>
    <row r="19" spans="1:16384" s="237" customFormat="1" ht="15" customHeight="1" x14ac:dyDescent="0.25">
      <c r="A19" s="449"/>
      <c r="B19" s="456" t="s">
        <v>1413</v>
      </c>
      <c r="C19" s="510"/>
      <c r="D19" s="512"/>
      <c r="E19" s="512"/>
      <c r="F19" s="512"/>
      <c r="G19" s="468"/>
      <c r="H19" s="468"/>
      <c r="I19" s="468"/>
      <c r="J19" s="511"/>
      <c r="K19" s="511"/>
      <c r="L19" s="449"/>
      <c r="M19" s="449"/>
    </row>
    <row r="20" spans="1:16384" s="237" customFormat="1" ht="15" customHeight="1" x14ac:dyDescent="0.25">
      <c r="A20" s="449"/>
      <c r="B20" s="456" t="s">
        <v>1350</v>
      </c>
      <c r="C20" s="510"/>
      <c r="D20" s="512"/>
      <c r="E20" s="512"/>
      <c r="F20" s="512"/>
      <c r="G20" s="468"/>
      <c r="H20" s="468"/>
      <c r="I20" s="468"/>
      <c r="J20" s="511"/>
      <c r="K20" s="511"/>
      <c r="L20" s="449"/>
      <c r="M20" s="449"/>
    </row>
    <row r="21" spans="1:16384" s="237" customFormat="1" ht="15" customHeight="1" x14ac:dyDescent="0.25">
      <c r="A21" s="449"/>
      <c r="B21" s="456" t="s">
        <v>2199</v>
      </c>
      <c r="C21" s="510"/>
      <c r="D21" s="512"/>
      <c r="E21" s="512"/>
      <c r="F21" s="512"/>
      <c r="G21" s="468"/>
      <c r="H21" s="468"/>
      <c r="I21" s="468"/>
      <c r="J21" s="511"/>
      <c r="K21" s="511"/>
      <c r="L21" s="449"/>
      <c r="M21" s="449"/>
    </row>
    <row r="22" spans="1:16384" s="237" customFormat="1" ht="15" customHeight="1" x14ac:dyDescent="0.25">
      <c r="A22" s="206"/>
      <c r="B22" s="206" t="s">
        <v>1934</v>
      </c>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c r="AD22" s="206"/>
      <c r="AE22" s="206"/>
      <c r="AF22" s="206"/>
      <c r="AG22" s="206"/>
      <c r="AH22" s="206"/>
      <c r="AI22" s="206"/>
      <c r="AJ22" s="206"/>
      <c r="AK22" s="206"/>
      <c r="AL22" s="206"/>
      <c r="AM22" s="206"/>
      <c r="AN22" s="206"/>
      <c r="AO22" s="206"/>
      <c r="AP22" s="206"/>
      <c r="AQ22" s="206"/>
      <c r="AR22" s="206"/>
      <c r="AS22" s="206"/>
      <c r="AT22" s="206"/>
      <c r="AU22" s="206"/>
      <c r="AV22" s="206"/>
      <c r="AW22" s="206"/>
      <c r="AX22" s="206"/>
      <c r="AY22" s="206"/>
      <c r="AZ22" s="206"/>
      <c r="BA22" s="206"/>
      <c r="BB22" s="206"/>
      <c r="BC22" s="206"/>
      <c r="BD22" s="206"/>
      <c r="BE22" s="206"/>
      <c r="BF22" s="206"/>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206"/>
      <c r="CJ22" s="206"/>
      <c r="CK22" s="206"/>
      <c r="CL22" s="206"/>
      <c r="CM22" s="206"/>
      <c r="CN22" s="206"/>
      <c r="CO22" s="206"/>
      <c r="CP22" s="206"/>
      <c r="CQ22" s="206"/>
      <c r="CR22" s="206"/>
      <c r="CS22" s="206"/>
      <c r="CT22" s="206"/>
      <c r="CU22" s="206"/>
      <c r="CV22" s="206"/>
      <c r="CW22" s="206"/>
      <c r="CX22" s="206"/>
      <c r="CY22" s="206"/>
      <c r="CZ22" s="206"/>
      <c r="DA22" s="206"/>
      <c r="DB22" s="206"/>
      <c r="DC22" s="206"/>
      <c r="DD22" s="206"/>
      <c r="DE22" s="206"/>
      <c r="DF22" s="206"/>
      <c r="DG22" s="206"/>
      <c r="DH22" s="206"/>
      <c r="DI22" s="206"/>
      <c r="DJ22" s="206"/>
      <c r="DK22" s="206"/>
      <c r="DL22" s="206"/>
      <c r="DM22" s="206"/>
      <c r="DN22" s="206"/>
      <c r="DO22" s="206"/>
      <c r="DP22" s="206"/>
      <c r="DQ22" s="206"/>
      <c r="DR22" s="206"/>
      <c r="DS22" s="206"/>
      <c r="DT22" s="206"/>
      <c r="DU22" s="206"/>
      <c r="DV22" s="206"/>
      <c r="DW22" s="206"/>
      <c r="DX22" s="206"/>
      <c r="DY22" s="206"/>
      <c r="DZ22" s="206"/>
      <c r="EA22" s="206"/>
      <c r="EB22" s="206"/>
      <c r="EC22" s="206"/>
      <c r="ED22" s="206"/>
      <c r="EE22" s="206"/>
      <c r="EF22" s="206"/>
      <c r="EG22" s="206"/>
      <c r="EH22" s="206"/>
      <c r="EI22" s="206"/>
      <c r="EJ22" s="206"/>
      <c r="EK22" s="206"/>
      <c r="EL22" s="206"/>
      <c r="EM22" s="206"/>
      <c r="EN22" s="206"/>
      <c r="EO22" s="206"/>
      <c r="EP22" s="206"/>
      <c r="EQ22" s="206"/>
      <c r="ER22" s="206"/>
      <c r="ES22" s="206"/>
      <c r="ET22" s="206"/>
      <c r="EU22" s="206"/>
      <c r="EV22" s="206"/>
      <c r="EW22" s="206"/>
      <c r="EX22" s="206"/>
      <c r="EY22" s="206"/>
      <c r="EZ22" s="206"/>
      <c r="FA22" s="206"/>
      <c r="FB22" s="206"/>
      <c r="FC22" s="206"/>
      <c r="FD22" s="206"/>
      <c r="FE22" s="206"/>
      <c r="FF22" s="206"/>
      <c r="FG22" s="206"/>
      <c r="FH22" s="206"/>
      <c r="FI22" s="206"/>
      <c r="FJ22" s="206"/>
      <c r="FK22" s="206"/>
      <c r="FL22" s="206"/>
      <c r="FM22" s="206"/>
      <c r="FN22" s="206"/>
      <c r="FO22" s="206"/>
      <c r="FP22" s="206"/>
      <c r="FQ22" s="206"/>
      <c r="FR22" s="206"/>
      <c r="FS22" s="206"/>
      <c r="FT22" s="206"/>
      <c r="FU22" s="206"/>
      <c r="FV22" s="206"/>
      <c r="FW22" s="206"/>
      <c r="FX22" s="206"/>
      <c r="FY22" s="206"/>
      <c r="FZ22" s="206"/>
      <c r="GA22" s="206"/>
      <c r="GB22" s="206"/>
      <c r="GC22" s="206"/>
      <c r="GD22" s="206"/>
      <c r="GE22" s="206"/>
      <c r="GF22" s="206"/>
      <c r="GG22" s="206"/>
      <c r="GH22" s="206"/>
      <c r="GI22" s="206"/>
      <c r="GJ22" s="206"/>
      <c r="GK22" s="206"/>
      <c r="GL22" s="206"/>
      <c r="GM22" s="206"/>
      <c r="GN22" s="206"/>
      <c r="GO22" s="206"/>
      <c r="GP22" s="206"/>
      <c r="GQ22" s="206"/>
      <c r="GR22" s="206"/>
      <c r="GS22" s="206"/>
      <c r="GT22" s="206"/>
      <c r="GU22" s="206"/>
      <c r="GV22" s="206"/>
      <c r="GW22" s="206"/>
      <c r="GX22" s="206"/>
      <c r="GY22" s="206"/>
      <c r="GZ22" s="206"/>
      <c r="HA22" s="206"/>
      <c r="HB22" s="206"/>
      <c r="HC22" s="206"/>
      <c r="HD22" s="206"/>
      <c r="HE22" s="206"/>
      <c r="HF22" s="206"/>
      <c r="HG22" s="206"/>
      <c r="HH22" s="206"/>
      <c r="HI22" s="206"/>
      <c r="HJ22" s="206"/>
      <c r="HK22" s="206"/>
      <c r="HL22" s="206"/>
      <c r="HM22" s="206"/>
      <c r="HN22" s="206"/>
      <c r="HO22" s="206"/>
      <c r="HP22" s="206"/>
      <c r="HQ22" s="206"/>
      <c r="HR22" s="206"/>
      <c r="HS22" s="206"/>
      <c r="HT22" s="206"/>
      <c r="HU22" s="206"/>
      <c r="HV22" s="206"/>
      <c r="HW22" s="206"/>
      <c r="HX22" s="206"/>
      <c r="HY22" s="206"/>
      <c r="HZ22" s="206"/>
      <c r="IA22" s="206"/>
      <c r="IB22" s="206"/>
      <c r="IC22" s="206"/>
      <c r="ID22" s="206"/>
      <c r="IE22" s="206"/>
      <c r="IF22" s="206"/>
      <c r="IG22" s="206"/>
      <c r="IH22" s="206"/>
      <c r="II22" s="206"/>
      <c r="IJ22" s="206"/>
      <c r="IK22" s="206"/>
      <c r="IL22" s="206"/>
      <c r="IM22" s="206"/>
      <c r="IN22" s="206"/>
      <c r="IO22" s="206"/>
      <c r="IP22" s="206"/>
      <c r="IQ22" s="206"/>
      <c r="IR22" s="206"/>
      <c r="IS22" s="206"/>
      <c r="IT22" s="206"/>
      <c r="IU22" s="206"/>
      <c r="IV22" s="206"/>
      <c r="IW22" s="206"/>
      <c r="IX22" s="206"/>
      <c r="IY22" s="206"/>
      <c r="IZ22" s="206"/>
      <c r="JA22" s="206"/>
      <c r="JB22" s="206"/>
      <c r="JC22" s="206"/>
      <c r="JD22" s="206"/>
      <c r="JE22" s="206"/>
      <c r="JF22" s="206"/>
      <c r="JG22" s="206"/>
      <c r="JH22" s="206"/>
      <c r="JI22" s="206"/>
      <c r="JJ22" s="206"/>
      <c r="JK22" s="206"/>
      <c r="JL22" s="206"/>
      <c r="JM22" s="206"/>
      <c r="JN22" s="206"/>
      <c r="JO22" s="206"/>
      <c r="JP22" s="206"/>
      <c r="JQ22" s="206"/>
      <c r="JR22" s="206"/>
      <c r="JS22" s="206"/>
      <c r="JT22" s="206"/>
      <c r="JU22" s="206"/>
      <c r="JV22" s="206"/>
      <c r="JW22" s="206"/>
      <c r="JX22" s="206"/>
      <c r="JY22" s="206"/>
      <c r="JZ22" s="206"/>
      <c r="KA22" s="206"/>
      <c r="KB22" s="206"/>
      <c r="KC22" s="206"/>
      <c r="KD22" s="206"/>
      <c r="KE22" s="206"/>
      <c r="KF22" s="206"/>
      <c r="KG22" s="206"/>
      <c r="KH22" s="206"/>
      <c r="KI22" s="206"/>
      <c r="KJ22" s="206"/>
      <c r="KK22" s="206"/>
      <c r="KL22" s="206"/>
      <c r="KM22" s="206"/>
      <c r="KN22" s="206"/>
      <c r="KO22" s="206"/>
      <c r="KP22" s="206"/>
      <c r="KQ22" s="206"/>
      <c r="KR22" s="206"/>
      <c r="KS22" s="206"/>
      <c r="KT22" s="206"/>
      <c r="KU22" s="206"/>
      <c r="KV22" s="206"/>
      <c r="KW22" s="206"/>
      <c r="KX22" s="206"/>
      <c r="KY22" s="206"/>
      <c r="KZ22" s="206"/>
      <c r="LA22" s="206"/>
      <c r="LB22" s="206"/>
      <c r="LC22" s="206"/>
      <c r="LD22" s="206"/>
      <c r="LE22" s="206"/>
      <c r="LF22" s="206"/>
      <c r="LG22" s="206"/>
      <c r="LH22" s="206"/>
      <c r="LI22" s="206"/>
      <c r="LJ22" s="206"/>
      <c r="LK22" s="206"/>
      <c r="LL22" s="206"/>
      <c r="LM22" s="206"/>
      <c r="LN22" s="206"/>
      <c r="LO22" s="206"/>
      <c r="LP22" s="206"/>
      <c r="LQ22" s="206"/>
      <c r="LR22" s="206"/>
      <c r="LS22" s="206"/>
      <c r="LT22" s="206"/>
      <c r="LU22" s="206"/>
      <c r="LV22" s="206"/>
      <c r="LW22" s="206"/>
      <c r="LX22" s="206"/>
      <c r="LY22" s="206"/>
      <c r="LZ22" s="206"/>
      <c r="MA22" s="206"/>
      <c r="MB22" s="206"/>
      <c r="MC22" s="206"/>
      <c r="MD22" s="206"/>
      <c r="ME22" s="206"/>
      <c r="MF22" s="206"/>
      <c r="MG22" s="206"/>
      <c r="MH22" s="206"/>
      <c r="MI22" s="206"/>
      <c r="MJ22" s="206"/>
      <c r="MK22" s="206"/>
      <c r="ML22" s="206"/>
      <c r="MM22" s="206"/>
      <c r="MN22" s="206"/>
      <c r="MO22" s="206"/>
      <c r="MP22" s="206"/>
      <c r="MQ22" s="206"/>
      <c r="MR22" s="206"/>
      <c r="MS22" s="206"/>
      <c r="MT22" s="206"/>
      <c r="MU22" s="206"/>
      <c r="MV22" s="206"/>
      <c r="MW22" s="206"/>
      <c r="MX22" s="206"/>
      <c r="MY22" s="206"/>
      <c r="MZ22" s="206"/>
      <c r="NA22" s="206"/>
      <c r="NB22" s="206"/>
      <c r="NC22" s="206"/>
      <c r="ND22" s="206"/>
      <c r="NE22" s="206"/>
      <c r="NF22" s="206"/>
      <c r="NG22" s="206"/>
      <c r="NH22" s="206"/>
      <c r="NI22" s="206"/>
      <c r="NJ22" s="206"/>
      <c r="NK22" s="206"/>
      <c r="NL22" s="206"/>
      <c r="NM22" s="206"/>
      <c r="NN22" s="206"/>
      <c r="NO22" s="206"/>
      <c r="NP22" s="206"/>
      <c r="NQ22" s="206"/>
      <c r="NR22" s="206"/>
      <c r="NS22" s="206"/>
      <c r="NT22" s="206"/>
      <c r="NU22" s="206"/>
      <c r="NV22" s="206"/>
      <c r="NW22" s="206"/>
      <c r="NX22" s="206"/>
      <c r="NY22" s="206"/>
      <c r="NZ22" s="206"/>
      <c r="OA22" s="206"/>
      <c r="OB22" s="206"/>
      <c r="OC22" s="206"/>
      <c r="OD22" s="206"/>
      <c r="OE22" s="206"/>
      <c r="OF22" s="206"/>
      <c r="OG22" s="206"/>
      <c r="OH22" s="206"/>
      <c r="OI22" s="206"/>
      <c r="OJ22" s="206"/>
      <c r="OK22" s="206"/>
      <c r="OL22" s="206"/>
      <c r="OM22" s="206"/>
      <c r="ON22" s="206"/>
      <c r="OO22" s="206"/>
      <c r="OP22" s="206"/>
      <c r="OQ22" s="206"/>
      <c r="OR22" s="206"/>
      <c r="OS22" s="206"/>
      <c r="OT22" s="206"/>
      <c r="OU22" s="206"/>
      <c r="OV22" s="206"/>
      <c r="OW22" s="206"/>
      <c r="OX22" s="206"/>
      <c r="OY22" s="206"/>
      <c r="OZ22" s="206"/>
      <c r="PA22" s="206"/>
      <c r="PB22" s="206"/>
      <c r="PC22" s="206"/>
      <c r="PD22" s="206"/>
      <c r="PE22" s="206"/>
      <c r="PF22" s="206"/>
      <c r="PG22" s="206"/>
      <c r="PH22" s="206"/>
      <c r="PI22" s="206"/>
      <c r="PJ22" s="206"/>
      <c r="PK22" s="206"/>
      <c r="PL22" s="206"/>
      <c r="PM22" s="206"/>
      <c r="PN22" s="206"/>
      <c r="PO22" s="206"/>
      <c r="PP22" s="206"/>
      <c r="PQ22" s="206"/>
      <c r="PR22" s="206"/>
      <c r="PS22" s="206"/>
      <c r="PT22" s="206"/>
      <c r="PU22" s="206"/>
      <c r="PV22" s="206"/>
      <c r="PW22" s="206"/>
      <c r="PX22" s="206"/>
      <c r="PY22" s="206"/>
      <c r="PZ22" s="206"/>
      <c r="QA22" s="206"/>
      <c r="QB22" s="206"/>
      <c r="QC22" s="206"/>
      <c r="QD22" s="206"/>
      <c r="QE22" s="206"/>
      <c r="QF22" s="206"/>
      <c r="QG22" s="206"/>
      <c r="QH22" s="206"/>
      <c r="QI22" s="206"/>
      <c r="QJ22" s="206"/>
      <c r="QK22" s="206"/>
      <c r="QL22" s="206"/>
      <c r="QM22" s="206"/>
      <c r="QN22" s="206"/>
      <c r="QO22" s="206"/>
      <c r="QP22" s="206"/>
      <c r="QQ22" s="206"/>
      <c r="QR22" s="206"/>
      <c r="QS22" s="206"/>
      <c r="QT22" s="206"/>
      <c r="QU22" s="206"/>
      <c r="QV22" s="206"/>
      <c r="QW22" s="206"/>
      <c r="QX22" s="206"/>
      <c r="QY22" s="206"/>
      <c r="QZ22" s="206"/>
      <c r="RA22" s="206"/>
      <c r="RB22" s="206"/>
      <c r="RC22" s="206"/>
      <c r="RD22" s="206"/>
      <c r="RE22" s="206"/>
      <c r="RF22" s="206"/>
      <c r="RG22" s="206"/>
      <c r="RH22" s="206"/>
      <c r="RI22" s="206"/>
      <c r="RJ22" s="206"/>
      <c r="RK22" s="206"/>
      <c r="RL22" s="206"/>
      <c r="RM22" s="206"/>
      <c r="RN22" s="206"/>
      <c r="RO22" s="206"/>
      <c r="RP22" s="206"/>
      <c r="RQ22" s="206"/>
      <c r="RR22" s="206"/>
      <c r="RS22" s="206"/>
      <c r="RT22" s="206"/>
      <c r="RU22" s="206"/>
      <c r="RV22" s="206"/>
      <c r="RW22" s="206"/>
      <c r="RX22" s="206"/>
      <c r="RY22" s="206"/>
      <c r="RZ22" s="206"/>
      <c r="SA22" s="206"/>
      <c r="SB22" s="206"/>
      <c r="SC22" s="206"/>
      <c r="SD22" s="206"/>
      <c r="SE22" s="206"/>
      <c r="SF22" s="206"/>
      <c r="SG22" s="206"/>
      <c r="SH22" s="206"/>
      <c r="SI22" s="206"/>
      <c r="SJ22" s="206"/>
      <c r="SK22" s="206"/>
      <c r="SL22" s="206"/>
      <c r="SM22" s="206"/>
      <c r="SN22" s="206"/>
      <c r="SO22" s="206"/>
      <c r="SP22" s="206"/>
      <c r="SQ22" s="206"/>
      <c r="SR22" s="206"/>
      <c r="SS22" s="206"/>
      <c r="ST22" s="206"/>
      <c r="SU22" s="206"/>
      <c r="SV22" s="206"/>
      <c r="SW22" s="206"/>
      <c r="SX22" s="206"/>
      <c r="SY22" s="206"/>
      <c r="SZ22" s="206"/>
      <c r="TA22" s="206"/>
      <c r="TB22" s="206"/>
      <c r="TC22" s="206"/>
      <c r="TD22" s="206"/>
      <c r="TE22" s="206"/>
      <c r="TF22" s="206"/>
      <c r="TG22" s="206"/>
      <c r="TH22" s="206"/>
      <c r="TI22" s="206"/>
      <c r="TJ22" s="206"/>
      <c r="TK22" s="206"/>
      <c r="TL22" s="206"/>
      <c r="TM22" s="206"/>
      <c r="TN22" s="206"/>
      <c r="TO22" s="206"/>
      <c r="TP22" s="206"/>
      <c r="TQ22" s="206"/>
      <c r="TR22" s="206"/>
      <c r="TS22" s="206"/>
      <c r="TT22" s="206"/>
      <c r="TU22" s="206"/>
      <c r="TV22" s="206"/>
      <c r="TW22" s="206"/>
      <c r="TX22" s="206"/>
      <c r="TY22" s="206"/>
      <c r="TZ22" s="206"/>
      <c r="UA22" s="206"/>
      <c r="UB22" s="206"/>
      <c r="UC22" s="206"/>
      <c r="UD22" s="206"/>
      <c r="UE22" s="206"/>
      <c r="UF22" s="206"/>
      <c r="UG22" s="206"/>
      <c r="UH22" s="206"/>
      <c r="UI22" s="206"/>
      <c r="UJ22" s="206"/>
      <c r="UK22" s="206"/>
      <c r="UL22" s="206"/>
      <c r="UM22" s="206"/>
      <c r="UN22" s="206"/>
      <c r="UO22" s="206"/>
      <c r="UP22" s="206"/>
      <c r="UQ22" s="206"/>
      <c r="UR22" s="206"/>
      <c r="US22" s="206"/>
      <c r="UT22" s="206"/>
      <c r="UU22" s="206"/>
      <c r="UV22" s="206"/>
      <c r="UW22" s="206"/>
      <c r="UX22" s="206"/>
      <c r="UY22" s="206"/>
      <c r="UZ22" s="206"/>
      <c r="VA22" s="206"/>
      <c r="VB22" s="206"/>
      <c r="VC22" s="206"/>
      <c r="VD22" s="206"/>
      <c r="VE22" s="206"/>
      <c r="VF22" s="206"/>
      <c r="VG22" s="206"/>
      <c r="VH22" s="206"/>
      <c r="VI22" s="206"/>
      <c r="VJ22" s="206"/>
      <c r="VK22" s="206"/>
      <c r="VL22" s="206"/>
      <c r="VM22" s="206"/>
      <c r="VN22" s="206"/>
      <c r="VO22" s="206"/>
      <c r="VP22" s="206"/>
      <c r="VQ22" s="206"/>
      <c r="VR22" s="206"/>
      <c r="VS22" s="206"/>
      <c r="VT22" s="206"/>
      <c r="VU22" s="206"/>
      <c r="VV22" s="206"/>
      <c r="VW22" s="206"/>
      <c r="VX22" s="206"/>
      <c r="VY22" s="206"/>
      <c r="VZ22" s="206"/>
      <c r="WA22" s="206"/>
      <c r="WB22" s="206"/>
      <c r="WC22" s="206"/>
      <c r="WD22" s="206"/>
      <c r="WE22" s="206"/>
      <c r="WF22" s="206"/>
      <c r="WG22" s="206"/>
      <c r="WH22" s="206"/>
      <c r="WI22" s="206"/>
      <c r="WJ22" s="206"/>
      <c r="WK22" s="206"/>
      <c r="WL22" s="206"/>
      <c r="WM22" s="206"/>
      <c r="WN22" s="206"/>
      <c r="WO22" s="206"/>
      <c r="WP22" s="206"/>
      <c r="WQ22" s="206"/>
      <c r="WR22" s="206"/>
      <c r="WS22" s="206"/>
      <c r="WT22" s="206"/>
      <c r="WU22" s="206"/>
      <c r="WV22" s="206"/>
      <c r="WW22" s="206"/>
      <c r="WX22" s="206"/>
      <c r="WY22" s="206"/>
      <c r="WZ22" s="206"/>
      <c r="XA22" s="206"/>
      <c r="XB22" s="206"/>
      <c r="XC22" s="206"/>
      <c r="XD22" s="206"/>
      <c r="XE22" s="206"/>
      <c r="XF22" s="206"/>
      <c r="XG22" s="206"/>
      <c r="XH22" s="206"/>
      <c r="XI22" s="206"/>
      <c r="XJ22" s="206"/>
      <c r="XK22" s="206"/>
      <c r="XL22" s="206"/>
      <c r="XM22" s="206"/>
      <c r="XN22" s="206"/>
      <c r="XO22" s="206"/>
      <c r="XP22" s="206"/>
      <c r="XQ22" s="206"/>
      <c r="XR22" s="206"/>
      <c r="XS22" s="206"/>
      <c r="XT22" s="206"/>
      <c r="XU22" s="206"/>
      <c r="XV22" s="206"/>
      <c r="XW22" s="206"/>
      <c r="XX22" s="206"/>
      <c r="XY22" s="206"/>
      <c r="XZ22" s="206"/>
      <c r="YA22" s="206"/>
      <c r="YB22" s="206"/>
      <c r="YC22" s="206"/>
      <c r="YD22" s="206"/>
      <c r="YE22" s="206"/>
      <c r="YF22" s="206"/>
      <c r="YG22" s="206"/>
      <c r="YH22" s="206"/>
      <c r="YI22" s="206"/>
      <c r="YJ22" s="206"/>
      <c r="YK22" s="206"/>
      <c r="YL22" s="206"/>
      <c r="YM22" s="206"/>
      <c r="YN22" s="206"/>
      <c r="YO22" s="206"/>
      <c r="YP22" s="206"/>
      <c r="YQ22" s="206"/>
      <c r="YR22" s="206"/>
      <c r="YS22" s="206"/>
      <c r="YT22" s="206"/>
      <c r="YU22" s="206"/>
      <c r="YV22" s="206"/>
      <c r="YW22" s="206"/>
      <c r="YX22" s="206"/>
      <c r="YY22" s="206"/>
      <c r="YZ22" s="206"/>
      <c r="ZA22" s="206"/>
      <c r="ZB22" s="206"/>
      <c r="ZC22" s="206"/>
      <c r="ZD22" s="206"/>
      <c r="ZE22" s="206"/>
      <c r="ZF22" s="206"/>
      <c r="ZG22" s="206"/>
      <c r="ZH22" s="206"/>
      <c r="ZI22" s="206"/>
      <c r="ZJ22" s="206"/>
      <c r="ZK22" s="206"/>
      <c r="ZL22" s="206"/>
      <c r="ZM22" s="206"/>
      <c r="ZN22" s="206"/>
      <c r="ZO22" s="206"/>
      <c r="ZP22" s="206"/>
      <c r="ZQ22" s="206"/>
      <c r="ZR22" s="206"/>
      <c r="ZS22" s="206"/>
      <c r="ZT22" s="206"/>
      <c r="ZU22" s="206"/>
      <c r="ZV22" s="206"/>
      <c r="ZW22" s="206"/>
      <c r="ZX22" s="206"/>
      <c r="ZY22" s="206"/>
      <c r="ZZ22" s="206"/>
      <c r="AAA22" s="206"/>
      <c r="AAB22" s="206"/>
      <c r="AAC22" s="206"/>
      <c r="AAD22" s="206"/>
      <c r="AAE22" s="206"/>
      <c r="AAF22" s="206"/>
      <c r="AAG22" s="206"/>
      <c r="AAH22" s="206"/>
      <c r="AAI22" s="206"/>
      <c r="AAJ22" s="206"/>
      <c r="AAK22" s="206"/>
      <c r="AAL22" s="206"/>
      <c r="AAM22" s="206"/>
      <c r="AAN22" s="206"/>
      <c r="AAO22" s="206"/>
      <c r="AAP22" s="206"/>
      <c r="AAQ22" s="206"/>
      <c r="AAR22" s="206"/>
      <c r="AAS22" s="206"/>
      <c r="AAT22" s="206"/>
      <c r="AAU22" s="206"/>
      <c r="AAV22" s="206"/>
      <c r="AAW22" s="206"/>
      <c r="AAX22" s="206"/>
      <c r="AAY22" s="206"/>
      <c r="AAZ22" s="206"/>
      <c r="ABA22" s="206"/>
      <c r="ABB22" s="206"/>
      <c r="ABC22" s="206"/>
      <c r="ABD22" s="206"/>
      <c r="ABE22" s="206"/>
      <c r="ABF22" s="206"/>
      <c r="ABG22" s="206"/>
      <c r="ABH22" s="206"/>
      <c r="ABI22" s="206"/>
      <c r="ABJ22" s="206"/>
      <c r="ABK22" s="206"/>
      <c r="ABL22" s="206"/>
      <c r="ABM22" s="206"/>
      <c r="ABN22" s="206"/>
      <c r="ABO22" s="206"/>
      <c r="ABP22" s="206"/>
      <c r="ABQ22" s="206"/>
      <c r="ABR22" s="206"/>
      <c r="ABS22" s="206"/>
      <c r="ABT22" s="206"/>
      <c r="ABU22" s="206"/>
      <c r="ABV22" s="206"/>
      <c r="ABW22" s="206"/>
      <c r="ABX22" s="206"/>
      <c r="ABY22" s="206"/>
      <c r="ABZ22" s="206"/>
      <c r="ACA22" s="206"/>
      <c r="ACB22" s="206"/>
      <c r="ACC22" s="206"/>
      <c r="ACD22" s="206"/>
      <c r="ACE22" s="206"/>
      <c r="ACF22" s="206"/>
      <c r="ACG22" s="206"/>
      <c r="ACH22" s="206"/>
      <c r="ACI22" s="206"/>
      <c r="ACJ22" s="206"/>
      <c r="ACK22" s="206"/>
      <c r="ACL22" s="206"/>
      <c r="ACM22" s="206"/>
      <c r="ACN22" s="206"/>
      <c r="ACO22" s="206"/>
      <c r="ACP22" s="206"/>
      <c r="ACQ22" s="206"/>
      <c r="ACR22" s="206"/>
      <c r="ACS22" s="206"/>
      <c r="ACT22" s="206"/>
      <c r="ACU22" s="206"/>
      <c r="ACV22" s="206"/>
      <c r="ACW22" s="206"/>
      <c r="ACX22" s="206"/>
      <c r="ACY22" s="206"/>
      <c r="ACZ22" s="206"/>
      <c r="ADA22" s="206"/>
      <c r="ADB22" s="206"/>
      <c r="ADC22" s="206"/>
      <c r="ADD22" s="206"/>
      <c r="ADE22" s="206"/>
      <c r="ADF22" s="206"/>
      <c r="ADG22" s="206"/>
      <c r="ADH22" s="206"/>
      <c r="ADI22" s="206"/>
      <c r="ADJ22" s="206"/>
      <c r="ADK22" s="206"/>
      <c r="ADL22" s="206"/>
      <c r="ADM22" s="206"/>
      <c r="ADN22" s="206"/>
      <c r="ADO22" s="206"/>
      <c r="ADP22" s="206"/>
      <c r="ADQ22" s="206"/>
      <c r="ADR22" s="206"/>
      <c r="ADS22" s="206"/>
      <c r="ADT22" s="206"/>
      <c r="ADU22" s="206"/>
      <c r="ADV22" s="206"/>
      <c r="ADW22" s="206"/>
      <c r="ADX22" s="206"/>
      <c r="ADY22" s="206"/>
      <c r="ADZ22" s="206"/>
      <c r="AEA22" s="206"/>
      <c r="AEB22" s="206"/>
      <c r="AEC22" s="206"/>
      <c r="AED22" s="206"/>
      <c r="AEE22" s="206"/>
      <c r="AEF22" s="206"/>
      <c r="AEG22" s="206"/>
      <c r="AEH22" s="206"/>
      <c r="AEI22" s="206"/>
      <c r="AEJ22" s="206"/>
      <c r="AEK22" s="206"/>
      <c r="AEL22" s="206"/>
      <c r="AEM22" s="206"/>
      <c r="AEN22" s="206"/>
      <c r="AEO22" s="206"/>
      <c r="AEP22" s="206"/>
      <c r="AEQ22" s="206"/>
      <c r="AER22" s="206"/>
      <c r="AES22" s="206"/>
      <c r="AET22" s="206"/>
      <c r="AEU22" s="206"/>
      <c r="AEV22" s="206"/>
      <c r="AEW22" s="206"/>
      <c r="AEX22" s="206"/>
      <c r="AEY22" s="206"/>
      <c r="AEZ22" s="206"/>
      <c r="AFA22" s="206"/>
      <c r="AFB22" s="206"/>
      <c r="AFC22" s="206"/>
      <c r="AFD22" s="206"/>
      <c r="AFE22" s="206"/>
      <c r="AFF22" s="206"/>
      <c r="AFG22" s="206"/>
      <c r="AFH22" s="206"/>
      <c r="AFI22" s="206"/>
      <c r="AFJ22" s="206"/>
      <c r="AFK22" s="206"/>
      <c r="AFL22" s="206"/>
      <c r="AFM22" s="206"/>
      <c r="AFN22" s="206"/>
      <c r="AFO22" s="206"/>
      <c r="AFP22" s="206"/>
      <c r="AFQ22" s="206"/>
      <c r="AFR22" s="206"/>
      <c r="AFS22" s="206"/>
      <c r="AFT22" s="206"/>
      <c r="AFU22" s="206"/>
      <c r="AFV22" s="206"/>
      <c r="AFW22" s="206"/>
      <c r="AFX22" s="206"/>
      <c r="AFY22" s="206"/>
      <c r="AFZ22" s="206"/>
      <c r="AGA22" s="206"/>
      <c r="AGB22" s="206"/>
      <c r="AGC22" s="206"/>
      <c r="AGD22" s="206"/>
      <c r="AGE22" s="206"/>
      <c r="AGF22" s="206"/>
      <c r="AGG22" s="206"/>
      <c r="AGH22" s="206"/>
      <c r="AGI22" s="206"/>
      <c r="AGJ22" s="206"/>
      <c r="AGK22" s="206"/>
      <c r="AGL22" s="206"/>
      <c r="AGM22" s="206"/>
      <c r="AGN22" s="206"/>
      <c r="AGO22" s="206"/>
      <c r="AGP22" s="206"/>
      <c r="AGQ22" s="206"/>
      <c r="AGR22" s="206"/>
      <c r="AGS22" s="206"/>
      <c r="AGT22" s="206"/>
      <c r="AGU22" s="206"/>
      <c r="AGV22" s="206"/>
      <c r="AGW22" s="206"/>
      <c r="AGX22" s="206"/>
      <c r="AGY22" s="206"/>
      <c r="AGZ22" s="206"/>
      <c r="AHA22" s="206"/>
      <c r="AHB22" s="206"/>
      <c r="AHC22" s="206"/>
      <c r="AHD22" s="206"/>
      <c r="AHE22" s="206"/>
      <c r="AHF22" s="206"/>
      <c r="AHG22" s="206"/>
      <c r="AHH22" s="206"/>
      <c r="AHI22" s="206"/>
      <c r="AHJ22" s="206"/>
      <c r="AHK22" s="206"/>
      <c r="AHL22" s="206"/>
      <c r="AHM22" s="206"/>
      <c r="AHN22" s="206"/>
      <c r="AHO22" s="206"/>
      <c r="AHP22" s="206"/>
      <c r="AHQ22" s="206"/>
      <c r="AHR22" s="206"/>
      <c r="AHS22" s="206"/>
      <c r="AHT22" s="206"/>
      <c r="AHU22" s="206"/>
      <c r="AHV22" s="206"/>
      <c r="AHW22" s="206"/>
      <c r="AHX22" s="206"/>
      <c r="AHY22" s="206"/>
      <c r="AHZ22" s="206"/>
      <c r="AIA22" s="206"/>
      <c r="AIB22" s="206"/>
      <c r="AIC22" s="206"/>
      <c r="AID22" s="206"/>
      <c r="AIE22" s="206"/>
      <c r="AIF22" s="206"/>
      <c r="AIG22" s="206"/>
      <c r="AIH22" s="206"/>
      <c r="AII22" s="206"/>
      <c r="AIJ22" s="206"/>
      <c r="AIK22" s="206"/>
      <c r="AIL22" s="206"/>
      <c r="AIM22" s="206"/>
      <c r="AIN22" s="206"/>
      <c r="AIO22" s="206"/>
      <c r="AIP22" s="206"/>
      <c r="AIQ22" s="206"/>
      <c r="AIR22" s="206"/>
      <c r="AIS22" s="206"/>
      <c r="AIT22" s="206"/>
      <c r="AIU22" s="206"/>
      <c r="AIV22" s="206"/>
      <c r="AIW22" s="206"/>
      <c r="AIX22" s="206"/>
      <c r="AIY22" s="206"/>
      <c r="AIZ22" s="206"/>
      <c r="AJA22" s="206"/>
      <c r="AJB22" s="206"/>
      <c r="AJC22" s="206"/>
      <c r="AJD22" s="206"/>
      <c r="AJE22" s="206"/>
      <c r="AJF22" s="206"/>
      <c r="AJG22" s="206"/>
      <c r="AJH22" s="206"/>
      <c r="AJI22" s="206"/>
      <c r="AJJ22" s="206"/>
      <c r="AJK22" s="206"/>
      <c r="AJL22" s="206"/>
      <c r="AJM22" s="206"/>
      <c r="AJN22" s="206"/>
      <c r="AJO22" s="206"/>
      <c r="AJP22" s="206"/>
      <c r="AJQ22" s="206"/>
      <c r="AJR22" s="206"/>
      <c r="AJS22" s="206"/>
      <c r="AJT22" s="206"/>
      <c r="AJU22" s="206"/>
      <c r="AJV22" s="206"/>
      <c r="AJW22" s="206"/>
      <c r="AJX22" s="206"/>
      <c r="AJY22" s="206"/>
      <c r="AJZ22" s="206"/>
      <c r="AKA22" s="206"/>
      <c r="AKB22" s="206"/>
      <c r="AKC22" s="206"/>
      <c r="AKD22" s="206"/>
      <c r="AKE22" s="206"/>
      <c r="AKF22" s="206"/>
      <c r="AKG22" s="206"/>
      <c r="AKH22" s="206"/>
      <c r="AKI22" s="206"/>
      <c r="AKJ22" s="206"/>
      <c r="AKK22" s="206"/>
      <c r="AKL22" s="206"/>
      <c r="AKM22" s="206"/>
      <c r="AKN22" s="206"/>
      <c r="AKO22" s="206"/>
      <c r="AKP22" s="206"/>
      <c r="AKQ22" s="206"/>
      <c r="AKR22" s="206"/>
      <c r="AKS22" s="206"/>
      <c r="AKT22" s="206"/>
      <c r="AKU22" s="206"/>
      <c r="AKV22" s="206"/>
      <c r="AKW22" s="206"/>
      <c r="AKX22" s="206"/>
      <c r="AKY22" s="206"/>
      <c r="AKZ22" s="206"/>
      <c r="ALA22" s="206"/>
      <c r="ALB22" s="206"/>
      <c r="ALC22" s="206"/>
      <c r="ALD22" s="206"/>
      <c r="ALE22" s="206"/>
      <c r="ALF22" s="206"/>
      <c r="ALG22" s="206"/>
      <c r="ALH22" s="206"/>
      <c r="ALI22" s="206"/>
      <c r="ALJ22" s="206"/>
      <c r="ALK22" s="206"/>
      <c r="ALL22" s="206"/>
      <c r="ALM22" s="206"/>
      <c r="ALN22" s="206"/>
      <c r="ALO22" s="206"/>
      <c r="ALP22" s="206"/>
      <c r="ALQ22" s="206"/>
      <c r="ALR22" s="206"/>
      <c r="ALS22" s="206"/>
      <c r="ALT22" s="206"/>
      <c r="ALU22" s="206"/>
      <c r="ALV22" s="206"/>
      <c r="ALW22" s="206"/>
      <c r="ALX22" s="206"/>
      <c r="ALY22" s="206"/>
      <c r="ALZ22" s="206"/>
      <c r="AMA22" s="206"/>
      <c r="AMB22" s="206"/>
      <c r="AMC22" s="206"/>
      <c r="AMD22" s="206"/>
      <c r="AME22" s="206"/>
      <c r="AMF22" s="206"/>
      <c r="AMG22" s="206"/>
      <c r="AMH22" s="206"/>
      <c r="AMI22" s="206"/>
      <c r="AMJ22" s="206"/>
      <c r="AMK22" s="206"/>
      <c r="AML22" s="206"/>
      <c r="AMM22" s="206"/>
      <c r="AMN22" s="206"/>
      <c r="AMO22" s="206"/>
      <c r="AMP22" s="206"/>
      <c r="AMQ22" s="206"/>
      <c r="AMR22" s="206"/>
      <c r="AMS22" s="206"/>
      <c r="AMT22" s="206"/>
      <c r="AMU22" s="206"/>
      <c r="AMV22" s="206"/>
      <c r="AMW22" s="206"/>
      <c r="AMX22" s="206"/>
      <c r="AMY22" s="206"/>
      <c r="AMZ22" s="206"/>
      <c r="ANA22" s="206"/>
      <c r="ANB22" s="206"/>
      <c r="ANC22" s="206"/>
      <c r="AND22" s="206"/>
      <c r="ANE22" s="206"/>
      <c r="ANF22" s="206"/>
      <c r="ANG22" s="206"/>
      <c r="ANH22" s="206"/>
      <c r="ANI22" s="206"/>
      <c r="ANJ22" s="206"/>
      <c r="ANK22" s="206"/>
      <c r="ANL22" s="206"/>
      <c r="ANM22" s="206"/>
      <c r="ANN22" s="206"/>
      <c r="ANO22" s="206"/>
      <c r="ANP22" s="206"/>
      <c r="ANQ22" s="206"/>
      <c r="ANR22" s="206"/>
      <c r="ANS22" s="206"/>
      <c r="ANT22" s="206"/>
      <c r="ANU22" s="206"/>
      <c r="ANV22" s="206"/>
      <c r="ANW22" s="206"/>
      <c r="ANX22" s="206"/>
      <c r="ANY22" s="206"/>
      <c r="ANZ22" s="206"/>
      <c r="AOA22" s="206"/>
      <c r="AOB22" s="206"/>
      <c r="AOC22" s="206"/>
      <c r="AOD22" s="206"/>
      <c r="AOE22" s="206"/>
      <c r="AOF22" s="206"/>
      <c r="AOG22" s="206"/>
      <c r="AOH22" s="206"/>
      <c r="AOI22" s="206"/>
      <c r="AOJ22" s="206"/>
      <c r="AOK22" s="206"/>
      <c r="AOL22" s="206"/>
      <c r="AOM22" s="206"/>
      <c r="AON22" s="206"/>
      <c r="AOO22" s="206"/>
      <c r="AOP22" s="206"/>
      <c r="AOQ22" s="206"/>
      <c r="AOR22" s="206"/>
      <c r="AOS22" s="206"/>
      <c r="AOT22" s="206"/>
      <c r="AOU22" s="206"/>
      <c r="AOV22" s="206"/>
      <c r="AOW22" s="206"/>
      <c r="AOX22" s="206"/>
      <c r="AOY22" s="206"/>
      <c r="AOZ22" s="206"/>
      <c r="APA22" s="206"/>
      <c r="APB22" s="206"/>
      <c r="APC22" s="206"/>
      <c r="APD22" s="206"/>
      <c r="APE22" s="206"/>
      <c r="APF22" s="206"/>
      <c r="APG22" s="206"/>
      <c r="APH22" s="206"/>
      <c r="API22" s="206"/>
      <c r="APJ22" s="206"/>
      <c r="APK22" s="206"/>
      <c r="APL22" s="206"/>
      <c r="APM22" s="206"/>
      <c r="APN22" s="206"/>
      <c r="APO22" s="206"/>
      <c r="APP22" s="206"/>
      <c r="APQ22" s="206"/>
      <c r="APR22" s="206"/>
      <c r="APS22" s="206"/>
      <c r="APT22" s="206"/>
      <c r="APU22" s="206"/>
      <c r="APV22" s="206"/>
      <c r="APW22" s="206"/>
      <c r="APX22" s="206"/>
      <c r="APY22" s="206"/>
      <c r="APZ22" s="206"/>
      <c r="AQA22" s="206"/>
      <c r="AQB22" s="206"/>
      <c r="AQC22" s="206"/>
      <c r="AQD22" s="206"/>
      <c r="AQE22" s="206"/>
      <c r="AQF22" s="206"/>
      <c r="AQG22" s="206"/>
      <c r="AQH22" s="206"/>
      <c r="AQI22" s="206"/>
      <c r="AQJ22" s="206"/>
      <c r="AQK22" s="206"/>
      <c r="AQL22" s="206"/>
      <c r="AQM22" s="206"/>
      <c r="AQN22" s="206"/>
      <c r="AQO22" s="206"/>
      <c r="AQP22" s="206"/>
      <c r="AQQ22" s="206"/>
      <c r="AQR22" s="206"/>
      <c r="AQS22" s="206"/>
      <c r="AQT22" s="206"/>
      <c r="AQU22" s="206"/>
      <c r="AQV22" s="206"/>
      <c r="AQW22" s="206"/>
      <c r="AQX22" s="206"/>
      <c r="AQY22" s="206"/>
      <c r="AQZ22" s="206"/>
      <c r="ARA22" s="206"/>
      <c r="ARB22" s="206"/>
      <c r="ARC22" s="206"/>
      <c r="ARD22" s="206"/>
      <c r="ARE22" s="206"/>
      <c r="ARF22" s="206"/>
      <c r="ARG22" s="206"/>
      <c r="ARH22" s="206"/>
      <c r="ARI22" s="206"/>
      <c r="ARJ22" s="206"/>
      <c r="ARK22" s="206"/>
      <c r="ARL22" s="206"/>
      <c r="ARM22" s="206"/>
      <c r="ARN22" s="206"/>
      <c r="ARO22" s="206"/>
      <c r="ARP22" s="206"/>
      <c r="ARQ22" s="206"/>
      <c r="ARR22" s="206"/>
      <c r="ARS22" s="206"/>
      <c r="ART22" s="206"/>
      <c r="ARU22" s="206"/>
      <c r="ARV22" s="206"/>
      <c r="ARW22" s="206"/>
      <c r="ARX22" s="206"/>
      <c r="ARY22" s="206"/>
      <c r="ARZ22" s="206"/>
      <c r="ASA22" s="206"/>
      <c r="ASB22" s="206"/>
      <c r="ASC22" s="206"/>
      <c r="ASD22" s="206"/>
      <c r="ASE22" s="206"/>
      <c r="ASF22" s="206"/>
      <c r="ASG22" s="206"/>
      <c r="ASH22" s="206"/>
      <c r="ASI22" s="206"/>
      <c r="ASJ22" s="206"/>
      <c r="ASK22" s="206"/>
      <c r="ASL22" s="206"/>
      <c r="ASM22" s="206"/>
      <c r="ASN22" s="206"/>
      <c r="ASO22" s="206"/>
      <c r="ASP22" s="206"/>
      <c r="ASQ22" s="206"/>
      <c r="ASR22" s="206"/>
      <c r="ASS22" s="206"/>
      <c r="AST22" s="206"/>
      <c r="ASU22" s="206"/>
      <c r="ASV22" s="206"/>
      <c r="ASW22" s="206"/>
      <c r="ASX22" s="206"/>
      <c r="ASY22" s="206"/>
      <c r="ASZ22" s="206"/>
      <c r="ATA22" s="206"/>
      <c r="ATB22" s="206"/>
      <c r="ATC22" s="206"/>
      <c r="ATD22" s="206"/>
      <c r="ATE22" s="206"/>
      <c r="ATF22" s="206"/>
      <c r="ATG22" s="206"/>
      <c r="ATH22" s="206"/>
      <c r="ATI22" s="206"/>
      <c r="ATJ22" s="206"/>
      <c r="ATK22" s="206"/>
      <c r="ATL22" s="206"/>
      <c r="ATM22" s="206"/>
      <c r="ATN22" s="206"/>
      <c r="ATO22" s="206"/>
      <c r="ATP22" s="206"/>
      <c r="ATQ22" s="206"/>
      <c r="ATR22" s="206"/>
      <c r="ATS22" s="206"/>
      <c r="ATT22" s="206"/>
      <c r="ATU22" s="206"/>
      <c r="ATV22" s="206"/>
      <c r="ATW22" s="206"/>
      <c r="ATX22" s="206"/>
      <c r="ATY22" s="206"/>
      <c r="ATZ22" s="206"/>
      <c r="AUA22" s="206"/>
      <c r="AUB22" s="206"/>
      <c r="AUC22" s="206"/>
      <c r="AUD22" s="206"/>
      <c r="AUE22" s="206"/>
      <c r="AUF22" s="206"/>
      <c r="AUG22" s="206"/>
      <c r="AUH22" s="206"/>
      <c r="AUI22" s="206"/>
      <c r="AUJ22" s="206"/>
      <c r="AUK22" s="206"/>
      <c r="AUL22" s="206"/>
      <c r="AUM22" s="206"/>
      <c r="AUN22" s="206"/>
      <c r="AUO22" s="206"/>
      <c r="AUP22" s="206"/>
      <c r="AUQ22" s="206"/>
      <c r="AUR22" s="206"/>
      <c r="AUS22" s="206"/>
      <c r="AUT22" s="206"/>
      <c r="AUU22" s="206"/>
      <c r="AUV22" s="206"/>
      <c r="AUW22" s="206"/>
      <c r="AUX22" s="206"/>
      <c r="AUY22" s="206"/>
      <c r="AUZ22" s="206"/>
      <c r="AVA22" s="206"/>
      <c r="AVB22" s="206"/>
      <c r="AVC22" s="206"/>
      <c r="AVD22" s="206"/>
      <c r="AVE22" s="206"/>
      <c r="AVF22" s="206"/>
      <c r="AVG22" s="206"/>
      <c r="AVH22" s="206"/>
      <c r="AVI22" s="206"/>
      <c r="AVJ22" s="206"/>
      <c r="AVK22" s="206"/>
      <c r="AVL22" s="206"/>
      <c r="AVM22" s="206"/>
      <c r="AVN22" s="206"/>
      <c r="AVO22" s="206"/>
      <c r="AVP22" s="206"/>
      <c r="AVQ22" s="206"/>
      <c r="AVR22" s="206"/>
      <c r="AVS22" s="206"/>
      <c r="AVT22" s="206"/>
      <c r="AVU22" s="206"/>
      <c r="AVV22" s="206"/>
      <c r="AVW22" s="206"/>
      <c r="AVX22" s="206"/>
      <c r="AVY22" s="206"/>
      <c r="AVZ22" s="206"/>
      <c r="AWA22" s="206"/>
      <c r="AWB22" s="206"/>
      <c r="AWC22" s="206"/>
      <c r="AWD22" s="206"/>
      <c r="AWE22" s="206"/>
      <c r="AWF22" s="206"/>
      <c r="AWG22" s="206"/>
      <c r="AWH22" s="206"/>
      <c r="AWI22" s="206"/>
      <c r="AWJ22" s="206"/>
      <c r="AWK22" s="206"/>
      <c r="AWL22" s="206"/>
      <c r="AWM22" s="206"/>
      <c r="AWN22" s="206"/>
      <c r="AWO22" s="206"/>
      <c r="AWP22" s="206"/>
      <c r="AWQ22" s="206"/>
      <c r="AWR22" s="206"/>
      <c r="AWS22" s="206"/>
      <c r="AWT22" s="206"/>
      <c r="AWU22" s="206"/>
      <c r="AWV22" s="206"/>
      <c r="AWW22" s="206"/>
      <c r="AWX22" s="206"/>
      <c r="AWY22" s="206"/>
      <c r="AWZ22" s="206"/>
      <c r="AXA22" s="206"/>
      <c r="AXB22" s="206"/>
      <c r="AXC22" s="206"/>
      <c r="AXD22" s="206"/>
      <c r="AXE22" s="206"/>
      <c r="AXF22" s="206"/>
      <c r="AXG22" s="206"/>
      <c r="AXH22" s="206"/>
      <c r="AXI22" s="206"/>
      <c r="AXJ22" s="206"/>
      <c r="AXK22" s="206"/>
      <c r="AXL22" s="206"/>
      <c r="AXM22" s="206"/>
      <c r="AXN22" s="206"/>
      <c r="AXO22" s="206"/>
      <c r="AXP22" s="206"/>
      <c r="AXQ22" s="206"/>
      <c r="AXR22" s="206"/>
      <c r="AXS22" s="206"/>
      <c r="AXT22" s="206"/>
      <c r="AXU22" s="206"/>
      <c r="AXV22" s="206"/>
      <c r="AXW22" s="206"/>
      <c r="AXX22" s="206"/>
      <c r="AXY22" s="206"/>
      <c r="AXZ22" s="206"/>
      <c r="AYA22" s="206"/>
      <c r="AYB22" s="206"/>
      <c r="AYC22" s="206"/>
      <c r="AYD22" s="206"/>
      <c r="AYE22" s="206"/>
      <c r="AYF22" s="206"/>
      <c r="AYG22" s="206"/>
      <c r="AYH22" s="206"/>
      <c r="AYI22" s="206"/>
      <c r="AYJ22" s="206"/>
      <c r="AYK22" s="206"/>
      <c r="AYL22" s="206"/>
      <c r="AYM22" s="206"/>
      <c r="AYN22" s="206"/>
      <c r="AYO22" s="206"/>
      <c r="AYP22" s="206"/>
      <c r="AYQ22" s="206"/>
      <c r="AYR22" s="206"/>
      <c r="AYS22" s="206"/>
      <c r="AYT22" s="206"/>
      <c r="AYU22" s="206"/>
      <c r="AYV22" s="206"/>
      <c r="AYW22" s="206"/>
      <c r="AYX22" s="206"/>
      <c r="AYY22" s="206"/>
      <c r="AYZ22" s="206"/>
      <c r="AZA22" s="206"/>
      <c r="AZB22" s="206"/>
      <c r="AZC22" s="206"/>
      <c r="AZD22" s="206"/>
      <c r="AZE22" s="206"/>
      <c r="AZF22" s="206"/>
      <c r="AZG22" s="206"/>
      <c r="AZH22" s="206"/>
      <c r="AZI22" s="206"/>
      <c r="AZJ22" s="206"/>
      <c r="AZK22" s="206"/>
      <c r="AZL22" s="206"/>
      <c r="AZM22" s="206"/>
      <c r="AZN22" s="206"/>
      <c r="AZO22" s="206"/>
      <c r="AZP22" s="206"/>
      <c r="AZQ22" s="206"/>
      <c r="AZR22" s="206"/>
      <c r="AZS22" s="206"/>
      <c r="AZT22" s="206"/>
      <c r="AZU22" s="206"/>
      <c r="AZV22" s="206"/>
      <c r="AZW22" s="206"/>
      <c r="AZX22" s="206"/>
      <c r="AZY22" s="206"/>
      <c r="AZZ22" s="206"/>
      <c r="BAA22" s="206"/>
      <c r="BAB22" s="206"/>
      <c r="BAC22" s="206"/>
      <c r="BAD22" s="206"/>
      <c r="BAE22" s="206"/>
      <c r="BAF22" s="206"/>
      <c r="BAG22" s="206"/>
      <c r="BAH22" s="206"/>
      <c r="BAI22" s="206"/>
      <c r="BAJ22" s="206"/>
      <c r="BAK22" s="206"/>
      <c r="BAL22" s="206"/>
      <c r="BAM22" s="206"/>
      <c r="BAN22" s="206"/>
      <c r="BAO22" s="206"/>
      <c r="BAP22" s="206"/>
      <c r="BAQ22" s="206"/>
      <c r="BAR22" s="206"/>
      <c r="BAS22" s="206"/>
      <c r="BAT22" s="206"/>
      <c r="BAU22" s="206"/>
      <c r="BAV22" s="206"/>
      <c r="BAW22" s="206"/>
      <c r="BAX22" s="206"/>
      <c r="BAY22" s="206"/>
      <c r="BAZ22" s="206"/>
      <c r="BBA22" s="206"/>
      <c r="BBB22" s="206"/>
      <c r="BBC22" s="206"/>
      <c r="BBD22" s="206"/>
      <c r="BBE22" s="206"/>
      <c r="BBF22" s="206"/>
      <c r="BBG22" s="206"/>
      <c r="BBH22" s="206"/>
      <c r="BBI22" s="206"/>
      <c r="BBJ22" s="206"/>
      <c r="BBK22" s="206"/>
      <c r="BBL22" s="206"/>
      <c r="BBM22" s="206"/>
      <c r="BBN22" s="206"/>
      <c r="BBO22" s="206"/>
      <c r="BBP22" s="206"/>
      <c r="BBQ22" s="206"/>
      <c r="BBR22" s="206"/>
      <c r="BBS22" s="206"/>
      <c r="BBT22" s="206"/>
      <c r="BBU22" s="206"/>
      <c r="BBV22" s="206"/>
      <c r="BBW22" s="206"/>
      <c r="BBX22" s="206"/>
      <c r="BBY22" s="206"/>
      <c r="BBZ22" s="206"/>
      <c r="BCA22" s="206"/>
      <c r="BCB22" s="206"/>
      <c r="BCC22" s="206"/>
      <c r="BCD22" s="206"/>
      <c r="BCE22" s="206"/>
      <c r="BCF22" s="206"/>
      <c r="BCG22" s="206"/>
      <c r="BCH22" s="206"/>
      <c r="BCI22" s="206"/>
      <c r="BCJ22" s="206"/>
      <c r="BCK22" s="206"/>
      <c r="BCL22" s="206"/>
      <c r="BCM22" s="206"/>
      <c r="BCN22" s="206"/>
      <c r="BCO22" s="206"/>
      <c r="BCP22" s="206"/>
      <c r="BCQ22" s="206"/>
      <c r="BCR22" s="206"/>
      <c r="BCS22" s="206"/>
      <c r="BCT22" s="206"/>
      <c r="BCU22" s="206"/>
      <c r="BCV22" s="206"/>
      <c r="BCW22" s="206"/>
      <c r="BCX22" s="206"/>
      <c r="BCY22" s="206"/>
      <c r="BCZ22" s="206"/>
      <c r="BDA22" s="206"/>
      <c r="BDB22" s="206"/>
      <c r="BDC22" s="206"/>
      <c r="BDD22" s="206"/>
      <c r="BDE22" s="206"/>
      <c r="BDF22" s="206"/>
      <c r="BDG22" s="206"/>
      <c r="BDH22" s="206"/>
      <c r="BDI22" s="206"/>
      <c r="BDJ22" s="206"/>
      <c r="BDK22" s="206"/>
      <c r="BDL22" s="206"/>
      <c r="BDM22" s="206"/>
      <c r="BDN22" s="206"/>
      <c r="BDO22" s="206"/>
      <c r="BDP22" s="206"/>
      <c r="BDQ22" s="206"/>
      <c r="BDR22" s="206"/>
      <c r="BDS22" s="206"/>
      <c r="BDT22" s="206"/>
      <c r="BDU22" s="206"/>
      <c r="BDV22" s="206"/>
      <c r="BDW22" s="206"/>
      <c r="BDX22" s="206"/>
      <c r="BDY22" s="206"/>
      <c r="BDZ22" s="206"/>
      <c r="BEA22" s="206"/>
      <c r="BEB22" s="206"/>
      <c r="BEC22" s="206"/>
      <c r="BED22" s="206"/>
      <c r="BEE22" s="206"/>
      <c r="BEF22" s="206"/>
      <c r="BEG22" s="206"/>
      <c r="BEH22" s="206"/>
      <c r="BEI22" s="206"/>
      <c r="BEJ22" s="206"/>
      <c r="BEK22" s="206"/>
      <c r="BEL22" s="206"/>
      <c r="BEM22" s="206"/>
      <c r="BEN22" s="206"/>
      <c r="BEO22" s="206"/>
      <c r="BEP22" s="206"/>
      <c r="BEQ22" s="206"/>
      <c r="BER22" s="206"/>
      <c r="BES22" s="206"/>
      <c r="BET22" s="206"/>
      <c r="BEU22" s="206"/>
      <c r="BEV22" s="206"/>
      <c r="BEW22" s="206"/>
      <c r="BEX22" s="206"/>
      <c r="BEY22" s="206"/>
      <c r="BEZ22" s="206"/>
      <c r="BFA22" s="206"/>
      <c r="BFB22" s="206"/>
      <c r="BFC22" s="206"/>
      <c r="BFD22" s="206"/>
      <c r="BFE22" s="206"/>
      <c r="BFF22" s="206"/>
      <c r="BFG22" s="206"/>
      <c r="BFH22" s="206"/>
      <c r="BFI22" s="206"/>
      <c r="BFJ22" s="206"/>
      <c r="BFK22" s="206"/>
      <c r="BFL22" s="206"/>
      <c r="BFM22" s="206"/>
      <c r="BFN22" s="206"/>
      <c r="BFO22" s="206"/>
      <c r="BFP22" s="206"/>
      <c r="BFQ22" s="206"/>
      <c r="BFR22" s="206"/>
      <c r="BFS22" s="206"/>
      <c r="BFT22" s="206"/>
      <c r="BFU22" s="206"/>
      <c r="BFV22" s="206"/>
      <c r="BFW22" s="206"/>
      <c r="BFX22" s="206"/>
      <c r="BFY22" s="206"/>
      <c r="BFZ22" s="206"/>
      <c r="BGA22" s="206"/>
      <c r="BGB22" s="206"/>
      <c r="BGC22" s="206"/>
      <c r="BGD22" s="206"/>
      <c r="BGE22" s="206"/>
      <c r="BGF22" s="206"/>
      <c r="BGG22" s="206"/>
      <c r="BGH22" s="206"/>
      <c r="BGI22" s="206"/>
      <c r="BGJ22" s="206"/>
      <c r="BGK22" s="206"/>
      <c r="BGL22" s="206"/>
      <c r="BGM22" s="206"/>
      <c r="BGN22" s="206"/>
      <c r="BGO22" s="206"/>
      <c r="BGP22" s="206"/>
      <c r="BGQ22" s="206"/>
      <c r="BGR22" s="206"/>
      <c r="BGS22" s="206"/>
      <c r="BGT22" s="206"/>
      <c r="BGU22" s="206"/>
      <c r="BGV22" s="206"/>
      <c r="BGW22" s="206"/>
      <c r="BGX22" s="206"/>
      <c r="BGY22" s="206"/>
      <c r="BGZ22" s="206"/>
      <c r="BHA22" s="206"/>
      <c r="BHB22" s="206"/>
      <c r="BHC22" s="206"/>
      <c r="BHD22" s="206"/>
      <c r="BHE22" s="206"/>
      <c r="BHF22" s="206"/>
      <c r="BHG22" s="206"/>
      <c r="BHH22" s="206"/>
      <c r="BHI22" s="206"/>
      <c r="BHJ22" s="206"/>
      <c r="BHK22" s="206"/>
      <c r="BHL22" s="206"/>
      <c r="BHM22" s="206"/>
      <c r="BHN22" s="206"/>
      <c r="BHO22" s="206"/>
      <c r="BHP22" s="206"/>
      <c r="BHQ22" s="206"/>
      <c r="BHR22" s="206"/>
      <c r="BHS22" s="206"/>
      <c r="BHT22" s="206"/>
      <c r="BHU22" s="206"/>
      <c r="BHV22" s="206"/>
      <c r="BHW22" s="206"/>
      <c r="BHX22" s="206"/>
      <c r="BHY22" s="206"/>
      <c r="BHZ22" s="206"/>
      <c r="BIA22" s="206"/>
      <c r="BIB22" s="206"/>
      <c r="BIC22" s="206"/>
      <c r="BID22" s="206"/>
      <c r="BIE22" s="206"/>
      <c r="BIF22" s="206"/>
      <c r="BIG22" s="206"/>
      <c r="BIH22" s="206"/>
      <c r="BII22" s="206"/>
      <c r="BIJ22" s="206"/>
      <c r="BIK22" s="206"/>
      <c r="BIL22" s="206"/>
      <c r="BIM22" s="206"/>
      <c r="BIN22" s="206"/>
      <c r="BIO22" s="206"/>
      <c r="BIP22" s="206"/>
      <c r="BIQ22" s="206"/>
      <c r="BIR22" s="206"/>
      <c r="BIS22" s="206"/>
      <c r="BIT22" s="206"/>
      <c r="BIU22" s="206"/>
      <c r="BIV22" s="206"/>
      <c r="BIW22" s="206"/>
      <c r="BIX22" s="206"/>
      <c r="BIY22" s="206"/>
      <c r="BIZ22" s="206"/>
      <c r="BJA22" s="206"/>
      <c r="BJB22" s="206"/>
      <c r="BJC22" s="206"/>
      <c r="BJD22" s="206"/>
      <c r="BJE22" s="206"/>
      <c r="BJF22" s="206"/>
      <c r="BJG22" s="206"/>
      <c r="BJH22" s="206"/>
      <c r="BJI22" s="206"/>
      <c r="BJJ22" s="206"/>
      <c r="BJK22" s="206"/>
      <c r="BJL22" s="206"/>
      <c r="BJM22" s="206"/>
      <c r="BJN22" s="206"/>
      <c r="BJO22" s="206"/>
      <c r="BJP22" s="206"/>
      <c r="BJQ22" s="206"/>
      <c r="BJR22" s="206"/>
      <c r="BJS22" s="206"/>
      <c r="BJT22" s="206"/>
      <c r="BJU22" s="206"/>
      <c r="BJV22" s="206"/>
      <c r="BJW22" s="206"/>
      <c r="BJX22" s="206"/>
      <c r="BJY22" s="206"/>
      <c r="BJZ22" s="206"/>
      <c r="BKA22" s="206"/>
      <c r="BKB22" s="206"/>
      <c r="BKC22" s="206"/>
      <c r="BKD22" s="206"/>
      <c r="BKE22" s="206"/>
      <c r="BKF22" s="206"/>
      <c r="BKG22" s="206"/>
      <c r="BKH22" s="206"/>
      <c r="BKI22" s="206"/>
      <c r="BKJ22" s="206"/>
      <c r="BKK22" s="206"/>
      <c r="BKL22" s="206"/>
      <c r="BKM22" s="206"/>
      <c r="BKN22" s="206"/>
      <c r="BKO22" s="206"/>
      <c r="BKP22" s="206"/>
      <c r="BKQ22" s="206"/>
      <c r="BKR22" s="206"/>
      <c r="BKS22" s="206"/>
      <c r="BKT22" s="206"/>
      <c r="BKU22" s="206"/>
      <c r="BKV22" s="206"/>
      <c r="BKW22" s="206"/>
      <c r="BKX22" s="206"/>
      <c r="BKY22" s="206"/>
      <c r="BKZ22" s="206"/>
      <c r="BLA22" s="206"/>
      <c r="BLB22" s="206"/>
      <c r="BLC22" s="206"/>
      <c r="BLD22" s="206"/>
      <c r="BLE22" s="206"/>
      <c r="BLF22" s="206"/>
      <c r="BLG22" s="206"/>
      <c r="BLH22" s="206"/>
      <c r="BLI22" s="206"/>
      <c r="BLJ22" s="206"/>
      <c r="BLK22" s="206"/>
      <c r="BLL22" s="206"/>
      <c r="BLM22" s="206"/>
      <c r="BLN22" s="206"/>
      <c r="BLO22" s="206"/>
      <c r="BLP22" s="206"/>
      <c r="BLQ22" s="206"/>
      <c r="BLR22" s="206"/>
      <c r="BLS22" s="206"/>
      <c r="BLT22" s="206"/>
      <c r="BLU22" s="206"/>
      <c r="BLV22" s="206"/>
      <c r="BLW22" s="206"/>
      <c r="BLX22" s="206"/>
      <c r="BLY22" s="206"/>
      <c r="BLZ22" s="206"/>
      <c r="BMA22" s="206"/>
      <c r="BMB22" s="206"/>
      <c r="BMC22" s="206"/>
      <c r="BMD22" s="206"/>
      <c r="BME22" s="206"/>
      <c r="BMF22" s="206"/>
      <c r="BMG22" s="206"/>
      <c r="BMH22" s="206"/>
      <c r="BMI22" s="206"/>
      <c r="BMJ22" s="206"/>
      <c r="BMK22" s="206"/>
      <c r="BML22" s="206"/>
      <c r="BMM22" s="206"/>
      <c r="BMN22" s="206"/>
      <c r="BMO22" s="206"/>
      <c r="BMP22" s="206"/>
      <c r="BMQ22" s="206"/>
      <c r="BMR22" s="206"/>
      <c r="BMS22" s="206"/>
      <c r="BMT22" s="206"/>
      <c r="BMU22" s="206"/>
      <c r="BMV22" s="206"/>
      <c r="BMW22" s="206"/>
      <c r="BMX22" s="206"/>
      <c r="BMY22" s="206"/>
      <c r="BMZ22" s="206"/>
      <c r="BNA22" s="206"/>
      <c r="BNB22" s="206"/>
      <c r="BNC22" s="206"/>
      <c r="BND22" s="206"/>
      <c r="BNE22" s="206"/>
      <c r="BNF22" s="206"/>
      <c r="BNG22" s="206"/>
      <c r="BNH22" s="206"/>
      <c r="BNI22" s="206"/>
      <c r="BNJ22" s="206"/>
      <c r="BNK22" s="206"/>
      <c r="BNL22" s="206"/>
      <c r="BNM22" s="206"/>
      <c r="BNN22" s="206"/>
      <c r="BNO22" s="206"/>
      <c r="BNP22" s="206"/>
      <c r="BNQ22" s="206"/>
      <c r="BNR22" s="206"/>
      <c r="BNS22" s="206"/>
      <c r="BNT22" s="206"/>
      <c r="BNU22" s="206"/>
      <c r="BNV22" s="206"/>
      <c r="BNW22" s="206"/>
      <c r="BNX22" s="206"/>
      <c r="BNY22" s="206"/>
      <c r="BNZ22" s="206"/>
      <c r="BOA22" s="206"/>
      <c r="BOB22" s="206"/>
      <c r="BOC22" s="206"/>
      <c r="BOD22" s="206"/>
      <c r="BOE22" s="206"/>
      <c r="BOF22" s="206"/>
      <c r="BOG22" s="206"/>
      <c r="BOH22" s="206"/>
      <c r="BOI22" s="206"/>
      <c r="BOJ22" s="206"/>
      <c r="BOK22" s="206"/>
      <c r="BOL22" s="206"/>
      <c r="BOM22" s="206"/>
      <c r="BON22" s="206"/>
      <c r="BOO22" s="206"/>
      <c r="BOP22" s="206"/>
      <c r="BOQ22" s="206"/>
      <c r="BOR22" s="206"/>
      <c r="BOS22" s="206"/>
      <c r="BOT22" s="206"/>
      <c r="BOU22" s="206"/>
      <c r="BOV22" s="206"/>
      <c r="BOW22" s="206"/>
      <c r="BOX22" s="206"/>
      <c r="BOY22" s="206"/>
      <c r="BOZ22" s="206"/>
      <c r="BPA22" s="206"/>
      <c r="BPB22" s="206"/>
      <c r="BPC22" s="206"/>
      <c r="BPD22" s="206"/>
      <c r="BPE22" s="206"/>
      <c r="BPF22" s="206"/>
      <c r="BPG22" s="206"/>
      <c r="BPH22" s="206"/>
      <c r="BPI22" s="206"/>
      <c r="BPJ22" s="206"/>
      <c r="BPK22" s="206"/>
      <c r="BPL22" s="206"/>
      <c r="BPM22" s="206"/>
      <c r="BPN22" s="206"/>
      <c r="BPO22" s="206"/>
      <c r="BPP22" s="206"/>
      <c r="BPQ22" s="206"/>
      <c r="BPR22" s="206"/>
      <c r="BPS22" s="206"/>
      <c r="BPT22" s="206"/>
      <c r="BPU22" s="206"/>
      <c r="BPV22" s="206"/>
      <c r="BPW22" s="206"/>
      <c r="BPX22" s="206"/>
      <c r="BPY22" s="206"/>
      <c r="BPZ22" s="206"/>
      <c r="BQA22" s="206"/>
      <c r="BQB22" s="206"/>
      <c r="BQC22" s="206"/>
      <c r="BQD22" s="206"/>
      <c r="BQE22" s="206"/>
      <c r="BQF22" s="206"/>
      <c r="BQG22" s="206"/>
      <c r="BQH22" s="206"/>
      <c r="BQI22" s="206"/>
      <c r="BQJ22" s="206"/>
      <c r="BQK22" s="206"/>
      <c r="BQL22" s="206"/>
      <c r="BQM22" s="206"/>
      <c r="BQN22" s="206"/>
      <c r="BQO22" s="206"/>
      <c r="BQP22" s="206"/>
      <c r="BQQ22" s="206"/>
      <c r="BQR22" s="206"/>
      <c r="BQS22" s="206"/>
      <c r="BQT22" s="206"/>
      <c r="BQU22" s="206"/>
      <c r="BQV22" s="206"/>
      <c r="BQW22" s="206"/>
      <c r="BQX22" s="206"/>
      <c r="BQY22" s="206"/>
      <c r="BQZ22" s="206"/>
      <c r="BRA22" s="206"/>
      <c r="BRB22" s="206"/>
      <c r="BRC22" s="206"/>
      <c r="BRD22" s="206"/>
      <c r="BRE22" s="206"/>
      <c r="BRF22" s="206"/>
      <c r="BRG22" s="206"/>
      <c r="BRH22" s="206"/>
      <c r="BRI22" s="206"/>
      <c r="BRJ22" s="206"/>
      <c r="BRK22" s="206"/>
      <c r="BRL22" s="206"/>
      <c r="BRM22" s="206"/>
      <c r="BRN22" s="206"/>
      <c r="BRO22" s="206"/>
      <c r="BRP22" s="206"/>
      <c r="BRQ22" s="206"/>
      <c r="BRR22" s="206"/>
      <c r="BRS22" s="206"/>
      <c r="BRT22" s="206"/>
      <c r="BRU22" s="206"/>
      <c r="BRV22" s="206"/>
      <c r="BRW22" s="206"/>
      <c r="BRX22" s="206"/>
      <c r="BRY22" s="206"/>
      <c r="BRZ22" s="206"/>
      <c r="BSA22" s="206"/>
      <c r="BSB22" s="206"/>
      <c r="BSC22" s="206"/>
      <c r="BSD22" s="206"/>
      <c r="BSE22" s="206"/>
      <c r="BSF22" s="206"/>
      <c r="BSG22" s="206"/>
      <c r="BSH22" s="206"/>
      <c r="BSI22" s="206"/>
      <c r="BSJ22" s="206"/>
      <c r="BSK22" s="206"/>
      <c r="BSL22" s="206"/>
      <c r="BSM22" s="206"/>
      <c r="BSN22" s="206"/>
      <c r="BSO22" s="206"/>
      <c r="BSP22" s="206"/>
      <c r="BSQ22" s="206"/>
      <c r="BSR22" s="206"/>
      <c r="BSS22" s="206"/>
      <c r="BST22" s="206"/>
      <c r="BSU22" s="206"/>
      <c r="BSV22" s="206"/>
      <c r="BSW22" s="206"/>
      <c r="BSX22" s="206"/>
      <c r="BSY22" s="206"/>
      <c r="BSZ22" s="206"/>
      <c r="BTA22" s="206"/>
      <c r="BTB22" s="206"/>
      <c r="BTC22" s="206"/>
      <c r="BTD22" s="206"/>
      <c r="BTE22" s="206"/>
      <c r="BTF22" s="206"/>
      <c r="BTG22" s="206"/>
      <c r="BTH22" s="206"/>
      <c r="BTI22" s="206"/>
      <c r="BTJ22" s="206"/>
      <c r="BTK22" s="206"/>
      <c r="BTL22" s="206"/>
      <c r="BTM22" s="206"/>
      <c r="BTN22" s="206"/>
      <c r="BTO22" s="206"/>
      <c r="BTP22" s="206"/>
      <c r="BTQ22" s="206"/>
      <c r="BTR22" s="206"/>
      <c r="BTS22" s="206"/>
      <c r="BTT22" s="206"/>
      <c r="BTU22" s="206"/>
      <c r="BTV22" s="206"/>
      <c r="BTW22" s="206"/>
      <c r="BTX22" s="206"/>
      <c r="BTY22" s="206"/>
      <c r="BTZ22" s="206"/>
      <c r="BUA22" s="206"/>
      <c r="BUB22" s="206"/>
      <c r="BUC22" s="206"/>
      <c r="BUD22" s="206"/>
      <c r="BUE22" s="206"/>
      <c r="BUF22" s="206"/>
      <c r="BUG22" s="206"/>
      <c r="BUH22" s="206"/>
      <c r="BUI22" s="206"/>
      <c r="BUJ22" s="206"/>
      <c r="BUK22" s="206"/>
      <c r="BUL22" s="206"/>
      <c r="BUM22" s="206"/>
      <c r="BUN22" s="206"/>
      <c r="BUO22" s="206"/>
      <c r="BUP22" s="206"/>
      <c r="BUQ22" s="206"/>
      <c r="BUR22" s="206"/>
      <c r="BUS22" s="206"/>
      <c r="BUT22" s="206"/>
      <c r="BUU22" s="206"/>
      <c r="BUV22" s="206"/>
      <c r="BUW22" s="206"/>
      <c r="BUX22" s="206"/>
      <c r="BUY22" s="206"/>
      <c r="BUZ22" s="206"/>
      <c r="BVA22" s="206"/>
      <c r="BVB22" s="206"/>
      <c r="BVC22" s="206"/>
      <c r="BVD22" s="206"/>
      <c r="BVE22" s="206"/>
      <c r="BVF22" s="206"/>
      <c r="BVG22" s="206"/>
      <c r="BVH22" s="206"/>
      <c r="BVI22" s="206"/>
      <c r="BVJ22" s="206"/>
      <c r="BVK22" s="206"/>
      <c r="BVL22" s="206"/>
      <c r="BVM22" s="206"/>
      <c r="BVN22" s="206"/>
      <c r="BVO22" s="206"/>
      <c r="BVP22" s="206"/>
      <c r="BVQ22" s="206"/>
      <c r="BVR22" s="206"/>
      <c r="BVS22" s="206"/>
      <c r="BVT22" s="206"/>
      <c r="BVU22" s="206"/>
      <c r="BVV22" s="206"/>
      <c r="BVW22" s="206"/>
      <c r="BVX22" s="206"/>
      <c r="BVY22" s="206"/>
      <c r="BVZ22" s="206"/>
      <c r="BWA22" s="206"/>
      <c r="BWB22" s="206"/>
      <c r="BWC22" s="206"/>
      <c r="BWD22" s="206"/>
      <c r="BWE22" s="206"/>
      <c r="BWF22" s="206"/>
      <c r="BWG22" s="206"/>
      <c r="BWH22" s="206"/>
      <c r="BWI22" s="206"/>
      <c r="BWJ22" s="206"/>
      <c r="BWK22" s="206"/>
      <c r="BWL22" s="206"/>
      <c r="BWM22" s="206"/>
      <c r="BWN22" s="206"/>
      <c r="BWO22" s="206"/>
      <c r="BWP22" s="206"/>
      <c r="BWQ22" s="206"/>
      <c r="BWR22" s="206"/>
      <c r="BWS22" s="206"/>
      <c r="BWT22" s="206"/>
      <c r="BWU22" s="206"/>
      <c r="BWV22" s="206"/>
      <c r="BWW22" s="206"/>
      <c r="BWX22" s="206"/>
      <c r="BWY22" s="206"/>
      <c r="BWZ22" s="206"/>
      <c r="BXA22" s="206"/>
      <c r="BXB22" s="206"/>
      <c r="BXC22" s="206"/>
      <c r="BXD22" s="206"/>
      <c r="BXE22" s="206"/>
      <c r="BXF22" s="206"/>
      <c r="BXG22" s="206"/>
      <c r="BXH22" s="206"/>
      <c r="BXI22" s="206"/>
      <c r="BXJ22" s="206"/>
      <c r="BXK22" s="206"/>
      <c r="BXL22" s="206"/>
      <c r="BXM22" s="206"/>
      <c r="BXN22" s="206"/>
      <c r="BXO22" s="206"/>
      <c r="BXP22" s="206"/>
      <c r="BXQ22" s="206"/>
      <c r="BXR22" s="206"/>
      <c r="BXS22" s="206"/>
      <c r="BXT22" s="206"/>
      <c r="BXU22" s="206"/>
      <c r="BXV22" s="206"/>
      <c r="BXW22" s="206"/>
      <c r="BXX22" s="206"/>
      <c r="BXY22" s="206"/>
      <c r="BXZ22" s="206"/>
      <c r="BYA22" s="206"/>
      <c r="BYB22" s="206"/>
      <c r="BYC22" s="206"/>
      <c r="BYD22" s="206"/>
      <c r="BYE22" s="206"/>
      <c r="BYF22" s="206"/>
      <c r="BYG22" s="206"/>
      <c r="BYH22" s="206"/>
      <c r="BYI22" s="206"/>
      <c r="BYJ22" s="206"/>
      <c r="BYK22" s="206"/>
      <c r="BYL22" s="206"/>
      <c r="BYM22" s="206"/>
      <c r="BYN22" s="206"/>
      <c r="BYO22" s="206"/>
      <c r="BYP22" s="206"/>
      <c r="BYQ22" s="206"/>
      <c r="BYR22" s="206"/>
      <c r="BYS22" s="206"/>
      <c r="BYT22" s="206"/>
      <c r="BYU22" s="206"/>
      <c r="BYV22" s="206"/>
      <c r="BYW22" s="206"/>
      <c r="BYX22" s="206"/>
      <c r="BYY22" s="206"/>
      <c r="BYZ22" s="206"/>
      <c r="BZA22" s="206"/>
      <c r="BZB22" s="206"/>
      <c r="BZC22" s="206"/>
      <c r="BZD22" s="206"/>
      <c r="BZE22" s="206"/>
      <c r="BZF22" s="206"/>
      <c r="BZG22" s="206"/>
      <c r="BZH22" s="206"/>
      <c r="BZI22" s="206"/>
      <c r="BZJ22" s="206"/>
      <c r="BZK22" s="206"/>
      <c r="BZL22" s="206"/>
      <c r="BZM22" s="206"/>
      <c r="BZN22" s="206"/>
      <c r="BZO22" s="206"/>
      <c r="BZP22" s="206"/>
      <c r="BZQ22" s="206"/>
      <c r="BZR22" s="206"/>
      <c r="BZS22" s="206"/>
      <c r="BZT22" s="206"/>
      <c r="BZU22" s="206"/>
      <c r="BZV22" s="206"/>
      <c r="BZW22" s="206"/>
      <c r="BZX22" s="206"/>
      <c r="BZY22" s="206"/>
      <c r="BZZ22" s="206"/>
      <c r="CAA22" s="206"/>
      <c r="CAB22" s="206"/>
      <c r="CAC22" s="206"/>
      <c r="CAD22" s="206"/>
      <c r="CAE22" s="206"/>
      <c r="CAF22" s="206"/>
      <c r="CAG22" s="206"/>
      <c r="CAH22" s="206"/>
      <c r="CAI22" s="206"/>
      <c r="CAJ22" s="206"/>
      <c r="CAK22" s="206"/>
      <c r="CAL22" s="206"/>
      <c r="CAM22" s="206"/>
      <c r="CAN22" s="206"/>
      <c r="CAO22" s="206"/>
      <c r="CAP22" s="206"/>
      <c r="CAQ22" s="206"/>
      <c r="CAR22" s="206"/>
      <c r="CAS22" s="206"/>
      <c r="CAT22" s="206"/>
      <c r="CAU22" s="206"/>
      <c r="CAV22" s="206"/>
      <c r="CAW22" s="206"/>
      <c r="CAX22" s="206"/>
      <c r="CAY22" s="206"/>
      <c r="CAZ22" s="206"/>
      <c r="CBA22" s="206"/>
      <c r="CBB22" s="206"/>
      <c r="CBC22" s="206"/>
      <c r="CBD22" s="206"/>
      <c r="CBE22" s="206"/>
      <c r="CBF22" s="206"/>
      <c r="CBG22" s="206"/>
      <c r="CBH22" s="206"/>
      <c r="CBI22" s="206"/>
      <c r="CBJ22" s="206"/>
      <c r="CBK22" s="206"/>
      <c r="CBL22" s="206"/>
      <c r="CBM22" s="206"/>
      <c r="CBN22" s="206"/>
      <c r="CBO22" s="206"/>
      <c r="CBP22" s="206"/>
      <c r="CBQ22" s="206"/>
      <c r="CBR22" s="206"/>
      <c r="CBS22" s="206"/>
      <c r="CBT22" s="206"/>
      <c r="CBU22" s="206"/>
      <c r="CBV22" s="206"/>
      <c r="CBW22" s="206"/>
      <c r="CBX22" s="206"/>
      <c r="CBY22" s="206"/>
      <c r="CBZ22" s="206"/>
      <c r="CCA22" s="206"/>
      <c r="CCB22" s="206"/>
      <c r="CCC22" s="206"/>
      <c r="CCD22" s="206"/>
      <c r="CCE22" s="206"/>
      <c r="CCF22" s="206"/>
      <c r="CCG22" s="206"/>
      <c r="CCH22" s="206"/>
      <c r="CCI22" s="206"/>
      <c r="CCJ22" s="206"/>
      <c r="CCK22" s="206"/>
      <c r="CCL22" s="206"/>
      <c r="CCM22" s="206"/>
      <c r="CCN22" s="206"/>
      <c r="CCO22" s="206"/>
      <c r="CCP22" s="206"/>
      <c r="CCQ22" s="206"/>
      <c r="CCR22" s="206"/>
      <c r="CCS22" s="206"/>
      <c r="CCT22" s="206"/>
      <c r="CCU22" s="206"/>
      <c r="CCV22" s="206"/>
      <c r="CCW22" s="206"/>
      <c r="CCX22" s="206"/>
      <c r="CCY22" s="206"/>
      <c r="CCZ22" s="206"/>
      <c r="CDA22" s="206"/>
      <c r="CDB22" s="206"/>
      <c r="CDC22" s="206"/>
      <c r="CDD22" s="206"/>
      <c r="CDE22" s="206"/>
      <c r="CDF22" s="206"/>
      <c r="CDG22" s="206"/>
      <c r="CDH22" s="206"/>
      <c r="CDI22" s="206"/>
      <c r="CDJ22" s="206"/>
      <c r="CDK22" s="206"/>
      <c r="CDL22" s="206"/>
      <c r="CDM22" s="206"/>
      <c r="CDN22" s="206"/>
      <c r="CDO22" s="206"/>
      <c r="CDP22" s="206"/>
      <c r="CDQ22" s="206"/>
      <c r="CDR22" s="206"/>
      <c r="CDS22" s="206"/>
      <c r="CDT22" s="206"/>
      <c r="CDU22" s="206"/>
      <c r="CDV22" s="206"/>
      <c r="CDW22" s="206"/>
      <c r="CDX22" s="206"/>
      <c r="CDY22" s="206"/>
      <c r="CDZ22" s="206"/>
      <c r="CEA22" s="206"/>
      <c r="CEB22" s="206"/>
      <c r="CEC22" s="206"/>
      <c r="CED22" s="206"/>
      <c r="CEE22" s="206"/>
      <c r="CEF22" s="206"/>
      <c r="CEG22" s="206"/>
      <c r="CEH22" s="206"/>
      <c r="CEI22" s="206"/>
      <c r="CEJ22" s="206"/>
      <c r="CEK22" s="206"/>
      <c r="CEL22" s="206"/>
      <c r="CEM22" s="206"/>
      <c r="CEN22" s="206"/>
      <c r="CEO22" s="206"/>
      <c r="CEP22" s="206"/>
      <c r="CEQ22" s="206"/>
      <c r="CER22" s="206"/>
      <c r="CES22" s="206"/>
      <c r="CET22" s="206"/>
      <c r="CEU22" s="206"/>
      <c r="CEV22" s="206"/>
      <c r="CEW22" s="206"/>
      <c r="CEX22" s="206"/>
      <c r="CEY22" s="206"/>
      <c r="CEZ22" s="206"/>
      <c r="CFA22" s="206"/>
      <c r="CFB22" s="206"/>
      <c r="CFC22" s="206"/>
      <c r="CFD22" s="206"/>
      <c r="CFE22" s="206"/>
      <c r="CFF22" s="206"/>
      <c r="CFG22" s="206"/>
      <c r="CFH22" s="206"/>
      <c r="CFI22" s="206"/>
      <c r="CFJ22" s="206"/>
      <c r="CFK22" s="206"/>
      <c r="CFL22" s="206"/>
      <c r="CFM22" s="206"/>
      <c r="CFN22" s="206"/>
      <c r="CFO22" s="206"/>
      <c r="CFP22" s="206"/>
      <c r="CFQ22" s="206"/>
      <c r="CFR22" s="206"/>
      <c r="CFS22" s="206"/>
      <c r="CFT22" s="206"/>
      <c r="CFU22" s="206"/>
      <c r="CFV22" s="206"/>
      <c r="CFW22" s="206"/>
      <c r="CFX22" s="206"/>
      <c r="CFY22" s="206"/>
      <c r="CFZ22" s="206"/>
      <c r="CGA22" s="206"/>
      <c r="CGB22" s="206"/>
      <c r="CGC22" s="206"/>
      <c r="CGD22" s="206"/>
      <c r="CGE22" s="206"/>
      <c r="CGF22" s="206"/>
      <c r="CGG22" s="206"/>
      <c r="CGH22" s="206"/>
      <c r="CGI22" s="206"/>
      <c r="CGJ22" s="206"/>
      <c r="CGK22" s="206"/>
      <c r="CGL22" s="206"/>
      <c r="CGM22" s="206"/>
      <c r="CGN22" s="206"/>
      <c r="CGO22" s="206"/>
      <c r="CGP22" s="206"/>
      <c r="CGQ22" s="206"/>
      <c r="CGR22" s="206"/>
      <c r="CGS22" s="206"/>
      <c r="CGT22" s="206"/>
      <c r="CGU22" s="206"/>
      <c r="CGV22" s="206"/>
      <c r="CGW22" s="206"/>
      <c r="CGX22" s="206"/>
      <c r="CGY22" s="206"/>
      <c r="CGZ22" s="206"/>
      <c r="CHA22" s="206"/>
      <c r="CHB22" s="206"/>
      <c r="CHC22" s="206"/>
      <c r="CHD22" s="206"/>
      <c r="CHE22" s="206"/>
      <c r="CHF22" s="206"/>
      <c r="CHG22" s="206"/>
      <c r="CHH22" s="206"/>
      <c r="CHI22" s="206"/>
      <c r="CHJ22" s="206"/>
      <c r="CHK22" s="206"/>
      <c r="CHL22" s="206"/>
      <c r="CHM22" s="206"/>
      <c r="CHN22" s="206"/>
      <c r="CHO22" s="206"/>
      <c r="CHP22" s="206"/>
      <c r="CHQ22" s="206"/>
      <c r="CHR22" s="206"/>
      <c r="CHS22" s="206"/>
      <c r="CHT22" s="206"/>
      <c r="CHU22" s="206"/>
      <c r="CHV22" s="206"/>
      <c r="CHW22" s="206"/>
      <c r="CHX22" s="206"/>
      <c r="CHY22" s="206"/>
      <c r="CHZ22" s="206"/>
      <c r="CIA22" s="206"/>
      <c r="CIB22" s="206"/>
      <c r="CIC22" s="206"/>
      <c r="CID22" s="206"/>
      <c r="CIE22" s="206"/>
      <c r="CIF22" s="206"/>
      <c r="CIG22" s="206"/>
      <c r="CIH22" s="206"/>
      <c r="CII22" s="206"/>
      <c r="CIJ22" s="206"/>
      <c r="CIK22" s="206"/>
      <c r="CIL22" s="206"/>
      <c r="CIM22" s="206"/>
      <c r="CIN22" s="206"/>
      <c r="CIO22" s="206"/>
      <c r="CIP22" s="206"/>
      <c r="CIQ22" s="206"/>
      <c r="CIR22" s="206"/>
      <c r="CIS22" s="206"/>
      <c r="CIT22" s="206"/>
      <c r="CIU22" s="206"/>
      <c r="CIV22" s="206"/>
      <c r="CIW22" s="206"/>
      <c r="CIX22" s="206"/>
      <c r="CIY22" s="206"/>
      <c r="CIZ22" s="206"/>
      <c r="CJA22" s="206"/>
      <c r="CJB22" s="206"/>
      <c r="CJC22" s="206"/>
      <c r="CJD22" s="206"/>
      <c r="CJE22" s="206"/>
      <c r="CJF22" s="206"/>
      <c r="CJG22" s="206"/>
      <c r="CJH22" s="206"/>
      <c r="CJI22" s="206"/>
      <c r="CJJ22" s="206"/>
      <c r="CJK22" s="206"/>
      <c r="CJL22" s="206"/>
      <c r="CJM22" s="206"/>
      <c r="CJN22" s="206"/>
      <c r="CJO22" s="206"/>
      <c r="CJP22" s="206"/>
      <c r="CJQ22" s="206"/>
      <c r="CJR22" s="206"/>
      <c r="CJS22" s="206"/>
      <c r="CJT22" s="206"/>
      <c r="CJU22" s="206"/>
      <c r="CJV22" s="206"/>
      <c r="CJW22" s="206"/>
      <c r="CJX22" s="206"/>
      <c r="CJY22" s="206"/>
      <c r="CJZ22" s="206"/>
      <c r="CKA22" s="206"/>
      <c r="CKB22" s="206"/>
      <c r="CKC22" s="206"/>
      <c r="CKD22" s="206"/>
      <c r="CKE22" s="206"/>
      <c r="CKF22" s="206"/>
      <c r="CKG22" s="206"/>
      <c r="CKH22" s="206"/>
      <c r="CKI22" s="206"/>
      <c r="CKJ22" s="206"/>
      <c r="CKK22" s="206"/>
      <c r="CKL22" s="206"/>
      <c r="CKM22" s="206"/>
      <c r="CKN22" s="206"/>
      <c r="CKO22" s="206"/>
      <c r="CKP22" s="206"/>
      <c r="CKQ22" s="206"/>
      <c r="CKR22" s="206"/>
      <c r="CKS22" s="206"/>
      <c r="CKT22" s="206"/>
      <c r="CKU22" s="206"/>
      <c r="CKV22" s="206"/>
      <c r="CKW22" s="206"/>
      <c r="CKX22" s="206"/>
      <c r="CKY22" s="206"/>
      <c r="CKZ22" s="206"/>
      <c r="CLA22" s="206"/>
      <c r="CLB22" s="206"/>
      <c r="CLC22" s="206"/>
      <c r="CLD22" s="206"/>
      <c r="CLE22" s="206"/>
      <c r="CLF22" s="206"/>
      <c r="CLG22" s="206"/>
      <c r="CLH22" s="206"/>
      <c r="CLI22" s="206"/>
      <c r="CLJ22" s="206"/>
      <c r="CLK22" s="206"/>
      <c r="CLL22" s="206"/>
      <c r="CLM22" s="206"/>
      <c r="CLN22" s="206"/>
      <c r="CLO22" s="206"/>
      <c r="CLP22" s="206"/>
      <c r="CLQ22" s="206"/>
      <c r="CLR22" s="206"/>
      <c r="CLS22" s="206"/>
      <c r="CLT22" s="206"/>
      <c r="CLU22" s="206"/>
      <c r="CLV22" s="206"/>
      <c r="CLW22" s="206"/>
      <c r="CLX22" s="206"/>
      <c r="CLY22" s="206"/>
      <c r="CLZ22" s="206"/>
      <c r="CMA22" s="206"/>
      <c r="CMB22" s="206"/>
      <c r="CMC22" s="206"/>
      <c r="CMD22" s="206"/>
      <c r="CME22" s="206"/>
      <c r="CMF22" s="206"/>
      <c r="CMG22" s="206"/>
      <c r="CMH22" s="206"/>
      <c r="CMI22" s="206"/>
      <c r="CMJ22" s="206"/>
      <c r="CMK22" s="206"/>
      <c r="CML22" s="206"/>
      <c r="CMM22" s="206"/>
      <c r="CMN22" s="206"/>
      <c r="CMO22" s="206"/>
      <c r="CMP22" s="206"/>
      <c r="CMQ22" s="206"/>
      <c r="CMR22" s="206"/>
      <c r="CMS22" s="206"/>
      <c r="CMT22" s="206"/>
      <c r="CMU22" s="206"/>
      <c r="CMV22" s="206"/>
      <c r="CMW22" s="206"/>
      <c r="CMX22" s="206"/>
      <c r="CMY22" s="206"/>
      <c r="CMZ22" s="206"/>
      <c r="CNA22" s="206"/>
      <c r="CNB22" s="206"/>
      <c r="CNC22" s="206"/>
      <c r="CND22" s="206"/>
      <c r="CNE22" s="206"/>
      <c r="CNF22" s="206"/>
      <c r="CNG22" s="206"/>
      <c r="CNH22" s="206"/>
      <c r="CNI22" s="206"/>
      <c r="CNJ22" s="206"/>
      <c r="CNK22" s="206"/>
      <c r="CNL22" s="206"/>
      <c r="CNM22" s="206"/>
      <c r="CNN22" s="206"/>
      <c r="CNO22" s="206"/>
      <c r="CNP22" s="206"/>
      <c r="CNQ22" s="206"/>
      <c r="CNR22" s="206"/>
      <c r="CNS22" s="206"/>
      <c r="CNT22" s="206"/>
      <c r="CNU22" s="206"/>
      <c r="CNV22" s="206"/>
      <c r="CNW22" s="206"/>
      <c r="CNX22" s="206"/>
      <c r="CNY22" s="206"/>
      <c r="CNZ22" s="206"/>
      <c r="COA22" s="206"/>
      <c r="COB22" s="206"/>
      <c r="COC22" s="206"/>
      <c r="COD22" s="206"/>
      <c r="COE22" s="206"/>
      <c r="COF22" s="206"/>
      <c r="COG22" s="206"/>
      <c r="COH22" s="206"/>
      <c r="COI22" s="206"/>
      <c r="COJ22" s="206"/>
      <c r="COK22" s="206"/>
      <c r="COL22" s="206"/>
      <c r="COM22" s="206"/>
      <c r="CON22" s="206"/>
      <c r="COO22" s="206"/>
      <c r="COP22" s="206"/>
      <c r="COQ22" s="206"/>
      <c r="COR22" s="206"/>
      <c r="COS22" s="206"/>
      <c r="COT22" s="206"/>
      <c r="COU22" s="206"/>
      <c r="COV22" s="206"/>
      <c r="COW22" s="206"/>
      <c r="COX22" s="206"/>
      <c r="COY22" s="206"/>
      <c r="COZ22" s="206"/>
      <c r="CPA22" s="206"/>
      <c r="CPB22" s="206"/>
      <c r="CPC22" s="206"/>
      <c r="CPD22" s="206"/>
      <c r="CPE22" s="206"/>
      <c r="CPF22" s="206"/>
      <c r="CPG22" s="206"/>
      <c r="CPH22" s="206"/>
      <c r="CPI22" s="206"/>
      <c r="CPJ22" s="206"/>
      <c r="CPK22" s="206"/>
      <c r="CPL22" s="206"/>
      <c r="CPM22" s="206"/>
      <c r="CPN22" s="206"/>
      <c r="CPO22" s="206"/>
      <c r="CPP22" s="206"/>
      <c r="CPQ22" s="206"/>
      <c r="CPR22" s="206"/>
      <c r="CPS22" s="206"/>
      <c r="CPT22" s="206"/>
      <c r="CPU22" s="206"/>
      <c r="CPV22" s="206"/>
      <c r="CPW22" s="206"/>
      <c r="CPX22" s="206"/>
      <c r="CPY22" s="206"/>
      <c r="CPZ22" s="206"/>
      <c r="CQA22" s="206"/>
      <c r="CQB22" s="206"/>
      <c r="CQC22" s="206"/>
      <c r="CQD22" s="206"/>
      <c r="CQE22" s="206"/>
      <c r="CQF22" s="206"/>
      <c r="CQG22" s="206"/>
      <c r="CQH22" s="206"/>
      <c r="CQI22" s="206"/>
      <c r="CQJ22" s="206"/>
      <c r="CQK22" s="206"/>
      <c r="CQL22" s="206"/>
      <c r="CQM22" s="206"/>
      <c r="CQN22" s="206"/>
      <c r="CQO22" s="206"/>
      <c r="CQP22" s="206"/>
      <c r="CQQ22" s="206"/>
      <c r="CQR22" s="206"/>
      <c r="CQS22" s="206"/>
      <c r="CQT22" s="206"/>
      <c r="CQU22" s="206"/>
      <c r="CQV22" s="206"/>
      <c r="CQW22" s="206"/>
      <c r="CQX22" s="206"/>
      <c r="CQY22" s="206"/>
      <c r="CQZ22" s="206"/>
      <c r="CRA22" s="206"/>
      <c r="CRB22" s="206"/>
      <c r="CRC22" s="206"/>
      <c r="CRD22" s="206"/>
      <c r="CRE22" s="206"/>
      <c r="CRF22" s="206"/>
      <c r="CRG22" s="206"/>
      <c r="CRH22" s="206"/>
      <c r="CRI22" s="206"/>
      <c r="CRJ22" s="206"/>
      <c r="CRK22" s="206"/>
      <c r="CRL22" s="206"/>
      <c r="CRM22" s="206"/>
      <c r="CRN22" s="206"/>
      <c r="CRO22" s="206"/>
      <c r="CRP22" s="206"/>
      <c r="CRQ22" s="206"/>
      <c r="CRR22" s="206"/>
      <c r="CRS22" s="206"/>
      <c r="CRT22" s="206"/>
      <c r="CRU22" s="206"/>
      <c r="CRV22" s="206"/>
      <c r="CRW22" s="206"/>
      <c r="CRX22" s="206"/>
      <c r="CRY22" s="206"/>
      <c r="CRZ22" s="206"/>
      <c r="CSA22" s="206"/>
      <c r="CSB22" s="206"/>
      <c r="CSC22" s="206"/>
      <c r="CSD22" s="206"/>
      <c r="CSE22" s="206"/>
      <c r="CSF22" s="206"/>
      <c r="CSG22" s="206"/>
      <c r="CSH22" s="206"/>
      <c r="CSI22" s="206"/>
      <c r="CSJ22" s="206"/>
      <c r="CSK22" s="206"/>
      <c r="CSL22" s="206"/>
      <c r="CSM22" s="206"/>
      <c r="CSN22" s="206"/>
      <c r="CSO22" s="206"/>
      <c r="CSP22" s="206"/>
      <c r="CSQ22" s="206"/>
      <c r="CSR22" s="206"/>
      <c r="CSS22" s="206"/>
      <c r="CST22" s="206"/>
      <c r="CSU22" s="206"/>
      <c r="CSV22" s="206"/>
      <c r="CSW22" s="206"/>
      <c r="CSX22" s="206"/>
      <c r="CSY22" s="206"/>
      <c r="CSZ22" s="206"/>
      <c r="CTA22" s="206"/>
      <c r="CTB22" s="206"/>
      <c r="CTC22" s="206"/>
      <c r="CTD22" s="206"/>
      <c r="CTE22" s="206"/>
      <c r="CTF22" s="206"/>
      <c r="CTG22" s="206"/>
      <c r="CTH22" s="206"/>
      <c r="CTI22" s="206"/>
      <c r="CTJ22" s="206"/>
      <c r="CTK22" s="206"/>
      <c r="CTL22" s="206"/>
      <c r="CTM22" s="206"/>
      <c r="CTN22" s="206"/>
      <c r="CTO22" s="206"/>
      <c r="CTP22" s="206"/>
      <c r="CTQ22" s="206"/>
      <c r="CTR22" s="206"/>
      <c r="CTS22" s="206"/>
      <c r="CTT22" s="206"/>
      <c r="CTU22" s="206"/>
      <c r="CTV22" s="206"/>
      <c r="CTW22" s="206"/>
      <c r="CTX22" s="206"/>
      <c r="CTY22" s="206"/>
      <c r="CTZ22" s="206"/>
      <c r="CUA22" s="206"/>
      <c r="CUB22" s="206"/>
      <c r="CUC22" s="206"/>
      <c r="CUD22" s="206"/>
      <c r="CUE22" s="206"/>
      <c r="CUF22" s="206"/>
      <c r="CUG22" s="206"/>
      <c r="CUH22" s="206"/>
      <c r="CUI22" s="206"/>
      <c r="CUJ22" s="206"/>
      <c r="CUK22" s="206"/>
      <c r="CUL22" s="206"/>
      <c r="CUM22" s="206"/>
      <c r="CUN22" s="206"/>
      <c r="CUO22" s="206"/>
      <c r="CUP22" s="206"/>
      <c r="CUQ22" s="206"/>
      <c r="CUR22" s="206"/>
      <c r="CUS22" s="206"/>
      <c r="CUT22" s="206"/>
      <c r="CUU22" s="206"/>
      <c r="CUV22" s="206"/>
      <c r="CUW22" s="206"/>
      <c r="CUX22" s="206"/>
      <c r="CUY22" s="206"/>
      <c r="CUZ22" s="206"/>
      <c r="CVA22" s="206"/>
      <c r="CVB22" s="206"/>
      <c r="CVC22" s="206"/>
      <c r="CVD22" s="206"/>
      <c r="CVE22" s="206"/>
      <c r="CVF22" s="206"/>
      <c r="CVG22" s="206"/>
      <c r="CVH22" s="206"/>
      <c r="CVI22" s="206"/>
      <c r="CVJ22" s="206"/>
      <c r="CVK22" s="206"/>
      <c r="CVL22" s="206"/>
      <c r="CVM22" s="206"/>
      <c r="CVN22" s="206"/>
      <c r="CVO22" s="206"/>
      <c r="CVP22" s="206"/>
      <c r="CVQ22" s="206"/>
      <c r="CVR22" s="206"/>
      <c r="CVS22" s="206"/>
      <c r="CVT22" s="206"/>
      <c r="CVU22" s="206"/>
      <c r="CVV22" s="206"/>
      <c r="CVW22" s="206"/>
      <c r="CVX22" s="206"/>
      <c r="CVY22" s="206"/>
      <c r="CVZ22" s="206"/>
      <c r="CWA22" s="206"/>
      <c r="CWB22" s="206"/>
      <c r="CWC22" s="206"/>
      <c r="CWD22" s="206"/>
      <c r="CWE22" s="206"/>
      <c r="CWF22" s="206"/>
      <c r="CWG22" s="206"/>
      <c r="CWH22" s="206"/>
      <c r="CWI22" s="206"/>
      <c r="CWJ22" s="206"/>
      <c r="CWK22" s="206"/>
      <c r="CWL22" s="206"/>
      <c r="CWM22" s="206"/>
      <c r="CWN22" s="206"/>
      <c r="CWO22" s="206"/>
      <c r="CWP22" s="206"/>
      <c r="CWQ22" s="206"/>
      <c r="CWR22" s="206"/>
      <c r="CWS22" s="206"/>
      <c r="CWT22" s="206"/>
      <c r="CWU22" s="206"/>
      <c r="CWV22" s="206"/>
      <c r="CWW22" s="206"/>
      <c r="CWX22" s="206"/>
      <c r="CWY22" s="206"/>
      <c r="CWZ22" s="206"/>
      <c r="CXA22" s="206"/>
      <c r="CXB22" s="206"/>
      <c r="CXC22" s="206"/>
      <c r="CXD22" s="206"/>
      <c r="CXE22" s="206"/>
      <c r="CXF22" s="206"/>
      <c r="CXG22" s="206"/>
      <c r="CXH22" s="206"/>
      <c r="CXI22" s="206"/>
      <c r="CXJ22" s="206"/>
      <c r="CXK22" s="206"/>
      <c r="CXL22" s="206"/>
      <c r="CXM22" s="206"/>
      <c r="CXN22" s="206"/>
      <c r="CXO22" s="206"/>
      <c r="CXP22" s="206"/>
      <c r="CXQ22" s="206"/>
      <c r="CXR22" s="206"/>
      <c r="CXS22" s="206"/>
      <c r="CXT22" s="206"/>
      <c r="CXU22" s="206"/>
      <c r="CXV22" s="206"/>
      <c r="CXW22" s="206"/>
      <c r="CXX22" s="206"/>
      <c r="CXY22" s="206"/>
      <c r="CXZ22" s="206"/>
      <c r="CYA22" s="206"/>
      <c r="CYB22" s="206"/>
      <c r="CYC22" s="206"/>
      <c r="CYD22" s="206"/>
      <c r="CYE22" s="206"/>
      <c r="CYF22" s="206"/>
      <c r="CYG22" s="206"/>
      <c r="CYH22" s="206"/>
      <c r="CYI22" s="206"/>
      <c r="CYJ22" s="206"/>
      <c r="CYK22" s="206"/>
      <c r="CYL22" s="206"/>
      <c r="CYM22" s="206"/>
      <c r="CYN22" s="206"/>
      <c r="CYO22" s="206"/>
      <c r="CYP22" s="206"/>
      <c r="CYQ22" s="206"/>
      <c r="CYR22" s="206"/>
      <c r="CYS22" s="206"/>
      <c r="CYT22" s="206"/>
      <c r="CYU22" s="206"/>
      <c r="CYV22" s="206"/>
      <c r="CYW22" s="206"/>
      <c r="CYX22" s="206"/>
      <c r="CYY22" s="206"/>
      <c r="CYZ22" s="206"/>
      <c r="CZA22" s="206"/>
      <c r="CZB22" s="206"/>
      <c r="CZC22" s="206"/>
      <c r="CZD22" s="206"/>
      <c r="CZE22" s="206"/>
      <c r="CZF22" s="206"/>
      <c r="CZG22" s="206"/>
      <c r="CZH22" s="206"/>
      <c r="CZI22" s="206"/>
      <c r="CZJ22" s="206"/>
      <c r="CZK22" s="206"/>
      <c r="CZL22" s="206"/>
      <c r="CZM22" s="206"/>
      <c r="CZN22" s="206"/>
      <c r="CZO22" s="206"/>
      <c r="CZP22" s="206"/>
      <c r="CZQ22" s="206"/>
      <c r="CZR22" s="206"/>
      <c r="CZS22" s="206"/>
      <c r="CZT22" s="206"/>
      <c r="CZU22" s="206"/>
      <c r="CZV22" s="206"/>
      <c r="CZW22" s="206"/>
      <c r="CZX22" s="206"/>
      <c r="CZY22" s="206"/>
      <c r="CZZ22" s="206"/>
      <c r="DAA22" s="206"/>
      <c r="DAB22" s="206"/>
      <c r="DAC22" s="206"/>
      <c r="DAD22" s="206"/>
      <c r="DAE22" s="206"/>
      <c r="DAF22" s="206"/>
      <c r="DAG22" s="206"/>
      <c r="DAH22" s="206"/>
      <c r="DAI22" s="206"/>
      <c r="DAJ22" s="206"/>
      <c r="DAK22" s="206"/>
      <c r="DAL22" s="206"/>
      <c r="DAM22" s="206"/>
      <c r="DAN22" s="206"/>
      <c r="DAO22" s="206"/>
      <c r="DAP22" s="206"/>
      <c r="DAQ22" s="206"/>
      <c r="DAR22" s="206"/>
      <c r="DAS22" s="206"/>
      <c r="DAT22" s="206"/>
      <c r="DAU22" s="206"/>
      <c r="DAV22" s="206"/>
      <c r="DAW22" s="206"/>
      <c r="DAX22" s="206"/>
      <c r="DAY22" s="206"/>
      <c r="DAZ22" s="206"/>
      <c r="DBA22" s="206"/>
      <c r="DBB22" s="206"/>
      <c r="DBC22" s="206"/>
      <c r="DBD22" s="206"/>
      <c r="DBE22" s="206"/>
      <c r="DBF22" s="206"/>
      <c r="DBG22" s="206"/>
      <c r="DBH22" s="206"/>
      <c r="DBI22" s="206"/>
      <c r="DBJ22" s="206"/>
      <c r="DBK22" s="206"/>
      <c r="DBL22" s="206"/>
      <c r="DBM22" s="206"/>
      <c r="DBN22" s="206"/>
      <c r="DBO22" s="206"/>
      <c r="DBP22" s="206"/>
      <c r="DBQ22" s="206"/>
      <c r="DBR22" s="206"/>
      <c r="DBS22" s="206"/>
      <c r="DBT22" s="206"/>
      <c r="DBU22" s="206"/>
      <c r="DBV22" s="206"/>
      <c r="DBW22" s="206"/>
      <c r="DBX22" s="206"/>
      <c r="DBY22" s="206"/>
      <c r="DBZ22" s="206"/>
      <c r="DCA22" s="206"/>
      <c r="DCB22" s="206"/>
      <c r="DCC22" s="206"/>
      <c r="DCD22" s="206"/>
      <c r="DCE22" s="206"/>
      <c r="DCF22" s="206"/>
      <c r="DCG22" s="206"/>
      <c r="DCH22" s="206"/>
      <c r="DCI22" s="206"/>
      <c r="DCJ22" s="206"/>
      <c r="DCK22" s="206"/>
      <c r="DCL22" s="206"/>
      <c r="DCM22" s="206"/>
      <c r="DCN22" s="206"/>
      <c r="DCO22" s="206"/>
      <c r="DCP22" s="206"/>
      <c r="DCQ22" s="206"/>
      <c r="DCR22" s="206"/>
      <c r="DCS22" s="206"/>
      <c r="DCT22" s="206"/>
      <c r="DCU22" s="206"/>
      <c r="DCV22" s="206"/>
      <c r="DCW22" s="206"/>
      <c r="DCX22" s="206"/>
      <c r="DCY22" s="206"/>
      <c r="DCZ22" s="206"/>
      <c r="DDA22" s="206"/>
      <c r="DDB22" s="206"/>
      <c r="DDC22" s="206"/>
      <c r="DDD22" s="206"/>
      <c r="DDE22" s="206"/>
      <c r="DDF22" s="206"/>
      <c r="DDG22" s="206"/>
      <c r="DDH22" s="206"/>
      <c r="DDI22" s="206"/>
      <c r="DDJ22" s="206"/>
      <c r="DDK22" s="206"/>
      <c r="DDL22" s="206"/>
      <c r="DDM22" s="206"/>
      <c r="DDN22" s="206"/>
      <c r="DDO22" s="206"/>
      <c r="DDP22" s="206"/>
      <c r="DDQ22" s="206"/>
      <c r="DDR22" s="206"/>
      <c r="DDS22" s="206"/>
      <c r="DDT22" s="206"/>
      <c r="DDU22" s="206"/>
      <c r="DDV22" s="206"/>
      <c r="DDW22" s="206"/>
      <c r="DDX22" s="206"/>
      <c r="DDY22" s="206"/>
      <c r="DDZ22" s="206"/>
      <c r="DEA22" s="206"/>
      <c r="DEB22" s="206"/>
      <c r="DEC22" s="206"/>
      <c r="DED22" s="206"/>
      <c r="DEE22" s="206"/>
      <c r="DEF22" s="206"/>
      <c r="DEG22" s="206"/>
      <c r="DEH22" s="206"/>
      <c r="DEI22" s="206"/>
      <c r="DEJ22" s="206"/>
      <c r="DEK22" s="206"/>
      <c r="DEL22" s="206"/>
      <c r="DEM22" s="206"/>
      <c r="DEN22" s="206"/>
      <c r="DEO22" s="206"/>
      <c r="DEP22" s="206"/>
      <c r="DEQ22" s="206"/>
      <c r="DER22" s="206"/>
      <c r="DES22" s="206"/>
      <c r="DET22" s="206"/>
      <c r="DEU22" s="206"/>
      <c r="DEV22" s="206"/>
      <c r="DEW22" s="206"/>
      <c r="DEX22" s="206"/>
      <c r="DEY22" s="206"/>
      <c r="DEZ22" s="206"/>
      <c r="DFA22" s="206"/>
      <c r="DFB22" s="206"/>
      <c r="DFC22" s="206"/>
      <c r="DFD22" s="206"/>
      <c r="DFE22" s="206"/>
      <c r="DFF22" s="206"/>
      <c r="DFG22" s="206"/>
      <c r="DFH22" s="206"/>
      <c r="DFI22" s="206"/>
      <c r="DFJ22" s="206"/>
      <c r="DFK22" s="206"/>
      <c r="DFL22" s="206"/>
      <c r="DFM22" s="206"/>
      <c r="DFN22" s="206"/>
      <c r="DFO22" s="206"/>
      <c r="DFP22" s="206"/>
      <c r="DFQ22" s="206"/>
      <c r="DFR22" s="206"/>
      <c r="DFS22" s="206"/>
      <c r="DFT22" s="206"/>
      <c r="DFU22" s="206"/>
      <c r="DFV22" s="206"/>
      <c r="DFW22" s="206"/>
      <c r="DFX22" s="206"/>
      <c r="DFY22" s="206"/>
      <c r="DFZ22" s="206"/>
      <c r="DGA22" s="206"/>
      <c r="DGB22" s="206"/>
      <c r="DGC22" s="206"/>
      <c r="DGD22" s="206"/>
      <c r="DGE22" s="206"/>
      <c r="DGF22" s="206"/>
      <c r="DGG22" s="206"/>
      <c r="DGH22" s="206"/>
      <c r="DGI22" s="206"/>
      <c r="DGJ22" s="206"/>
      <c r="DGK22" s="206"/>
      <c r="DGL22" s="206"/>
      <c r="DGM22" s="206"/>
      <c r="DGN22" s="206"/>
      <c r="DGO22" s="206"/>
      <c r="DGP22" s="206"/>
      <c r="DGQ22" s="206"/>
      <c r="DGR22" s="206"/>
      <c r="DGS22" s="206"/>
      <c r="DGT22" s="206"/>
      <c r="DGU22" s="206"/>
      <c r="DGV22" s="206"/>
      <c r="DGW22" s="206"/>
      <c r="DGX22" s="206"/>
      <c r="DGY22" s="206"/>
      <c r="DGZ22" s="206"/>
      <c r="DHA22" s="206"/>
      <c r="DHB22" s="206"/>
      <c r="DHC22" s="206"/>
      <c r="DHD22" s="206"/>
      <c r="DHE22" s="206"/>
      <c r="DHF22" s="206"/>
      <c r="DHG22" s="206"/>
      <c r="DHH22" s="206"/>
      <c r="DHI22" s="206"/>
      <c r="DHJ22" s="206"/>
      <c r="DHK22" s="206"/>
      <c r="DHL22" s="206"/>
      <c r="DHM22" s="206"/>
      <c r="DHN22" s="206"/>
      <c r="DHO22" s="206"/>
      <c r="DHP22" s="206"/>
      <c r="DHQ22" s="206"/>
      <c r="DHR22" s="206"/>
      <c r="DHS22" s="206"/>
      <c r="DHT22" s="206"/>
      <c r="DHU22" s="206"/>
      <c r="DHV22" s="206"/>
      <c r="DHW22" s="206"/>
      <c r="DHX22" s="206"/>
      <c r="DHY22" s="206"/>
      <c r="DHZ22" s="206"/>
      <c r="DIA22" s="206"/>
      <c r="DIB22" s="206"/>
      <c r="DIC22" s="206"/>
      <c r="DID22" s="206"/>
      <c r="DIE22" s="206"/>
      <c r="DIF22" s="206"/>
      <c r="DIG22" s="206"/>
      <c r="DIH22" s="206"/>
      <c r="DII22" s="206"/>
      <c r="DIJ22" s="206"/>
      <c r="DIK22" s="206"/>
      <c r="DIL22" s="206"/>
      <c r="DIM22" s="206"/>
      <c r="DIN22" s="206"/>
      <c r="DIO22" s="206"/>
      <c r="DIP22" s="206"/>
      <c r="DIQ22" s="206"/>
      <c r="DIR22" s="206"/>
      <c r="DIS22" s="206"/>
      <c r="DIT22" s="206"/>
      <c r="DIU22" s="206"/>
      <c r="DIV22" s="206"/>
      <c r="DIW22" s="206"/>
      <c r="DIX22" s="206"/>
      <c r="DIY22" s="206"/>
      <c r="DIZ22" s="206"/>
      <c r="DJA22" s="206"/>
      <c r="DJB22" s="206"/>
      <c r="DJC22" s="206"/>
      <c r="DJD22" s="206"/>
      <c r="DJE22" s="206"/>
      <c r="DJF22" s="206"/>
      <c r="DJG22" s="206"/>
      <c r="DJH22" s="206"/>
      <c r="DJI22" s="206"/>
      <c r="DJJ22" s="206"/>
      <c r="DJK22" s="206"/>
      <c r="DJL22" s="206"/>
      <c r="DJM22" s="206"/>
      <c r="DJN22" s="206"/>
      <c r="DJO22" s="206"/>
      <c r="DJP22" s="206"/>
      <c r="DJQ22" s="206"/>
      <c r="DJR22" s="206"/>
      <c r="DJS22" s="206"/>
      <c r="DJT22" s="206"/>
      <c r="DJU22" s="206"/>
      <c r="DJV22" s="206"/>
      <c r="DJW22" s="206"/>
      <c r="DJX22" s="206"/>
      <c r="DJY22" s="206"/>
      <c r="DJZ22" s="206"/>
      <c r="DKA22" s="206"/>
      <c r="DKB22" s="206"/>
      <c r="DKC22" s="206"/>
      <c r="DKD22" s="206"/>
      <c r="DKE22" s="206"/>
      <c r="DKF22" s="206"/>
      <c r="DKG22" s="206"/>
      <c r="DKH22" s="206"/>
      <c r="DKI22" s="206"/>
      <c r="DKJ22" s="206"/>
      <c r="DKK22" s="206"/>
      <c r="DKL22" s="206"/>
      <c r="DKM22" s="206"/>
      <c r="DKN22" s="206"/>
      <c r="DKO22" s="206"/>
      <c r="DKP22" s="206"/>
      <c r="DKQ22" s="206"/>
      <c r="DKR22" s="206"/>
      <c r="DKS22" s="206"/>
      <c r="DKT22" s="206"/>
      <c r="DKU22" s="206"/>
      <c r="DKV22" s="206"/>
      <c r="DKW22" s="206"/>
      <c r="DKX22" s="206"/>
      <c r="DKY22" s="206"/>
      <c r="DKZ22" s="206"/>
      <c r="DLA22" s="206"/>
      <c r="DLB22" s="206"/>
      <c r="DLC22" s="206"/>
      <c r="DLD22" s="206"/>
      <c r="DLE22" s="206"/>
      <c r="DLF22" s="206"/>
      <c r="DLG22" s="206"/>
      <c r="DLH22" s="206"/>
      <c r="DLI22" s="206"/>
      <c r="DLJ22" s="206"/>
      <c r="DLK22" s="206"/>
      <c r="DLL22" s="206"/>
      <c r="DLM22" s="206"/>
      <c r="DLN22" s="206"/>
      <c r="DLO22" s="206"/>
      <c r="DLP22" s="206"/>
      <c r="DLQ22" s="206"/>
      <c r="DLR22" s="206"/>
      <c r="DLS22" s="206"/>
      <c r="DLT22" s="206"/>
      <c r="DLU22" s="206"/>
      <c r="DLV22" s="206"/>
      <c r="DLW22" s="206"/>
      <c r="DLX22" s="206"/>
      <c r="DLY22" s="206"/>
      <c r="DLZ22" s="206"/>
      <c r="DMA22" s="206"/>
      <c r="DMB22" s="206"/>
      <c r="DMC22" s="206"/>
      <c r="DMD22" s="206"/>
      <c r="DME22" s="206"/>
      <c r="DMF22" s="206"/>
      <c r="DMG22" s="206"/>
      <c r="DMH22" s="206"/>
      <c r="DMI22" s="206"/>
      <c r="DMJ22" s="206"/>
      <c r="DMK22" s="206"/>
      <c r="DML22" s="206"/>
      <c r="DMM22" s="206"/>
      <c r="DMN22" s="206"/>
      <c r="DMO22" s="206"/>
      <c r="DMP22" s="206"/>
      <c r="DMQ22" s="206"/>
      <c r="DMR22" s="206"/>
      <c r="DMS22" s="206"/>
      <c r="DMT22" s="206"/>
      <c r="DMU22" s="206"/>
      <c r="DMV22" s="206"/>
      <c r="DMW22" s="206"/>
      <c r="DMX22" s="206"/>
      <c r="DMY22" s="206"/>
      <c r="DMZ22" s="206"/>
      <c r="DNA22" s="206"/>
      <c r="DNB22" s="206"/>
      <c r="DNC22" s="206"/>
      <c r="DND22" s="206"/>
      <c r="DNE22" s="206"/>
      <c r="DNF22" s="206"/>
      <c r="DNG22" s="206"/>
      <c r="DNH22" s="206"/>
      <c r="DNI22" s="206"/>
      <c r="DNJ22" s="206"/>
      <c r="DNK22" s="206"/>
      <c r="DNL22" s="206"/>
      <c r="DNM22" s="206"/>
      <c r="DNN22" s="206"/>
      <c r="DNO22" s="206"/>
      <c r="DNP22" s="206"/>
      <c r="DNQ22" s="206"/>
      <c r="DNR22" s="206"/>
      <c r="DNS22" s="206"/>
      <c r="DNT22" s="206"/>
      <c r="DNU22" s="206"/>
      <c r="DNV22" s="206"/>
      <c r="DNW22" s="206"/>
      <c r="DNX22" s="206"/>
      <c r="DNY22" s="206"/>
      <c r="DNZ22" s="206"/>
      <c r="DOA22" s="206"/>
      <c r="DOB22" s="206"/>
      <c r="DOC22" s="206"/>
      <c r="DOD22" s="206"/>
      <c r="DOE22" s="206"/>
      <c r="DOF22" s="206"/>
      <c r="DOG22" s="206"/>
      <c r="DOH22" s="206"/>
      <c r="DOI22" s="206"/>
      <c r="DOJ22" s="206"/>
      <c r="DOK22" s="206"/>
      <c r="DOL22" s="206"/>
      <c r="DOM22" s="206"/>
      <c r="DON22" s="206"/>
      <c r="DOO22" s="206"/>
      <c r="DOP22" s="206"/>
      <c r="DOQ22" s="206"/>
      <c r="DOR22" s="206"/>
      <c r="DOS22" s="206"/>
      <c r="DOT22" s="206"/>
      <c r="DOU22" s="206"/>
      <c r="DOV22" s="206"/>
      <c r="DOW22" s="206"/>
      <c r="DOX22" s="206"/>
      <c r="DOY22" s="206"/>
      <c r="DOZ22" s="206"/>
      <c r="DPA22" s="206"/>
      <c r="DPB22" s="206"/>
      <c r="DPC22" s="206"/>
      <c r="DPD22" s="206"/>
      <c r="DPE22" s="206"/>
      <c r="DPF22" s="206"/>
      <c r="DPG22" s="206"/>
      <c r="DPH22" s="206"/>
      <c r="DPI22" s="206"/>
      <c r="DPJ22" s="206"/>
      <c r="DPK22" s="206"/>
      <c r="DPL22" s="206"/>
      <c r="DPM22" s="206"/>
      <c r="DPN22" s="206"/>
      <c r="DPO22" s="206"/>
      <c r="DPP22" s="206"/>
      <c r="DPQ22" s="206"/>
      <c r="DPR22" s="206"/>
      <c r="DPS22" s="206"/>
      <c r="DPT22" s="206"/>
      <c r="DPU22" s="206"/>
      <c r="DPV22" s="206"/>
      <c r="DPW22" s="206"/>
      <c r="DPX22" s="206"/>
      <c r="DPY22" s="206"/>
      <c r="DPZ22" s="206"/>
      <c r="DQA22" s="206"/>
      <c r="DQB22" s="206"/>
      <c r="DQC22" s="206"/>
      <c r="DQD22" s="206"/>
      <c r="DQE22" s="206"/>
      <c r="DQF22" s="206"/>
      <c r="DQG22" s="206"/>
      <c r="DQH22" s="206"/>
      <c r="DQI22" s="206"/>
      <c r="DQJ22" s="206"/>
      <c r="DQK22" s="206"/>
      <c r="DQL22" s="206"/>
      <c r="DQM22" s="206"/>
      <c r="DQN22" s="206"/>
      <c r="DQO22" s="206"/>
      <c r="DQP22" s="206"/>
      <c r="DQQ22" s="206"/>
      <c r="DQR22" s="206"/>
      <c r="DQS22" s="206"/>
      <c r="DQT22" s="206"/>
      <c r="DQU22" s="206"/>
      <c r="DQV22" s="206"/>
      <c r="DQW22" s="206"/>
      <c r="DQX22" s="206"/>
      <c r="DQY22" s="206"/>
      <c r="DQZ22" s="206"/>
      <c r="DRA22" s="206"/>
      <c r="DRB22" s="206"/>
      <c r="DRC22" s="206"/>
      <c r="DRD22" s="206"/>
      <c r="DRE22" s="206"/>
      <c r="DRF22" s="206"/>
      <c r="DRG22" s="206"/>
      <c r="DRH22" s="206"/>
      <c r="DRI22" s="206"/>
      <c r="DRJ22" s="206"/>
      <c r="DRK22" s="206"/>
      <c r="DRL22" s="206"/>
      <c r="DRM22" s="206"/>
      <c r="DRN22" s="206"/>
      <c r="DRO22" s="206"/>
      <c r="DRP22" s="206"/>
      <c r="DRQ22" s="206"/>
      <c r="DRR22" s="206"/>
      <c r="DRS22" s="206"/>
      <c r="DRT22" s="206"/>
      <c r="DRU22" s="206"/>
      <c r="DRV22" s="206"/>
      <c r="DRW22" s="206"/>
      <c r="DRX22" s="206"/>
      <c r="DRY22" s="206"/>
      <c r="DRZ22" s="206"/>
      <c r="DSA22" s="206"/>
      <c r="DSB22" s="206"/>
      <c r="DSC22" s="206"/>
      <c r="DSD22" s="206"/>
      <c r="DSE22" s="206"/>
      <c r="DSF22" s="206"/>
      <c r="DSG22" s="206"/>
      <c r="DSH22" s="206"/>
      <c r="DSI22" s="206"/>
      <c r="DSJ22" s="206"/>
      <c r="DSK22" s="206"/>
      <c r="DSL22" s="206"/>
      <c r="DSM22" s="206"/>
      <c r="DSN22" s="206"/>
      <c r="DSO22" s="206"/>
      <c r="DSP22" s="206"/>
      <c r="DSQ22" s="206"/>
      <c r="DSR22" s="206"/>
      <c r="DSS22" s="206"/>
      <c r="DST22" s="206"/>
      <c r="DSU22" s="206"/>
      <c r="DSV22" s="206"/>
      <c r="DSW22" s="206"/>
      <c r="DSX22" s="206"/>
      <c r="DSY22" s="206"/>
      <c r="DSZ22" s="206"/>
      <c r="DTA22" s="206"/>
      <c r="DTB22" s="206"/>
      <c r="DTC22" s="206"/>
      <c r="DTD22" s="206"/>
      <c r="DTE22" s="206"/>
      <c r="DTF22" s="206"/>
      <c r="DTG22" s="206"/>
      <c r="DTH22" s="206"/>
      <c r="DTI22" s="206"/>
      <c r="DTJ22" s="206"/>
      <c r="DTK22" s="206"/>
      <c r="DTL22" s="206"/>
      <c r="DTM22" s="206"/>
      <c r="DTN22" s="206"/>
      <c r="DTO22" s="206"/>
      <c r="DTP22" s="206"/>
      <c r="DTQ22" s="206"/>
      <c r="DTR22" s="206"/>
      <c r="DTS22" s="206"/>
      <c r="DTT22" s="206"/>
      <c r="DTU22" s="206"/>
      <c r="DTV22" s="206"/>
      <c r="DTW22" s="206"/>
      <c r="DTX22" s="206"/>
      <c r="DTY22" s="206"/>
      <c r="DTZ22" s="206"/>
      <c r="DUA22" s="206"/>
      <c r="DUB22" s="206"/>
      <c r="DUC22" s="206"/>
      <c r="DUD22" s="206"/>
      <c r="DUE22" s="206"/>
      <c r="DUF22" s="206"/>
      <c r="DUG22" s="206"/>
      <c r="DUH22" s="206"/>
      <c r="DUI22" s="206"/>
      <c r="DUJ22" s="206"/>
      <c r="DUK22" s="206"/>
      <c r="DUL22" s="206"/>
      <c r="DUM22" s="206"/>
      <c r="DUN22" s="206"/>
      <c r="DUO22" s="206"/>
      <c r="DUP22" s="206"/>
      <c r="DUQ22" s="206"/>
      <c r="DUR22" s="206"/>
      <c r="DUS22" s="206"/>
      <c r="DUT22" s="206"/>
      <c r="DUU22" s="206"/>
      <c r="DUV22" s="206"/>
      <c r="DUW22" s="206"/>
      <c r="DUX22" s="206"/>
      <c r="DUY22" s="206"/>
      <c r="DUZ22" s="206"/>
      <c r="DVA22" s="206"/>
      <c r="DVB22" s="206"/>
      <c r="DVC22" s="206"/>
      <c r="DVD22" s="206"/>
      <c r="DVE22" s="206"/>
      <c r="DVF22" s="206"/>
      <c r="DVG22" s="206"/>
      <c r="DVH22" s="206"/>
      <c r="DVI22" s="206"/>
      <c r="DVJ22" s="206"/>
      <c r="DVK22" s="206"/>
      <c r="DVL22" s="206"/>
      <c r="DVM22" s="206"/>
      <c r="DVN22" s="206"/>
      <c r="DVO22" s="206"/>
      <c r="DVP22" s="206"/>
      <c r="DVQ22" s="206"/>
      <c r="DVR22" s="206"/>
      <c r="DVS22" s="206"/>
      <c r="DVT22" s="206"/>
      <c r="DVU22" s="206"/>
      <c r="DVV22" s="206"/>
      <c r="DVW22" s="206"/>
      <c r="DVX22" s="206"/>
      <c r="DVY22" s="206"/>
      <c r="DVZ22" s="206"/>
      <c r="DWA22" s="206"/>
      <c r="DWB22" s="206"/>
      <c r="DWC22" s="206"/>
      <c r="DWD22" s="206"/>
      <c r="DWE22" s="206"/>
      <c r="DWF22" s="206"/>
      <c r="DWG22" s="206"/>
      <c r="DWH22" s="206"/>
      <c r="DWI22" s="206"/>
      <c r="DWJ22" s="206"/>
      <c r="DWK22" s="206"/>
      <c r="DWL22" s="206"/>
      <c r="DWM22" s="206"/>
      <c r="DWN22" s="206"/>
      <c r="DWO22" s="206"/>
      <c r="DWP22" s="206"/>
      <c r="DWQ22" s="206"/>
      <c r="DWR22" s="206"/>
      <c r="DWS22" s="206"/>
      <c r="DWT22" s="206"/>
      <c r="DWU22" s="206"/>
      <c r="DWV22" s="206"/>
      <c r="DWW22" s="206"/>
      <c r="DWX22" s="206"/>
      <c r="DWY22" s="206"/>
      <c r="DWZ22" s="206"/>
      <c r="DXA22" s="206"/>
      <c r="DXB22" s="206"/>
      <c r="DXC22" s="206"/>
      <c r="DXD22" s="206"/>
      <c r="DXE22" s="206"/>
      <c r="DXF22" s="206"/>
      <c r="DXG22" s="206"/>
      <c r="DXH22" s="206"/>
      <c r="DXI22" s="206"/>
      <c r="DXJ22" s="206"/>
      <c r="DXK22" s="206"/>
      <c r="DXL22" s="206"/>
      <c r="DXM22" s="206"/>
      <c r="DXN22" s="206"/>
      <c r="DXO22" s="206"/>
      <c r="DXP22" s="206"/>
      <c r="DXQ22" s="206"/>
      <c r="DXR22" s="206"/>
      <c r="DXS22" s="206"/>
      <c r="DXT22" s="206"/>
      <c r="DXU22" s="206"/>
      <c r="DXV22" s="206"/>
      <c r="DXW22" s="206"/>
      <c r="DXX22" s="206"/>
      <c r="DXY22" s="206"/>
      <c r="DXZ22" s="206"/>
      <c r="DYA22" s="206"/>
      <c r="DYB22" s="206"/>
      <c r="DYC22" s="206"/>
      <c r="DYD22" s="206"/>
      <c r="DYE22" s="206"/>
      <c r="DYF22" s="206"/>
      <c r="DYG22" s="206"/>
      <c r="DYH22" s="206"/>
      <c r="DYI22" s="206"/>
      <c r="DYJ22" s="206"/>
      <c r="DYK22" s="206"/>
      <c r="DYL22" s="206"/>
      <c r="DYM22" s="206"/>
      <c r="DYN22" s="206"/>
      <c r="DYO22" s="206"/>
      <c r="DYP22" s="206"/>
      <c r="DYQ22" s="206"/>
      <c r="DYR22" s="206"/>
      <c r="DYS22" s="206"/>
      <c r="DYT22" s="206"/>
      <c r="DYU22" s="206"/>
      <c r="DYV22" s="206"/>
      <c r="DYW22" s="206"/>
      <c r="DYX22" s="206"/>
      <c r="DYY22" s="206"/>
      <c r="DYZ22" s="206"/>
      <c r="DZA22" s="206"/>
      <c r="DZB22" s="206"/>
      <c r="DZC22" s="206"/>
      <c r="DZD22" s="206"/>
      <c r="DZE22" s="206"/>
      <c r="DZF22" s="206"/>
      <c r="DZG22" s="206"/>
      <c r="DZH22" s="206"/>
      <c r="DZI22" s="206"/>
      <c r="DZJ22" s="206"/>
      <c r="DZK22" s="206"/>
      <c r="DZL22" s="206"/>
      <c r="DZM22" s="206"/>
      <c r="DZN22" s="206"/>
      <c r="DZO22" s="206"/>
      <c r="DZP22" s="206"/>
      <c r="DZQ22" s="206"/>
      <c r="DZR22" s="206"/>
      <c r="DZS22" s="206"/>
      <c r="DZT22" s="206"/>
      <c r="DZU22" s="206"/>
      <c r="DZV22" s="206"/>
      <c r="DZW22" s="206"/>
      <c r="DZX22" s="206"/>
      <c r="DZY22" s="206"/>
      <c r="DZZ22" s="206"/>
      <c r="EAA22" s="206"/>
      <c r="EAB22" s="206"/>
      <c r="EAC22" s="206"/>
      <c r="EAD22" s="206"/>
      <c r="EAE22" s="206"/>
      <c r="EAF22" s="206"/>
      <c r="EAG22" s="206"/>
      <c r="EAH22" s="206"/>
      <c r="EAI22" s="206"/>
      <c r="EAJ22" s="206"/>
      <c r="EAK22" s="206"/>
      <c r="EAL22" s="206"/>
      <c r="EAM22" s="206"/>
      <c r="EAN22" s="206"/>
      <c r="EAO22" s="206"/>
      <c r="EAP22" s="206"/>
      <c r="EAQ22" s="206"/>
      <c r="EAR22" s="206"/>
      <c r="EAS22" s="206"/>
      <c r="EAT22" s="206"/>
      <c r="EAU22" s="206"/>
      <c r="EAV22" s="206"/>
      <c r="EAW22" s="206"/>
      <c r="EAX22" s="206"/>
      <c r="EAY22" s="206"/>
      <c r="EAZ22" s="206"/>
      <c r="EBA22" s="206"/>
      <c r="EBB22" s="206"/>
      <c r="EBC22" s="206"/>
      <c r="EBD22" s="206"/>
      <c r="EBE22" s="206"/>
      <c r="EBF22" s="206"/>
      <c r="EBG22" s="206"/>
      <c r="EBH22" s="206"/>
      <c r="EBI22" s="206"/>
      <c r="EBJ22" s="206"/>
      <c r="EBK22" s="206"/>
      <c r="EBL22" s="206"/>
      <c r="EBM22" s="206"/>
      <c r="EBN22" s="206"/>
      <c r="EBO22" s="206"/>
      <c r="EBP22" s="206"/>
      <c r="EBQ22" s="206"/>
      <c r="EBR22" s="206"/>
      <c r="EBS22" s="206"/>
      <c r="EBT22" s="206"/>
      <c r="EBU22" s="206"/>
      <c r="EBV22" s="206"/>
      <c r="EBW22" s="206"/>
      <c r="EBX22" s="206"/>
      <c r="EBY22" s="206"/>
      <c r="EBZ22" s="206"/>
      <c r="ECA22" s="206"/>
      <c r="ECB22" s="206"/>
      <c r="ECC22" s="206"/>
      <c r="ECD22" s="206"/>
      <c r="ECE22" s="206"/>
      <c r="ECF22" s="206"/>
      <c r="ECG22" s="206"/>
      <c r="ECH22" s="206"/>
      <c r="ECI22" s="206"/>
      <c r="ECJ22" s="206"/>
      <c r="ECK22" s="206"/>
      <c r="ECL22" s="206"/>
      <c r="ECM22" s="206"/>
      <c r="ECN22" s="206"/>
      <c r="ECO22" s="206"/>
      <c r="ECP22" s="206"/>
      <c r="ECQ22" s="206"/>
      <c r="ECR22" s="206"/>
      <c r="ECS22" s="206"/>
      <c r="ECT22" s="206"/>
      <c r="ECU22" s="206"/>
      <c r="ECV22" s="206"/>
      <c r="ECW22" s="206"/>
      <c r="ECX22" s="206"/>
      <c r="ECY22" s="206"/>
      <c r="ECZ22" s="206"/>
      <c r="EDA22" s="206"/>
      <c r="EDB22" s="206"/>
      <c r="EDC22" s="206"/>
      <c r="EDD22" s="206"/>
      <c r="EDE22" s="206"/>
      <c r="EDF22" s="206"/>
      <c r="EDG22" s="206"/>
      <c r="EDH22" s="206"/>
      <c r="EDI22" s="206"/>
      <c r="EDJ22" s="206"/>
      <c r="EDK22" s="206"/>
      <c r="EDL22" s="206"/>
      <c r="EDM22" s="206"/>
      <c r="EDN22" s="206"/>
      <c r="EDO22" s="206"/>
      <c r="EDP22" s="206"/>
      <c r="EDQ22" s="206"/>
      <c r="EDR22" s="206"/>
      <c r="EDS22" s="206"/>
      <c r="EDT22" s="206"/>
      <c r="EDU22" s="206"/>
      <c r="EDV22" s="206"/>
      <c r="EDW22" s="206"/>
      <c r="EDX22" s="206"/>
      <c r="EDY22" s="206"/>
      <c r="EDZ22" s="206"/>
      <c r="EEA22" s="206"/>
      <c r="EEB22" s="206"/>
      <c r="EEC22" s="206"/>
      <c r="EED22" s="206"/>
      <c r="EEE22" s="206"/>
      <c r="EEF22" s="206"/>
      <c r="EEG22" s="206"/>
      <c r="EEH22" s="206"/>
      <c r="EEI22" s="206"/>
      <c r="EEJ22" s="206"/>
      <c r="EEK22" s="206"/>
      <c r="EEL22" s="206"/>
      <c r="EEM22" s="206"/>
      <c r="EEN22" s="206"/>
      <c r="EEO22" s="206"/>
      <c r="EEP22" s="206"/>
      <c r="EEQ22" s="206"/>
      <c r="EER22" s="206"/>
      <c r="EES22" s="206"/>
      <c r="EET22" s="206"/>
      <c r="EEU22" s="206"/>
      <c r="EEV22" s="206"/>
      <c r="EEW22" s="206"/>
      <c r="EEX22" s="206"/>
      <c r="EEY22" s="206"/>
      <c r="EEZ22" s="206"/>
      <c r="EFA22" s="206"/>
      <c r="EFB22" s="206"/>
      <c r="EFC22" s="206"/>
      <c r="EFD22" s="206"/>
      <c r="EFE22" s="206"/>
      <c r="EFF22" s="206"/>
      <c r="EFG22" s="206"/>
      <c r="EFH22" s="206"/>
      <c r="EFI22" s="206"/>
      <c r="EFJ22" s="206"/>
      <c r="EFK22" s="206"/>
      <c r="EFL22" s="206"/>
      <c r="EFM22" s="206"/>
      <c r="EFN22" s="206"/>
      <c r="EFO22" s="206"/>
      <c r="EFP22" s="206"/>
      <c r="EFQ22" s="206"/>
      <c r="EFR22" s="206"/>
      <c r="EFS22" s="206"/>
      <c r="EFT22" s="206"/>
      <c r="EFU22" s="206"/>
      <c r="EFV22" s="206"/>
      <c r="EFW22" s="206"/>
      <c r="EFX22" s="206"/>
      <c r="EFY22" s="206"/>
      <c r="EFZ22" s="206"/>
      <c r="EGA22" s="206"/>
      <c r="EGB22" s="206"/>
      <c r="EGC22" s="206"/>
      <c r="EGD22" s="206"/>
      <c r="EGE22" s="206"/>
      <c r="EGF22" s="206"/>
      <c r="EGG22" s="206"/>
      <c r="EGH22" s="206"/>
      <c r="EGI22" s="206"/>
      <c r="EGJ22" s="206"/>
      <c r="EGK22" s="206"/>
      <c r="EGL22" s="206"/>
      <c r="EGM22" s="206"/>
      <c r="EGN22" s="206"/>
      <c r="EGO22" s="206"/>
      <c r="EGP22" s="206"/>
      <c r="EGQ22" s="206"/>
      <c r="EGR22" s="206"/>
      <c r="EGS22" s="206"/>
      <c r="EGT22" s="206"/>
      <c r="EGU22" s="206"/>
      <c r="EGV22" s="206"/>
      <c r="EGW22" s="206"/>
      <c r="EGX22" s="206"/>
      <c r="EGY22" s="206"/>
      <c r="EGZ22" s="206"/>
      <c r="EHA22" s="206"/>
      <c r="EHB22" s="206"/>
      <c r="EHC22" s="206"/>
      <c r="EHD22" s="206"/>
      <c r="EHE22" s="206"/>
      <c r="EHF22" s="206"/>
      <c r="EHG22" s="206"/>
      <c r="EHH22" s="206"/>
      <c r="EHI22" s="206"/>
      <c r="EHJ22" s="206"/>
      <c r="EHK22" s="206"/>
      <c r="EHL22" s="206"/>
      <c r="EHM22" s="206"/>
      <c r="EHN22" s="206"/>
      <c r="EHO22" s="206"/>
      <c r="EHP22" s="206"/>
      <c r="EHQ22" s="206"/>
      <c r="EHR22" s="206"/>
      <c r="EHS22" s="206"/>
      <c r="EHT22" s="206"/>
      <c r="EHU22" s="206"/>
      <c r="EHV22" s="206"/>
      <c r="EHW22" s="206"/>
      <c r="EHX22" s="206"/>
      <c r="EHY22" s="206"/>
      <c r="EHZ22" s="206"/>
      <c r="EIA22" s="206"/>
      <c r="EIB22" s="206"/>
      <c r="EIC22" s="206"/>
      <c r="EID22" s="206"/>
      <c r="EIE22" s="206"/>
      <c r="EIF22" s="206"/>
      <c r="EIG22" s="206"/>
      <c r="EIH22" s="206"/>
      <c r="EII22" s="206"/>
      <c r="EIJ22" s="206"/>
      <c r="EIK22" s="206"/>
      <c r="EIL22" s="206"/>
      <c r="EIM22" s="206"/>
      <c r="EIN22" s="206"/>
      <c r="EIO22" s="206"/>
      <c r="EIP22" s="206"/>
      <c r="EIQ22" s="206"/>
      <c r="EIR22" s="206"/>
      <c r="EIS22" s="206"/>
      <c r="EIT22" s="206"/>
      <c r="EIU22" s="206"/>
      <c r="EIV22" s="206"/>
      <c r="EIW22" s="206"/>
      <c r="EIX22" s="206"/>
      <c r="EIY22" s="206"/>
      <c r="EIZ22" s="206"/>
      <c r="EJA22" s="206"/>
      <c r="EJB22" s="206"/>
      <c r="EJC22" s="206"/>
      <c r="EJD22" s="206"/>
      <c r="EJE22" s="206"/>
      <c r="EJF22" s="206"/>
      <c r="EJG22" s="206"/>
      <c r="EJH22" s="206"/>
      <c r="EJI22" s="206"/>
      <c r="EJJ22" s="206"/>
      <c r="EJK22" s="206"/>
      <c r="EJL22" s="206"/>
      <c r="EJM22" s="206"/>
      <c r="EJN22" s="206"/>
      <c r="EJO22" s="206"/>
      <c r="EJP22" s="206"/>
      <c r="EJQ22" s="206"/>
      <c r="EJR22" s="206"/>
      <c r="EJS22" s="206"/>
      <c r="EJT22" s="206"/>
      <c r="EJU22" s="206"/>
      <c r="EJV22" s="206"/>
      <c r="EJW22" s="206"/>
      <c r="EJX22" s="206"/>
      <c r="EJY22" s="206"/>
      <c r="EJZ22" s="206"/>
      <c r="EKA22" s="206"/>
      <c r="EKB22" s="206"/>
      <c r="EKC22" s="206"/>
      <c r="EKD22" s="206"/>
      <c r="EKE22" s="206"/>
      <c r="EKF22" s="206"/>
      <c r="EKG22" s="206"/>
      <c r="EKH22" s="206"/>
      <c r="EKI22" s="206"/>
      <c r="EKJ22" s="206"/>
      <c r="EKK22" s="206"/>
      <c r="EKL22" s="206"/>
      <c r="EKM22" s="206"/>
      <c r="EKN22" s="206"/>
      <c r="EKO22" s="206"/>
      <c r="EKP22" s="206"/>
      <c r="EKQ22" s="206"/>
      <c r="EKR22" s="206"/>
      <c r="EKS22" s="206"/>
      <c r="EKT22" s="206"/>
      <c r="EKU22" s="206"/>
      <c r="EKV22" s="206"/>
      <c r="EKW22" s="206"/>
      <c r="EKX22" s="206"/>
      <c r="EKY22" s="206"/>
      <c r="EKZ22" s="206"/>
      <c r="ELA22" s="206"/>
      <c r="ELB22" s="206"/>
      <c r="ELC22" s="206"/>
      <c r="ELD22" s="206"/>
      <c r="ELE22" s="206"/>
      <c r="ELF22" s="206"/>
      <c r="ELG22" s="206"/>
      <c r="ELH22" s="206"/>
      <c r="ELI22" s="206"/>
      <c r="ELJ22" s="206"/>
      <c r="ELK22" s="206"/>
      <c r="ELL22" s="206"/>
      <c r="ELM22" s="206"/>
      <c r="ELN22" s="206"/>
      <c r="ELO22" s="206"/>
      <c r="ELP22" s="206"/>
      <c r="ELQ22" s="206"/>
      <c r="ELR22" s="206"/>
      <c r="ELS22" s="206"/>
      <c r="ELT22" s="206"/>
      <c r="ELU22" s="206"/>
      <c r="ELV22" s="206"/>
      <c r="ELW22" s="206"/>
      <c r="ELX22" s="206"/>
      <c r="ELY22" s="206"/>
      <c r="ELZ22" s="206"/>
      <c r="EMA22" s="206"/>
      <c r="EMB22" s="206"/>
      <c r="EMC22" s="206"/>
      <c r="EMD22" s="206"/>
      <c r="EME22" s="206"/>
      <c r="EMF22" s="206"/>
      <c r="EMG22" s="206"/>
      <c r="EMH22" s="206"/>
      <c r="EMI22" s="206"/>
      <c r="EMJ22" s="206"/>
      <c r="EMK22" s="206"/>
      <c r="EML22" s="206"/>
      <c r="EMM22" s="206"/>
      <c r="EMN22" s="206"/>
      <c r="EMO22" s="206"/>
      <c r="EMP22" s="206"/>
      <c r="EMQ22" s="206"/>
      <c r="EMR22" s="206"/>
      <c r="EMS22" s="206"/>
      <c r="EMT22" s="206"/>
      <c r="EMU22" s="206"/>
      <c r="EMV22" s="206"/>
      <c r="EMW22" s="206"/>
      <c r="EMX22" s="206"/>
      <c r="EMY22" s="206"/>
      <c r="EMZ22" s="206"/>
      <c r="ENA22" s="206"/>
      <c r="ENB22" s="206"/>
      <c r="ENC22" s="206"/>
      <c r="END22" s="206"/>
      <c r="ENE22" s="206"/>
      <c r="ENF22" s="206"/>
      <c r="ENG22" s="206"/>
      <c r="ENH22" s="206"/>
      <c r="ENI22" s="206"/>
      <c r="ENJ22" s="206"/>
      <c r="ENK22" s="206"/>
      <c r="ENL22" s="206"/>
      <c r="ENM22" s="206"/>
      <c r="ENN22" s="206"/>
      <c r="ENO22" s="206"/>
      <c r="ENP22" s="206"/>
      <c r="ENQ22" s="206"/>
      <c r="ENR22" s="206"/>
      <c r="ENS22" s="206"/>
      <c r="ENT22" s="206"/>
      <c r="ENU22" s="206"/>
      <c r="ENV22" s="206"/>
      <c r="ENW22" s="206"/>
      <c r="ENX22" s="206"/>
      <c r="ENY22" s="206"/>
      <c r="ENZ22" s="206"/>
      <c r="EOA22" s="206"/>
      <c r="EOB22" s="206"/>
      <c r="EOC22" s="206"/>
      <c r="EOD22" s="206"/>
      <c r="EOE22" s="206"/>
      <c r="EOF22" s="206"/>
      <c r="EOG22" s="206"/>
      <c r="EOH22" s="206"/>
      <c r="EOI22" s="206"/>
      <c r="EOJ22" s="206"/>
      <c r="EOK22" s="206"/>
      <c r="EOL22" s="206"/>
      <c r="EOM22" s="206"/>
      <c r="EON22" s="206"/>
      <c r="EOO22" s="206"/>
      <c r="EOP22" s="206"/>
      <c r="EOQ22" s="206"/>
      <c r="EOR22" s="206"/>
      <c r="EOS22" s="206"/>
      <c r="EOT22" s="206"/>
      <c r="EOU22" s="206"/>
      <c r="EOV22" s="206"/>
      <c r="EOW22" s="206"/>
      <c r="EOX22" s="206"/>
      <c r="EOY22" s="206"/>
      <c r="EOZ22" s="206"/>
      <c r="EPA22" s="206"/>
      <c r="EPB22" s="206"/>
      <c r="EPC22" s="206"/>
      <c r="EPD22" s="206"/>
      <c r="EPE22" s="206"/>
      <c r="EPF22" s="206"/>
      <c r="EPG22" s="206"/>
      <c r="EPH22" s="206"/>
      <c r="EPI22" s="206"/>
      <c r="EPJ22" s="206"/>
      <c r="EPK22" s="206"/>
      <c r="EPL22" s="206"/>
      <c r="EPM22" s="206"/>
      <c r="EPN22" s="206"/>
      <c r="EPO22" s="206"/>
      <c r="EPP22" s="206"/>
      <c r="EPQ22" s="206"/>
      <c r="EPR22" s="206"/>
      <c r="EPS22" s="206"/>
      <c r="EPT22" s="206"/>
      <c r="EPU22" s="206"/>
      <c r="EPV22" s="206"/>
      <c r="EPW22" s="206"/>
      <c r="EPX22" s="206"/>
      <c r="EPY22" s="206"/>
      <c r="EPZ22" s="206"/>
      <c r="EQA22" s="206"/>
      <c r="EQB22" s="206"/>
      <c r="EQC22" s="206"/>
      <c r="EQD22" s="206"/>
      <c r="EQE22" s="206"/>
      <c r="EQF22" s="206"/>
      <c r="EQG22" s="206"/>
      <c r="EQH22" s="206"/>
      <c r="EQI22" s="206"/>
      <c r="EQJ22" s="206"/>
      <c r="EQK22" s="206"/>
      <c r="EQL22" s="206"/>
      <c r="EQM22" s="206"/>
      <c r="EQN22" s="206"/>
      <c r="EQO22" s="206"/>
      <c r="EQP22" s="206"/>
      <c r="EQQ22" s="206"/>
      <c r="EQR22" s="206"/>
      <c r="EQS22" s="206"/>
      <c r="EQT22" s="206"/>
      <c r="EQU22" s="206"/>
      <c r="EQV22" s="206"/>
      <c r="EQW22" s="206"/>
      <c r="EQX22" s="206"/>
      <c r="EQY22" s="206"/>
      <c r="EQZ22" s="206"/>
      <c r="ERA22" s="206"/>
      <c r="ERB22" s="206"/>
      <c r="ERC22" s="206"/>
      <c r="ERD22" s="206"/>
      <c r="ERE22" s="206"/>
      <c r="ERF22" s="206"/>
      <c r="ERG22" s="206"/>
      <c r="ERH22" s="206"/>
      <c r="ERI22" s="206"/>
      <c r="ERJ22" s="206"/>
      <c r="ERK22" s="206"/>
      <c r="ERL22" s="206"/>
      <c r="ERM22" s="206"/>
      <c r="ERN22" s="206"/>
      <c r="ERO22" s="206"/>
      <c r="ERP22" s="206"/>
      <c r="ERQ22" s="206"/>
      <c r="ERR22" s="206"/>
      <c r="ERS22" s="206"/>
      <c r="ERT22" s="206"/>
      <c r="ERU22" s="206"/>
      <c r="ERV22" s="206"/>
      <c r="ERW22" s="206"/>
      <c r="ERX22" s="206"/>
      <c r="ERY22" s="206"/>
      <c r="ERZ22" s="206"/>
      <c r="ESA22" s="206"/>
      <c r="ESB22" s="206"/>
      <c r="ESC22" s="206"/>
      <c r="ESD22" s="206"/>
      <c r="ESE22" s="206"/>
      <c r="ESF22" s="206"/>
      <c r="ESG22" s="206"/>
      <c r="ESH22" s="206"/>
      <c r="ESI22" s="206"/>
      <c r="ESJ22" s="206"/>
      <c r="ESK22" s="206"/>
      <c r="ESL22" s="206"/>
      <c r="ESM22" s="206"/>
      <c r="ESN22" s="206"/>
      <c r="ESO22" s="206"/>
      <c r="ESP22" s="206"/>
      <c r="ESQ22" s="206"/>
      <c r="ESR22" s="206"/>
      <c r="ESS22" s="206"/>
      <c r="EST22" s="206"/>
      <c r="ESU22" s="206"/>
      <c r="ESV22" s="206"/>
      <c r="ESW22" s="206"/>
      <c r="ESX22" s="206"/>
      <c r="ESY22" s="206"/>
      <c r="ESZ22" s="206"/>
      <c r="ETA22" s="206"/>
      <c r="ETB22" s="206"/>
      <c r="ETC22" s="206"/>
      <c r="ETD22" s="206"/>
      <c r="ETE22" s="206"/>
      <c r="ETF22" s="206"/>
      <c r="ETG22" s="206"/>
      <c r="ETH22" s="206"/>
      <c r="ETI22" s="206"/>
      <c r="ETJ22" s="206"/>
      <c r="ETK22" s="206"/>
      <c r="ETL22" s="206"/>
      <c r="ETM22" s="206"/>
      <c r="ETN22" s="206"/>
      <c r="ETO22" s="206"/>
      <c r="ETP22" s="206"/>
      <c r="ETQ22" s="206"/>
      <c r="ETR22" s="206"/>
      <c r="ETS22" s="206"/>
      <c r="ETT22" s="206"/>
      <c r="ETU22" s="206"/>
      <c r="ETV22" s="206"/>
      <c r="ETW22" s="206"/>
      <c r="ETX22" s="206"/>
      <c r="ETY22" s="206"/>
      <c r="ETZ22" s="206"/>
      <c r="EUA22" s="206"/>
      <c r="EUB22" s="206"/>
      <c r="EUC22" s="206"/>
      <c r="EUD22" s="206"/>
      <c r="EUE22" s="206"/>
      <c r="EUF22" s="206"/>
      <c r="EUG22" s="206"/>
      <c r="EUH22" s="206"/>
      <c r="EUI22" s="206"/>
      <c r="EUJ22" s="206"/>
      <c r="EUK22" s="206"/>
      <c r="EUL22" s="206"/>
      <c r="EUM22" s="206"/>
      <c r="EUN22" s="206"/>
      <c r="EUO22" s="206"/>
      <c r="EUP22" s="206"/>
      <c r="EUQ22" s="206"/>
      <c r="EUR22" s="206"/>
      <c r="EUS22" s="206"/>
      <c r="EUT22" s="206"/>
      <c r="EUU22" s="206"/>
      <c r="EUV22" s="206"/>
      <c r="EUW22" s="206"/>
      <c r="EUX22" s="206"/>
      <c r="EUY22" s="206"/>
      <c r="EUZ22" s="206"/>
      <c r="EVA22" s="206"/>
      <c r="EVB22" s="206"/>
      <c r="EVC22" s="206"/>
      <c r="EVD22" s="206"/>
      <c r="EVE22" s="206"/>
      <c r="EVF22" s="206"/>
      <c r="EVG22" s="206"/>
      <c r="EVH22" s="206"/>
      <c r="EVI22" s="206"/>
      <c r="EVJ22" s="206"/>
      <c r="EVK22" s="206"/>
      <c r="EVL22" s="206"/>
      <c r="EVM22" s="206"/>
      <c r="EVN22" s="206"/>
      <c r="EVO22" s="206"/>
      <c r="EVP22" s="206"/>
      <c r="EVQ22" s="206"/>
      <c r="EVR22" s="206"/>
      <c r="EVS22" s="206"/>
      <c r="EVT22" s="206"/>
      <c r="EVU22" s="206"/>
      <c r="EVV22" s="206"/>
      <c r="EVW22" s="206"/>
      <c r="EVX22" s="206"/>
      <c r="EVY22" s="206"/>
      <c r="EVZ22" s="206"/>
      <c r="EWA22" s="206"/>
      <c r="EWB22" s="206"/>
      <c r="EWC22" s="206"/>
      <c r="EWD22" s="206"/>
      <c r="EWE22" s="206"/>
      <c r="EWF22" s="206"/>
      <c r="EWG22" s="206"/>
      <c r="EWH22" s="206"/>
      <c r="EWI22" s="206"/>
      <c r="EWJ22" s="206"/>
      <c r="EWK22" s="206"/>
      <c r="EWL22" s="206"/>
      <c r="EWM22" s="206"/>
      <c r="EWN22" s="206"/>
      <c r="EWO22" s="206"/>
      <c r="EWP22" s="206"/>
      <c r="EWQ22" s="206"/>
      <c r="EWR22" s="206"/>
      <c r="EWS22" s="206"/>
      <c r="EWT22" s="206"/>
      <c r="EWU22" s="206"/>
      <c r="EWV22" s="206"/>
      <c r="EWW22" s="206"/>
      <c r="EWX22" s="206"/>
      <c r="EWY22" s="206"/>
      <c r="EWZ22" s="206"/>
      <c r="EXA22" s="206"/>
      <c r="EXB22" s="206"/>
      <c r="EXC22" s="206"/>
      <c r="EXD22" s="206"/>
      <c r="EXE22" s="206"/>
      <c r="EXF22" s="206"/>
      <c r="EXG22" s="206"/>
      <c r="EXH22" s="206"/>
      <c r="EXI22" s="206"/>
      <c r="EXJ22" s="206"/>
      <c r="EXK22" s="206"/>
      <c r="EXL22" s="206"/>
      <c r="EXM22" s="206"/>
      <c r="EXN22" s="206"/>
      <c r="EXO22" s="206"/>
      <c r="EXP22" s="206"/>
      <c r="EXQ22" s="206"/>
      <c r="EXR22" s="206"/>
      <c r="EXS22" s="206"/>
      <c r="EXT22" s="206"/>
      <c r="EXU22" s="206"/>
      <c r="EXV22" s="206"/>
      <c r="EXW22" s="206"/>
      <c r="EXX22" s="206"/>
      <c r="EXY22" s="206"/>
      <c r="EXZ22" s="206"/>
      <c r="EYA22" s="206"/>
      <c r="EYB22" s="206"/>
      <c r="EYC22" s="206"/>
      <c r="EYD22" s="206"/>
      <c r="EYE22" s="206"/>
      <c r="EYF22" s="206"/>
      <c r="EYG22" s="206"/>
      <c r="EYH22" s="206"/>
      <c r="EYI22" s="206"/>
      <c r="EYJ22" s="206"/>
      <c r="EYK22" s="206"/>
      <c r="EYL22" s="206"/>
      <c r="EYM22" s="206"/>
      <c r="EYN22" s="206"/>
      <c r="EYO22" s="206"/>
      <c r="EYP22" s="206"/>
      <c r="EYQ22" s="206"/>
      <c r="EYR22" s="206"/>
      <c r="EYS22" s="206"/>
      <c r="EYT22" s="206"/>
      <c r="EYU22" s="206"/>
      <c r="EYV22" s="206"/>
      <c r="EYW22" s="206"/>
      <c r="EYX22" s="206"/>
      <c r="EYY22" s="206"/>
      <c r="EYZ22" s="206"/>
      <c r="EZA22" s="206"/>
      <c r="EZB22" s="206"/>
      <c r="EZC22" s="206"/>
      <c r="EZD22" s="206"/>
      <c r="EZE22" s="206"/>
      <c r="EZF22" s="206"/>
      <c r="EZG22" s="206"/>
      <c r="EZH22" s="206"/>
      <c r="EZI22" s="206"/>
      <c r="EZJ22" s="206"/>
      <c r="EZK22" s="206"/>
      <c r="EZL22" s="206"/>
      <c r="EZM22" s="206"/>
      <c r="EZN22" s="206"/>
      <c r="EZO22" s="206"/>
      <c r="EZP22" s="206"/>
      <c r="EZQ22" s="206"/>
      <c r="EZR22" s="206"/>
      <c r="EZS22" s="206"/>
      <c r="EZT22" s="206"/>
      <c r="EZU22" s="206"/>
      <c r="EZV22" s="206"/>
      <c r="EZW22" s="206"/>
      <c r="EZX22" s="206"/>
      <c r="EZY22" s="206"/>
      <c r="EZZ22" s="206"/>
      <c r="FAA22" s="206"/>
      <c r="FAB22" s="206"/>
      <c r="FAC22" s="206"/>
      <c r="FAD22" s="206"/>
      <c r="FAE22" s="206"/>
      <c r="FAF22" s="206"/>
      <c r="FAG22" s="206"/>
      <c r="FAH22" s="206"/>
      <c r="FAI22" s="206"/>
      <c r="FAJ22" s="206"/>
      <c r="FAK22" s="206"/>
      <c r="FAL22" s="206"/>
      <c r="FAM22" s="206"/>
      <c r="FAN22" s="206"/>
      <c r="FAO22" s="206"/>
      <c r="FAP22" s="206"/>
      <c r="FAQ22" s="206"/>
      <c r="FAR22" s="206"/>
      <c r="FAS22" s="206"/>
      <c r="FAT22" s="206"/>
      <c r="FAU22" s="206"/>
      <c r="FAV22" s="206"/>
      <c r="FAW22" s="206"/>
      <c r="FAX22" s="206"/>
      <c r="FAY22" s="206"/>
      <c r="FAZ22" s="206"/>
      <c r="FBA22" s="206"/>
      <c r="FBB22" s="206"/>
      <c r="FBC22" s="206"/>
      <c r="FBD22" s="206"/>
      <c r="FBE22" s="206"/>
      <c r="FBF22" s="206"/>
      <c r="FBG22" s="206"/>
      <c r="FBH22" s="206"/>
      <c r="FBI22" s="206"/>
      <c r="FBJ22" s="206"/>
      <c r="FBK22" s="206"/>
      <c r="FBL22" s="206"/>
      <c r="FBM22" s="206"/>
      <c r="FBN22" s="206"/>
      <c r="FBO22" s="206"/>
      <c r="FBP22" s="206"/>
      <c r="FBQ22" s="206"/>
      <c r="FBR22" s="206"/>
      <c r="FBS22" s="206"/>
      <c r="FBT22" s="206"/>
      <c r="FBU22" s="206"/>
      <c r="FBV22" s="206"/>
      <c r="FBW22" s="206"/>
      <c r="FBX22" s="206"/>
      <c r="FBY22" s="206"/>
      <c r="FBZ22" s="206"/>
      <c r="FCA22" s="206"/>
      <c r="FCB22" s="206"/>
      <c r="FCC22" s="206"/>
      <c r="FCD22" s="206"/>
      <c r="FCE22" s="206"/>
      <c r="FCF22" s="206"/>
      <c r="FCG22" s="206"/>
      <c r="FCH22" s="206"/>
      <c r="FCI22" s="206"/>
      <c r="FCJ22" s="206"/>
      <c r="FCK22" s="206"/>
      <c r="FCL22" s="206"/>
      <c r="FCM22" s="206"/>
      <c r="FCN22" s="206"/>
      <c r="FCO22" s="206"/>
      <c r="FCP22" s="206"/>
      <c r="FCQ22" s="206"/>
      <c r="FCR22" s="206"/>
      <c r="FCS22" s="206"/>
      <c r="FCT22" s="206"/>
      <c r="FCU22" s="206"/>
      <c r="FCV22" s="206"/>
      <c r="FCW22" s="206"/>
      <c r="FCX22" s="206"/>
      <c r="FCY22" s="206"/>
      <c r="FCZ22" s="206"/>
      <c r="FDA22" s="206"/>
      <c r="FDB22" s="206"/>
      <c r="FDC22" s="206"/>
      <c r="FDD22" s="206"/>
      <c r="FDE22" s="206"/>
      <c r="FDF22" s="206"/>
      <c r="FDG22" s="206"/>
      <c r="FDH22" s="206"/>
      <c r="FDI22" s="206"/>
      <c r="FDJ22" s="206"/>
      <c r="FDK22" s="206"/>
      <c r="FDL22" s="206"/>
      <c r="FDM22" s="206"/>
      <c r="FDN22" s="206"/>
      <c r="FDO22" s="206"/>
      <c r="FDP22" s="206"/>
      <c r="FDQ22" s="206"/>
      <c r="FDR22" s="206"/>
      <c r="FDS22" s="206"/>
      <c r="FDT22" s="206"/>
      <c r="FDU22" s="206"/>
      <c r="FDV22" s="206"/>
      <c r="FDW22" s="206"/>
      <c r="FDX22" s="206"/>
      <c r="FDY22" s="206"/>
      <c r="FDZ22" s="206"/>
      <c r="FEA22" s="206"/>
      <c r="FEB22" s="206"/>
      <c r="FEC22" s="206"/>
      <c r="FED22" s="206"/>
      <c r="FEE22" s="206"/>
      <c r="FEF22" s="206"/>
      <c r="FEG22" s="206"/>
      <c r="FEH22" s="206"/>
      <c r="FEI22" s="206"/>
      <c r="FEJ22" s="206"/>
      <c r="FEK22" s="206"/>
      <c r="FEL22" s="206"/>
      <c r="FEM22" s="206"/>
      <c r="FEN22" s="206"/>
      <c r="FEO22" s="206"/>
      <c r="FEP22" s="206"/>
      <c r="FEQ22" s="206"/>
      <c r="FER22" s="206"/>
      <c r="FES22" s="206"/>
      <c r="FET22" s="206"/>
      <c r="FEU22" s="206"/>
      <c r="FEV22" s="206"/>
      <c r="FEW22" s="206"/>
      <c r="FEX22" s="206"/>
      <c r="FEY22" s="206"/>
      <c r="FEZ22" s="206"/>
      <c r="FFA22" s="206"/>
      <c r="FFB22" s="206"/>
      <c r="FFC22" s="206"/>
      <c r="FFD22" s="206"/>
      <c r="FFE22" s="206"/>
      <c r="FFF22" s="206"/>
      <c r="FFG22" s="206"/>
      <c r="FFH22" s="206"/>
      <c r="FFI22" s="206"/>
      <c r="FFJ22" s="206"/>
      <c r="FFK22" s="206"/>
      <c r="FFL22" s="206"/>
      <c r="FFM22" s="206"/>
      <c r="FFN22" s="206"/>
      <c r="FFO22" s="206"/>
      <c r="FFP22" s="206"/>
      <c r="FFQ22" s="206"/>
      <c r="FFR22" s="206"/>
      <c r="FFS22" s="206"/>
      <c r="FFT22" s="206"/>
      <c r="FFU22" s="206"/>
      <c r="FFV22" s="206"/>
      <c r="FFW22" s="206"/>
      <c r="FFX22" s="206"/>
      <c r="FFY22" s="206"/>
      <c r="FFZ22" s="206"/>
      <c r="FGA22" s="206"/>
      <c r="FGB22" s="206"/>
      <c r="FGC22" s="206"/>
      <c r="FGD22" s="206"/>
      <c r="FGE22" s="206"/>
      <c r="FGF22" s="206"/>
      <c r="FGG22" s="206"/>
      <c r="FGH22" s="206"/>
      <c r="FGI22" s="206"/>
      <c r="FGJ22" s="206"/>
      <c r="FGK22" s="206"/>
      <c r="FGL22" s="206"/>
      <c r="FGM22" s="206"/>
      <c r="FGN22" s="206"/>
      <c r="FGO22" s="206"/>
      <c r="FGP22" s="206"/>
      <c r="FGQ22" s="206"/>
      <c r="FGR22" s="206"/>
      <c r="FGS22" s="206"/>
      <c r="FGT22" s="206"/>
      <c r="FGU22" s="206"/>
      <c r="FGV22" s="206"/>
      <c r="FGW22" s="206"/>
      <c r="FGX22" s="206"/>
      <c r="FGY22" s="206"/>
      <c r="FGZ22" s="206"/>
      <c r="FHA22" s="206"/>
      <c r="FHB22" s="206"/>
      <c r="FHC22" s="206"/>
      <c r="FHD22" s="206"/>
      <c r="FHE22" s="206"/>
      <c r="FHF22" s="206"/>
      <c r="FHG22" s="206"/>
      <c r="FHH22" s="206"/>
      <c r="FHI22" s="206"/>
      <c r="FHJ22" s="206"/>
      <c r="FHK22" s="206"/>
      <c r="FHL22" s="206"/>
      <c r="FHM22" s="206"/>
      <c r="FHN22" s="206"/>
      <c r="FHO22" s="206"/>
      <c r="FHP22" s="206"/>
      <c r="FHQ22" s="206"/>
      <c r="FHR22" s="206"/>
      <c r="FHS22" s="206"/>
      <c r="FHT22" s="206"/>
      <c r="FHU22" s="206"/>
      <c r="FHV22" s="206"/>
      <c r="FHW22" s="206"/>
      <c r="FHX22" s="206"/>
      <c r="FHY22" s="206"/>
      <c r="FHZ22" s="206"/>
      <c r="FIA22" s="206"/>
      <c r="FIB22" s="206"/>
      <c r="FIC22" s="206"/>
      <c r="FID22" s="206"/>
      <c r="FIE22" s="206"/>
      <c r="FIF22" s="206"/>
      <c r="FIG22" s="206"/>
      <c r="FIH22" s="206"/>
      <c r="FII22" s="206"/>
      <c r="FIJ22" s="206"/>
      <c r="FIK22" s="206"/>
      <c r="FIL22" s="206"/>
      <c r="FIM22" s="206"/>
      <c r="FIN22" s="206"/>
      <c r="FIO22" s="206"/>
      <c r="FIP22" s="206"/>
      <c r="FIQ22" s="206"/>
      <c r="FIR22" s="206"/>
      <c r="FIS22" s="206"/>
      <c r="FIT22" s="206"/>
      <c r="FIU22" s="206"/>
      <c r="FIV22" s="206"/>
      <c r="FIW22" s="206"/>
      <c r="FIX22" s="206"/>
      <c r="FIY22" s="206"/>
      <c r="FIZ22" s="206"/>
      <c r="FJA22" s="206"/>
      <c r="FJB22" s="206"/>
      <c r="FJC22" s="206"/>
      <c r="FJD22" s="206"/>
      <c r="FJE22" s="206"/>
      <c r="FJF22" s="206"/>
      <c r="FJG22" s="206"/>
      <c r="FJH22" s="206"/>
      <c r="FJI22" s="206"/>
      <c r="FJJ22" s="206"/>
      <c r="FJK22" s="206"/>
      <c r="FJL22" s="206"/>
      <c r="FJM22" s="206"/>
      <c r="FJN22" s="206"/>
      <c r="FJO22" s="206"/>
      <c r="FJP22" s="206"/>
      <c r="FJQ22" s="206"/>
      <c r="FJR22" s="206"/>
      <c r="FJS22" s="206"/>
      <c r="FJT22" s="206"/>
      <c r="FJU22" s="206"/>
      <c r="FJV22" s="206"/>
      <c r="FJW22" s="206"/>
      <c r="FJX22" s="206"/>
      <c r="FJY22" s="206"/>
      <c r="FJZ22" s="206"/>
      <c r="FKA22" s="206"/>
      <c r="FKB22" s="206"/>
      <c r="FKC22" s="206"/>
      <c r="FKD22" s="206"/>
      <c r="FKE22" s="206"/>
      <c r="FKF22" s="206"/>
      <c r="FKG22" s="206"/>
      <c r="FKH22" s="206"/>
      <c r="FKI22" s="206"/>
      <c r="FKJ22" s="206"/>
      <c r="FKK22" s="206"/>
      <c r="FKL22" s="206"/>
      <c r="FKM22" s="206"/>
      <c r="FKN22" s="206"/>
      <c r="FKO22" s="206"/>
      <c r="FKP22" s="206"/>
      <c r="FKQ22" s="206"/>
      <c r="FKR22" s="206"/>
      <c r="FKS22" s="206"/>
      <c r="FKT22" s="206"/>
      <c r="FKU22" s="206"/>
      <c r="FKV22" s="206"/>
      <c r="FKW22" s="206"/>
      <c r="FKX22" s="206"/>
      <c r="FKY22" s="206"/>
      <c r="FKZ22" s="206"/>
      <c r="FLA22" s="206"/>
      <c r="FLB22" s="206"/>
      <c r="FLC22" s="206"/>
      <c r="FLD22" s="206"/>
      <c r="FLE22" s="206"/>
      <c r="FLF22" s="206"/>
      <c r="FLG22" s="206"/>
      <c r="FLH22" s="206"/>
      <c r="FLI22" s="206"/>
      <c r="FLJ22" s="206"/>
      <c r="FLK22" s="206"/>
      <c r="FLL22" s="206"/>
      <c r="FLM22" s="206"/>
      <c r="FLN22" s="206"/>
      <c r="FLO22" s="206"/>
      <c r="FLP22" s="206"/>
      <c r="FLQ22" s="206"/>
      <c r="FLR22" s="206"/>
      <c r="FLS22" s="206"/>
      <c r="FLT22" s="206"/>
      <c r="FLU22" s="206"/>
      <c r="FLV22" s="206"/>
      <c r="FLW22" s="206"/>
      <c r="FLX22" s="206"/>
      <c r="FLY22" s="206"/>
      <c r="FLZ22" s="206"/>
      <c r="FMA22" s="206"/>
      <c r="FMB22" s="206"/>
      <c r="FMC22" s="206"/>
      <c r="FMD22" s="206"/>
      <c r="FME22" s="206"/>
      <c r="FMF22" s="206"/>
      <c r="FMG22" s="206"/>
      <c r="FMH22" s="206"/>
      <c r="FMI22" s="206"/>
      <c r="FMJ22" s="206"/>
      <c r="FMK22" s="206"/>
      <c r="FML22" s="206"/>
      <c r="FMM22" s="206"/>
      <c r="FMN22" s="206"/>
      <c r="FMO22" s="206"/>
      <c r="FMP22" s="206"/>
      <c r="FMQ22" s="206"/>
      <c r="FMR22" s="206"/>
      <c r="FMS22" s="206"/>
      <c r="FMT22" s="206"/>
      <c r="FMU22" s="206"/>
      <c r="FMV22" s="206"/>
      <c r="FMW22" s="206"/>
      <c r="FMX22" s="206"/>
      <c r="FMY22" s="206"/>
      <c r="FMZ22" s="206"/>
      <c r="FNA22" s="206"/>
      <c r="FNB22" s="206"/>
      <c r="FNC22" s="206"/>
      <c r="FND22" s="206"/>
      <c r="FNE22" s="206"/>
      <c r="FNF22" s="206"/>
      <c r="FNG22" s="206"/>
      <c r="FNH22" s="206"/>
      <c r="FNI22" s="206"/>
      <c r="FNJ22" s="206"/>
      <c r="FNK22" s="206"/>
      <c r="FNL22" s="206"/>
      <c r="FNM22" s="206"/>
      <c r="FNN22" s="206"/>
      <c r="FNO22" s="206"/>
      <c r="FNP22" s="206"/>
      <c r="FNQ22" s="206"/>
      <c r="FNR22" s="206"/>
      <c r="FNS22" s="206"/>
      <c r="FNT22" s="206"/>
      <c r="FNU22" s="206"/>
      <c r="FNV22" s="206"/>
      <c r="FNW22" s="206"/>
      <c r="FNX22" s="206"/>
      <c r="FNY22" s="206"/>
      <c r="FNZ22" s="206"/>
      <c r="FOA22" s="206"/>
      <c r="FOB22" s="206"/>
      <c r="FOC22" s="206"/>
      <c r="FOD22" s="206"/>
      <c r="FOE22" s="206"/>
      <c r="FOF22" s="206"/>
      <c r="FOG22" s="206"/>
      <c r="FOH22" s="206"/>
      <c r="FOI22" s="206"/>
      <c r="FOJ22" s="206"/>
      <c r="FOK22" s="206"/>
      <c r="FOL22" s="206"/>
      <c r="FOM22" s="206"/>
      <c r="FON22" s="206"/>
      <c r="FOO22" s="206"/>
      <c r="FOP22" s="206"/>
      <c r="FOQ22" s="206"/>
      <c r="FOR22" s="206"/>
      <c r="FOS22" s="206"/>
      <c r="FOT22" s="206"/>
      <c r="FOU22" s="206"/>
      <c r="FOV22" s="206"/>
      <c r="FOW22" s="206"/>
      <c r="FOX22" s="206"/>
      <c r="FOY22" s="206"/>
      <c r="FOZ22" s="206"/>
      <c r="FPA22" s="206"/>
      <c r="FPB22" s="206"/>
      <c r="FPC22" s="206"/>
      <c r="FPD22" s="206"/>
      <c r="FPE22" s="206"/>
      <c r="FPF22" s="206"/>
      <c r="FPG22" s="206"/>
      <c r="FPH22" s="206"/>
      <c r="FPI22" s="206"/>
      <c r="FPJ22" s="206"/>
      <c r="FPK22" s="206"/>
      <c r="FPL22" s="206"/>
      <c r="FPM22" s="206"/>
      <c r="FPN22" s="206"/>
      <c r="FPO22" s="206"/>
      <c r="FPP22" s="206"/>
      <c r="FPQ22" s="206"/>
      <c r="FPR22" s="206"/>
      <c r="FPS22" s="206"/>
      <c r="FPT22" s="206"/>
      <c r="FPU22" s="206"/>
      <c r="FPV22" s="206"/>
      <c r="FPW22" s="206"/>
      <c r="FPX22" s="206"/>
      <c r="FPY22" s="206"/>
      <c r="FPZ22" s="206"/>
      <c r="FQA22" s="206"/>
      <c r="FQB22" s="206"/>
      <c r="FQC22" s="206"/>
      <c r="FQD22" s="206"/>
      <c r="FQE22" s="206"/>
      <c r="FQF22" s="206"/>
      <c r="FQG22" s="206"/>
      <c r="FQH22" s="206"/>
      <c r="FQI22" s="206"/>
      <c r="FQJ22" s="206"/>
      <c r="FQK22" s="206"/>
      <c r="FQL22" s="206"/>
      <c r="FQM22" s="206"/>
      <c r="FQN22" s="206"/>
      <c r="FQO22" s="206"/>
      <c r="FQP22" s="206"/>
      <c r="FQQ22" s="206"/>
      <c r="FQR22" s="206"/>
      <c r="FQS22" s="206"/>
      <c r="FQT22" s="206"/>
      <c r="FQU22" s="206"/>
      <c r="FQV22" s="206"/>
      <c r="FQW22" s="206"/>
      <c r="FQX22" s="206"/>
      <c r="FQY22" s="206"/>
      <c r="FQZ22" s="206"/>
      <c r="FRA22" s="206"/>
      <c r="FRB22" s="206"/>
      <c r="FRC22" s="206"/>
      <c r="FRD22" s="206"/>
      <c r="FRE22" s="206"/>
      <c r="FRF22" s="206"/>
      <c r="FRG22" s="206"/>
      <c r="FRH22" s="206"/>
      <c r="FRI22" s="206"/>
      <c r="FRJ22" s="206"/>
      <c r="FRK22" s="206"/>
      <c r="FRL22" s="206"/>
      <c r="FRM22" s="206"/>
      <c r="FRN22" s="206"/>
      <c r="FRO22" s="206"/>
      <c r="FRP22" s="206"/>
      <c r="FRQ22" s="206"/>
      <c r="FRR22" s="206"/>
      <c r="FRS22" s="206"/>
      <c r="FRT22" s="206"/>
      <c r="FRU22" s="206"/>
      <c r="FRV22" s="206"/>
      <c r="FRW22" s="206"/>
      <c r="FRX22" s="206"/>
      <c r="FRY22" s="206"/>
      <c r="FRZ22" s="206"/>
      <c r="FSA22" s="206"/>
      <c r="FSB22" s="206"/>
      <c r="FSC22" s="206"/>
      <c r="FSD22" s="206"/>
      <c r="FSE22" s="206"/>
      <c r="FSF22" s="206"/>
      <c r="FSG22" s="206"/>
      <c r="FSH22" s="206"/>
      <c r="FSI22" s="206"/>
      <c r="FSJ22" s="206"/>
      <c r="FSK22" s="206"/>
      <c r="FSL22" s="206"/>
      <c r="FSM22" s="206"/>
      <c r="FSN22" s="206"/>
      <c r="FSO22" s="206"/>
      <c r="FSP22" s="206"/>
      <c r="FSQ22" s="206"/>
      <c r="FSR22" s="206"/>
      <c r="FSS22" s="206"/>
      <c r="FST22" s="206"/>
      <c r="FSU22" s="206"/>
      <c r="FSV22" s="206"/>
      <c r="FSW22" s="206"/>
      <c r="FSX22" s="206"/>
      <c r="FSY22" s="206"/>
      <c r="FSZ22" s="206"/>
      <c r="FTA22" s="206"/>
      <c r="FTB22" s="206"/>
      <c r="FTC22" s="206"/>
      <c r="FTD22" s="206"/>
      <c r="FTE22" s="206"/>
      <c r="FTF22" s="206"/>
      <c r="FTG22" s="206"/>
      <c r="FTH22" s="206"/>
      <c r="FTI22" s="206"/>
      <c r="FTJ22" s="206"/>
      <c r="FTK22" s="206"/>
      <c r="FTL22" s="206"/>
      <c r="FTM22" s="206"/>
      <c r="FTN22" s="206"/>
      <c r="FTO22" s="206"/>
      <c r="FTP22" s="206"/>
      <c r="FTQ22" s="206"/>
      <c r="FTR22" s="206"/>
      <c r="FTS22" s="206"/>
      <c r="FTT22" s="206"/>
      <c r="FTU22" s="206"/>
      <c r="FTV22" s="206"/>
      <c r="FTW22" s="206"/>
      <c r="FTX22" s="206"/>
      <c r="FTY22" s="206"/>
      <c r="FTZ22" s="206"/>
      <c r="FUA22" s="206"/>
      <c r="FUB22" s="206"/>
      <c r="FUC22" s="206"/>
      <c r="FUD22" s="206"/>
      <c r="FUE22" s="206"/>
      <c r="FUF22" s="206"/>
      <c r="FUG22" s="206"/>
      <c r="FUH22" s="206"/>
      <c r="FUI22" s="206"/>
      <c r="FUJ22" s="206"/>
      <c r="FUK22" s="206"/>
      <c r="FUL22" s="206"/>
      <c r="FUM22" s="206"/>
      <c r="FUN22" s="206"/>
      <c r="FUO22" s="206"/>
      <c r="FUP22" s="206"/>
      <c r="FUQ22" s="206"/>
      <c r="FUR22" s="206"/>
      <c r="FUS22" s="206"/>
      <c r="FUT22" s="206"/>
      <c r="FUU22" s="206"/>
      <c r="FUV22" s="206"/>
      <c r="FUW22" s="206"/>
      <c r="FUX22" s="206"/>
      <c r="FUY22" s="206"/>
      <c r="FUZ22" s="206"/>
      <c r="FVA22" s="206"/>
      <c r="FVB22" s="206"/>
      <c r="FVC22" s="206"/>
      <c r="FVD22" s="206"/>
      <c r="FVE22" s="206"/>
      <c r="FVF22" s="206"/>
      <c r="FVG22" s="206"/>
      <c r="FVH22" s="206"/>
      <c r="FVI22" s="206"/>
      <c r="FVJ22" s="206"/>
      <c r="FVK22" s="206"/>
      <c r="FVL22" s="206"/>
      <c r="FVM22" s="206"/>
      <c r="FVN22" s="206"/>
      <c r="FVO22" s="206"/>
      <c r="FVP22" s="206"/>
      <c r="FVQ22" s="206"/>
      <c r="FVR22" s="206"/>
      <c r="FVS22" s="206"/>
      <c r="FVT22" s="206"/>
      <c r="FVU22" s="206"/>
      <c r="FVV22" s="206"/>
      <c r="FVW22" s="206"/>
      <c r="FVX22" s="206"/>
      <c r="FVY22" s="206"/>
      <c r="FVZ22" s="206"/>
      <c r="FWA22" s="206"/>
      <c r="FWB22" s="206"/>
      <c r="FWC22" s="206"/>
      <c r="FWD22" s="206"/>
      <c r="FWE22" s="206"/>
      <c r="FWF22" s="206"/>
      <c r="FWG22" s="206"/>
      <c r="FWH22" s="206"/>
      <c r="FWI22" s="206"/>
      <c r="FWJ22" s="206"/>
      <c r="FWK22" s="206"/>
      <c r="FWL22" s="206"/>
      <c r="FWM22" s="206"/>
      <c r="FWN22" s="206"/>
      <c r="FWO22" s="206"/>
      <c r="FWP22" s="206"/>
      <c r="FWQ22" s="206"/>
      <c r="FWR22" s="206"/>
      <c r="FWS22" s="206"/>
      <c r="FWT22" s="206"/>
      <c r="FWU22" s="206"/>
      <c r="FWV22" s="206"/>
      <c r="FWW22" s="206"/>
      <c r="FWX22" s="206"/>
      <c r="FWY22" s="206"/>
      <c r="FWZ22" s="206"/>
      <c r="FXA22" s="206"/>
      <c r="FXB22" s="206"/>
      <c r="FXC22" s="206"/>
      <c r="FXD22" s="206"/>
      <c r="FXE22" s="206"/>
      <c r="FXF22" s="206"/>
      <c r="FXG22" s="206"/>
      <c r="FXH22" s="206"/>
      <c r="FXI22" s="206"/>
      <c r="FXJ22" s="206"/>
      <c r="FXK22" s="206"/>
      <c r="FXL22" s="206"/>
      <c r="FXM22" s="206"/>
      <c r="FXN22" s="206"/>
      <c r="FXO22" s="206"/>
      <c r="FXP22" s="206"/>
      <c r="FXQ22" s="206"/>
      <c r="FXR22" s="206"/>
      <c r="FXS22" s="206"/>
      <c r="FXT22" s="206"/>
      <c r="FXU22" s="206"/>
      <c r="FXV22" s="206"/>
      <c r="FXW22" s="206"/>
      <c r="FXX22" s="206"/>
      <c r="FXY22" s="206"/>
      <c r="FXZ22" s="206"/>
      <c r="FYA22" s="206"/>
      <c r="FYB22" s="206"/>
      <c r="FYC22" s="206"/>
      <c r="FYD22" s="206"/>
      <c r="FYE22" s="206"/>
      <c r="FYF22" s="206"/>
      <c r="FYG22" s="206"/>
      <c r="FYH22" s="206"/>
      <c r="FYI22" s="206"/>
      <c r="FYJ22" s="206"/>
      <c r="FYK22" s="206"/>
      <c r="FYL22" s="206"/>
      <c r="FYM22" s="206"/>
      <c r="FYN22" s="206"/>
      <c r="FYO22" s="206"/>
      <c r="FYP22" s="206"/>
      <c r="FYQ22" s="206"/>
      <c r="FYR22" s="206"/>
      <c r="FYS22" s="206"/>
      <c r="FYT22" s="206"/>
      <c r="FYU22" s="206"/>
      <c r="FYV22" s="206"/>
      <c r="FYW22" s="206"/>
      <c r="FYX22" s="206"/>
      <c r="FYY22" s="206"/>
      <c r="FYZ22" s="206"/>
      <c r="FZA22" s="206"/>
      <c r="FZB22" s="206"/>
      <c r="FZC22" s="206"/>
      <c r="FZD22" s="206"/>
      <c r="FZE22" s="206"/>
      <c r="FZF22" s="206"/>
      <c r="FZG22" s="206"/>
      <c r="FZH22" s="206"/>
      <c r="FZI22" s="206"/>
      <c r="FZJ22" s="206"/>
      <c r="FZK22" s="206"/>
      <c r="FZL22" s="206"/>
      <c r="FZM22" s="206"/>
      <c r="FZN22" s="206"/>
      <c r="FZO22" s="206"/>
      <c r="FZP22" s="206"/>
      <c r="FZQ22" s="206"/>
      <c r="FZR22" s="206"/>
      <c r="FZS22" s="206"/>
      <c r="FZT22" s="206"/>
      <c r="FZU22" s="206"/>
      <c r="FZV22" s="206"/>
      <c r="FZW22" s="206"/>
      <c r="FZX22" s="206"/>
      <c r="FZY22" s="206"/>
      <c r="FZZ22" s="206"/>
      <c r="GAA22" s="206"/>
      <c r="GAB22" s="206"/>
      <c r="GAC22" s="206"/>
      <c r="GAD22" s="206"/>
      <c r="GAE22" s="206"/>
      <c r="GAF22" s="206"/>
      <c r="GAG22" s="206"/>
      <c r="GAH22" s="206"/>
      <c r="GAI22" s="206"/>
      <c r="GAJ22" s="206"/>
      <c r="GAK22" s="206"/>
      <c r="GAL22" s="206"/>
      <c r="GAM22" s="206"/>
      <c r="GAN22" s="206"/>
      <c r="GAO22" s="206"/>
      <c r="GAP22" s="206"/>
      <c r="GAQ22" s="206"/>
      <c r="GAR22" s="206"/>
      <c r="GAS22" s="206"/>
      <c r="GAT22" s="206"/>
      <c r="GAU22" s="206"/>
      <c r="GAV22" s="206"/>
      <c r="GAW22" s="206"/>
      <c r="GAX22" s="206"/>
      <c r="GAY22" s="206"/>
      <c r="GAZ22" s="206"/>
      <c r="GBA22" s="206"/>
      <c r="GBB22" s="206"/>
      <c r="GBC22" s="206"/>
      <c r="GBD22" s="206"/>
      <c r="GBE22" s="206"/>
      <c r="GBF22" s="206"/>
      <c r="GBG22" s="206"/>
      <c r="GBH22" s="206"/>
      <c r="GBI22" s="206"/>
      <c r="GBJ22" s="206"/>
      <c r="GBK22" s="206"/>
      <c r="GBL22" s="206"/>
      <c r="GBM22" s="206"/>
      <c r="GBN22" s="206"/>
      <c r="GBO22" s="206"/>
      <c r="GBP22" s="206"/>
      <c r="GBQ22" s="206"/>
      <c r="GBR22" s="206"/>
      <c r="GBS22" s="206"/>
      <c r="GBT22" s="206"/>
      <c r="GBU22" s="206"/>
      <c r="GBV22" s="206"/>
      <c r="GBW22" s="206"/>
      <c r="GBX22" s="206"/>
      <c r="GBY22" s="206"/>
      <c r="GBZ22" s="206"/>
      <c r="GCA22" s="206"/>
      <c r="GCB22" s="206"/>
      <c r="GCC22" s="206"/>
      <c r="GCD22" s="206"/>
      <c r="GCE22" s="206"/>
      <c r="GCF22" s="206"/>
      <c r="GCG22" s="206"/>
      <c r="GCH22" s="206"/>
      <c r="GCI22" s="206"/>
      <c r="GCJ22" s="206"/>
      <c r="GCK22" s="206"/>
      <c r="GCL22" s="206"/>
      <c r="GCM22" s="206"/>
      <c r="GCN22" s="206"/>
      <c r="GCO22" s="206"/>
      <c r="GCP22" s="206"/>
      <c r="GCQ22" s="206"/>
      <c r="GCR22" s="206"/>
      <c r="GCS22" s="206"/>
      <c r="GCT22" s="206"/>
      <c r="GCU22" s="206"/>
      <c r="GCV22" s="206"/>
      <c r="GCW22" s="206"/>
      <c r="GCX22" s="206"/>
      <c r="GCY22" s="206"/>
      <c r="GCZ22" s="206"/>
      <c r="GDA22" s="206"/>
      <c r="GDB22" s="206"/>
      <c r="GDC22" s="206"/>
      <c r="GDD22" s="206"/>
      <c r="GDE22" s="206"/>
      <c r="GDF22" s="206"/>
      <c r="GDG22" s="206"/>
      <c r="GDH22" s="206"/>
      <c r="GDI22" s="206"/>
      <c r="GDJ22" s="206"/>
      <c r="GDK22" s="206"/>
      <c r="GDL22" s="206"/>
      <c r="GDM22" s="206"/>
      <c r="GDN22" s="206"/>
      <c r="GDO22" s="206"/>
      <c r="GDP22" s="206"/>
      <c r="GDQ22" s="206"/>
      <c r="GDR22" s="206"/>
      <c r="GDS22" s="206"/>
      <c r="GDT22" s="206"/>
      <c r="GDU22" s="206"/>
      <c r="GDV22" s="206"/>
      <c r="GDW22" s="206"/>
      <c r="GDX22" s="206"/>
      <c r="GDY22" s="206"/>
      <c r="GDZ22" s="206"/>
      <c r="GEA22" s="206"/>
      <c r="GEB22" s="206"/>
      <c r="GEC22" s="206"/>
      <c r="GED22" s="206"/>
      <c r="GEE22" s="206"/>
      <c r="GEF22" s="206"/>
      <c r="GEG22" s="206"/>
      <c r="GEH22" s="206"/>
      <c r="GEI22" s="206"/>
      <c r="GEJ22" s="206"/>
      <c r="GEK22" s="206"/>
      <c r="GEL22" s="206"/>
      <c r="GEM22" s="206"/>
      <c r="GEN22" s="206"/>
      <c r="GEO22" s="206"/>
      <c r="GEP22" s="206"/>
      <c r="GEQ22" s="206"/>
      <c r="GER22" s="206"/>
      <c r="GES22" s="206"/>
      <c r="GET22" s="206"/>
      <c r="GEU22" s="206"/>
      <c r="GEV22" s="206"/>
      <c r="GEW22" s="206"/>
      <c r="GEX22" s="206"/>
      <c r="GEY22" s="206"/>
      <c r="GEZ22" s="206"/>
      <c r="GFA22" s="206"/>
      <c r="GFB22" s="206"/>
      <c r="GFC22" s="206"/>
      <c r="GFD22" s="206"/>
      <c r="GFE22" s="206"/>
      <c r="GFF22" s="206"/>
      <c r="GFG22" s="206"/>
      <c r="GFH22" s="206"/>
      <c r="GFI22" s="206"/>
      <c r="GFJ22" s="206"/>
      <c r="GFK22" s="206"/>
      <c r="GFL22" s="206"/>
      <c r="GFM22" s="206"/>
      <c r="GFN22" s="206"/>
      <c r="GFO22" s="206"/>
      <c r="GFP22" s="206"/>
      <c r="GFQ22" s="206"/>
      <c r="GFR22" s="206"/>
      <c r="GFS22" s="206"/>
      <c r="GFT22" s="206"/>
      <c r="GFU22" s="206"/>
      <c r="GFV22" s="206"/>
      <c r="GFW22" s="206"/>
      <c r="GFX22" s="206"/>
      <c r="GFY22" s="206"/>
      <c r="GFZ22" s="206"/>
      <c r="GGA22" s="206"/>
      <c r="GGB22" s="206"/>
      <c r="GGC22" s="206"/>
      <c r="GGD22" s="206"/>
      <c r="GGE22" s="206"/>
      <c r="GGF22" s="206"/>
      <c r="GGG22" s="206"/>
      <c r="GGH22" s="206"/>
      <c r="GGI22" s="206"/>
      <c r="GGJ22" s="206"/>
      <c r="GGK22" s="206"/>
      <c r="GGL22" s="206"/>
      <c r="GGM22" s="206"/>
      <c r="GGN22" s="206"/>
      <c r="GGO22" s="206"/>
      <c r="GGP22" s="206"/>
      <c r="GGQ22" s="206"/>
      <c r="GGR22" s="206"/>
      <c r="GGS22" s="206"/>
      <c r="GGT22" s="206"/>
      <c r="GGU22" s="206"/>
      <c r="GGV22" s="206"/>
      <c r="GGW22" s="206"/>
      <c r="GGX22" s="206"/>
      <c r="GGY22" s="206"/>
      <c r="GGZ22" s="206"/>
      <c r="GHA22" s="206"/>
      <c r="GHB22" s="206"/>
      <c r="GHC22" s="206"/>
      <c r="GHD22" s="206"/>
      <c r="GHE22" s="206"/>
      <c r="GHF22" s="206"/>
      <c r="GHG22" s="206"/>
      <c r="GHH22" s="206"/>
      <c r="GHI22" s="206"/>
      <c r="GHJ22" s="206"/>
      <c r="GHK22" s="206"/>
      <c r="GHL22" s="206"/>
      <c r="GHM22" s="206"/>
      <c r="GHN22" s="206"/>
      <c r="GHO22" s="206"/>
      <c r="GHP22" s="206"/>
      <c r="GHQ22" s="206"/>
      <c r="GHR22" s="206"/>
      <c r="GHS22" s="206"/>
      <c r="GHT22" s="206"/>
      <c r="GHU22" s="206"/>
      <c r="GHV22" s="206"/>
      <c r="GHW22" s="206"/>
      <c r="GHX22" s="206"/>
      <c r="GHY22" s="206"/>
      <c r="GHZ22" s="206"/>
      <c r="GIA22" s="206"/>
      <c r="GIB22" s="206"/>
      <c r="GIC22" s="206"/>
      <c r="GID22" s="206"/>
      <c r="GIE22" s="206"/>
      <c r="GIF22" s="206"/>
      <c r="GIG22" s="206"/>
      <c r="GIH22" s="206"/>
      <c r="GII22" s="206"/>
      <c r="GIJ22" s="206"/>
      <c r="GIK22" s="206"/>
      <c r="GIL22" s="206"/>
      <c r="GIM22" s="206"/>
      <c r="GIN22" s="206"/>
      <c r="GIO22" s="206"/>
      <c r="GIP22" s="206"/>
      <c r="GIQ22" s="206"/>
      <c r="GIR22" s="206"/>
      <c r="GIS22" s="206"/>
      <c r="GIT22" s="206"/>
      <c r="GIU22" s="206"/>
      <c r="GIV22" s="206"/>
      <c r="GIW22" s="206"/>
      <c r="GIX22" s="206"/>
      <c r="GIY22" s="206"/>
      <c r="GIZ22" s="206"/>
      <c r="GJA22" s="206"/>
      <c r="GJB22" s="206"/>
      <c r="GJC22" s="206"/>
      <c r="GJD22" s="206"/>
      <c r="GJE22" s="206"/>
      <c r="GJF22" s="206"/>
      <c r="GJG22" s="206"/>
      <c r="GJH22" s="206"/>
      <c r="GJI22" s="206"/>
      <c r="GJJ22" s="206"/>
      <c r="GJK22" s="206"/>
      <c r="GJL22" s="206"/>
      <c r="GJM22" s="206"/>
      <c r="GJN22" s="206"/>
      <c r="GJO22" s="206"/>
      <c r="GJP22" s="206"/>
      <c r="GJQ22" s="206"/>
      <c r="GJR22" s="206"/>
      <c r="GJS22" s="206"/>
      <c r="GJT22" s="206"/>
      <c r="GJU22" s="206"/>
      <c r="GJV22" s="206"/>
      <c r="GJW22" s="206"/>
      <c r="GJX22" s="206"/>
      <c r="GJY22" s="206"/>
      <c r="GJZ22" s="206"/>
      <c r="GKA22" s="206"/>
      <c r="GKB22" s="206"/>
      <c r="GKC22" s="206"/>
      <c r="GKD22" s="206"/>
      <c r="GKE22" s="206"/>
      <c r="GKF22" s="206"/>
      <c r="GKG22" s="206"/>
      <c r="GKH22" s="206"/>
      <c r="GKI22" s="206"/>
      <c r="GKJ22" s="206"/>
      <c r="GKK22" s="206"/>
      <c r="GKL22" s="206"/>
      <c r="GKM22" s="206"/>
      <c r="GKN22" s="206"/>
      <c r="GKO22" s="206"/>
      <c r="GKP22" s="206"/>
      <c r="GKQ22" s="206"/>
      <c r="GKR22" s="206"/>
      <c r="GKS22" s="206"/>
      <c r="GKT22" s="206"/>
      <c r="GKU22" s="206"/>
      <c r="GKV22" s="206"/>
      <c r="GKW22" s="206"/>
      <c r="GKX22" s="206"/>
      <c r="GKY22" s="206"/>
      <c r="GKZ22" s="206"/>
      <c r="GLA22" s="206"/>
      <c r="GLB22" s="206"/>
      <c r="GLC22" s="206"/>
      <c r="GLD22" s="206"/>
      <c r="GLE22" s="206"/>
      <c r="GLF22" s="206"/>
      <c r="GLG22" s="206"/>
      <c r="GLH22" s="206"/>
      <c r="GLI22" s="206"/>
      <c r="GLJ22" s="206"/>
      <c r="GLK22" s="206"/>
      <c r="GLL22" s="206"/>
      <c r="GLM22" s="206"/>
      <c r="GLN22" s="206"/>
      <c r="GLO22" s="206"/>
      <c r="GLP22" s="206"/>
      <c r="GLQ22" s="206"/>
      <c r="GLR22" s="206"/>
      <c r="GLS22" s="206"/>
      <c r="GLT22" s="206"/>
      <c r="GLU22" s="206"/>
      <c r="GLV22" s="206"/>
      <c r="GLW22" s="206"/>
      <c r="GLX22" s="206"/>
      <c r="GLY22" s="206"/>
      <c r="GLZ22" s="206"/>
      <c r="GMA22" s="206"/>
      <c r="GMB22" s="206"/>
      <c r="GMC22" s="206"/>
      <c r="GMD22" s="206"/>
      <c r="GME22" s="206"/>
      <c r="GMF22" s="206"/>
      <c r="GMG22" s="206"/>
      <c r="GMH22" s="206"/>
      <c r="GMI22" s="206"/>
      <c r="GMJ22" s="206"/>
      <c r="GMK22" s="206"/>
      <c r="GML22" s="206"/>
      <c r="GMM22" s="206"/>
      <c r="GMN22" s="206"/>
      <c r="GMO22" s="206"/>
      <c r="GMP22" s="206"/>
      <c r="GMQ22" s="206"/>
      <c r="GMR22" s="206"/>
      <c r="GMS22" s="206"/>
      <c r="GMT22" s="206"/>
      <c r="GMU22" s="206"/>
      <c r="GMV22" s="206"/>
      <c r="GMW22" s="206"/>
      <c r="GMX22" s="206"/>
      <c r="GMY22" s="206"/>
      <c r="GMZ22" s="206"/>
      <c r="GNA22" s="206"/>
      <c r="GNB22" s="206"/>
      <c r="GNC22" s="206"/>
      <c r="GND22" s="206"/>
      <c r="GNE22" s="206"/>
      <c r="GNF22" s="206"/>
      <c r="GNG22" s="206"/>
      <c r="GNH22" s="206"/>
      <c r="GNI22" s="206"/>
      <c r="GNJ22" s="206"/>
      <c r="GNK22" s="206"/>
      <c r="GNL22" s="206"/>
      <c r="GNM22" s="206"/>
      <c r="GNN22" s="206"/>
      <c r="GNO22" s="206"/>
      <c r="GNP22" s="206"/>
      <c r="GNQ22" s="206"/>
      <c r="GNR22" s="206"/>
      <c r="GNS22" s="206"/>
      <c r="GNT22" s="206"/>
      <c r="GNU22" s="206"/>
      <c r="GNV22" s="206"/>
      <c r="GNW22" s="206"/>
      <c r="GNX22" s="206"/>
      <c r="GNY22" s="206"/>
      <c r="GNZ22" s="206"/>
      <c r="GOA22" s="206"/>
      <c r="GOB22" s="206"/>
      <c r="GOC22" s="206"/>
      <c r="GOD22" s="206"/>
      <c r="GOE22" s="206"/>
      <c r="GOF22" s="206"/>
      <c r="GOG22" s="206"/>
      <c r="GOH22" s="206"/>
      <c r="GOI22" s="206"/>
      <c r="GOJ22" s="206"/>
      <c r="GOK22" s="206"/>
      <c r="GOL22" s="206"/>
      <c r="GOM22" s="206"/>
      <c r="GON22" s="206"/>
      <c r="GOO22" s="206"/>
      <c r="GOP22" s="206"/>
      <c r="GOQ22" s="206"/>
      <c r="GOR22" s="206"/>
      <c r="GOS22" s="206"/>
      <c r="GOT22" s="206"/>
      <c r="GOU22" s="206"/>
      <c r="GOV22" s="206"/>
      <c r="GOW22" s="206"/>
      <c r="GOX22" s="206"/>
      <c r="GOY22" s="206"/>
      <c r="GOZ22" s="206"/>
      <c r="GPA22" s="206"/>
      <c r="GPB22" s="206"/>
      <c r="GPC22" s="206"/>
      <c r="GPD22" s="206"/>
      <c r="GPE22" s="206"/>
      <c r="GPF22" s="206"/>
      <c r="GPG22" s="206"/>
      <c r="GPH22" s="206"/>
      <c r="GPI22" s="206"/>
      <c r="GPJ22" s="206"/>
      <c r="GPK22" s="206"/>
      <c r="GPL22" s="206"/>
      <c r="GPM22" s="206"/>
      <c r="GPN22" s="206"/>
      <c r="GPO22" s="206"/>
      <c r="GPP22" s="206"/>
      <c r="GPQ22" s="206"/>
      <c r="GPR22" s="206"/>
      <c r="GPS22" s="206"/>
      <c r="GPT22" s="206"/>
      <c r="GPU22" s="206"/>
      <c r="GPV22" s="206"/>
      <c r="GPW22" s="206"/>
      <c r="GPX22" s="206"/>
      <c r="GPY22" s="206"/>
      <c r="GPZ22" s="206"/>
      <c r="GQA22" s="206"/>
      <c r="GQB22" s="206"/>
      <c r="GQC22" s="206"/>
      <c r="GQD22" s="206"/>
      <c r="GQE22" s="206"/>
      <c r="GQF22" s="206"/>
      <c r="GQG22" s="206"/>
      <c r="GQH22" s="206"/>
      <c r="GQI22" s="206"/>
      <c r="GQJ22" s="206"/>
      <c r="GQK22" s="206"/>
      <c r="GQL22" s="206"/>
      <c r="GQM22" s="206"/>
      <c r="GQN22" s="206"/>
      <c r="GQO22" s="206"/>
      <c r="GQP22" s="206"/>
      <c r="GQQ22" s="206"/>
      <c r="GQR22" s="206"/>
      <c r="GQS22" s="206"/>
      <c r="GQT22" s="206"/>
      <c r="GQU22" s="206"/>
      <c r="GQV22" s="206"/>
      <c r="GQW22" s="206"/>
      <c r="GQX22" s="206"/>
      <c r="GQY22" s="206"/>
      <c r="GQZ22" s="206"/>
      <c r="GRA22" s="206"/>
      <c r="GRB22" s="206"/>
      <c r="GRC22" s="206"/>
      <c r="GRD22" s="206"/>
      <c r="GRE22" s="206"/>
      <c r="GRF22" s="206"/>
      <c r="GRG22" s="206"/>
      <c r="GRH22" s="206"/>
      <c r="GRI22" s="206"/>
      <c r="GRJ22" s="206"/>
      <c r="GRK22" s="206"/>
      <c r="GRL22" s="206"/>
      <c r="GRM22" s="206"/>
      <c r="GRN22" s="206"/>
      <c r="GRO22" s="206"/>
      <c r="GRP22" s="206"/>
      <c r="GRQ22" s="206"/>
      <c r="GRR22" s="206"/>
      <c r="GRS22" s="206"/>
      <c r="GRT22" s="206"/>
      <c r="GRU22" s="206"/>
      <c r="GRV22" s="206"/>
      <c r="GRW22" s="206"/>
      <c r="GRX22" s="206"/>
      <c r="GRY22" s="206"/>
      <c r="GRZ22" s="206"/>
      <c r="GSA22" s="206"/>
      <c r="GSB22" s="206"/>
      <c r="GSC22" s="206"/>
      <c r="GSD22" s="206"/>
      <c r="GSE22" s="206"/>
      <c r="GSF22" s="206"/>
      <c r="GSG22" s="206"/>
      <c r="GSH22" s="206"/>
      <c r="GSI22" s="206"/>
      <c r="GSJ22" s="206"/>
      <c r="GSK22" s="206"/>
      <c r="GSL22" s="206"/>
      <c r="GSM22" s="206"/>
      <c r="GSN22" s="206"/>
      <c r="GSO22" s="206"/>
      <c r="GSP22" s="206"/>
      <c r="GSQ22" s="206"/>
      <c r="GSR22" s="206"/>
      <c r="GSS22" s="206"/>
      <c r="GST22" s="206"/>
      <c r="GSU22" s="206"/>
      <c r="GSV22" s="206"/>
      <c r="GSW22" s="206"/>
      <c r="GSX22" s="206"/>
      <c r="GSY22" s="206"/>
      <c r="GSZ22" s="206"/>
      <c r="GTA22" s="206"/>
      <c r="GTB22" s="206"/>
      <c r="GTC22" s="206"/>
      <c r="GTD22" s="206"/>
      <c r="GTE22" s="206"/>
      <c r="GTF22" s="206"/>
      <c r="GTG22" s="206"/>
      <c r="GTH22" s="206"/>
      <c r="GTI22" s="206"/>
      <c r="GTJ22" s="206"/>
      <c r="GTK22" s="206"/>
      <c r="GTL22" s="206"/>
      <c r="GTM22" s="206"/>
      <c r="GTN22" s="206"/>
      <c r="GTO22" s="206"/>
      <c r="GTP22" s="206"/>
      <c r="GTQ22" s="206"/>
      <c r="GTR22" s="206"/>
      <c r="GTS22" s="206"/>
      <c r="GTT22" s="206"/>
      <c r="GTU22" s="206"/>
      <c r="GTV22" s="206"/>
      <c r="GTW22" s="206"/>
      <c r="GTX22" s="206"/>
      <c r="GTY22" s="206"/>
      <c r="GTZ22" s="206"/>
      <c r="GUA22" s="206"/>
      <c r="GUB22" s="206"/>
      <c r="GUC22" s="206"/>
      <c r="GUD22" s="206"/>
      <c r="GUE22" s="206"/>
      <c r="GUF22" s="206"/>
      <c r="GUG22" s="206"/>
      <c r="GUH22" s="206"/>
      <c r="GUI22" s="206"/>
      <c r="GUJ22" s="206"/>
      <c r="GUK22" s="206"/>
      <c r="GUL22" s="206"/>
      <c r="GUM22" s="206"/>
      <c r="GUN22" s="206"/>
      <c r="GUO22" s="206"/>
      <c r="GUP22" s="206"/>
      <c r="GUQ22" s="206"/>
      <c r="GUR22" s="206"/>
      <c r="GUS22" s="206"/>
      <c r="GUT22" s="206"/>
      <c r="GUU22" s="206"/>
      <c r="GUV22" s="206"/>
      <c r="GUW22" s="206"/>
      <c r="GUX22" s="206"/>
      <c r="GUY22" s="206"/>
      <c r="GUZ22" s="206"/>
      <c r="GVA22" s="206"/>
      <c r="GVB22" s="206"/>
      <c r="GVC22" s="206"/>
      <c r="GVD22" s="206"/>
      <c r="GVE22" s="206"/>
      <c r="GVF22" s="206"/>
      <c r="GVG22" s="206"/>
      <c r="GVH22" s="206"/>
      <c r="GVI22" s="206"/>
      <c r="GVJ22" s="206"/>
      <c r="GVK22" s="206"/>
      <c r="GVL22" s="206"/>
      <c r="GVM22" s="206"/>
      <c r="GVN22" s="206"/>
      <c r="GVO22" s="206"/>
      <c r="GVP22" s="206"/>
      <c r="GVQ22" s="206"/>
      <c r="GVR22" s="206"/>
      <c r="GVS22" s="206"/>
      <c r="GVT22" s="206"/>
      <c r="GVU22" s="206"/>
      <c r="GVV22" s="206"/>
      <c r="GVW22" s="206"/>
      <c r="GVX22" s="206"/>
      <c r="GVY22" s="206"/>
      <c r="GVZ22" s="206"/>
      <c r="GWA22" s="206"/>
      <c r="GWB22" s="206"/>
      <c r="GWC22" s="206"/>
      <c r="GWD22" s="206"/>
      <c r="GWE22" s="206"/>
      <c r="GWF22" s="206"/>
      <c r="GWG22" s="206"/>
      <c r="GWH22" s="206"/>
      <c r="GWI22" s="206"/>
      <c r="GWJ22" s="206"/>
      <c r="GWK22" s="206"/>
      <c r="GWL22" s="206"/>
      <c r="GWM22" s="206"/>
      <c r="GWN22" s="206"/>
      <c r="GWO22" s="206"/>
      <c r="GWP22" s="206"/>
      <c r="GWQ22" s="206"/>
      <c r="GWR22" s="206"/>
      <c r="GWS22" s="206"/>
      <c r="GWT22" s="206"/>
      <c r="GWU22" s="206"/>
      <c r="GWV22" s="206"/>
      <c r="GWW22" s="206"/>
      <c r="GWX22" s="206"/>
      <c r="GWY22" s="206"/>
      <c r="GWZ22" s="206"/>
      <c r="GXA22" s="206"/>
      <c r="GXB22" s="206"/>
      <c r="GXC22" s="206"/>
      <c r="GXD22" s="206"/>
      <c r="GXE22" s="206"/>
      <c r="GXF22" s="206"/>
      <c r="GXG22" s="206"/>
      <c r="GXH22" s="206"/>
      <c r="GXI22" s="206"/>
      <c r="GXJ22" s="206"/>
      <c r="GXK22" s="206"/>
      <c r="GXL22" s="206"/>
      <c r="GXM22" s="206"/>
      <c r="GXN22" s="206"/>
      <c r="GXO22" s="206"/>
      <c r="GXP22" s="206"/>
      <c r="GXQ22" s="206"/>
      <c r="GXR22" s="206"/>
      <c r="GXS22" s="206"/>
      <c r="GXT22" s="206"/>
      <c r="GXU22" s="206"/>
      <c r="GXV22" s="206"/>
      <c r="GXW22" s="206"/>
      <c r="GXX22" s="206"/>
      <c r="GXY22" s="206"/>
      <c r="GXZ22" s="206"/>
      <c r="GYA22" s="206"/>
      <c r="GYB22" s="206"/>
      <c r="GYC22" s="206"/>
      <c r="GYD22" s="206"/>
      <c r="GYE22" s="206"/>
      <c r="GYF22" s="206"/>
      <c r="GYG22" s="206"/>
      <c r="GYH22" s="206"/>
      <c r="GYI22" s="206"/>
      <c r="GYJ22" s="206"/>
      <c r="GYK22" s="206"/>
      <c r="GYL22" s="206"/>
      <c r="GYM22" s="206"/>
      <c r="GYN22" s="206"/>
      <c r="GYO22" s="206"/>
      <c r="GYP22" s="206"/>
      <c r="GYQ22" s="206"/>
      <c r="GYR22" s="206"/>
      <c r="GYS22" s="206"/>
      <c r="GYT22" s="206"/>
      <c r="GYU22" s="206"/>
      <c r="GYV22" s="206"/>
      <c r="GYW22" s="206"/>
      <c r="GYX22" s="206"/>
      <c r="GYY22" s="206"/>
      <c r="GYZ22" s="206"/>
      <c r="GZA22" s="206"/>
      <c r="GZB22" s="206"/>
      <c r="GZC22" s="206"/>
      <c r="GZD22" s="206"/>
      <c r="GZE22" s="206"/>
      <c r="GZF22" s="206"/>
      <c r="GZG22" s="206"/>
      <c r="GZH22" s="206"/>
      <c r="GZI22" s="206"/>
      <c r="GZJ22" s="206"/>
      <c r="GZK22" s="206"/>
      <c r="GZL22" s="206"/>
      <c r="GZM22" s="206"/>
      <c r="GZN22" s="206"/>
      <c r="GZO22" s="206"/>
      <c r="GZP22" s="206"/>
      <c r="GZQ22" s="206"/>
      <c r="GZR22" s="206"/>
      <c r="GZS22" s="206"/>
      <c r="GZT22" s="206"/>
      <c r="GZU22" s="206"/>
      <c r="GZV22" s="206"/>
      <c r="GZW22" s="206"/>
      <c r="GZX22" s="206"/>
      <c r="GZY22" s="206"/>
      <c r="GZZ22" s="206"/>
      <c r="HAA22" s="206"/>
      <c r="HAB22" s="206"/>
      <c r="HAC22" s="206"/>
      <c r="HAD22" s="206"/>
      <c r="HAE22" s="206"/>
      <c r="HAF22" s="206"/>
      <c r="HAG22" s="206"/>
      <c r="HAH22" s="206"/>
      <c r="HAI22" s="206"/>
      <c r="HAJ22" s="206"/>
      <c r="HAK22" s="206"/>
      <c r="HAL22" s="206"/>
      <c r="HAM22" s="206"/>
      <c r="HAN22" s="206"/>
      <c r="HAO22" s="206"/>
      <c r="HAP22" s="206"/>
      <c r="HAQ22" s="206"/>
      <c r="HAR22" s="206"/>
      <c r="HAS22" s="206"/>
      <c r="HAT22" s="206"/>
      <c r="HAU22" s="206"/>
      <c r="HAV22" s="206"/>
      <c r="HAW22" s="206"/>
      <c r="HAX22" s="206"/>
      <c r="HAY22" s="206"/>
      <c r="HAZ22" s="206"/>
      <c r="HBA22" s="206"/>
      <c r="HBB22" s="206"/>
      <c r="HBC22" s="206"/>
      <c r="HBD22" s="206"/>
      <c r="HBE22" s="206"/>
      <c r="HBF22" s="206"/>
      <c r="HBG22" s="206"/>
      <c r="HBH22" s="206"/>
      <c r="HBI22" s="206"/>
      <c r="HBJ22" s="206"/>
      <c r="HBK22" s="206"/>
      <c r="HBL22" s="206"/>
      <c r="HBM22" s="206"/>
      <c r="HBN22" s="206"/>
      <c r="HBO22" s="206"/>
      <c r="HBP22" s="206"/>
      <c r="HBQ22" s="206"/>
      <c r="HBR22" s="206"/>
      <c r="HBS22" s="206"/>
      <c r="HBT22" s="206"/>
      <c r="HBU22" s="206"/>
      <c r="HBV22" s="206"/>
      <c r="HBW22" s="206"/>
      <c r="HBX22" s="206"/>
      <c r="HBY22" s="206"/>
      <c r="HBZ22" s="206"/>
      <c r="HCA22" s="206"/>
      <c r="HCB22" s="206"/>
      <c r="HCC22" s="206"/>
      <c r="HCD22" s="206"/>
      <c r="HCE22" s="206"/>
      <c r="HCF22" s="206"/>
      <c r="HCG22" s="206"/>
      <c r="HCH22" s="206"/>
      <c r="HCI22" s="206"/>
      <c r="HCJ22" s="206"/>
      <c r="HCK22" s="206"/>
      <c r="HCL22" s="206"/>
      <c r="HCM22" s="206"/>
      <c r="HCN22" s="206"/>
      <c r="HCO22" s="206"/>
      <c r="HCP22" s="206"/>
      <c r="HCQ22" s="206"/>
      <c r="HCR22" s="206"/>
      <c r="HCS22" s="206"/>
      <c r="HCT22" s="206"/>
      <c r="HCU22" s="206"/>
      <c r="HCV22" s="206"/>
      <c r="HCW22" s="206"/>
      <c r="HCX22" s="206"/>
      <c r="HCY22" s="206"/>
      <c r="HCZ22" s="206"/>
      <c r="HDA22" s="206"/>
      <c r="HDB22" s="206"/>
      <c r="HDC22" s="206"/>
      <c r="HDD22" s="206"/>
      <c r="HDE22" s="206"/>
      <c r="HDF22" s="206"/>
      <c r="HDG22" s="206"/>
      <c r="HDH22" s="206"/>
      <c r="HDI22" s="206"/>
      <c r="HDJ22" s="206"/>
      <c r="HDK22" s="206"/>
      <c r="HDL22" s="206"/>
      <c r="HDM22" s="206"/>
      <c r="HDN22" s="206"/>
      <c r="HDO22" s="206"/>
      <c r="HDP22" s="206"/>
      <c r="HDQ22" s="206"/>
      <c r="HDR22" s="206"/>
      <c r="HDS22" s="206"/>
      <c r="HDT22" s="206"/>
      <c r="HDU22" s="206"/>
      <c r="HDV22" s="206"/>
      <c r="HDW22" s="206"/>
      <c r="HDX22" s="206"/>
      <c r="HDY22" s="206"/>
      <c r="HDZ22" s="206"/>
      <c r="HEA22" s="206"/>
      <c r="HEB22" s="206"/>
      <c r="HEC22" s="206"/>
      <c r="HED22" s="206"/>
      <c r="HEE22" s="206"/>
      <c r="HEF22" s="206"/>
      <c r="HEG22" s="206"/>
      <c r="HEH22" s="206"/>
      <c r="HEI22" s="206"/>
      <c r="HEJ22" s="206"/>
      <c r="HEK22" s="206"/>
      <c r="HEL22" s="206"/>
      <c r="HEM22" s="206"/>
      <c r="HEN22" s="206"/>
      <c r="HEO22" s="206"/>
      <c r="HEP22" s="206"/>
      <c r="HEQ22" s="206"/>
      <c r="HER22" s="206"/>
      <c r="HES22" s="206"/>
      <c r="HET22" s="206"/>
      <c r="HEU22" s="206"/>
      <c r="HEV22" s="206"/>
      <c r="HEW22" s="206"/>
      <c r="HEX22" s="206"/>
      <c r="HEY22" s="206"/>
      <c r="HEZ22" s="206"/>
      <c r="HFA22" s="206"/>
      <c r="HFB22" s="206"/>
      <c r="HFC22" s="206"/>
      <c r="HFD22" s="206"/>
      <c r="HFE22" s="206"/>
      <c r="HFF22" s="206"/>
      <c r="HFG22" s="206"/>
      <c r="HFH22" s="206"/>
      <c r="HFI22" s="206"/>
      <c r="HFJ22" s="206"/>
      <c r="HFK22" s="206"/>
      <c r="HFL22" s="206"/>
      <c r="HFM22" s="206"/>
      <c r="HFN22" s="206"/>
      <c r="HFO22" s="206"/>
      <c r="HFP22" s="206"/>
      <c r="HFQ22" s="206"/>
      <c r="HFR22" s="206"/>
      <c r="HFS22" s="206"/>
      <c r="HFT22" s="206"/>
      <c r="HFU22" s="206"/>
      <c r="HFV22" s="206"/>
      <c r="HFW22" s="206"/>
      <c r="HFX22" s="206"/>
      <c r="HFY22" s="206"/>
      <c r="HFZ22" s="206"/>
      <c r="HGA22" s="206"/>
      <c r="HGB22" s="206"/>
      <c r="HGC22" s="206"/>
      <c r="HGD22" s="206"/>
      <c r="HGE22" s="206"/>
      <c r="HGF22" s="206"/>
      <c r="HGG22" s="206"/>
      <c r="HGH22" s="206"/>
      <c r="HGI22" s="206"/>
      <c r="HGJ22" s="206"/>
      <c r="HGK22" s="206"/>
      <c r="HGL22" s="206"/>
      <c r="HGM22" s="206"/>
      <c r="HGN22" s="206"/>
      <c r="HGO22" s="206"/>
      <c r="HGP22" s="206"/>
      <c r="HGQ22" s="206"/>
      <c r="HGR22" s="206"/>
      <c r="HGS22" s="206"/>
      <c r="HGT22" s="206"/>
      <c r="HGU22" s="206"/>
      <c r="HGV22" s="206"/>
      <c r="HGW22" s="206"/>
      <c r="HGX22" s="206"/>
      <c r="HGY22" s="206"/>
      <c r="HGZ22" s="206"/>
      <c r="HHA22" s="206"/>
      <c r="HHB22" s="206"/>
      <c r="HHC22" s="206"/>
      <c r="HHD22" s="206"/>
      <c r="HHE22" s="206"/>
      <c r="HHF22" s="206"/>
      <c r="HHG22" s="206"/>
      <c r="HHH22" s="206"/>
      <c r="HHI22" s="206"/>
      <c r="HHJ22" s="206"/>
      <c r="HHK22" s="206"/>
      <c r="HHL22" s="206"/>
      <c r="HHM22" s="206"/>
      <c r="HHN22" s="206"/>
      <c r="HHO22" s="206"/>
      <c r="HHP22" s="206"/>
      <c r="HHQ22" s="206"/>
      <c r="HHR22" s="206"/>
      <c r="HHS22" s="206"/>
      <c r="HHT22" s="206"/>
      <c r="HHU22" s="206"/>
      <c r="HHV22" s="206"/>
      <c r="HHW22" s="206"/>
      <c r="HHX22" s="206"/>
      <c r="HHY22" s="206"/>
      <c r="HHZ22" s="206"/>
      <c r="HIA22" s="206"/>
      <c r="HIB22" s="206"/>
      <c r="HIC22" s="206"/>
      <c r="HID22" s="206"/>
      <c r="HIE22" s="206"/>
      <c r="HIF22" s="206"/>
      <c r="HIG22" s="206"/>
      <c r="HIH22" s="206"/>
      <c r="HII22" s="206"/>
      <c r="HIJ22" s="206"/>
      <c r="HIK22" s="206"/>
      <c r="HIL22" s="206"/>
      <c r="HIM22" s="206"/>
      <c r="HIN22" s="206"/>
      <c r="HIO22" s="206"/>
      <c r="HIP22" s="206"/>
      <c r="HIQ22" s="206"/>
      <c r="HIR22" s="206"/>
      <c r="HIS22" s="206"/>
      <c r="HIT22" s="206"/>
      <c r="HIU22" s="206"/>
      <c r="HIV22" s="206"/>
      <c r="HIW22" s="206"/>
      <c r="HIX22" s="206"/>
      <c r="HIY22" s="206"/>
      <c r="HIZ22" s="206"/>
      <c r="HJA22" s="206"/>
      <c r="HJB22" s="206"/>
      <c r="HJC22" s="206"/>
      <c r="HJD22" s="206"/>
      <c r="HJE22" s="206"/>
      <c r="HJF22" s="206"/>
      <c r="HJG22" s="206"/>
      <c r="HJH22" s="206"/>
      <c r="HJI22" s="206"/>
      <c r="HJJ22" s="206"/>
      <c r="HJK22" s="206"/>
      <c r="HJL22" s="206"/>
      <c r="HJM22" s="206"/>
      <c r="HJN22" s="206"/>
      <c r="HJO22" s="206"/>
      <c r="HJP22" s="206"/>
      <c r="HJQ22" s="206"/>
      <c r="HJR22" s="206"/>
      <c r="HJS22" s="206"/>
      <c r="HJT22" s="206"/>
      <c r="HJU22" s="206"/>
      <c r="HJV22" s="206"/>
      <c r="HJW22" s="206"/>
      <c r="HJX22" s="206"/>
      <c r="HJY22" s="206"/>
      <c r="HJZ22" s="206"/>
      <c r="HKA22" s="206"/>
      <c r="HKB22" s="206"/>
      <c r="HKC22" s="206"/>
      <c r="HKD22" s="206"/>
      <c r="HKE22" s="206"/>
      <c r="HKF22" s="206"/>
      <c r="HKG22" s="206"/>
      <c r="HKH22" s="206"/>
      <c r="HKI22" s="206"/>
      <c r="HKJ22" s="206"/>
      <c r="HKK22" s="206"/>
      <c r="HKL22" s="206"/>
      <c r="HKM22" s="206"/>
      <c r="HKN22" s="206"/>
      <c r="HKO22" s="206"/>
      <c r="HKP22" s="206"/>
      <c r="HKQ22" s="206"/>
      <c r="HKR22" s="206"/>
      <c r="HKS22" s="206"/>
      <c r="HKT22" s="206"/>
      <c r="HKU22" s="206"/>
      <c r="HKV22" s="206"/>
      <c r="HKW22" s="206"/>
      <c r="HKX22" s="206"/>
      <c r="HKY22" s="206"/>
      <c r="HKZ22" s="206"/>
      <c r="HLA22" s="206"/>
      <c r="HLB22" s="206"/>
      <c r="HLC22" s="206"/>
      <c r="HLD22" s="206"/>
      <c r="HLE22" s="206"/>
      <c r="HLF22" s="206"/>
      <c r="HLG22" s="206"/>
      <c r="HLH22" s="206"/>
      <c r="HLI22" s="206"/>
      <c r="HLJ22" s="206"/>
      <c r="HLK22" s="206"/>
      <c r="HLL22" s="206"/>
      <c r="HLM22" s="206"/>
      <c r="HLN22" s="206"/>
      <c r="HLO22" s="206"/>
      <c r="HLP22" s="206"/>
      <c r="HLQ22" s="206"/>
      <c r="HLR22" s="206"/>
      <c r="HLS22" s="206"/>
      <c r="HLT22" s="206"/>
      <c r="HLU22" s="206"/>
      <c r="HLV22" s="206"/>
      <c r="HLW22" s="206"/>
      <c r="HLX22" s="206"/>
      <c r="HLY22" s="206"/>
      <c r="HLZ22" s="206"/>
      <c r="HMA22" s="206"/>
      <c r="HMB22" s="206"/>
      <c r="HMC22" s="206"/>
      <c r="HMD22" s="206"/>
      <c r="HME22" s="206"/>
      <c r="HMF22" s="206"/>
      <c r="HMG22" s="206"/>
      <c r="HMH22" s="206"/>
      <c r="HMI22" s="206"/>
      <c r="HMJ22" s="206"/>
      <c r="HMK22" s="206"/>
      <c r="HML22" s="206"/>
      <c r="HMM22" s="206"/>
      <c r="HMN22" s="206"/>
      <c r="HMO22" s="206"/>
      <c r="HMP22" s="206"/>
      <c r="HMQ22" s="206"/>
      <c r="HMR22" s="206"/>
      <c r="HMS22" s="206"/>
      <c r="HMT22" s="206"/>
      <c r="HMU22" s="206"/>
      <c r="HMV22" s="206"/>
      <c r="HMW22" s="206"/>
      <c r="HMX22" s="206"/>
      <c r="HMY22" s="206"/>
      <c r="HMZ22" s="206"/>
      <c r="HNA22" s="206"/>
      <c r="HNB22" s="206"/>
      <c r="HNC22" s="206"/>
      <c r="HND22" s="206"/>
      <c r="HNE22" s="206"/>
      <c r="HNF22" s="206"/>
      <c r="HNG22" s="206"/>
      <c r="HNH22" s="206"/>
      <c r="HNI22" s="206"/>
      <c r="HNJ22" s="206"/>
      <c r="HNK22" s="206"/>
      <c r="HNL22" s="206"/>
      <c r="HNM22" s="206"/>
      <c r="HNN22" s="206"/>
      <c r="HNO22" s="206"/>
      <c r="HNP22" s="206"/>
      <c r="HNQ22" s="206"/>
      <c r="HNR22" s="206"/>
      <c r="HNS22" s="206"/>
      <c r="HNT22" s="206"/>
      <c r="HNU22" s="206"/>
      <c r="HNV22" s="206"/>
      <c r="HNW22" s="206"/>
      <c r="HNX22" s="206"/>
      <c r="HNY22" s="206"/>
      <c r="HNZ22" s="206"/>
      <c r="HOA22" s="206"/>
      <c r="HOB22" s="206"/>
      <c r="HOC22" s="206"/>
      <c r="HOD22" s="206"/>
      <c r="HOE22" s="206"/>
      <c r="HOF22" s="206"/>
      <c r="HOG22" s="206"/>
      <c r="HOH22" s="206"/>
      <c r="HOI22" s="206"/>
      <c r="HOJ22" s="206"/>
      <c r="HOK22" s="206"/>
      <c r="HOL22" s="206"/>
      <c r="HOM22" s="206"/>
      <c r="HON22" s="206"/>
      <c r="HOO22" s="206"/>
      <c r="HOP22" s="206"/>
      <c r="HOQ22" s="206"/>
      <c r="HOR22" s="206"/>
      <c r="HOS22" s="206"/>
      <c r="HOT22" s="206"/>
      <c r="HOU22" s="206"/>
      <c r="HOV22" s="206"/>
      <c r="HOW22" s="206"/>
      <c r="HOX22" s="206"/>
      <c r="HOY22" s="206"/>
      <c r="HOZ22" s="206"/>
      <c r="HPA22" s="206"/>
      <c r="HPB22" s="206"/>
      <c r="HPC22" s="206"/>
      <c r="HPD22" s="206"/>
      <c r="HPE22" s="206"/>
      <c r="HPF22" s="206"/>
      <c r="HPG22" s="206"/>
      <c r="HPH22" s="206"/>
      <c r="HPI22" s="206"/>
      <c r="HPJ22" s="206"/>
      <c r="HPK22" s="206"/>
      <c r="HPL22" s="206"/>
      <c r="HPM22" s="206"/>
      <c r="HPN22" s="206"/>
      <c r="HPO22" s="206"/>
      <c r="HPP22" s="206"/>
      <c r="HPQ22" s="206"/>
      <c r="HPR22" s="206"/>
      <c r="HPS22" s="206"/>
      <c r="HPT22" s="206"/>
      <c r="HPU22" s="206"/>
      <c r="HPV22" s="206"/>
      <c r="HPW22" s="206"/>
      <c r="HPX22" s="206"/>
      <c r="HPY22" s="206"/>
      <c r="HPZ22" s="206"/>
      <c r="HQA22" s="206"/>
      <c r="HQB22" s="206"/>
      <c r="HQC22" s="206"/>
      <c r="HQD22" s="206"/>
      <c r="HQE22" s="206"/>
      <c r="HQF22" s="206"/>
      <c r="HQG22" s="206"/>
      <c r="HQH22" s="206"/>
      <c r="HQI22" s="206"/>
      <c r="HQJ22" s="206"/>
      <c r="HQK22" s="206"/>
      <c r="HQL22" s="206"/>
      <c r="HQM22" s="206"/>
      <c r="HQN22" s="206"/>
      <c r="HQO22" s="206"/>
      <c r="HQP22" s="206"/>
      <c r="HQQ22" s="206"/>
      <c r="HQR22" s="206"/>
      <c r="HQS22" s="206"/>
      <c r="HQT22" s="206"/>
      <c r="HQU22" s="206"/>
      <c r="HQV22" s="206"/>
      <c r="HQW22" s="206"/>
      <c r="HQX22" s="206"/>
      <c r="HQY22" s="206"/>
      <c r="HQZ22" s="206"/>
      <c r="HRA22" s="206"/>
      <c r="HRB22" s="206"/>
      <c r="HRC22" s="206"/>
      <c r="HRD22" s="206"/>
      <c r="HRE22" s="206"/>
      <c r="HRF22" s="206"/>
      <c r="HRG22" s="206"/>
      <c r="HRH22" s="206"/>
      <c r="HRI22" s="206"/>
      <c r="HRJ22" s="206"/>
      <c r="HRK22" s="206"/>
      <c r="HRL22" s="206"/>
      <c r="HRM22" s="206"/>
      <c r="HRN22" s="206"/>
      <c r="HRO22" s="206"/>
      <c r="HRP22" s="206"/>
      <c r="HRQ22" s="206"/>
      <c r="HRR22" s="206"/>
      <c r="HRS22" s="206"/>
      <c r="HRT22" s="206"/>
      <c r="HRU22" s="206"/>
      <c r="HRV22" s="206"/>
      <c r="HRW22" s="206"/>
      <c r="HRX22" s="206"/>
      <c r="HRY22" s="206"/>
      <c r="HRZ22" s="206"/>
      <c r="HSA22" s="206"/>
      <c r="HSB22" s="206"/>
      <c r="HSC22" s="206"/>
      <c r="HSD22" s="206"/>
      <c r="HSE22" s="206"/>
      <c r="HSF22" s="206"/>
      <c r="HSG22" s="206"/>
      <c r="HSH22" s="206"/>
      <c r="HSI22" s="206"/>
      <c r="HSJ22" s="206"/>
      <c r="HSK22" s="206"/>
      <c r="HSL22" s="206"/>
      <c r="HSM22" s="206"/>
      <c r="HSN22" s="206"/>
      <c r="HSO22" s="206"/>
      <c r="HSP22" s="206"/>
      <c r="HSQ22" s="206"/>
      <c r="HSR22" s="206"/>
      <c r="HSS22" s="206"/>
      <c r="HST22" s="206"/>
      <c r="HSU22" s="206"/>
      <c r="HSV22" s="206"/>
      <c r="HSW22" s="206"/>
      <c r="HSX22" s="206"/>
      <c r="HSY22" s="206"/>
      <c r="HSZ22" s="206"/>
      <c r="HTA22" s="206"/>
      <c r="HTB22" s="206"/>
      <c r="HTC22" s="206"/>
      <c r="HTD22" s="206"/>
      <c r="HTE22" s="206"/>
      <c r="HTF22" s="206"/>
      <c r="HTG22" s="206"/>
      <c r="HTH22" s="206"/>
      <c r="HTI22" s="206"/>
      <c r="HTJ22" s="206"/>
      <c r="HTK22" s="206"/>
      <c r="HTL22" s="206"/>
      <c r="HTM22" s="206"/>
      <c r="HTN22" s="206"/>
      <c r="HTO22" s="206"/>
      <c r="HTP22" s="206"/>
      <c r="HTQ22" s="206"/>
      <c r="HTR22" s="206"/>
      <c r="HTS22" s="206"/>
      <c r="HTT22" s="206"/>
      <c r="HTU22" s="206"/>
      <c r="HTV22" s="206"/>
      <c r="HTW22" s="206"/>
      <c r="HTX22" s="206"/>
      <c r="HTY22" s="206"/>
      <c r="HTZ22" s="206"/>
      <c r="HUA22" s="206"/>
      <c r="HUB22" s="206"/>
      <c r="HUC22" s="206"/>
      <c r="HUD22" s="206"/>
      <c r="HUE22" s="206"/>
      <c r="HUF22" s="206"/>
      <c r="HUG22" s="206"/>
      <c r="HUH22" s="206"/>
      <c r="HUI22" s="206"/>
      <c r="HUJ22" s="206"/>
      <c r="HUK22" s="206"/>
      <c r="HUL22" s="206"/>
      <c r="HUM22" s="206"/>
      <c r="HUN22" s="206"/>
      <c r="HUO22" s="206"/>
      <c r="HUP22" s="206"/>
      <c r="HUQ22" s="206"/>
      <c r="HUR22" s="206"/>
      <c r="HUS22" s="206"/>
      <c r="HUT22" s="206"/>
      <c r="HUU22" s="206"/>
      <c r="HUV22" s="206"/>
      <c r="HUW22" s="206"/>
      <c r="HUX22" s="206"/>
      <c r="HUY22" s="206"/>
      <c r="HUZ22" s="206"/>
      <c r="HVA22" s="206"/>
      <c r="HVB22" s="206"/>
      <c r="HVC22" s="206"/>
      <c r="HVD22" s="206"/>
      <c r="HVE22" s="206"/>
      <c r="HVF22" s="206"/>
      <c r="HVG22" s="206"/>
      <c r="HVH22" s="206"/>
      <c r="HVI22" s="206"/>
      <c r="HVJ22" s="206"/>
      <c r="HVK22" s="206"/>
      <c r="HVL22" s="206"/>
      <c r="HVM22" s="206"/>
      <c r="HVN22" s="206"/>
      <c r="HVO22" s="206"/>
      <c r="HVP22" s="206"/>
      <c r="HVQ22" s="206"/>
      <c r="HVR22" s="206"/>
      <c r="HVS22" s="206"/>
      <c r="HVT22" s="206"/>
      <c r="HVU22" s="206"/>
      <c r="HVV22" s="206"/>
      <c r="HVW22" s="206"/>
      <c r="HVX22" s="206"/>
      <c r="HVY22" s="206"/>
      <c r="HVZ22" s="206"/>
      <c r="HWA22" s="206"/>
      <c r="HWB22" s="206"/>
      <c r="HWC22" s="206"/>
      <c r="HWD22" s="206"/>
      <c r="HWE22" s="206"/>
      <c r="HWF22" s="206"/>
      <c r="HWG22" s="206"/>
      <c r="HWH22" s="206"/>
      <c r="HWI22" s="206"/>
      <c r="HWJ22" s="206"/>
      <c r="HWK22" s="206"/>
      <c r="HWL22" s="206"/>
      <c r="HWM22" s="206"/>
      <c r="HWN22" s="206"/>
      <c r="HWO22" s="206"/>
      <c r="HWP22" s="206"/>
      <c r="HWQ22" s="206"/>
      <c r="HWR22" s="206"/>
      <c r="HWS22" s="206"/>
      <c r="HWT22" s="206"/>
      <c r="HWU22" s="206"/>
      <c r="HWV22" s="206"/>
      <c r="HWW22" s="206"/>
      <c r="HWX22" s="206"/>
      <c r="HWY22" s="206"/>
      <c r="HWZ22" s="206"/>
      <c r="HXA22" s="206"/>
      <c r="HXB22" s="206"/>
      <c r="HXC22" s="206"/>
      <c r="HXD22" s="206"/>
      <c r="HXE22" s="206"/>
      <c r="HXF22" s="206"/>
      <c r="HXG22" s="206"/>
      <c r="HXH22" s="206"/>
      <c r="HXI22" s="206"/>
      <c r="HXJ22" s="206"/>
      <c r="HXK22" s="206"/>
      <c r="HXL22" s="206"/>
      <c r="HXM22" s="206"/>
      <c r="HXN22" s="206"/>
      <c r="HXO22" s="206"/>
      <c r="HXP22" s="206"/>
      <c r="HXQ22" s="206"/>
      <c r="HXR22" s="206"/>
      <c r="HXS22" s="206"/>
      <c r="HXT22" s="206"/>
      <c r="HXU22" s="206"/>
      <c r="HXV22" s="206"/>
      <c r="HXW22" s="206"/>
      <c r="HXX22" s="206"/>
      <c r="HXY22" s="206"/>
      <c r="HXZ22" s="206"/>
      <c r="HYA22" s="206"/>
      <c r="HYB22" s="206"/>
      <c r="HYC22" s="206"/>
      <c r="HYD22" s="206"/>
      <c r="HYE22" s="206"/>
      <c r="HYF22" s="206"/>
      <c r="HYG22" s="206"/>
      <c r="HYH22" s="206"/>
      <c r="HYI22" s="206"/>
      <c r="HYJ22" s="206"/>
      <c r="HYK22" s="206"/>
      <c r="HYL22" s="206"/>
      <c r="HYM22" s="206"/>
      <c r="HYN22" s="206"/>
      <c r="HYO22" s="206"/>
      <c r="HYP22" s="206"/>
      <c r="HYQ22" s="206"/>
      <c r="HYR22" s="206"/>
      <c r="HYS22" s="206"/>
      <c r="HYT22" s="206"/>
      <c r="HYU22" s="206"/>
      <c r="HYV22" s="206"/>
      <c r="HYW22" s="206"/>
      <c r="HYX22" s="206"/>
      <c r="HYY22" s="206"/>
      <c r="HYZ22" s="206"/>
      <c r="HZA22" s="206"/>
      <c r="HZB22" s="206"/>
      <c r="HZC22" s="206"/>
      <c r="HZD22" s="206"/>
      <c r="HZE22" s="206"/>
      <c r="HZF22" s="206"/>
      <c r="HZG22" s="206"/>
      <c r="HZH22" s="206"/>
      <c r="HZI22" s="206"/>
      <c r="HZJ22" s="206"/>
      <c r="HZK22" s="206"/>
      <c r="HZL22" s="206"/>
      <c r="HZM22" s="206"/>
      <c r="HZN22" s="206"/>
      <c r="HZO22" s="206"/>
      <c r="HZP22" s="206"/>
      <c r="HZQ22" s="206"/>
      <c r="HZR22" s="206"/>
      <c r="HZS22" s="206"/>
      <c r="HZT22" s="206"/>
      <c r="HZU22" s="206"/>
      <c r="HZV22" s="206"/>
      <c r="HZW22" s="206"/>
      <c r="HZX22" s="206"/>
      <c r="HZY22" s="206"/>
      <c r="HZZ22" s="206"/>
      <c r="IAA22" s="206"/>
      <c r="IAB22" s="206"/>
      <c r="IAC22" s="206"/>
      <c r="IAD22" s="206"/>
      <c r="IAE22" s="206"/>
      <c r="IAF22" s="206"/>
      <c r="IAG22" s="206"/>
      <c r="IAH22" s="206"/>
      <c r="IAI22" s="206"/>
      <c r="IAJ22" s="206"/>
      <c r="IAK22" s="206"/>
      <c r="IAL22" s="206"/>
      <c r="IAM22" s="206"/>
      <c r="IAN22" s="206"/>
      <c r="IAO22" s="206"/>
      <c r="IAP22" s="206"/>
      <c r="IAQ22" s="206"/>
      <c r="IAR22" s="206"/>
      <c r="IAS22" s="206"/>
      <c r="IAT22" s="206"/>
      <c r="IAU22" s="206"/>
      <c r="IAV22" s="206"/>
      <c r="IAW22" s="206"/>
      <c r="IAX22" s="206"/>
      <c r="IAY22" s="206"/>
      <c r="IAZ22" s="206"/>
      <c r="IBA22" s="206"/>
      <c r="IBB22" s="206"/>
      <c r="IBC22" s="206"/>
      <c r="IBD22" s="206"/>
      <c r="IBE22" s="206"/>
      <c r="IBF22" s="206"/>
      <c r="IBG22" s="206"/>
      <c r="IBH22" s="206"/>
      <c r="IBI22" s="206"/>
      <c r="IBJ22" s="206"/>
      <c r="IBK22" s="206"/>
      <c r="IBL22" s="206"/>
      <c r="IBM22" s="206"/>
      <c r="IBN22" s="206"/>
      <c r="IBO22" s="206"/>
      <c r="IBP22" s="206"/>
      <c r="IBQ22" s="206"/>
      <c r="IBR22" s="206"/>
      <c r="IBS22" s="206"/>
      <c r="IBT22" s="206"/>
      <c r="IBU22" s="206"/>
      <c r="IBV22" s="206"/>
      <c r="IBW22" s="206"/>
      <c r="IBX22" s="206"/>
      <c r="IBY22" s="206"/>
      <c r="IBZ22" s="206"/>
      <c r="ICA22" s="206"/>
      <c r="ICB22" s="206"/>
      <c r="ICC22" s="206"/>
      <c r="ICD22" s="206"/>
      <c r="ICE22" s="206"/>
      <c r="ICF22" s="206"/>
      <c r="ICG22" s="206"/>
      <c r="ICH22" s="206"/>
      <c r="ICI22" s="206"/>
      <c r="ICJ22" s="206"/>
      <c r="ICK22" s="206"/>
      <c r="ICL22" s="206"/>
      <c r="ICM22" s="206"/>
      <c r="ICN22" s="206"/>
      <c r="ICO22" s="206"/>
      <c r="ICP22" s="206"/>
      <c r="ICQ22" s="206"/>
      <c r="ICR22" s="206"/>
      <c r="ICS22" s="206"/>
      <c r="ICT22" s="206"/>
      <c r="ICU22" s="206"/>
      <c r="ICV22" s="206"/>
      <c r="ICW22" s="206"/>
      <c r="ICX22" s="206"/>
      <c r="ICY22" s="206"/>
      <c r="ICZ22" s="206"/>
      <c r="IDA22" s="206"/>
      <c r="IDB22" s="206"/>
      <c r="IDC22" s="206"/>
      <c r="IDD22" s="206"/>
      <c r="IDE22" s="206"/>
      <c r="IDF22" s="206"/>
      <c r="IDG22" s="206"/>
      <c r="IDH22" s="206"/>
      <c r="IDI22" s="206"/>
      <c r="IDJ22" s="206"/>
      <c r="IDK22" s="206"/>
      <c r="IDL22" s="206"/>
      <c r="IDM22" s="206"/>
      <c r="IDN22" s="206"/>
      <c r="IDO22" s="206"/>
      <c r="IDP22" s="206"/>
      <c r="IDQ22" s="206"/>
      <c r="IDR22" s="206"/>
      <c r="IDS22" s="206"/>
      <c r="IDT22" s="206"/>
      <c r="IDU22" s="206"/>
      <c r="IDV22" s="206"/>
      <c r="IDW22" s="206"/>
      <c r="IDX22" s="206"/>
      <c r="IDY22" s="206"/>
      <c r="IDZ22" s="206"/>
      <c r="IEA22" s="206"/>
      <c r="IEB22" s="206"/>
      <c r="IEC22" s="206"/>
      <c r="IED22" s="206"/>
      <c r="IEE22" s="206"/>
      <c r="IEF22" s="206"/>
      <c r="IEG22" s="206"/>
      <c r="IEH22" s="206"/>
      <c r="IEI22" s="206"/>
      <c r="IEJ22" s="206"/>
      <c r="IEK22" s="206"/>
      <c r="IEL22" s="206"/>
      <c r="IEM22" s="206"/>
      <c r="IEN22" s="206"/>
      <c r="IEO22" s="206"/>
      <c r="IEP22" s="206"/>
      <c r="IEQ22" s="206"/>
      <c r="IER22" s="206"/>
      <c r="IES22" s="206"/>
      <c r="IET22" s="206"/>
      <c r="IEU22" s="206"/>
      <c r="IEV22" s="206"/>
      <c r="IEW22" s="206"/>
      <c r="IEX22" s="206"/>
      <c r="IEY22" s="206"/>
      <c r="IEZ22" s="206"/>
      <c r="IFA22" s="206"/>
      <c r="IFB22" s="206"/>
      <c r="IFC22" s="206"/>
      <c r="IFD22" s="206"/>
      <c r="IFE22" s="206"/>
      <c r="IFF22" s="206"/>
      <c r="IFG22" s="206"/>
      <c r="IFH22" s="206"/>
      <c r="IFI22" s="206"/>
      <c r="IFJ22" s="206"/>
      <c r="IFK22" s="206"/>
      <c r="IFL22" s="206"/>
      <c r="IFM22" s="206"/>
      <c r="IFN22" s="206"/>
      <c r="IFO22" s="206"/>
      <c r="IFP22" s="206"/>
      <c r="IFQ22" s="206"/>
      <c r="IFR22" s="206"/>
      <c r="IFS22" s="206"/>
      <c r="IFT22" s="206"/>
      <c r="IFU22" s="206"/>
      <c r="IFV22" s="206"/>
      <c r="IFW22" s="206"/>
      <c r="IFX22" s="206"/>
      <c r="IFY22" s="206"/>
      <c r="IFZ22" s="206"/>
      <c r="IGA22" s="206"/>
      <c r="IGB22" s="206"/>
      <c r="IGC22" s="206"/>
      <c r="IGD22" s="206"/>
      <c r="IGE22" s="206"/>
      <c r="IGF22" s="206"/>
      <c r="IGG22" s="206"/>
      <c r="IGH22" s="206"/>
      <c r="IGI22" s="206"/>
      <c r="IGJ22" s="206"/>
      <c r="IGK22" s="206"/>
      <c r="IGL22" s="206"/>
      <c r="IGM22" s="206"/>
      <c r="IGN22" s="206"/>
      <c r="IGO22" s="206"/>
      <c r="IGP22" s="206"/>
      <c r="IGQ22" s="206"/>
      <c r="IGR22" s="206"/>
      <c r="IGS22" s="206"/>
      <c r="IGT22" s="206"/>
      <c r="IGU22" s="206"/>
      <c r="IGV22" s="206"/>
      <c r="IGW22" s="206"/>
      <c r="IGX22" s="206"/>
      <c r="IGY22" s="206"/>
      <c r="IGZ22" s="206"/>
      <c r="IHA22" s="206"/>
      <c r="IHB22" s="206"/>
      <c r="IHC22" s="206"/>
      <c r="IHD22" s="206"/>
      <c r="IHE22" s="206"/>
      <c r="IHF22" s="206"/>
      <c r="IHG22" s="206"/>
      <c r="IHH22" s="206"/>
      <c r="IHI22" s="206"/>
      <c r="IHJ22" s="206"/>
      <c r="IHK22" s="206"/>
      <c r="IHL22" s="206"/>
      <c r="IHM22" s="206"/>
      <c r="IHN22" s="206"/>
      <c r="IHO22" s="206"/>
      <c r="IHP22" s="206"/>
      <c r="IHQ22" s="206"/>
      <c r="IHR22" s="206"/>
      <c r="IHS22" s="206"/>
      <c r="IHT22" s="206"/>
      <c r="IHU22" s="206"/>
      <c r="IHV22" s="206"/>
      <c r="IHW22" s="206"/>
      <c r="IHX22" s="206"/>
      <c r="IHY22" s="206"/>
      <c r="IHZ22" s="206"/>
      <c r="IIA22" s="206"/>
      <c r="IIB22" s="206"/>
      <c r="IIC22" s="206"/>
      <c r="IID22" s="206"/>
      <c r="IIE22" s="206"/>
      <c r="IIF22" s="206"/>
      <c r="IIG22" s="206"/>
      <c r="IIH22" s="206"/>
      <c r="III22" s="206"/>
      <c r="IIJ22" s="206"/>
      <c r="IIK22" s="206"/>
      <c r="IIL22" s="206"/>
      <c r="IIM22" s="206"/>
      <c r="IIN22" s="206"/>
      <c r="IIO22" s="206"/>
      <c r="IIP22" s="206"/>
      <c r="IIQ22" s="206"/>
      <c r="IIR22" s="206"/>
      <c r="IIS22" s="206"/>
      <c r="IIT22" s="206"/>
      <c r="IIU22" s="206"/>
      <c r="IIV22" s="206"/>
      <c r="IIW22" s="206"/>
      <c r="IIX22" s="206"/>
      <c r="IIY22" s="206"/>
      <c r="IIZ22" s="206"/>
      <c r="IJA22" s="206"/>
      <c r="IJB22" s="206"/>
      <c r="IJC22" s="206"/>
      <c r="IJD22" s="206"/>
      <c r="IJE22" s="206"/>
      <c r="IJF22" s="206"/>
      <c r="IJG22" s="206"/>
      <c r="IJH22" s="206"/>
      <c r="IJI22" s="206"/>
      <c r="IJJ22" s="206"/>
      <c r="IJK22" s="206"/>
      <c r="IJL22" s="206"/>
      <c r="IJM22" s="206"/>
      <c r="IJN22" s="206"/>
      <c r="IJO22" s="206"/>
      <c r="IJP22" s="206"/>
      <c r="IJQ22" s="206"/>
      <c r="IJR22" s="206"/>
      <c r="IJS22" s="206"/>
      <c r="IJT22" s="206"/>
      <c r="IJU22" s="206"/>
      <c r="IJV22" s="206"/>
      <c r="IJW22" s="206"/>
      <c r="IJX22" s="206"/>
      <c r="IJY22" s="206"/>
      <c r="IJZ22" s="206"/>
      <c r="IKA22" s="206"/>
      <c r="IKB22" s="206"/>
      <c r="IKC22" s="206"/>
      <c r="IKD22" s="206"/>
      <c r="IKE22" s="206"/>
      <c r="IKF22" s="206"/>
      <c r="IKG22" s="206"/>
      <c r="IKH22" s="206"/>
      <c r="IKI22" s="206"/>
      <c r="IKJ22" s="206"/>
      <c r="IKK22" s="206"/>
      <c r="IKL22" s="206"/>
      <c r="IKM22" s="206"/>
      <c r="IKN22" s="206"/>
      <c r="IKO22" s="206"/>
      <c r="IKP22" s="206"/>
      <c r="IKQ22" s="206"/>
      <c r="IKR22" s="206"/>
      <c r="IKS22" s="206"/>
      <c r="IKT22" s="206"/>
      <c r="IKU22" s="206"/>
      <c r="IKV22" s="206"/>
      <c r="IKW22" s="206"/>
      <c r="IKX22" s="206"/>
      <c r="IKY22" s="206"/>
      <c r="IKZ22" s="206"/>
      <c r="ILA22" s="206"/>
      <c r="ILB22" s="206"/>
      <c r="ILC22" s="206"/>
      <c r="ILD22" s="206"/>
      <c r="ILE22" s="206"/>
      <c r="ILF22" s="206"/>
      <c r="ILG22" s="206"/>
      <c r="ILH22" s="206"/>
      <c r="ILI22" s="206"/>
      <c r="ILJ22" s="206"/>
      <c r="ILK22" s="206"/>
      <c r="ILL22" s="206"/>
      <c r="ILM22" s="206"/>
      <c r="ILN22" s="206"/>
      <c r="ILO22" s="206"/>
      <c r="ILP22" s="206"/>
      <c r="ILQ22" s="206"/>
      <c r="ILR22" s="206"/>
      <c r="ILS22" s="206"/>
      <c r="ILT22" s="206"/>
      <c r="ILU22" s="206"/>
      <c r="ILV22" s="206"/>
      <c r="ILW22" s="206"/>
      <c r="ILX22" s="206"/>
      <c r="ILY22" s="206"/>
      <c r="ILZ22" s="206"/>
      <c r="IMA22" s="206"/>
      <c r="IMB22" s="206"/>
      <c r="IMC22" s="206"/>
      <c r="IMD22" s="206"/>
      <c r="IME22" s="206"/>
      <c r="IMF22" s="206"/>
      <c r="IMG22" s="206"/>
      <c r="IMH22" s="206"/>
      <c r="IMI22" s="206"/>
      <c r="IMJ22" s="206"/>
      <c r="IMK22" s="206"/>
      <c r="IML22" s="206"/>
      <c r="IMM22" s="206"/>
      <c r="IMN22" s="206"/>
      <c r="IMO22" s="206"/>
      <c r="IMP22" s="206"/>
      <c r="IMQ22" s="206"/>
      <c r="IMR22" s="206"/>
      <c r="IMS22" s="206"/>
      <c r="IMT22" s="206"/>
      <c r="IMU22" s="206"/>
      <c r="IMV22" s="206"/>
      <c r="IMW22" s="206"/>
      <c r="IMX22" s="206"/>
      <c r="IMY22" s="206"/>
      <c r="IMZ22" s="206"/>
      <c r="INA22" s="206"/>
      <c r="INB22" s="206"/>
      <c r="INC22" s="206"/>
      <c r="IND22" s="206"/>
      <c r="INE22" s="206"/>
      <c r="INF22" s="206"/>
      <c r="ING22" s="206"/>
      <c r="INH22" s="206"/>
      <c r="INI22" s="206"/>
      <c r="INJ22" s="206"/>
      <c r="INK22" s="206"/>
      <c r="INL22" s="206"/>
      <c r="INM22" s="206"/>
      <c r="INN22" s="206"/>
      <c r="INO22" s="206"/>
      <c r="INP22" s="206"/>
      <c r="INQ22" s="206"/>
      <c r="INR22" s="206"/>
      <c r="INS22" s="206"/>
      <c r="INT22" s="206"/>
      <c r="INU22" s="206"/>
      <c r="INV22" s="206"/>
      <c r="INW22" s="206"/>
      <c r="INX22" s="206"/>
      <c r="INY22" s="206"/>
      <c r="INZ22" s="206"/>
      <c r="IOA22" s="206"/>
      <c r="IOB22" s="206"/>
      <c r="IOC22" s="206"/>
      <c r="IOD22" s="206"/>
      <c r="IOE22" s="206"/>
      <c r="IOF22" s="206"/>
      <c r="IOG22" s="206"/>
      <c r="IOH22" s="206"/>
      <c r="IOI22" s="206"/>
      <c r="IOJ22" s="206"/>
      <c r="IOK22" s="206"/>
      <c r="IOL22" s="206"/>
      <c r="IOM22" s="206"/>
      <c r="ION22" s="206"/>
      <c r="IOO22" s="206"/>
      <c r="IOP22" s="206"/>
      <c r="IOQ22" s="206"/>
      <c r="IOR22" s="206"/>
      <c r="IOS22" s="206"/>
      <c r="IOT22" s="206"/>
      <c r="IOU22" s="206"/>
      <c r="IOV22" s="206"/>
      <c r="IOW22" s="206"/>
      <c r="IOX22" s="206"/>
      <c r="IOY22" s="206"/>
      <c r="IOZ22" s="206"/>
      <c r="IPA22" s="206"/>
      <c r="IPB22" s="206"/>
      <c r="IPC22" s="206"/>
      <c r="IPD22" s="206"/>
      <c r="IPE22" s="206"/>
      <c r="IPF22" s="206"/>
      <c r="IPG22" s="206"/>
      <c r="IPH22" s="206"/>
      <c r="IPI22" s="206"/>
      <c r="IPJ22" s="206"/>
      <c r="IPK22" s="206"/>
      <c r="IPL22" s="206"/>
      <c r="IPM22" s="206"/>
      <c r="IPN22" s="206"/>
      <c r="IPO22" s="206"/>
      <c r="IPP22" s="206"/>
      <c r="IPQ22" s="206"/>
      <c r="IPR22" s="206"/>
      <c r="IPS22" s="206"/>
      <c r="IPT22" s="206"/>
      <c r="IPU22" s="206"/>
      <c r="IPV22" s="206"/>
      <c r="IPW22" s="206"/>
      <c r="IPX22" s="206"/>
      <c r="IPY22" s="206"/>
      <c r="IPZ22" s="206"/>
      <c r="IQA22" s="206"/>
      <c r="IQB22" s="206"/>
      <c r="IQC22" s="206"/>
      <c r="IQD22" s="206"/>
      <c r="IQE22" s="206"/>
      <c r="IQF22" s="206"/>
      <c r="IQG22" s="206"/>
      <c r="IQH22" s="206"/>
      <c r="IQI22" s="206"/>
      <c r="IQJ22" s="206"/>
      <c r="IQK22" s="206"/>
      <c r="IQL22" s="206"/>
      <c r="IQM22" s="206"/>
      <c r="IQN22" s="206"/>
      <c r="IQO22" s="206"/>
      <c r="IQP22" s="206"/>
      <c r="IQQ22" s="206"/>
      <c r="IQR22" s="206"/>
      <c r="IQS22" s="206"/>
      <c r="IQT22" s="206"/>
      <c r="IQU22" s="206"/>
      <c r="IQV22" s="206"/>
      <c r="IQW22" s="206"/>
      <c r="IQX22" s="206"/>
      <c r="IQY22" s="206"/>
      <c r="IQZ22" s="206"/>
      <c r="IRA22" s="206"/>
      <c r="IRB22" s="206"/>
      <c r="IRC22" s="206"/>
      <c r="IRD22" s="206"/>
      <c r="IRE22" s="206"/>
      <c r="IRF22" s="206"/>
      <c r="IRG22" s="206"/>
      <c r="IRH22" s="206"/>
      <c r="IRI22" s="206"/>
      <c r="IRJ22" s="206"/>
      <c r="IRK22" s="206"/>
      <c r="IRL22" s="206"/>
      <c r="IRM22" s="206"/>
      <c r="IRN22" s="206"/>
      <c r="IRO22" s="206"/>
      <c r="IRP22" s="206"/>
      <c r="IRQ22" s="206"/>
      <c r="IRR22" s="206"/>
      <c r="IRS22" s="206"/>
      <c r="IRT22" s="206"/>
      <c r="IRU22" s="206"/>
      <c r="IRV22" s="206"/>
      <c r="IRW22" s="206"/>
      <c r="IRX22" s="206"/>
      <c r="IRY22" s="206"/>
      <c r="IRZ22" s="206"/>
      <c r="ISA22" s="206"/>
      <c r="ISB22" s="206"/>
      <c r="ISC22" s="206"/>
      <c r="ISD22" s="206"/>
      <c r="ISE22" s="206"/>
      <c r="ISF22" s="206"/>
      <c r="ISG22" s="206"/>
      <c r="ISH22" s="206"/>
      <c r="ISI22" s="206"/>
      <c r="ISJ22" s="206"/>
      <c r="ISK22" s="206"/>
      <c r="ISL22" s="206"/>
      <c r="ISM22" s="206"/>
      <c r="ISN22" s="206"/>
      <c r="ISO22" s="206"/>
      <c r="ISP22" s="206"/>
      <c r="ISQ22" s="206"/>
      <c r="ISR22" s="206"/>
      <c r="ISS22" s="206"/>
      <c r="IST22" s="206"/>
      <c r="ISU22" s="206"/>
      <c r="ISV22" s="206"/>
      <c r="ISW22" s="206"/>
      <c r="ISX22" s="206"/>
      <c r="ISY22" s="206"/>
      <c r="ISZ22" s="206"/>
      <c r="ITA22" s="206"/>
      <c r="ITB22" s="206"/>
      <c r="ITC22" s="206"/>
      <c r="ITD22" s="206"/>
      <c r="ITE22" s="206"/>
      <c r="ITF22" s="206"/>
      <c r="ITG22" s="206"/>
      <c r="ITH22" s="206"/>
      <c r="ITI22" s="206"/>
      <c r="ITJ22" s="206"/>
      <c r="ITK22" s="206"/>
      <c r="ITL22" s="206"/>
      <c r="ITM22" s="206"/>
      <c r="ITN22" s="206"/>
      <c r="ITO22" s="206"/>
      <c r="ITP22" s="206"/>
      <c r="ITQ22" s="206"/>
      <c r="ITR22" s="206"/>
      <c r="ITS22" s="206"/>
      <c r="ITT22" s="206"/>
      <c r="ITU22" s="206"/>
      <c r="ITV22" s="206"/>
      <c r="ITW22" s="206"/>
      <c r="ITX22" s="206"/>
      <c r="ITY22" s="206"/>
      <c r="ITZ22" s="206"/>
      <c r="IUA22" s="206"/>
      <c r="IUB22" s="206"/>
      <c r="IUC22" s="206"/>
      <c r="IUD22" s="206"/>
      <c r="IUE22" s="206"/>
      <c r="IUF22" s="206"/>
      <c r="IUG22" s="206"/>
      <c r="IUH22" s="206"/>
      <c r="IUI22" s="206"/>
      <c r="IUJ22" s="206"/>
      <c r="IUK22" s="206"/>
      <c r="IUL22" s="206"/>
      <c r="IUM22" s="206"/>
      <c r="IUN22" s="206"/>
      <c r="IUO22" s="206"/>
      <c r="IUP22" s="206"/>
      <c r="IUQ22" s="206"/>
      <c r="IUR22" s="206"/>
      <c r="IUS22" s="206"/>
      <c r="IUT22" s="206"/>
      <c r="IUU22" s="206"/>
      <c r="IUV22" s="206"/>
      <c r="IUW22" s="206"/>
      <c r="IUX22" s="206"/>
      <c r="IUY22" s="206"/>
      <c r="IUZ22" s="206"/>
      <c r="IVA22" s="206"/>
      <c r="IVB22" s="206"/>
      <c r="IVC22" s="206"/>
      <c r="IVD22" s="206"/>
      <c r="IVE22" s="206"/>
      <c r="IVF22" s="206"/>
      <c r="IVG22" s="206"/>
      <c r="IVH22" s="206"/>
      <c r="IVI22" s="206"/>
      <c r="IVJ22" s="206"/>
      <c r="IVK22" s="206"/>
      <c r="IVL22" s="206"/>
      <c r="IVM22" s="206"/>
      <c r="IVN22" s="206"/>
      <c r="IVO22" s="206"/>
      <c r="IVP22" s="206"/>
      <c r="IVQ22" s="206"/>
      <c r="IVR22" s="206"/>
      <c r="IVS22" s="206"/>
      <c r="IVT22" s="206"/>
      <c r="IVU22" s="206"/>
      <c r="IVV22" s="206"/>
      <c r="IVW22" s="206"/>
      <c r="IVX22" s="206"/>
      <c r="IVY22" s="206"/>
      <c r="IVZ22" s="206"/>
      <c r="IWA22" s="206"/>
      <c r="IWB22" s="206"/>
      <c r="IWC22" s="206"/>
      <c r="IWD22" s="206"/>
      <c r="IWE22" s="206"/>
      <c r="IWF22" s="206"/>
      <c r="IWG22" s="206"/>
      <c r="IWH22" s="206"/>
      <c r="IWI22" s="206"/>
      <c r="IWJ22" s="206"/>
      <c r="IWK22" s="206"/>
      <c r="IWL22" s="206"/>
      <c r="IWM22" s="206"/>
      <c r="IWN22" s="206"/>
      <c r="IWO22" s="206"/>
      <c r="IWP22" s="206"/>
      <c r="IWQ22" s="206"/>
      <c r="IWR22" s="206"/>
      <c r="IWS22" s="206"/>
      <c r="IWT22" s="206"/>
      <c r="IWU22" s="206"/>
      <c r="IWV22" s="206"/>
      <c r="IWW22" s="206"/>
      <c r="IWX22" s="206"/>
      <c r="IWY22" s="206"/>
      <c r="IWZ22" s="206"/>
      <c r="IXA22" s="206"/>
      <c r="IXB22" s="206"/>
      <c r="IXC22" s="206"/>
      <c r="IXD22" s="206"/>
      <c r="IXE22" s="206"/>
      <c r="IXF22" s="206"/>
      <c r="IXG22" s="206"/>
      <c r="IXH22" s="206"/>
      <c r="IXI22" s="206"/>
      <c r="IXJ22" s="206"/>
      <c r="IXK22" s="206"/>
      <c r="IXL22" s="206"/>
      <c r="IXM22" s="206"/>
      <c r="IXN22" s="206"/>
      <c r="IXO22" s="206"/>
      <c r="IXP22" s="206"/>
      <c r="IXQ22" s="206"/>
      <c r="IXR22" s="206"/>
      <c r="IXS22" s="206"/>
      <c r="IXT22" s="206"/>
      <c r="IXU22" s="206"/>
      <c r="IXV22" s="206"/>
      <c r="IXW22" s="206"/>
      <c r="IXX22" s="206"/>
      <c r="IXY22" s="206"/>
      <c r="IXZ22" s="206"/>
      <c r="IYA22" s="206"/>
      <c r="IYB22" s="206"/>
      <c r="IYC22" s="206"/>
      <c r="IYD22" s="206"/>
      <c r="IYE22" s="206"/>
      <c r="IYF22" s="206"/>
      <c r="IYG22" s="206"/>
      <c r="IYH22" s="206"/>
      <c r="IYI22" s="206"/>
      <c r="IYJ22" s="206"/>
      <c r="IYK22" s="206"/>
      <c r="IYL22" s="206"/>
      <c r="IYM22" s="206"/>
      <c r="IYN22" s="206"/>
      <c r="IYO22" s="206"/>
      <c r="IYP22" s="206"/>
      <c r="IYQ22" s="206"/>
      <c r="IYR22" s="206"/>
      <c r="IYS22" s="206"/>
      <c r="IYT22" s="206"/>
      <c r="IYU22" s="206"/>
      <c r="IYV22" s="206"/>
      <c r="IYW22" s="206"/>
      <c r="IYX22" s="206"/>
      <c r="IYY22" s="206"/>
      <c r="IYZ22" s="206"/>
      <c r="IZA22" s="206"/>
      <c r="IZB22" s="206"/>
      <c r="IZC22" s="206"/>
      <c r="IZD22" s="206"/>
      <c r="IZE22" s="206"/>
      <c r="IZF22" s="206"/>
      <c r="IZG22" s="206"/>
      <c r="IZH22" s="206"/>
      <c r="IZI22" s="206"/>
      <c r="IZJ22" s="206"/>
      <c r="IZK22" s="206"/>
      <c r="IZL22" s="206"/>
      <c r="IZM22" s="206"/>
      <c r="IZN22" s="206"/>
      <c r="IZO22" s="206"/>
      <c r="IZP22" s="206"/>
      <c r="IZQ22" s="206"/>
      <c r="IZR22" s="206"/>
      <c r="IZS22" s="206"/>
      <c r="IZT22" s="206"/>
      <c r="IZU22" s="206"/>
      <c r="IZV22" s="206"/>
      <c r="IZW22" s="206"/>
      <c r="IZX22" s="206"/>
      <c r="IZY22" s="206"/>
      <c r="IZZ22" s="206"/>
      <c r="JAA22" s="206"/>
      <c r="JAB22" s="206"/>
      <c r="JAC22" s="206"/>
      <c r="JAD22" s="206"/>
      <c r="JAE22" s="206"/>
      <c r="JAF22" s="206"/>
      <c r="JAG22" s="206"/>
      <c r="JAH22" s="206"/>
      <c r="JAI22" s="206"/>
      <c r="JAJ22" s="206"/>
      <c r="JAK22" s="206"/>
      <c r="JAL22" s="206"/>
      <c r="JAM22" s="206"/>
      <c r="JAN22" s="206"/>
      <c r="JAO22" s="206"/>
      <c r="JAP22" s="206"/>
      <c r="JAQ22" s="206"/>
      <c r="JAR22" s="206"/>
      <c r="JAS22" s="206"/>
      <c r="JAT22" s="206"/>
      <c r="JAU22" s="206"/>
      <c r="JAV22" s="206"/>
      <c r="JAW22" s="206"/>
      <c r="JAX22" s="206"/>
      <c r="JAY22" s="206"/>
      <c r="JAZ22" s="206"/>
      <c r="JBA22" s="206"/>
      <c r="JBB22" s="206"/>
      <c r="JBC22" s="206"/>
      <c r="JBD22" s="206"/>
      <c r="JBE22" s="206"/>
      <c r="JBF22" s="206"/>
      <c r="JBG22" s="206"/>
      <c r="JBH22" s="206"/>
      <c r="JBI22" s="206"/>
      <c r="JBJ22" s="206"/>
      <c r="JBK22" s="206"/>
      <c r="JBL22" s="206"/>
      <c r="JBM22" s="206"/>
      <c r="JBN22" s="206"/>
      <c r="JBO22" s="206"/>
      <c r="JBP22" s="206"/>
      <c r="JBQ22" s="206"/>
      <c r="JBR22" s="206"/>
      <c r="JBS22" s="206"/>
      <c r="JBT22" s="206"/>
      <c r="JBU22" s="206"/>
      <c r="JBV22" s="206"/>
      <c r="JBW22" s="206"/>
      <c r="JBX22" s="206"/>
      <c r="JBY22" s="206"/>
      <c r="JBZ22" s="206"/>
      <c r="JCA22" s="206"/>
      <c r="JCB22" s="206"/>
      <c r="JCC22" s="206"/>
      <c r="JCD22" s="206"/>
      <c r="JCE22" s="206"/>
      <c r="JCF22" s="206"/>
      <c r="JCG22" s="206"/>
      <c r="JCH22" s="206"/>
      <c r="JCI22" s="206"/>
      <c r="JCJ22" s="206"/>
      <c r="JCK22" s="206"/>
      <c r="JCL22" s="206"/>
      <c r="JCM22" s="206"/>
      <c r="JCN22" s="206"/>
      <c r="JCO22" s="206"/>
      <c r="JCP22" s="206"/>
      <c r="JCQ22" s="206"/>
      <c r="JCR22" s="206"/>
      <c r="JCS22" s="206"/>
      <c r="JCT22" s="206"/>
      <c r="JCU22" s="206"/>
      <c r="JCV22" s="206"/>
      <c r="JCW22" s="206"/>
      <c r="JCX22" s="206"/>
      <c r="JCY22" s="206"/>
      <c r="JCZ22" s="206"/>
      <c r="JDA22" s="206"/>
      <c r="JDB22" s="206"/>
      <c r="JDC22" s="206"/>
      <c r="JDD22" s="206"/>
      <c r="JDE22" s="206"/>
      <c r="JDF22" s="206"/>
      <c r="JDG22" s="206"/>
      <c r="JDH22" s="206"/>
      <c r="JDI22" s="206"/>
      <c r="JDJ22" s="206"/>
      <c r="JDK22" s="206"/>
      <c r="JDL22" s="206"/>
      <c r="JDM22" s="206"/>
      <c r="JDN22" s="206"/>
      <c r="JDO22" s="206"/>
      <c r="JDP22" s="206"/>
      <c r="JDQ22" s="206"/>
      <c r="JDR22" s="206"/>
      <c r="JDS22" s="206"/>
      <c r="JDT22" s="206"/>
      <c r="JDU22" s="206"/>
      <c r="JDV22" s="206"/>
      <c r="JDW22" s="206"/>
      <c r="JDX22" s="206"/>
      <c r="JDY22" s="206"/>
      <c r="JDZ22" s="206"/>
      <c r="JEA22" s="206"/>
      <c r="JEB22" s="206"/>
      <c r="JEC22" s="206"/>
      <c r="JED22" s="206"/>
      <c r="JEE22" s="206"/>
      <c r="JEF22" s="206"/>
      <c r="JEG22" s="206"/>
      <c r="JEH22" s="206"/>
      <c r="JEI22" s="206"/>
      <c r="JEJ22" s="206"/>
      <c r="JEK22" s="206"/>
      <c r="JEL22" s="206"/>
      <c r="JEM22" s="206"/>
      <c r="JEN22" s="206"/>
      <c r="JEO22" s="206"/>
      <c r="JEP22" s="206"/>
      <c r="JEQ22" s="206"/>
      <c r="JER22" s="206"/>
      <c r="JES22" s="206"/>
      <c r="JET22" s="206"/>
      <c r="JEU22" s="206"/>
      <c r="JEV22" s="206"/>
      <c r="JEW22" s="206"/>
      <c r="JEX22" s="206"/>
      <c r="JEY22" s="206"/>
      <c r="JEZ22" s="206"/>
      <c r="JFA22" s="206"/>
      <c r="JFB22" s="206"/>
      <c r="JFC22" s="206"/>
      <c r="JFD22" s="206"/>
      <c r="JFE22" s="206"/>
      <c r="JFF22" s="206"/>
      <c r="JFG22" s="206"/>
      <c r="JFH22" s="206"/>
      <c r="JFI22" s="206"/>
      <c r="JFJ22" s="206"/>
      <c r="JFK22" s="206"/>
      <c r="JFL22" s="206"/>
      <c r="JFM22" s="206"/>
      <c r="JFN22" s="206"/>
      <c r="JFO22" s="206"/>
      <c r="JFP22" s="206"/>
      <c r="JFQ22" s="206"/>
      <c r="JFR22" s="206"/>
      <c r="JFS22" s="206"/>
      <c r="JFT22" s="206"/>
      <c r="JFU22" s="206"/>
      <c r="JFV22" s="206"/>
      <c r="JFW22" s="206"/>
      <c r="JFX22" s="206"/>
      <c r="JFY22" s="206"/>
      <c r="JFZ22" s="206"/>
      <c r="JGA22" s="206"/>
      <c r="JGB22" s="206"/>
      <c r="JGC22" s="206"/>
      <c r="JGD22" s="206"/>
      <c r="JGE22" s="206"/>
      <c r="JGF22" s="206"/>
      <c r="JGG22" s="206"/>
      <c r="JGH22" s="206"/>
      <c r="JGI22" s="206"/>
      <c r="JGJ22" s="206"/>
      <c r="JGK22" s="206"/>
      <c r="JGL22" s="206"/>
      <c r="JGM22" s="206"/>
      <c r="JGN22" s="206"/>
      <c r="JGO22" s="206"/>
      <c r="JGP22" s="206"/>
      <c r="JGQ22" s="206"/>
      <c r="JGR22" s="206"/>
      <c r="JGS22" s="206"/>
      <c r="JGT22" s="206"/>
      <c r="JGU22" s="206"/>
      <c r="JGV22" s="206"/>
      <c r="JGW22" s="206"/>
      <c r="JGX22" s="206"/>
      <c r="JGY22" s="206"/>
      <c r="JGZ22" s="206"/>
      <c r="JHA22" s="206"/>
      <c r="JHB22" s="206"/>
      <c r="JHC22" s="206"/>
      <c r="JHD22" s="206"/>
      <c r="JHE22" s="206"/>
      <c r="JHF22" s="206"/>
      <c r="JHG22" s="206"/>
      <c r="JHH22" s="206"/>
      <c r="JHI22" s="206"/>
      <c r="JHJ22" s="206"/>
      <c r="JHK22" s="206"/>
      <c r="JHL22" s="206"/>
      <c r="JHM22" s="206"/>
      <c r="JHN22" s="206"/>
      <c r="JHO22" s="206"/>
      <c r="JHP22" s="206"/>
      <c r="JHQ22" s="206"/>
      <c r="JHR22" s="206"/>
      <c r="JHS22" s="206"/>
      <c r="JHT22" s="206"/>
      <c r="JHU22" s="206"/>
      <c r="JHV22" s="206"/>
      <c r="JHW22" s="206"/>
      <c r="JHX22" s="206"/>
      <c r="JHY22" s="206"/>
      <c r="JHZ22" s="206"/>
      <c r="JIA22" s="206"/>
      <c r="JIB22" s="206"/>
      <c r="JIC22" s="206"/>
      <c r="JID22" s="206"/>
      <c r="JIE22" s="206"/>
      <c r="JIF22" s="206"/>
      <c r="JIG22" s="206"/>
      <c r="JIH22" s="206"/>
      <c r="JII22" s="206"/>
      <c r="JIJ22" s="206"/>
      <c r="JIK22" s="206"/>
      <c r="JIL22" s="206"/>
      <c r="JIM22" s="206"/>
      <c r="JIN22" s="206"/>
      <c r="JIO22" s="206"/>
      <c r="JIP22" s="206"/>
      <c r="JIQ22" s="206"/>
      <c r="JIR22" s="206"/>
      <c r="JIS22" s="206"/>
      <c r="JIT22" s="206"/>
      <c r="JIU22" s="206"/>
      <c r="JIV22" s="206"/>
      <c r="JIW22" s="206"/>
      <c r="JIX22" s="206"/>
      <c r="JIY22" s="206"/>
      <c r="JIZ22" s="206"/>
      <c r="JJA22" s="206"/>
      <c r="JJB22" s="206"/>
      <c r="JJC22" s="206"/>
      <c r="JJD22" s="206"/>
      <c r="JJE22" s="206"/>
      <c r="JJF22" s="206"/>
      <c r="JJG22" s="206"/>
      <c r="JJH22" s="206"/>
      <c r="JJI22" s="206"/>
      <c r="JJJ22" s="206"/>
      <c r="JJK22" s="206"/>
      <c r="JJL22" s="206"/>
      <c r="JJM22" s="206"/>
      <c r="JJN22" s="206"/>
      <c r="JJO22" s="206"/>
      <c r="JJP22" s="206"/>
      <c r="JJQ22" s="206"/>
      <c r="JJR22" s="206"/>
      <c r="JJS22" s="206"/>
      <c r="JJT22" s="206"/>
      <c r="JJU22" s="206"/>
      <c r="JJV22" s="206"/>
      <c r="JJW22" s="206"/>
      <c r="JJX22" s="206"/>
      <c r="JJY22" s="206"/>
      <c r="JJZ22" s="206"/>
      <c r="JKA22" s="206"/>
      <c r="JKB22" s="206"/>
      <c r="JKC22" s="206"/>
      <c r="JKD22" s="206"/>
      <c r="JKE22" s="206"/>
      <c r="JKF22" s="206"/>
      <c r="JKG22" s="206"/>
      <c r="JKH22" s="206"/>
      <c r="JKI22" s="206"/>
      <c r="JKJ22" s="206"/>
      <c r="JKK22" s="206"/>
      <c r="JKL22" s="206"/>
      <c r="JKM22" s="206"/>
      <c r="JKN22" s="206"/>
      <c r="JKO22" s="206"/>
      <c r="JKP22" s="206"/>
      <c r="JKQ22" s="206"/>
      <c r="JKR22" s="206"/>
      <c r="JKS22" s="206"/>
      <c r="JKT22" s="206"/>
      <c r="JKU22" s="206"/>
      <c r="JKV22" s="206"/>
      <c r="JKW22" s="206"/>
      <c r="JKX22" s="206"/>
      <c r="JKY22" s="206"/>
      <c r="JKZ22" s="206"/>
      <c r="JLA22" s="206"/>
      <c r="JLB22" s="206"/>
      <c r="JLC22" s="206"/>
      <c r="JLD22" s="206"/>
      <c r="JLE22" s="206"/>
      <c r="JLF22" s="206"/>
      <c r="JLG22" s="206"/>
      <c r="JLH22" s="206"/>
      <c r="JLI22" s="206"/>
      <c r="JLJ22" s="206"/>
      <c r="JLK22" s="206"/>
      <c r="JLL22" s="206"/>
      <c r="JLM22" s="206"/>
      <c r="JLN22" s="206"/>
      <c r="JLO22" s="206"/>
      <c r="JLP22" s="206"/>
      <c r="JLQ22" s="206"/>
      <c r="JLR22" s="206"/>
      <c r="JLS22" s="206"/>
      <c r="JLT22" s="206"/>
      <c r="JLU22" s="206"/>
      <c r="JLV22" s="206"/>
      <c r="JLW22" s="206"/>
      <c r="JLX22" s="206"/>
      <c r="JLY22" s="206"/>
      <c r="JLZ22" s="206"/>
      <c r="JMA22" s="206"/>
      <c r="JMB22" s="206"/>
      <c r="JMC22" s="206"/>
      <c r="JMD22" s="206"/>
      <c r="JME22" s="206"/>
      <c r="JMF22" s="206"/>
      <c r="JMG22" s="206"/>
      <c r="JMH22" s="206"/>
      <c r="JMI22" s="206"/>
      <c r="JMJ22" s="206"/>
      <c r="JMK22" s="206"/>
      <c r="JML22" s="206"/>
      <c r="JMM22" s="206"/>
      <c r="JMN22" s="206"/>
      <c r="JMO22" s="206"/>
      <c r="JMP22" s="206"/>
      <c r="JMQ22" s="206"/>
      <c r="JMR22" s="206"/>
      <c r="JMS22" s="206"/>
      <c r="JMT22" s="206"/>
      <c r="JMU22" s="206"/>
      <c r="JMV22" s="206"/>
      <c r="JMW22" s="206"/>
      <c r="JMX22" s="206"/>
      <c r="JMY22" s="206"/>
      <c r="JMZ22" s="206"/>
      <c r="JNA22" s="206"/>
      <c r="JNB22" s="206"/>
      <c r="JNC22" s="206"/>
      <c r="JND22" s="206"/>
      <c r="JNE22" s="206"/>
      <c r="JNF22" s="206"/>
      <c r="JNG22" s="206"/>
      <c r="JNH22" s="206"/>
      <c r="JNI22" s="206"/>
      <c r="JNJ22" s="206"/>
      <c r="JNK22" s="206"/>
      <c r="JNL22" s="206"/>
      <c r="JNM22" s="206"/>
      <c r="JNN22" s="206"/>
      <c r="JNO22" s="206"/>
      <c r="JNP22" s="206"/>
      <c r="JNQ22" s="206"/>
      <c r="JNR22" s="206"/>
      <c r="JNS22" s="206"/>
      <c r="JNT22" s="206"/>
      <c r="JNU22" s="206"/>
      <c r="JNV22" s="206"/>
      <c r="JNW22" s="206"/>
      <c r="JNX22" s="206"/>
      <c r="JNY22" s="206"/>
      <c r="JNZ22" s="206"/>
      <c r="JOA22" s="206"/>
      <c r="JOB22" s="206"/>
      <c r="JOC22" s="206"/>
      <c r="JOD22" s="206"/>
      <c r="JOE22" s="206"/>
      <c r="JOF22" s="206"/>
      <c r="JOG22" s="206"/>
      <c r="JOH22" s="206"/>
      <c r="JOI22" s="206"/>
      <c r="JOJ22" s="206"/>
      <c r="JOK22" s="206"/>
      <c r="JOL22" s="206"/>
      <c r="JOM22" s="206"/>
      <c r="JON22" s="206"/>
      <c r="JOO22" s="206"/>
      <c r="JOP22" s="206"/>
      <c r="JOQ22" s="206"/>
      <c r="JOR22" s="206"/>
      <c r="JOS22" s="206"/>
      <c r="JOT22" s="206"/>
      <c r="JOU22" s="206"/>
      <c r="JOV22" s="206"/>
      <c r="JOW22" s="206"/>
      <c r="JOX22" s="206"/>
      <c r="JOY22" s="206"/>
      <c r="JOZ22" s="206"/>
      <c r="JPA22" s="206"/>
      <c r="JPB22" s="206"/>
      <c r="JPC22" s="206"/>
      <c r="JPD22" s="206"/>
      <c r="JPE22" s="206"/>
      <c r="JPF22" s="206"/>
      <c r="JPG22" s="206"/>
      <c r="JPH22" s="206"/>
      <c r="JPI22" s="206"/>
      <c r="JPJ22" s="206"/>
      <c r="JPK22" s="206"/>
      <c r="JPL22" s="206"/>
      <c r="JPM22" s="206"/>
      <c r="JPN22" s="206"/>
      <c r="JPO22" s="206"/>
      <c r="JPP22" s="206"/>
      <c r="JPQ22" s="206"/>
      <c r="JPR22" s="206"/>
      <c r="JPS22" s="206"/>
      <c r="JPT22" s="206"/>
      <c r="JPU22" s="206"/>
      <c r="JPV22" s="206"/>
      <c r="JPW22" s="206"/>
      <c r="JPX22" s="206"/>
      <c r="JPY22" s="206"/>
      <c r="JPZ22" s="206"/>
      <c r="JQA22" s="206"/>
      <c r="JQB22" s="206"/>
      <c r="JQC22" s="206"/>
      <c r="JQD22" s="206"/>
      <c r="JQE22" s="206"/>
      <c r="JQF22" s="206"/>
      <c r="JQG22" s="206"/>
      <c r="JQH22" s="206"/>
      <c r="JQI22" s="206"/>
      <c r="JQJ22" s="206"/>
      <c r="JQK22" s="206"/>
      <c r="JQL22" s="206"/>
      <c r="JQM22" s="206"/>
      <c r="JQN22" s="206"/>
      <c r="JQO22" s="206"/>
      <c r="JQP22" s="206"/>
      <c r="JQQ22" s="206"/>
      <c r="JQR22" s="206"/>
      <c r="JQS22" s="206"/>
      <c r="JQT22" s="206"/>
      <c r="JQU22" s="206"/>
      <c r="JQV22" s="206"/>
      <c r="JQW22" s="206"/>
      <c r="JQX22" s="206"/>
      <c r="JQY22" s="206"/>
      <c r="JQZ22" s="206"/>
      <c r="JRA22" s="206"/>
      <c r="JRB22" s="206"/>
      <c r="JRC22" s="206"/>
      <c r="JRD22" s="206"/>
      <c r="JRE22" s="206"/>
      <c r="JRF22" s="206"/>
      <c r="JRG22" s="206"/>
      <c r="JRH22" s="206"/>
      <c r="JRI22" s="206"/>
      <c r="JRJ22" s="206"/>
      <c r="JRK22" s="206"/>
      <c r="JRL22" s="206"/>
      <c r="JRM22" s="206"/>
      <c r="JRN22" s="206"/>
      <c r="JRO22" s="206"/>
      <c r="JRP22" s="206"/>
      <c r="JRQ22" s="206"/>
      <c r="JRR22" s="206"/>
      <c r="JRS22" s="206"/>
      <c r="JRT22" s="206"/>
      <c r="JRU22" s="206"/>
      <c r="JRV22" s="206"/>
      <c r="JRW22" s="206"/>
      <c r="JRX22" s="206"/>
      <c r="JRY22" s="206"/>
      <c r="JRZ22" s="206"/>
      <c r="JSA22" s="206"/>
      <c r="JSB22" s="206"/>
      <c r="JSC22" s="206"/>
      <c r="JSD22" s="206"/>
      <c r="JSE22" s="206"/>
      <c r="JSF22" s="206"/>
      <c r="JSG22" s="206"/>
      <c r="JSH22" s="206"/>
      <c r="JSI22" s="206"/>
      <c r="JSJ22" s="206"/>
      <c r="JSK22" s="206"/>
      <c r="JSL22" s="206"/>
      <c r="JSM22" s="206"/>
      <c r="JSN22" s="206"/>
      <c r="JSO22" s="206"/>
      <c r="JSP22" s="206"/>
      <c r="JSQ22" s="206"/>
      <c r="JSR22" s="206"/>
      <c r="JSS22" s="206"/>
      <c r="JST22" s="206"/>
      <c r="JSU22" s="206"/>
      <c r="JSV22" s="206"/>
      <c r="JSW22" s="206"/>
      <c r="JSX22" s="206"/>
      <c r="JSY22" s="206"/>
      <c r="JSZ22" s="206"/>
      <c r="JTA22" s="206"/>
      <c r="JTB22" s="206"/>
      <c r="JTC22" s="206"/>
      <c r="JTD22" s="206"/>
      <c r="JTE22" s="206"/>
      <c r="JTF22" s="206"/>
      <c r="JTG22" s="206"/>
      <c r="JTH22" s="206"/>
      <c r="JTI22" s="206"/>
      <c r="JTJ22" s="206"/>
      <c r="JTK22" s="206"/>
      <c r="JTL22" s="206"/>
      <c r="JTM22" s="206"/>
      <c r="JTN22" s="206"/>
      <c r="JTO22" s="206"/>
      <c r="JTP22" s="206"/>
      <c r="JTQ22" s="206"/>
      <c r="JTR22" s="206"/>
      <c r="JTS22" s="206"/>
      <c r="JTT22" s="206"/>
      <c r="JTU22" s="206"/>
      <c r="JTV22" s="206"/>
      <c r="JTW22" s="206"/>
      <c r="JTX22" s="206"/>
      <c r="JTY22" s="206"/>
      <c r="JTZ22" s="206"/>
      <c r="JUA22" s="206"/>
      <c r="JUB22" s="206"/>
      <c r="JUC22" s="206"/>
      <c r="JUD22" s="206"/>
      <c r="JUE22" s="206"/>
      <c r="JUF22" s="206"/>
      <c r="JUG22" s="206"/>
      <c r="JUH22" s="206"/>
      <c r="JUI22" s="206"/>
      <c r="JUJ22" s="206"/>
      <c r="JUK22" s="206"/>
      <c r="JUL22" s="206"/>
      <c r="JUM22" s="206"/>
      <c r="JUN22" s="206"/>
      <c r="JUO22" s="206"/>
      <c r="JUP22" s="206"/>
      <c r="JUQ22" s="206"/>
      <c r="JUR22" s="206"/>
      <c r="JUS22" s="206"/>
      <c r="JUT22" s="206"/>
      <c r="JUU22" s="206"/>
      <c r="JUV22" s="206"/>
      <c r="JUW22" s="206"/>
      <c r="JUX22" s="206"/>
      <c r="JUY22" s="206"/>
      <c r="JUZ22" s="206"/>
      <c r="JVA22" s="206"/>
      <c r="JVB22" s="206"/>
      <c r="JVC22" s="206"/>
      <c r="JVD22" s="206"/>
      <c r="JVE22" s="206"/>
      <c r="JVF22" s="206"/>
      <c r="JVG22" s="206"/>
      <c r="JVH22" s="206"/>
      <c r="JVI22" s="206"/>
      <c r="JVJ22" s="206"/>
      <c r="JVK22" s="206"/>
      <c r="JVL22" s="206"/>
      <c r="JVM22" s="206"/>
      <c r="JVN22" s="206"/>
      <c r="JVO22" s="206"/>
      <c r="JVP22" s="206"/>
      <c r="JVQ22" s="206"/>
      <c r="JVR22" s="206"/>
      <c r="JVS22" s="206"/>
      <c r="JVT22" s="206"/>
      <c r="JVU22" s="206"/>
      <c r="JVV22" s="206"/>
      <c r="JVW22" s="206"/>
      <c r="JVX22" s="206"/>
      <c r="JVY22" s="206"/>
      <c r="JVZ22" s="206"/>
      <c r="JWA22" s="206"/>
      <c r="JWB22" s="206"/>
      <c r="JWC22" s="206"/>
      <c r="JWD22" s="206"/>
      <c r="JWE22" s="206"/>
      <c r="JWF22" s="206"/>
      <c r="JWG22" s="206"/>
      <c r="JWH22" s="206"/>
      <c r="JWI22" s="206"/>
      <c r="JWJ22" s="206"/>
      <c r="JWK22" s="206"/>
      <c r="JWL22" s="206"/>
      <c r="JWM22" s="206"/>
      <c r="JWN22" s="206"/>
      <c r="JWO22" s="206"/>
      <c r="JWP22" s="206"/>
      <c r="JWQ22" s="206"/>
      <c r="JWR22" s="206"/>
      <c r="JWS22" s="206"/>
      <c r="JWT22" s="206"/>
      <c r="JWU22" s="206"/>
      <c r="JWV22" s="206"/>
      <c r="JWW22" s="206"/>
      <c r="JWX22" s="206"/>
      <c r="JWY22" s="206"/>
      <c r="JWZ22" s="206"/>
      <c r="JXA22" s="206"/>
      <c r="JXB22" s="206"/>
      <c r="JXC22" s="206"/>
      <c r="JXD22" s="206"/>
      <c r="JXE22" s="206"/>
      <c r="JXF22" s="206"/>
      <c r="JXG22" s="206"/>
      <c r="JXH22" s="206"/>
      <c r="JXI22" s="206"/>
      <c r="JXJ22" s="206"/>
      <c r="JXK22" s="206"/>
      <c r="JXL22" s="206"/>
      <c r="JXM22" s="206"/>
      <c r="JXN22" s="206"/>
      <c r="JXO22" s="206"/>
      <c r="JXP22" s="206"/>
      <c r="JXQ22" s="206"/>
      <c r="JXR22" s="206"/>
      <c r="JXS22" s="206"/>
      <c r="JXT22" s="206"/>
      <c r="JXU22" s="206"/>
      <c r="JXV22" s="206"/>
      <c r="JXW22" s="206"/>
      <c r="JXX22" s="206"/>
      <c r="JXY22" s="206"/>
      <c r="JXZ22" s="206"/>
      <c r="JYA22" s="206"/>
      <c r="JYB22" s="206"/>
      <c r="JYC22" s="206"/>
      <c r="JYD22" s="206"/>
      <c r="JYE22" s="206"/>
      <c r="JYF22" s="206"/>
      <c r="JYG22" s="206"/>
      <c r="JYH22" s="206"/>
      <c r="JYI22" s="206"/>
      <c r="JYJ22" s="206"/>
      <c r="JYK22" s="206"/>
      <c r="JYL22" s="206"/>
      <c r="JYM22" s="206"/>
      <c r="JYN22" s="206"/>
      <c r="JYO22" s="206"/>
      <c r="JYP22" s="206"/>
      <c r="JYQ22" s="206"/>
      <c r="JYR22" s="206"/>
      <c r="JYS22" s="206"/>
      <c r="JYT22" s="206"/>
      <c r="JYU22" s="206"/>
      <c r="JYV22" s="206"/>
      <c r="JYW22" s="206"/>
      <c r="JYX22" s="206"/>
      <c r="JYY22" s="206"/>
      <c r="JYZ22" s="206"/>
      <c r="JZA22" s="206"/>
      <c r="JZB22" s="206"/>
      <c r="JZC22" s="206"/>
      <c r="JZD22" s="206"/>
      <c r="JZE22" s="206"/>
      <c r="JZF22" s="206"/>
      <c r="JZG22" s="206"/>
      <c r="JZH22" s="206"/>
      <c r="JZI22" s="206"/>
      <c r="JZJ22" s="206"/>
      <c r="JZK22" s="206"/>
      <c r="JZL22" s="206"/>
      <c r="JZM22" s="206"/>
      <c r="JZN22" s="206"/>
      <c r="JZO22" s="206"/>
      <c r="JZP22" s="206"/>
      <c r="JZQ22" s="206"/>
      <c r="JZR22" s="206"/>
      <c r="JZS22" s="206"/>
      <c r="JZT22" s="206"/>
      <c r="JZU22" s="206"/>
      <c r="JZV22" s="206"/>
      <c r="JZW22" s="206"/>
      <c r="JZX22" s="206"/>
      <c r="JZY22" s="206"/>
      <c r="JZZ22" s="206"/>
      <c r="KAA22" s="206"/>
      <c r="KAB22" s="206"/>
      <c r="KAC22" s="206"/>
      <c r="KAD22" s="206"/>
      <c r="KAE22" s="206"/>
      <c r="KAF22" s="206"/>
      <c r="KAG22" s="206"/>
      <c r="KAH22" s="206"/>
      <c r="KAI22" s="206"/>
      <c r="KAJ22" s="206"/>
      <c r="KAK22" s="206"/>
      <c r="KAL22" s="206"/>
      <c r="KAM22" s="206"/>
      <c r="KAN22" s="206"/>
      <c r="KAO22" s="206"/>
      <c r="KAP22" s="206"/>
      <c r="KAQ22" s="206"/>
      <c r="KAR22" s="206"/>
      <c r="KAS22" s="206"/>
      <c r="KAT22" s="206"/>
      <c r="KAU22" s="206"/>
      <c r="KAV22" s="206"/>
      <c r="KAW22" s="206"/>
      <c r="KAX22" s="206"/>
      <c r="KAY22" s="206"/>
      <c r="KAZ22" s="206"/>
      <c r="KBA22" s="206"/>
      <c r="KBB22" s="206"/>
      <c r="KBC22" s="206"/>
      <c r="KBD22" s="206"/>
      <c r="KBE22" s="206"/>
      <c r="KBF22" s="206"/>
      <c r="KBG22" s="206"/>
      <c r="KBH22" s="206"/>
      <c r="KBI22" s="206"/>
      <c r="KBJ22" s="206"/>
      <c r="KBK22" s="206"/>
      <c r="KBL22" s="206"/>
      <c r="KBM22" s="206"/>
      <c r="KBN22" s="206"/>
      <c r="KBO22" s="206"/>
      <c r="KBP22" s="206"/>
      <c r="KBQ22" s="206"/>
      <c r="KBR22" s="206"/>
      <c r="KBS22" s="206"/>
      <c r="KBT22" s="206"/>
      <c r="KBU22" s="206"/>
      <c r="KBV22" s="206"/>
      <c r="KBW22" s="206"/>
      <c r="KBX22" s="206"/>
      <c r="KBY22" s="206"/>
      <c r="KBZ22" s="206"/>
      <c r="KCA22" s="206"/>
      <c r="KCB22" s="206"/>
      <c r="KCC22" s="206"/>
      <c r="KCD22" s="206"/>
      <c r="KCE22" s="206"/>
      <c r="KCF22" s="206"/>
      <c r="KCG22" s="206"/>
      <c r="KCH22" s="206"/>
      <c r="KCI22" s="206"/>
      <c r="KCJ22" s="206"/>
      <c r="KCK22" s="206"/>
      <c r="KCL22" s="206"/>
      <c r="KCM22" s="206"/>
      <c r="KCN22" s="206"/>
      <c r="KCO22" s="206"/>
      <c r="KCP22" s="206"/>
      <c r="KCQ22" s="206"/>
      <c r="KCR22" s="206"/>
      <c r="KCS22" s="206"/>
      <c r="KCT22" s="206"/>
      <c r="KCU22" s="206"/>
      <c r="KCV22" s="206"/>
      <c r="KCW22" s="206"/>
      <c r="KCX22" s="206"/>
      <c r="KCY22" s="206"/>
      <c r="KCZ22" s="206"/>
      <c r="KDA22" s="206"/>
      <c r="KDB22" s="206"/>
      <c r="KDC22" s="206"/>
      <c r="KDD22" s="206"/>
      <c r="KDE22" s="206"/>
      <c r="KDF22" s="206"/>
      <c r="KDG22" s="206"/>
      <c r="KDH22" s="206"/>
      <c r="KDI22" s="206"/>
      <c r="KDJ22" s="206"/>
      <c r="KDK22" s="206"/>
      <c r="KDL22" s="206"/>
      <c r="KDM22" s="206"/>
      <c r="KDN22" s="206"/>
      <c r="KDO22" s="206"/>
      <c r="KDP22" s="206"/>
      <c r="KDQ22" s="206"/>
      <c r="KDR22" s="206"/>
      <c r="KDS22" s="206"/>
      <c r="KDT22" s="206"/>
      <c r="KDU22" s="206"/>
      <c r="KDV22" s="206"/>
      <c r="KDW22" s="206"/>
      <c r="KDX22" s="206"/>
      <c r="KDY22" s="206"/>
      <c r="KDZ22" s="206"/>
      <c r="KEA22" s="206"/>
      <c r="KEB22" s="206"/>
      <c r="KEC22" s="206"/>
      <c r="KED22" s="206"/>
      <c r="KEE22" s="206"/>
      <c r="KEF22" s="206"/>
      <c r="KEG22" s="206"/>
      <c r="KEH22" s="206"/>
      <c r="KEI22" s="206"/>
      <c r="KEJ22" s="206"/>
      <c r="KEK22" s="206"/>
      <c r="KEL22" s="206"/>
      <c r="KEM22" s="206"/>
      <c r="KEN22" s="206"/>
      <c r="KEO22" s="206"/>
      <c r="KEP22" s="206"/>
      <c r="KEQ22" s="206"/>
      <c r="KER22" s="206"/>
      <c r="KES22" s="206"/>
      <c r="KET22" s="206"/>
      <c r="KEU22" s="206"/>
      <c r="KEV22" s="206"/>
      <c r="KEW22" s="206"/>
      <c r="KEX22" s="206"/>
      <c r="KEY22" s="206"/>
      <c r="KEZ22" s="206"/>
      <c r="KFA22" s="206"/>
      <c r="KFB22" s="206"/>
      <c r="KFC22" s="206"/>
      <c r="KFD22" s="206"/>
      <c r="KFE22" s="206"/>
      <c r="KFF22" s="206"/>
      <c r="KFG22" s="206"/>
      <c r="KFH22" s="206"/>
      <c r="KFI22" s="206"/>
      <c r="KFJ22" s="206"/>
      <c r="KFK22" s="206"/>
      <c r="KFL22" s="206"/>
      <c r="KFM22" s="206"/>
      <c r="KFN22" s="206"/>
      <c r="KFO22" s="206"/>
      <c r="KFP22" s="206"/>
      <c r="KFQ22" s="206"/>
      <c r="KFR22" s="206"/>
      <c r="KFS22" s="206"/>
      <c r="KFT22" s="206"/>
      <c r="KFU22" s="206"/>
      <c r="KFV22" s="206"/>
      <c r="KFW22" s="206"/>
      <c r="KFX22" s="206"/>
      <c r="KFY22" s="206"/>
      <c r="KFZ22" s="206"/>
      <c r="KGA22" s="206"/>
      <c r="KGB22" s="206"/>
      <c r="KGC22" s="206"/>
      <c r="KGD22" s="206"/>
      <c r="KGE22" s="206"/>
      <c r="KGF22" s="206"/>
      <c r="KGG22" s="206"/>
      <c r="KGH22" s="206"/>
      <c r="KGI22" s="206"/>
      <c r="KGJ22" s="206"/>
      <c r="KGK22" s="206"/>
      <c r="KGL22" s="206"/>
      <c r="KGM22" s="206"/>
      <c r="KGN22" s="206"/>
      <c r="KGO22" s="206"/>
      <c r="KGP22" s="206"/>
      <c r="KGQ22" s="206"/>
      <c r="KGR22" s="206"/>
      <c r="KGS22" s="206"/>
      <c r="KGT22" s="206"/>
      <c r="KGU22" s="206"/>
      <c r="KGV22" s="206"/>
      <c r="KGW22" s="206"/>
      <c r="KGX22" s="206"/>
      <c r="KGY22" s="206"/>
      <c r="KGZ22" s="206"/>
      <c r="KHA22" s="206"/>
      <c r="KHB22" s="206"/>
      <c r="KHC22" s="206"/>
      <c r="KHD22" s="206"/>
      <c r="KHE22" s="206"/>
      <c r="KHF22" s="206"/>
      <c r="KHG22" s="206"/>
      <c r="KHH22" s="206"/>
      <c r="KHI22" s="206"/>
      <c r="KHJ22" s="206"/>
      <c r="KHK22" s="206"/>
      <c r="KHL22" s="206"/>
      <c r="KHM22" s="206"/>
      <c r="KHN22" s="206"/>
      <c r="KHO22" s="206"/>
      <c r="KHP22" s="206"/>
      <c r="KHQ22" s="206"/>
      <c r="KHR22" s="206"/>
      <c r="KHS22" s="206"/>
      <c r="KHT22" s="206"/>
      <c r="KHU22" s="206"/>
      <c r="KHV22" s="206"/>
      <c r="KHW22" s="206"/>
      <c r="KHX22" s="206"/>
      <c r="KHY22" s="206"/>
      <c r="KHZ22" s="206"/>
      <c r="KIA22" s="206"/>
      <c r="KIB22" s="206"/>
      <c r="KIC22" s="206"/>
      <c r="KID22" s="206"/>
      <c r="KIE22" s="206"/>
      <c r="KIF22" s="206"/>
      <c r="KIG22" s="206"/>
      <c r="KIH22" s="206"/>
      <c r="KII22" s="206"/>
      <c r="KIJ22" s="206"/>
      <c r="KIK22" s="206"/>
      <c r="KIL22" s="206"/>
      <c r="KIM22" s="206"/>
      <c r="KIN22" s="206"/>
      <c r="KIO22" s="206"/>
      <c r="KIP22" s="206"/>
      <c r="KIQ22" s="206"/>
      <c r="KIR22" s="206"/>
      <c r="KIS22" s="206"/>
      <c r="KIT22" s="206"/>
      <c r="KIU22" s="206"/>
      <c r="KIV22" s="206"/>
      <c r="KIW22" s="206"/>
      <c r="KIX22" s="206"/>
      <c r="KIY22" s="206"/>
      <c r="KIZ22" s="206"/>
      <c r="KJA22" s="206"/>
      <c r="KJB22" s="206"/>
      <c r="KJC22" s="206"/>
      <c r="KJD22" s="206"/>
      <c r="KJE22" s="206"/>
      <c r="KJF22" s="206"/>
      <c r="KJG22" s="206"/>
      <c r="KJH22" s="206"/>
      <c r="KJI22" s="206"/>
      <c r="KJJ22" s="206"/>
      <c r="KJK22" s="206"/>
      <c r="KJL22" s="206"/>
      <c r="KJM22" s="206"/>
      <c r="KJN22" s="206"/>
      <c r="KJO22" s="206"/>
      <c r="KJP22" s="206"/>
      <c r="KJQ22" s="206"/>
      <c r="KJR22" s="206"/>
      <c r="KJS22" s="206"/>
      <c r="KJT22" s="206"/>
      <c r="KJU22" s="206"/>
      <c r="KJV22" s="206"/>
      <c r="KJW22" s="206"/>
      <c r="KJX22" s="206"/>
      <c r="KJY22" s="206"/>
      <c r="KJZ22" s="206"/>
      <c r="KKA22" s="206"/>
      <c r="KKB22" s="206"/>
      <c r="KKC22" s="206"/>
      <c r="KKD22" s="206"/>
      <c r="KKE22" s="206"/>
      <c r="KKF22" s="206"/>
      <c r="KKG22" s="206"/>
      <c r="KKH22" s="206"/>
      <c r="KKI22" s="206"/>
      <c r="KKJ22" s="206"/>
      <c r="KKK22" s="206"/>
      <c r="KKL22" s="206"/>
      <c r="KKM22" s="206"/>
      <c r="KKN22" s="206"/>
      <c r="KKO22" s="206"/>
      <c r="KKP22" s="206"/>
      <c r="KKQ22" s="206"/>
      <c r="KKR22" s="206"/>
      <c r="KKS22" s="206"/>
      <c r="KKT22" s="206"/>
      <c r="KKU22" s="206"/>
      <c r="KKV22" s="206"/>
      <c r="KKW22" s="206"/>
      <c r="KKX22" s="206"/>
      <c r="KKY22" s="206"/>
      <c r="KKZ22" s="206"/>
      <c r="KLA22" s="206"/>
      <c r="KLB22" s="206"/>
      <c r="KLC22" s="206"/>
      <c r="KLD22" s="206"/>
      <c r="KLE22" s="206"/>
      <c r="KLF22" s="206"/>
      <c r="KLG22" s="206"/>
      <c r="KLH22" s="206"/>
      <c r="KLI22" s="206"/>
      <c r="KLJ22" s="206"/>
      <c r="KLK22" s="206"/>
      <c r="KLL22" s="206"/>
      <c r="KLM22" s="206"/>
      <c r="KLN22" s="206"/>
      <c r="KLO22" s="206"/>
      <c r="KLP22" s="206"/>
      <c r="KLQ22" s="206"/>
      <c r="KLR22" s="206"/>
      <c r="KLS22" s="206"/>
      <c r="KLT22" s="206"/>
      <c r="KLU22" s="206"/>
      <c r="KLV22" s="206"/>
      <c r="KLW22" s="206"/>
      <c r="KLX22" s="206"/>
      <c r="KLY22" s="206"/>
      <c r="KLZ22" s="206"/>
      <c r="KMA22" s="206"/>
      <c r="KMB22" s="206"/>
      <c r="KMC22" s="206"/>
      <c r="KMD22" s="206"/>
      <c r="KME22" s="206"/>
      <c r="KMF22" s="206"/>
      <c r="KMG22" s="206"/>
      <c r="KMH22" s="206"/>
      <c r="KMI22" s="206"/>
      <c r="KMJ22" s="206"/>
      <c r="KMK22" s="206"/>
      <c r="KML22" s="206"/>
      <c r="KMM22" s="206"/>
      <c r="KMN22" s="206"/>
      <c r="KMO22" s="206"/>
      <c r="KMP22" s="206"/>
      <c r="KMQ22" s="206"/>
      <c r="KMR22" s="206"/>
      <c r="KMS22" s="206"/>
      <c r="KMT22" s="206"/>
      <c r="KMU22" s="206"/>
      <c r="KMV22" s="206"/>
      <c r="KMW22" s="206"/>
      <c r="KMX22" s="206"/>
      <c r="KMY22" s="206"/>
      <c r="KMZ22" s="206"/>
      <c r="KNA22" s="206"/>
      <c r="KNB22" s="206"/>
      <c r="KNC22" s="206"/>
      <c r="KND22" s="206"/>
      <c r="KNE22" s="206"/>
      <c r="KNF22" s="206"/>
      <c r="KNG22" s="206"/>
      <c r="KNH22" s="206"/>
      <c r="KNI22" s="206"/>
      <c r="KNJ22" s="206"/>
      <c r="KNK22" s="206"/>
      <c r="KNL22" s="206"/>
      <c r="KNM22" s="206"/>
      <c r="KNN22" s="206"/>
      <c r="KNO22" s="206"/>
      <c r="KNP22" s="206"/>
      <c r="KNQ22" s="206"/>
      <c r="KNR22" s="206"/>
      <c r="KNS22" s="206"/>
      <c r="KNT22" s="206"/>
      <c r="KNU22" s="206"/>
      <c r="KNV22" s="206"/>
      <c r="KNW22" s="206"/>
      <c r="KNX22" s="206"/>
      <c r="KNY22" s="206"/>
      <c r="KNZ22" s="206"/>
      <c r="KOA22" s="206"/>
      <c r="KOB22" s="206"/>
      <c r="KOC22" s="206"/>
      <c r="KOD22" s="206"/>
      <c r="KOE22" s="206"/>
      <c r="KOF22" s="206"/>
      <c r="KOG22" s="206"/>
      <c r="KOH22" s="206"/>
      <c r="KOI22" s="206"/>
      <c r="KOJ22" s="206"/>
      <c r="KOK22" s="206"/>
      <c r="KOL22" s="206"/>
      <c r="KOM22" s="206"/>
      <c r="KON22" s="206"/>
      <c r="KOO22" s="206"/>
      <c r="KOP22" s="206"/>
      <c r="KOQ22" s="206"/>
      <c r="KOR22" s="206"/>
      <c r="KOS22" s="206"/>
      <c r="KOT22" s="206"/>
      <c r="KOU22" s="206"/>
      <c r="KOV22" s="206"/>
      <c r="KOW22" s="206"/>
      <c r="KOX22" s="206"/>
      <c r="KOY22" s="206"/>
      <c r="KOZ22" s="206"/>
      <c r="KPA22" s="206"/>
      <c r="KPB22" s="206"/>
      <c r="KPC22" s="206"/>
      <c r="KPD22" s="206"/>
      <c r="KPE22" s="206"/>
      <c r="KPF22" s="206"/>
      <c r="KPG22" s="206"/>
      <c r="KPH22" s="206"/>
      <c r="KPI22" s="206"/>
      <c r="KPJ22" s="206"/>
      <c r="KPK22" s="206"/>
      <c r="KPL22" s="206"/>
      <c r="KPM22" s="206"/>
      <c r="KPN22" s="206"/>
      <c r="KPO22" s="206"/>
      <c r="KPP22" s="206"/>
      <c r="KPQ22" s="206"/>
      <c r="KPR22" s="206"/>
      <c r="KPS22" s="206"/>
      <c r="KPT22" s="206"/>
      <c r="KPU22" s="206"/>
      <c r="KPV22" s="206"/>
      <c r="KPW22" s="206"/>
      <c r="KPX22" s="206"/>
      <c r="KPY22" s="206"/>
      <c r="KPZ22" s="206"/>
      <c r="KQA22" s="206"/>
      <c r="KQB22" s="206"/>
      <c r="KQC22" s="206"/>
      <c r="KQD22" s="206"/>
      <c r="KQE22" s="206"/>
      <c r="KQF22" s="206"/>
      <c r="KQG22" s="206"/>
      <c r="KQH22" s="206"/>
      <c r="KQI22" s="206"/>
      <c r="KQJ22" s="206"/>
      <c r="KQK22" s="206"/>
      <c r="KQL22" s="206"/>
      <c r="KQM22" s="206"/>
      <c r="KQN22" s="206"/>
      <c r="KQO22" s="206"/>
      <c r="KQP22" s="206"/>
      <c r="KQQ22" s="206"/>
      <c r="KQR22" s="206"/>
      <c r="KQS22" s="206"/>
      <c r="KQT22" s="206"/>
      <c r="KQU22" s="206"/>
      <c r="KQV22" s="206"/>
      <c r="KQW22" s="206"/>
      <c r="KQX22" s="206"/>
      <c r="KQY22" s="206"/>
      <c r="KQZ22" s="206"/>
      <c r="KRA22" s="206"/>
      <c r="KRB22" s="206"/>
      <c r="KRC22" s="206"/>
      <c r="KRD22" s="206"/>
      <c r="KRE22" s="206"/>
      <c r="KRF22" s="206"/>
      <c r="KRG22" s="206"/>
      <c r="KRH22" s="206"/>
      <c r="KRI22" s="206"/>
      <c r="KRJ22" s="206"/>
      <c r="KRK22" s="206"/>
      <c r="KRL22" s="206"/>
      <c r="KRM22" s="206"/>
      <c r="KRN22" s="206"/>
      <c r="KRO22" s="206"/>
      <c r="KRP22" s="206"/>
      <c r="KRQ22" s="206"/>
      <c r="KRR22" s="206"/>
      <c r="KRS22" s="206"/>
      <c r="KRT22" s="206"/>
      <c r="KRU22" s="206"/>
      <c r="KRV22" s="206"/>
      <c r="KRW22" s="206"/>
      <c r="KRX22" s="206"/>
      <c r="KRY22" s="206"/>
      <c r="KRZ22" s="206"/>
      <c r="KSA22" s="206"/>
      <c r="KSB22" s="206"/>
      <c r="KSC22" s="206"/>
      <c r="KSD22" s="206"/>
      <c r="KSE22" s="206"/>
      <c r="KSF22" s="206"/>
      <c r="KSG22" s="206"/>
      <c r="KSH22" s="206"/>
      <c r="KSI22" s="206"/>
      <c r="KSJ22" s="206"/>
      <c r="KSK22" s="206"/>
      <c r="KSL22" s="206"/>
      <c r="KSM22" s="206"/>
      <c r="KSN22" s="206"/>
      <c r="KSO22" s="206"/>
      <c r="KSP22" s="206"/>
      <c r="KSQ22" s="206"/>
      <c r="KSR22" s="206"/>
      <c r="KSS22" s="206"/>
      <c r="KST22" s="206"/>
      <c r="KSU22" s="206"/>
      <c r="KSV22" s="206"/>
      <c r="KSW22" s="206"/>
      <c r="KSX22" s="206"/>
      <c r="KSY22" s="206"/>
      <c r="KSZ22" s="206"/>
      <c r="KTA22" s="206"/>
      <c r="KTB22" s="206"/>
      <c r="KTC22" s="206"/>
      <c r="KTD22" s="206"/>
      <c r="KTE22" s="206"/>
      <c r="KTF22" s="206"/>
      <c r="KTG22" s="206"/>
      <c r="KTH22" s="206"/>
      <c r="KTI22" s="206"/>
      <c r="KTJ22" s="206"/>
      <c r="KTK22" s="206"/>
      <c r="KTL22" s="206"/>
      <c r="KTM22" s="206"/>
      <c r="KTN22" s="206"/>
      <c r="KTO22" s="206"/>
      <c r="KTP22" s="206"/>
      <c r="KTQ22" s="206"/>
      <c r="KTR22" s="206"/>
      <c r="KTS22" s="206"/>
      <c r="KTT22" s="206"/>
      <c r="KTU22" s="206"/>
      <c r="KTV22" s="206"/>
      <c r="KTW22" s="206"/>
      <c r="KTX22" s="206"/>
      <c r="KTY22" s="206"/>
      <c r="KTZ22" s="206"/>
      <c r="KUA22" s="206"/>
      <c r="KUB22" s="206"/>
      <c r="KUC22" s="206"/>
      <c r="KUD22" s="206"/>
      <c r="KUE22" s="206"/>
      <c r="KUF22" s="206"/>
      <c r="KUG22" s="206"/>
      <c r="KUH22" s="206"/>
      <c r="KUI22" s="206"/>
      <c r="KUJ22" s="206"/>
      <c r="KUK22" s="206"/>
      <c r="KUL22" s="206"/>
      <c r="KUM22" s="206"/>
      <c r="KUN22" s="206"/>
      <c r="KUO22" s="206"/>
      <c r="KUP22" s="206"/>
      <c r="KUQ22" s="206"/>
      <c r="KUR22" s="206"/>
      <c r="KUS22" s="206"/>
      <c r="KUT22" s="206"/>
      <c r="KUU22" s="206"/>
      <c r="KUV22" s="206"/>
      <c r="KUW22" s="206"/>
      <c r="KUX22" s="206"/>
      <c r="KUY22" s="206"/>
      <c r="KUZ22" s="206"/>
      <c r="KVA22" s="206"/>
      <c r="KVB22" s="206"/>
      <c r="KVC22" s="206"/>
      <c r="KVD22" s="206"/>
      <c r="KVE22" s="206"/>
      <c r="KVF22" s="206"/>
      <c r="KVG22" s="206"/>
      <c r="KVH22" s="206"/>
      <c r="KVI22" s="206"/>
      <c r="KVJ22" s="206"/>
      <c r="KVK22" s="206"/>
      <c r="KVL22" s="206"/>
      <c r="KVM22" s="206"/>
      <c r="KVN22" s="206"/>
      <c r="KVO22" s="206"/>
      <c r="KVP22" s="206"/>
      <c r="KVQ22" s="206"/>
      <c r="KVR22" s="206"/>
      <c r="KVS22" s="206"/>
      <c r="KVT22" s="206"/>
      <c r="KVU22" s="206"/>
      <c r="KVV22" s="206"/>
      <c r="KVW22" s="206"/>
      <c r="KVX22" s="206"/>
      <c r="KVY22" s="206"/>
      <c r="KVZ22" s="206"/>
      <c r="KWA22" s="206"/>
      <c r="KWB22" s="206"/>
      <c r="KWC22" s="206"/>
      <c r="KWD22" s="206"/>
      <c r="KWE22" s="206"/>
      <c r="KWF22" s="206"/>
      <c r="KWG22" s="206"/>
      <c r="KWH22" s="206"/>
      <c r="KWI22" s="206"/>
      <c r="KWJ22" s="206"/>
      <c r="KWK22" s="206"/>
      <c r="KWL22" s="206"/>
      <c r="KWM22" s="206"/>
      <c r="KWN22" s="206"/>
      <c r="KWO22" s="206"/>
      <c r="KWP22" s="206"/>
      <c r="KWQ22" s="206"/>
      <c r="KWR22" s="206"/>
      <c r="KWS22" s="206"/>
      <c r="KWT22" s="206"/>
      <c r="KWU22" s="206"/>
      <c r="KWV22" s="206"/>
      <c r="KWW22" s="206"/>
      <c r="KWX22" s="206"/>
      <c r="KWY22" s="206"/>
      <c r="KWZ22" s="206"/>
      <c r="KXA22" s="206"/>
      <c r="KXB22" s="206"/>
      <c r="KXC22" s="206"/>
      <c r="KXD22" s="206"/>
      <c r="KXE22" s="206"/>
      <c r="KXF22" s="206"/>
      <c r="KXG22" s="206"/>
      <c r="KXH22" s="206"/>
      <c r="KXI22" s="206"/>
      <c r="KXJ22" s="206"/>
      <c r="KXK22" s="206"/>
      <c r="KXL22" s="206"/>
      <c r="KXM22" s="206"/>
      <c r="KXN22" s="206"/>
      <c r="KXO22" s="206"/>
      <c r="KXP22" s="206"/>
      <c r="KXQ22" s="206"/>
      <c r="KXR22" s="206"/>
      <c r="KXS22" s="206"/>
      <c r="KXT22" s="206"/>
      <c r="KXU22" s="206"/>
      <c r="KXV22" s="206"/>
      <c r="KXW22" s="206"/>
      <c r="KXX22" s="206"/>
      <c r="KXY22" s="206"/>
      <c r="KXZ22" s="206"/>
      <c r="KYA22" s="206"/>
      <c r="KYB22" s="206"/>
      <c r="KYC22" s="206"/>
      <c r="KYD22" s="206"/>
      <c r="KYE22" s="206"/>
      <c r="KYF22" s="206"/>
      <c r="KYG22" s="206"/>
      <c r="KYH22" s="206"/>
      <c r="KYI22" s="206"/>
      <c r="KYJ22" s="206"/>
      <c r="KYK22" s="206"/>
      <c r="KYL22" s="206"/>
      <c r="KYM22" s="206"/>
      <c r="KYN22" s="206"/>
      <c r="KYO22" s="206"/>
      <c r="KYP22" s="206"/>
      <c r="KYQ22" s="206"/>
      <c r="KYR22" s="206"/>
      <c r="KYS22" s="206"/>
      <c r="KYT22" s="206"/>
      <c r="KYU22" s="206"/>
      <c r="KYV22" s="206"/>
      <c r="KYW22" s="206"/>
      <c r="KYX22" s="206"/>
      <c r="KYY22" s="206"/>
      <c r="KYZ22" s="206"/>
      <c r="KZA22" s="206"/>
      <c r="KZB22" s="206"/>
      <c r="KZC22" s="206"/>
      <c r="KZD22" s="206"/>
      <c r="KZE22" s="206"/>
      <c r="KZF22" s="206"/>
      <c r="KZG22" s="206"/>
      <c r="KZH22" s="206"/>
      <c r="KZI22" s="206"/>
      <c r="KZJ22" s="206"/>
      <c r="KZK22" s="206"/>
      <c r="KZL22" s="206"/>
      <c r="KZM22" s="206"/>
      <c r="KZN22" s="206"/>
      <c r="KZO22" s="206"/>
      <c r="KZP22" s="206"/>
      <c r="KZQ22" s="206"/>
      <c r="KZR22" s="206"/>
      <c r="KZS22" s="206"/>
      <c r="KZT22" s="206"/>
      <c r="KZU22" s="206"/>
      <c r="KZV22" s="206"/>
      <c r="KZW22" s="206"/>
      <c r="KZX22" s="206"/>
      <c r="KZY22" s="206"/>
      <c r="KZZ22" s="206"/>
      <c r="LAA22" s="206"/>
      <c r="LAB22" s="206"/>
      <c r="LAC22" s="206"/>
      <c r="LAD22" s="206"/>
      <c r="LAE22" s="206"/>
      <c r="LAF22" s="206"/>
      <c r="LAG22" s="206"/>
      <c r="LAH22" s="206"/>
      <c r="LAI22" s="206"/>
      <c r="LAJ22" s="206"/>
      <c r="LAK22" s="206"/>
      <c r="LAL22" s="206"/>
      <c r="LAM22" s="206"/>
      <c r="LAN22" s="206"/>
      <c r="LAO22" s="206"/>
      <c r="LAP22" s="206"/>
      <c r="LAQ22" s="206"/>
      <c r="LAR22" s="206"/>
      <c r="LAS22" s="206"/>
      <c r="LAT22" s="206"/>
      <c r="LAU22" s="206"/>
      <c r="LAV22" s="206"/>
      <c r="LAW22" s="206"/>
      <c r="LAX22" s="206"/>
      <c r="LAY22" s="206"/>
      <c r="LAZ22" s="206"/>
      <c r="LBA22" s="206"/>
      <c r="LBB22" s="206"/>
      <c r="LBC22" s="206"/>
      <c r="LBD22" s="206"/>
      <c r="LBE22" s="206"/>
      <c r="LBF22" s="206"/>
      <c r="LBG22" s="206"/>
      <c r="LBH22" s="206"/>
      <c r="LBI22" s="206"/>
      <c r="LBJ22" s="206"/>
      <c r="LBK22" s="206"/>
      <c r="LBL22" s="206"/>
      <c r="LBM22" s="206"/>
      <c r="LBN22" s="206"/>
      <c r="LBO22" s="206"/>
      <c r="LBP22" s="206"/>
      <c r="LBQ22" s="206"/>
      <c r="LBR22" s="206"/>
      <c r="LBS22" s="206"/>
      <c r="LBT22" s="206"/>
      <c r="LBU22" s="206"/>
      <c r="LBV22" s="206"/>
      <c r="LBW22" s="206"/>
      <c r="LBX22" s="206"/>
      <c r="LBY22" s="206"/>
      <c r="LBZ22" s="206"/>
      <c r="LCA22" s="206"/>
      <c r="LCB22" s="206"/>
      <c r="LCC22" s="206"/>
      <c r="LCD22" s="206"/>
      <c r="LCE22" s="206"/>
      <c r="LCF22" s="206"/>
      <c r="LCG22" s="206"/>
      <c r="LCH22" s="206"/>
      <c r="LCI22" s="206"/>
      <c r="LCJ22" s="206"/>
      <c r="LCK22" s="206"/>
      <c r="LCL22" s="206"/>
      <c r="LCM22" s="206"/>
      <c r="LCN22" s="206"/>
      <c r="LCO22" s="206"/>
      <c r="LCP22" s="206"/>
      <c r="LCQ22" s="206"/>
      <c r="LCR22" s="206"/>
      <c r="LCS22" s="206"/>
      <c r="LCT22" s="206"/>
      <c r="LCU22" s="206"/>
      <c r="LCV22" s="206"/>
      <c r="LCW22" s="206"/>
      <c r="LCX22" s="206"/>
      <c r="LCY22" s="206"/>
      <c r="LCZ22" s="206"/>
      <c r="LDA22" s="206"/>
      <c r="LDB22" s="206"/>
      <c r="LDC22" s="206"/>
      <c r="LDD22" s="206"/>
      <c r="LDE22" s="206"/>
      <c r="LDF22" s="206"/>
      <c r="LDG22" s="206"/>
      <c r="LDH22" s="206"/>
      <c r="LDI22" s="206"/>
      <c r="LDJ22" s="206"/>
      <c r="LDK22" s="206"/>
      <c r="LDL22" s="206"/>
      <c r="LDM22" s="206"/>
      <c r="LDN22" s="206"/>
      <c r="LDO22" s="206"/>
      <c r="LDP22" s="206"/>
      <c r="LDQ22" s="206"/>
      <c r="LDR22" s="206"/>
      <c r="LDS22" s="206"/>
      <c r="LDT22" s="206"/>
      <c r="LDU22" s="206"/>
      <c r="LDV22" s="206"/>
      <c r="LDW22" s="206"/>
      <c r="LDX22" s="206"/>
      <c r="LDY22" s="206"/>
      <c r="LDZ22" s="206"/>
      <c r="LEA22" s="206"/>
      <c r="LEB22" s="206"/>
      <c r="LEC22" s="206"/>
      <c r="LED22" s="206"/>
      <c r="LEE22" s="206"/>
      <c r="LEF22" s="206"/>
      <c r="LEG22" s="206"/>
      <c r="LEH22" s="206"/>
      <c r="LEI22" s="206"/>
      <c r="LEJ22" s="206"/>
      <c r="LEK22" s="206"/>
      <c r="LEL22" s="206"/>
      <c r="LEM22" s="206"/>
      <c r="LEN22" s="206"/>
      <c r="LEO22" s="206"/>
      <c r="LEP22" s="206"/>
      <c r="LEQ22" s="206"/>
      <c r="LER22" s="206"/>
      <c r="LES22" s="206"/>
      <c r="LET22" s="206"/>
      <c r="LEU22" s="206"/>
      <c r="LEV22" s="206"/>
      <c r="LEW22" s="206"/>
      <c r="LEX22" s="206"/>
      <c r="LEY22" s="206"/>
      <c r="LEZ22" s="206"/>
      <c r="LFA22" s="206"/>
      <c r="LFB22" s="206"/>
      <c r="LFC22" s="206"/>
      <c r="LFD22" s="206"/>
      <c r="LFE22" s="206"/>
      <c r="LFF22" s="206"/>
      <c r="LFG22" s="206"/>
      <c r="LFH22" s="206"/>
      <c r="LFI22" s="206"/>
      <c r="LFJ22" s="206"/>
      <c r="LFK22" s="206"/>
      <c r="LFL22" s="206"/>
      <c r="LFM22" s="206"/>
      <c r="LFN22" s="206"/>
      <c r="LFO22" s="206"/>
      <c r="LFP22" s="206"/>
      <c r="LFQ22" s="206"/>
      <c r="LFR22" s="206"/>
      <c r="LFS22" s="206"/>
      <c r="LFT22" s="206"/>
      <c r="LFU22" s="206"/>
      <c r="LFV22" s="206"/>
      <c r="LFW22" s="206"/>
      <c r="LFX22" s="206"/>
      <c r="LFY22" s="206"/>
      <c r="LFZ22" s="206"/>
      <c r="LGA22" s="206"/>
      <c r="LGB22" s="206"/>
      <c r="LGC22" s="206"/>
      <c r="LGD22" s="206"/>
      <c r="LGE22" s="206"/>
      <c r="LGF22" s="206"/>
      <c r="LGG22" s="206"/>
      <c r="LGH22" s="206"/>
      <c r="LGI22" s="206"/>
      <c r="LGJ22" s="206"/>
      <c r="LGK22" s="206"/>
      <c r="LGL22" s="206"/>
      <c r="LGM22" s="206"/>
      <c r="LGN22" s="206"/>
      <c r="LGO22" s="206"/>
      <c r="LGP22" s="206"/>
      <c r="LGQ22" s="206"/>
      <c r="LGR22" s="206"/>
      <c r="LGS22" s="206"/>
      <c r="LGT22" s="206"/>
      <c r="LGU22" s="206"/>
      <c r="LGV22" s="206"/>
      <c r="LGW22" s="206"/>
      <c r="LGX22" s="206"/>
      <c r="LGY22" s="206"/>
      <c r="LGZ22" s="206"/>
      <c r="LHA22" s="206"/>
      <c r="LHB22" s="206"/>
      <c r="LHC22" s="206"/>
      <c r="LHD22" s="206"/>
      <c r="LHE22" s="206"/>
      <c r="LHF22" s="206"/>
      <c r="LHG22" s="206"/>
      <c r="LHH22" s="206"/>
      <c r="LHI22" s="206"/>
      <c r="LHJ22" s="206"/>
      <c r="LHK22" s="206"/>
      <c r="LHL22" s="206"/>
      <c r="LHM22" s="206"/>
      <c r="LHN22" s="206"/>
      <c r="LHO22" s="206"/>
      <c r="LHP22" s="206"/>
      <c r="LHQ22" s="206"/>
      <c r="LHR22" s="206"/>
      <c r="LHS22" s="206"/>
      <c r="LHT22" s="206"/>
      <c r="LHU22" s="206"/>
      <c r="LHV22" s="206"/>
      <c r="LHW22" s="206"/>
      <c r="LHX22" s="206"/>
      <c r="LHY22" s="206"/>
      <c r="LHZ22" s="206"/>
      <c r="LIA22" s="206"/>
      <c r="LIB22" s="206"/>
      <c r="LIC22" s="206"/>
      <c r="LID22" s="206"/>
      <c r="LIE22" s="206"/>
      <c r="LIF22" s="206"/>
      <c r="LIG22" s="206"/>
      <c r="LIH22" s="206"/>
      <c r="LII22" s="206"/>
      <c r="LIJ22" s="206"/>
      <c r="LIK22" s="206"/>
      <c r="LIL22" s="206"/>
      <c r="LIM22" s="206"/>
      <c r="LIN22" s="206"/>
      <c r="LIO22" s="206"/>
      <c r="LIP22" s="206"/>
      <c r="LIQ22" s="206"/>
      <c r="LIR22" s="206"/>
      <c r="LIS22" s="206"/>
      <c r="LIT22" s="206"/>
      <c r="LIU22" s="206"/>
      <c r="LIV22" s="206"/>
      <c r="LIW22" s="206"/>
      <c r="LIX22" s="206"/>
      <c r="LIY22" s="206"/>
      <c r="LIZ22" s="206"/>
      <c r="LJA22" s="206"/>
      <c r="LJB22" s="206"/>
      <c r="LJC22" s="206"/>
      <c r="LJD22" s="206"/>
      <c r="LJE22" s="206"/>
      <c r="LJF22" s="206"/>
      <c r="LJG22" s="206"/>
      <c r="LJH22" s="206"/>
      <c r="LJI22" s="206"/>
      <c r="LJJ22" s="206"/>
      <c r="LJK22" s="206"/>
      <c r="LJL22" s="206"/>
      <c r="LJM22" s="206"/>
      <c r="LJN22" s="206"/>
      <c r="LJO22" s="206"/>
      <c r="LJP22" s="206"/>
      <c r="LJQ22" s="206"/>
      <c r="LJR22" s="206"/>
      <c r="LJS22" s="206"/>
      <c r="LJT22" s="206"/>
      <c r="LJU22" s="206"/>
      <c r="LJV22" s="206"/>
      <c r="LJW22" s="206"/>
      <c r="LJX22" s="206"/>
      <c r="LJY22" s="206"/>
      <c r="LJZ22" s="206"/>
      <c r="LKA22" s="206"/>
      <c r="LKB22" s="206"/>
      <c r="LKC22" s="206"/>
      <c r="LKD22" s="206"/>
      <c r="LKE22" s="206"/>
      <c r="LKF22" s="206"/>
      <c r="LKG22" s="206"/>
      <c r="LKH22" s="206"/>
      <c r="LKI22" s="206"/>
      <c r="LKJ22" s="206"/>
      <c r="LKK22" s="206"/>
      <c r="LKL22" s="206"/>
      <c r="LKM22" s="206"/>
      <c r="LKN22" s="206"/>
      <c r="LKO22" s="206"/>
      <c r="LKP22" s="206"/>
      <c r="LKQ22" s="206"/>
      <c r="LKR22" s="206"/>
      <c r="LKS22" s="206"/>
      <c r="LKT22" s="206"/>
      <c r="LKU22" s="206"/>
      <c r="LKV22" s="206"/>
      <c r="LKW22" s="206"/>
      <c r="LKX22" s="206"/>
      <c r="LKY22" s="206"/>
      <c r="LKZ22" s="206"/>
      <c r="LLA22" s="206"/>
      <c r="LLB22" s="206"/>
      <c r="LLC22" s="206"/>
      <c r="LLD22" s="206"/>
      <c r="LLE22" s="206"/>
      <c r="LLF22" s="206"/>
      <c r="LLG22" s="206"/>
      <c r="LLH22" s="206"/>
      <c r="LLI22" s="206"/>
      <c r="LLJ22" s="206"/>
      <c r="LLK22" s="206"/>
      <c r="LLL22" s="206"/>
      <c r="LLM22" s="206"/>
      <c r="LLN22" s="206"/>
      <c r="LLO22" s="206"/>
      <c r="LLP22" s="206"/>
      <c r="LLQ22" s="206"/>
      <c r="LLR22" s="206"/>
      <c r="LLS22" s="206"/>
      <c r="LLT22" s="206"/>
      <c r="LLU22" s="206"/>
      <c r="LLV22" s="206"/>
      <c r="LLW22" s="206"/>
      <c r="LLX22" s="206"/>
      <c r="LLY22" s="206"/>
      <c r="LLZ22" s="206"/>
      <c r="LMA22" s="206"/>
      <c r="LMB22" s="206"/>
      <c r="LMC22" s="206"/>
      <c r="LMD22" s="206"/>
      <c r="LME22" s="206"/>
      <c r="LMF22" s="206"/>
      <c r="LMG22" s="206"/>
      <c r="LMH22" s="206"/>
      <c r="LMI22" s="206"/>
      <c r="LMJ22" s="206"/>
      <c r="LMK22" s="206"/>
      <c r="LML22" s="206"/>
      <c r="LMM22" s="206"/>
      <c r="LMN22" s="206"/>
      <c r="LMO22" s="206"/>
      <c r="LMP22" s="206"/>
      <c r="LMQ22" s="206"/>
      <c r="LMR22" s="206"/>
      <c r="LMS22" s="206"/>
      <c r="LMT22" s="206"/>
      <c r="LMU22" s="206"/>
      <c r="LMV22" s="206"/>
      <c r="LMW22" s="206"/>
      <c r="LMX22" s="206"/>
      <c r="LMY22" s="206"/>
      <c r="LMZ22" s="206"/>
      <c r="LNA22" s="206"/>
      <c r="LNB22" s="206"/>
      <c r="LNC22" s="206"/>
      <c r="LND22" s="206"/>
      <c r="LNE22" s="206"/>
      <c r="LNF22" s="206"/>
      <c r="LNG22" s="206"/>
      <c r="LNH22" s="206"/>
      <c r="LNI22" s="206"/>
      <c r="LNJ22" s="206"/>
      <c r="LNK22" s="206"/>
      <c r="LNL22" s="206"/>
      <c r="LNM22" s="206"/>
      <c r="LNN22" s="206"/>
      <c r="LNO22" s="206"/>
      <c r="LNP22" s="206"/>
      <c r="LNQ22" s="206"/>
      <c r="LNR22" s="206"/>
      <c r="LNS22" s="206"/>
      <c r="LNT22" s="206"/>
      <c r="LNU22" s="206"/>
      <c r="LNV22" s="206"/>
      <c r="LNW22" s="206"/>
      <c r="LNX22" s="206"/>
      <c r="LNY22" s="206"/>
      <c r="LNZ22" s="206"/>
      <c r="LOA22" s="206"/>
      <c r="LOB22" s="206"/>
      <c r="LOC22" s="206"/>
      <c r="LOD22" s="206"/>
      <c r="LOE22" s="206"/>
      <c r="LOF22" s="206"/>
      <c r="LOG22" s="206"/>
      <c r="LOH22" s="206"/>
      <c r="LOI22" s="206"/>
      <c r="LOJ22" s="206"/>
      <c r="LOK22" s="206"/>
      <c r="LOL22" s="206"/>
      <c r="LOM22" s="206"/>
      <c r="LON22" s="206"/>
      <c r="LOO22" s="206"/>
      <c r="LOP22" s="206"/>
      <c r="LOQ22" s="206"/>
      <c r="LOR22" s="206"/>
      <c r="LOS22" s="206"/>
      <c r="LOT22" s="206"/>
      <c r="LOU22" s="206"/>
      <c r="LOV22" s="206"/>
      <c r="LOW22" s="206"/>
      <c r="LOX22" s="206"/>
      <c r="LOY22" s="206"/>
      <c r="LOZ22" s="206"/>
      <c r="LPA22" s="206"/>
      <c r="LPB22" s="206"/>
      <c r="LPC22" s="206"/>
      <c r="LPD22" s="206"/>
      <c r="LPE22" s="206"/>
      <c r="LPF22" s="206"/>
      <c r="LPG22" s="206"/>
      <c r="LPH22" s="206"/>
      <c r="LPI22" s="206"/>
      <c r="LPJ22" s="206"/>
      <c r="LPK22" s="206"/>
      <c r="LPL22" s="206"/>
      <c r="LPM22" s="206"/>
      <c r="LPN22" s="206"/>
      <c r="LPO22" s="206"/>
      <c r="LPP22" s="206"/>
      <c r="LPQ22" s="206"/>
      <c r="LPR22" s="206"/>
      <c r="LPS22" s="206"/>
      <c r="LPT22" s="206"/>
      <c r="LPU22" s="206"/>
      <c r="LPV22" s="206"/>
      <c r="LPW22" s="206"/>
      <c r="LPX22" s="206"/>
      <c r="LPY22" s="206"/>
      <c r="LPZ22" s="206"/>
      <c r="LQA22" s="206"/>
      <c r="LQB22" s="206"/>
      <c r="LQC22" s="206"/>
      <c r="LQD22" s="206"/>
      <c r="LQE22" s="206"/>
      <c r="LQF22" s="206"/>
      <c r="LQG22" s="206"/>
      <c r="LQH22" s="206"/>
      <c r="LQI22" s="206"/>
      <c r="LQJ22" s="206"/>
      <c r="LQK22" s="206"/>
      <c r="LQL22" s="206"/>
      <c r="LQM22" s="206"/>
      <c r="LQN22" s="206"/>
      <c r="LQO22" s="206"/>
      <c r="LQP22" s="206"/>
      <c r="LQQ22" s="206"/>
      <c r="LQR22" s="206"/>
      <c r="LQS22" s="206"/>
      <c r="LQT22" s="206"/>
      <c r="LQU22" s="206"/>
      <c r="LQV22" s="206"/>
      <c r="LQW22" s="206"/>
      <c r="LQX22" s="206"/>
      <c r="LQY22" s="206"/>
      <c r="LQZ22" s="206"/>
      <c r="LRA22" s="206"/>
      <c r="LRB22" s="206"/>
      <c r="LRC22" s="206"/>
      <c r="LRD22" s="206"/>
      <c r="LRE22" s="206"/>
      <c r="LRF22" s="206"/>
      <c r="LRG22" s="206"/>
      <c r="LRH22" s="206"/>
      <c r="LRI22" s="206"/>
      <c r="LRJ22" s="206"/>
      <c r="LRK22" s="206"/>
      <c r="LRL22" s="206"/>
      <c r="LRM22" s="206"/>
      <c r="LRN22" s="206"/>
      <c r="LRO22" s="206"/>
      <c r="LRP22" s="206"/>
      <c r="LRQ22" s="206"/>
      <c r="LRR22" s="206"/>
      <c r="LRS22" s="206"/>
      <c r="LRT22" s="206"/>
      <c r="LRU22" s="206"/>
      <c r="LRV22" s="206"/>
      <c r="LRW22" s="206"/>
      <c r="LRX22" s="206"/>
      <c r="LRY22" s="206"/>
      <c r="LRZ22" s="206"/>
      <c r="LSA22" s="206"/>
      <c r="LSB22" s="206"/>
      <c r="LSC22" s="206"/>
      <c r="LSD22" s="206"/>
      <c r="LSE22" s="206"/>
      <c r="LSF22" s="206"/>
      <c r="LSG22" s="206"/>
      <c r="LSH22" s="206"/>
      <c r="LSI22" s="206"/>
      <c r="LSJ22" s="206"/>
      <c r="LSK22" s="206"/>
      <c r="LSL22" s="206"/>
      <c r="LSM22" s="206"/>
      <c r="LSN22" s="206"/>
      <c r="LSO22" s="206"/>
      <c r="LSP22" s="206"/>
      <c r="LSQ22" s="206"/>
      <c r="LSR22" s="206"/>
      <c r="LSS22" s="206"/>
      <c r="LST22" s="206"/>
      <c r="LSU22" s="206"/>
      <c r="LSV22" s="206"/>
      <c r="LSW22" s="206"/>
      <c r="LSX22" s="206"/>
      <c r="LSY22" s="206"/>
      <c r="LSZ22" s="206"/>
      <c r="LTA22" s="206"/>
      <c r="LTB22" s="206"/>
      <c r="LTC22" s="206"/>
      <c r="LTD22" s="206"/>
      <c r="LTE22" s="206"/>
      <c r="LTF22" s="206"/>
      <c r="LTG22" s="206"/>
      <c r="LTH22" s="206"/>
      <c r="LTI22" s="206"/>
      <c r="LTJ22" s="206"/>
      <c r="LTK22" s="206"/>
      <c r="LTL22" s="206"/>
      <c r="LTM22" s="206"/>
      <c r="LTN22" s="206"/>
      <c r="LTO22" s="206"/>
      <c r="LTP22" s="206"/>
      <c r="LTQ22" s="206"/>
      <c r="LTR22" s="206"/>
      <c r="LTS22" s="206"/>
      <c r="LTT22" s="206"/>
      <c r="LTU22" s="206"/>
      <c r="LTV22" s="206"/>
      <c r="LTW22" s="206"/>
      <c r="LTX22" s="206"/>
      <c r="LTY22" s="206"/>
      <c r="LTZ22" s="206"/>
      <c r="LUA22" s="206"/>
      <c r="LUB22" s="206"/>
      <c r="LUC22" s="206"/>
      <c r="LUD22" s="206"/>
      <c r="LUE22" s="206"/>
      <c r="LUF22" s="206"/>
      <c r="LUG22" s="206"/>
      <c r="LUH22" s="206"/>
      <c r="LUI22" s="206"/>
      <c r="LUJ22" s="206"/>
      <c r="LUK22" s="206"/>
      <c r="LUL22" s="206"/>
      <c r="LUM22" s="206"/>
      <c r="LUN22" s="206"/>
      <c r="LUO22" s="206"/>
      <c r="LUP22" s="206"/>
      <c r="LUQ22" s="206"/>
      <c r="LUR22" s="206"/>
      <c r="LUS22" s="206"/>
      <c r="LUT22" s="206"/>
      <c r="LUU22" s="206"/>
      <c r="LUV22" s="206"/>
      <c r="LUW22" s="206"/>
      <c r="LUX22" s="206"/>
      <c r="LUY22" s="206"/>
      <c r="LUZ22" s="206"/>
      <c r="LVA22" s="206"/>
      <c r="LVB22" s="206"/>
      <c r="LVC22" s="206"/>
      <c r="LVD22" s="206"/>
      <c r="LVE22" s="206"/>
      <c r="LVF22" s="206"/>
      <c r="LVG22" s="206"/>
      <c r="LVH22" s="206"/>
      <c r="LVI22" s="206"/>
      <c r="LVJ22" s="206"/>
      <c r="LVK22" s="206"/>
      <c r="LVL22" s="206"/>
      <c r="LVM22" s="206"/>
      <c r="LVN22" s="206"/>
      <c r="LVO22" s="206"/>
      <c r="LVP22" s="206"/>
      <c r="LVQ22" s="206"/>
      <c r="LVR22" s="206"/>
      <c r="LVS22" s="206"/>
      <c r="LVT22" s="206"/>
      <c r="LVU22" s="206"/>
      <c r="LVV22" s="206"/>
      <c r="LVW22" s="206"/>
      <c r="LVX22" s="206"/>
      <c r="LVY22" s="206"/>
      <c r="LVZ22" s="206"/>
      <c r="LWA22" s="206"/>
      <c r="LWB22" s="206"/>
      <c r="LWC22" s="206"/>
      <c r="LWD22" s="206"/>
      <c r="LWE22" s="206"/>
      <c r="LWF22" s="206"/>
      <c r="LWG22" s="206"/>
      <c r="LWH22" s="206"/>
      <c r="LWI22" s="206"/>
      <c r="LWJ22" s="206"/>
      <c r="LWK22" s="206"/>
      <c r="LWL22" s="206"/>
      <c r="LWM22" s="206"/>
      <c r="LWN22" s="206"/>
      <c r="LWO22" s="206"/>
      <c r="LWP22" s="206"/>
      <c r="LWQ22" s="206"/>
      <c r="LWR22" s="206"/>
      <c r="LWS22" s="206"/>
      <c r="LWT22" s="206"/>
      <c r="LWU22" s="206"/>
      <c r="LWV22" s="206"/>
      <c r="LWW22" s="206"/>
      <c r="LWX22" s="206"/>
      <c r="LWY22" s="206"/>
      <c r="LWZ22" s="206"/>
      <c r="LXA22" s="206"/>
      <c r="LXB22" s="206"/>
      <c r="LXC22" s="206"/>
      <c r="LXD22" s="206"/>
      <c r="LXE22" s="206"/>
      <c r="LXF22" s="206"/>
      <c r="LXG22" s="206"/>
      <c r="LXH22" s="206"/>
      <c r="LXI22" s="206"/>
      <c r="LXJ22" s="206"/>
      <c r="LXK22" s="206"/>
      <c r="LXL22" s="206"/>
      <c r="LXM22" s="206"/>
      <c r="LXN22" s="206"/>
      <c r="LXO22" s="206"/>
      <c r="LXP22" s="206"/>
      <c r="LXQ22" s="206"/>
      <c r="LXR22" s="206"/>
      <c r="LXS22" s="206"/>
      <c r="LXT22" s="206"/>
      <c r="LXU22" s="206"/>
      <c r="LXV22" s="206"/>
      <c r="LXW22" s="206"/>
      <c r="LXX22" s="206"/>
      <c r="LXY22" s="206"/>
      <c r="LXZ22" s="206"/>
      <c r="LYA22" s="206"/>
      <c r="LYB22" s="206"/>
      <c r="LYC22" s="206"/>
      <c r="LYD22" s="206"/>
      <c r="LYE22" s="206"/>
      <c r="LYF22" s="206"/>
      <c r="LYG22" s="206"/>
      <c r="LYH22" s="206"/>
      <c r="LYI22" s="206"/>
      <c r="LYJ22" s="206"/>
      <c r="LYK22" s="206"/>
      <c r="LYL22" s="206"/>
      <c r="LYM22" s="206"/>
      <c r="LYN22" s="206"/>
      <c r="LYO22" s="206"/>
      <c r="LYP22" s="206"/>
      <c r="LYQ22" s="206"/>
      <c r="LYR22" s="206"/>
      <c r="LYS22" s="206"/>
      <c r="LYT22" s="206"/>
      <c r="LYU22" s="206"/>
      <c r="LYV22" s="206"/>
      <c r="LYW22" s="206"/>
      <c r="LYX22" s="206"/>
      <c r="LYY22" s="206"/>
      <c r="LYZ22" s="206"/>
      <c r="LZA22" s="206"/>
      <c r="LZB22" s="206"/>
      <c r="LZC22" s="206"/>
      <c r="LZD22" s="206"/>
      <c r="LZE22" s="206"/>
      <c r="LZF22" s="206"/>
      <c r="LZG22" s="206"/>
      <c r="LZH22" s="206"/>
      <c r="LZI22" s="206"/>
      <c r="LZJ22" s="206"/>
      <c r="LZK22" s="206"/>
      <c r="LZL22" s="206"/>
      <c r="LZM22" s="206"/>
      <c r="LZN22" s="206"/>
      <c r="LZO22" s="206"/>
      <c r="LZP22" s="206"/>
      <c r="LZQ22" s="206"/>
      <c r="LZR22" s="206"/>
      <c r="LZS22" s="206"/>
      <c r="LZT22" s="206"/>
      <c r="LZU22" s="206"/>
      <c r="LZV22" s="206"/>
      <c r="LZW22" s="206"/>
      <c r="LZX22" s="206"/>
      <c r="LZY22" s="206"/>
      <c r="LZZ22" s="206"/>
      <c r="MAA22" s="206"/>
      <c r="MAB22" s="206"/>
      <c r="MAC22" s="206"/>
      <c r="MAD22" s="206"/>
      <c r="MAE22" s="206"/>
      <c r="MAF22" s="206"/>
      <c r="MAG22" s="206"/>
      <c r="MAH22" s="206"/>
      <c r="MAI22" s="206"/>
      <c r="MAJ22" s="206"/>
      <c r="MAK22" s="206"/>
      <c r="MAL22" s="206"/>
      <c r="MAM22" s="206"/>
      <c r="MAN22" s="206"/>
      <c r="MAO22" s="206"/>
      <c r="MAP22" s="206"/>
      <c r="MAQ22" s="206"/>
      <c r="MAR22" s="206"/>
      <c r="MAS22" s="206"/>
      <c r="MAT22" s="206"/>
      <c r="MAU22" s="206"/>
      <c r="MAV22" s="206"/>
      <c r="MAW22" s="206"/>
      <c r="MAX22" s="206"/>
      <c r="MAY22" s="206"/>
      <c r="MAZ22" s="206"/>
      <c r="MBA22" s="206"/>
      <c r="MBB22" s="206"/>
      <c r="MBC22" s="206"/>
      <c r="MBD22" s="206"/>
      <c r="MBE22" s="206"/>
      <c r="MBF22" s="206"/>
      <c r="MBG22" s="206"/>
      <c r="MBH22" s="206"/>
      <c r="MBI22" s="206"/>
      <c r="MBJ22" s="206"/>
      <c r="MBK22" s="206"/>
      <c r="MBL22" s="206"/>
      <c r="MBM22" s="206"/>
      <c r="MBN22" s="206"/>
      <c r="MBO22" s="206"/>
      <c r="MBP22" s="206"/>
      <c r="MBQ22" s="206"/>
      <c r="MBR22" s="206"/>
      <c r="MBS22" s="206"/>
      <c r="MBT22" s="206"/>
      <c r="MBU22" s="206"/>
      <c r="MBV22" s="206"/>
      <c r="MBW22" s="206"/>
      <c r="MBX22" s="206"/>
      <c r="MBY22" s="206"/>
      <c r="MBZ22" s="206"/>
      <c r="MCA22" s="206"/>
      <c r="MCB22" s="206"/>
      <c r="MCC22" s="206"/>
      <c r="MCD22" s="206"/>
      <c r="MCE22" s="206"/>
      <c r="MCF22" s="206"/>
      <c r="MCG22" s="206"/>
      <c r="MCH22" s="206"/>
      <c r="MCI22" s="206"/>
      <c r="MCJ22" s="206"/>
      <c r="MCK22" s="206"/>
      <c r="MCL22" s="206"/>
      <c r="MCM22" s="206"/>
      <c r="MCN22" s="206"/>
      <c r="MCO22" s="206"/>
      <c r="MCP22" s="206"/>
      <c r="MCQ22" s="206"/>
      <c r="MCR22" s="206"/>
      <c r="MCS22" s="206"/>
      <c r="MCT22" s="206"/>
      <c r="MCU22" s="206"/>
      <c r="MCV22" s="206"/>
      <c r="MCW22" s="206"/>
      <c r="MCX22" s="206"/>
      <c r="MCY22" s="206"/>
      <c r="MCZ22" s="206"/>
      <c r="MDA22" s="206"/>
      <c r="MDB22" s="206"/>
      <c r="MDC22" s="206"/>
      <c r="MDD22" s="206"/>
      <c r="MDE22" s="206"/>
      <c r="MDF22" s="206"/>
      <c r="MDG22" s="206"/>
      <c r="MDH22" s="206"/>
      <c r="MDI22" s="206"/>
      <c r="MDJ22" s="206"/>
      <c r="MDK22" s="206"/>
      <c r="MDL22" s="206"/>
      <c r="MDM22" s="206"/>
      <c r="MDN22" s="206"/>
      <c r="MDO22" s="206"/>
      <c r="MDP22" s="206"/>
      <c r="MDQ22" s="206"/>
      <c r="MDR22" s="206"/>
      <c r="MDS22" s="206"/>
      <c r="MDT22" s="206"/>
      <c r="MDU22" s="206"/>
      <c r="MDV22" s="206"/>
      <c r="MDW22" s="206"/>
      <c r="MDX22" s="206"/>
      <c r="MDY22" s="206"/>
      <c r="MDZ22" s="206"/>
      <c r="MEA22" s="206"/>
      <c r="MEB22" s="206"/>
      <c r="MEC22" s="206"/>
      <c r="MED22" s="206"/>
      <c r="MEE22" s="206"/>
      <c r="MEF22" s="206"/>
      <c r="MEG22" s="206"/>
      <c r="MEH22" s="206"/>
      <c r="MEI22" s="206"/>
      <c r="MEJ22" s="206"/>
      <c r="MEK22" s="206"/>
      <c r="MEL22" s="206"/>
      <c r="MEM22" s="206"/>
      <c r="MEN22" s="206"/>
      <c r="MEO22" s="206"/>
      <c r="MEP22" s="206"/>
      <c r="MEQ22" s="206"/>
      <c r="MER22" s="206"/>
      <c r="MES22" s="206"/>
      <c r="MET22" s="206"/>
      <c r="MEU22" s="206"/>
      <c r="MEV22" s="206"/>
      <c r="MEW22" s="206"/>
      <c r="MEX22" s="206"/>
      <c r="MEY22" s="206"/>
      <c r="MEZ22" s="206"/>
      <c r="MFA22" s="206"/>
      <c r="MFB22" s="206"/>
      <c r="MFC22" s="206"/>
      <c r="MFD22" s="206"/>
      <c r="MFE22" s="206"/>
      <c r="MFF22" s="206"/>
      <c r="MFG22" s="206"/>
      <c r="MFH22" s="206"/>
      <c r="MFI22" s="206"/>
      <c r="MFJ22" s="206"/>
      <c r="MFK22" s="206"/>
      <c r="MFL22" s="206"/>
      <c r="MFM22" s="206"/>
      <c r="MFN22" s="206"/>
      <c r="MFO22" s="206"/>
      <c r="MFP22" s="206"/>
      <c r="MFQ22" s="206"/>
      <c r="MFR22" s="206"/>
      <c r="MFS22" s="206"/>
      <c r="MFT22" s="206"/>
      <c r="MFU22" s="206"/>
      <c r="MFV22" s="206"/>
      <c r="MFW22" s="206"/>
      <c r="MFX22" s="206"/>
      <c r="MFY22" s="206"/>
      <c r="MFZ22" s="206"/>
      <c r="MGA22" s="206"/>
      <c r="MGB22" s="206"/>
      <c r="MGC22" s="206"/>
      <c r="MGD22" s="206"/>
      <c r="MGE22" s="206"/>
      <c r="MGF22" s="206"/>
      <c r="MGG22" s="206"/>
      <c r="MGH22" s="206"/>
      <c r="MGI22" s="206"/>
      <c r="MGJ22" s="206"/>
      <c r="MGK22" s="206"/>
      <c r="MGL22" s="206"/>
      <c r="MGM22" s="206"/>
      <c r="MGN22" s="206"/>
      <c r="MGO22" s="206"/>
      <c r="MGP22" s="206"/>
      <c r="MGQ22" s="206"/>
      <c r="MGR22" s="206"/>
      <c r="MGS22" s="206"/>
      <c r="MGT22" s="206"/>
      <c r="MGU22" s="206"/>
      <c r="MGV22" s="206"/>
      <c r="MGW22" s="206"/>
      <c r="MGX22" s="206"/>
      <c r="MGY22" s="206"/>
      <c r="MGZ22" s="206"/>
      <c r="MHA22" s="206"/>
      <c r="MHB22" s="206"/>
      <c r="MHC22" s="206"/>
      <c r="MHD22" s="206"/>
      <c r="MHE22" s="206"/>
      <c r="MHF22" s="206"/>
      <c r="MHG22" s="206"/>
      <c r="MHH22" s="206"/>
      <c r="MHI22" s="206"/>
      <c r="MHJ22" s="206"/>
      <c r="MHK22" s="206"/>
      <c r="MHL22" s="206"/>
      <c r="MHM22" s="206"/>
      <c r="MHN22" s="206"/>
      <c r="MHO22" s="206"/>
      <c r="MHP22" s="206"/>
      <c r="MHQ22" s="206"/>
      <c r="MHR22" s="206"/>
      <c r="MHS22" s="206"/>
      <c r="MHT22" s="206"/>
      <c r="MHU22" s="206"/>
      <c r="MHV22" s="206"/>
      <c r="MHW22" s="206"/>
      <c r="MHX22" s="206"/>
      <c r="MHY22" s="206"/>
      <c r="MHZ22" s="206"/>
      <c r="MIA22" s="206"/>
      <c r="MIB22" s="206"/>
      <c r="MIC22" s="206"/>
      <c r="MID22" s="206"/>
      <c r="MIE22" s="206"/>
      <c r="MIF22" s="206"/>
      <c r="MIG22" s="206"/>
      <c r="MIH22" s="206"/>
      <c r="MII22" s="206"/>
      <c r="MIJ22" s="206"/>
      <c r="MIK22" s="206"/>
      <c r="MIL22" s="206"/>
      <c r="MIM22" s="206"/>
      <c r="MIN22" s="206"/>
      <c r="MIO22" s="206"/>
      <c r="MIP22" s="206"/>
      <c r="MIQ22" s="206"/>
      <c r="MIR22" s="206"/>
      <c r="MIS22" s="206"/>
      <c r="MIT22" s="206"/>
      <c r="MIU22" s="206"/>
      <c r="MIV22" s="206"/>
      <c r="MIW22" s="206"/>
      <c r="MIX22" s="206"/>
      <c r="MIY22" s="206"/>
      <c r="MIZ22" s="206"/>
      <c r="MJA22" s="206"/>
      <c r="MJB22" s="206"/>
      <c r="MJC22" s="206"/>
      <c r="MJD22" s="206"/>
      <c r="MJE22" s="206"/>
      <c r="MJF22" s="206"/>
      <c r="MJG22" s="206"/>
      <c r="MJH22" s="206"/>
      <c r="MJI22" s="206"/>
      <c r="MJJ22" s="206"/>
      <c r="MJK22" s="206"/>
      <c r="MJL22" s="206"/>
      <c r="MJM22" s="206"/>
      <c r="MJN22" s="206"/>
      <c r="MJO22" s="206"/>
      <c r="MJP22" s="206"/>
      <c r="MJQ22" s="206"/>
      <c r="MJR22" s="206"/>
      <c r="MJS22" s="206"/>
      <c r="MJT22" s="206"/>
      <c r="MJU22" s="206"/>
      <c r="MJV22" s="206"/>
      <c r="MJW22" s="206"/>
      <c r="MJX22" s="206"/>
      <c r="MJY22" s="206"/>
      <c r="MJZ22" s="206"/>
      <c r="MKA22" s="206"/>
      <c r="MKB22" s="206"/>
      <c r="MKC22" s="206"/>
      <c r="MKD22" s="206"/>
      <c r="MKE22" s="206"/>
      <c r="MKF22" s="206"/>
      <c r="MKG22" s="206"/>
      <c r="MKH22" s="206"/>
      <c r="MKI22" s="206"/>
      <c r="MKJ22" s="206"/>
      <c r="MKK22" s="206"/>
      <c r="MKL22" s="206"/>
      <c r="MKM22" s="206"/>
      <c r="MKN22" s="206"/>
      <c r="MKO22" s="206"/>
      <c r="MKP22" s="206"/>
      <c r="MKQ22" s="206"/>
      <c r="MKR22" s="206"/>
      <c r="MKS22" s="206"/>
      <c r="MKT22" s="206"/>
      <c r="MKU22" s="206"/>
      <c r="MKV22" s="206"/>
      <c r="MKW22" s="206"/>
      <c r="MKX22" s="206"/>
      <c r="MKY22" s="206"/>
      <c r="MKZ22" s="206"/>
      <c r="MLA22" s="206"/>
      <c r="MLB22" s="206"/>
      <c r="MLC22" s="206"/>
      <c r="MLD22" s="206"/>
      <c r="MLE22" s="206"/>
      <c r="MLF22" s="206"/>
      <c r="MLG22" s="206"/>
      <c r="MLH22" s="206"/>
      <c r="MLI22" s="206"/>
      <c r="MLJ22" s="206"/>
      <c r="MLK22" s="206"/>
      <c r="MLL22" s="206"/>
      <c r="MLM22" s="206"/>
      <c r="MLN22" s="206"/>
      <c r="MLO22" s="206"/>
      <c r="MLP22" s="206"/>
      <c r="MLQ22" s="206"/>
      <c r="MLR22" s="206"/>
      <c r="MLS22" s="206"/>
      <c r="MLT22" s="206"/>
      <c r="MLU22" s="206"/>
      <c r="MLV22" s="206"/>
      <c r="MLW22" s="206"/>
      <c r="MLX22" s="206"/>
      <c r="MLY22" s="206"/>
      <c r="MLZ22" s="206"/>
      <c r="MMA22" s="206"/>
      <c r="MMB22" s="206"/>
      <c r="MMC22" s="206"/>
      <c r="MMD22" s="206"/>
      <c r="MME22" s="206"/>
      <c r="MMF22" s="206"/>
      <c r="MMG22" s="206"/>
      <c r="MMH22" s="206"/>
      <c r="MMI22" s="206"/>
      <c r="MMJ22" s="206"/>
      <c r="MMK22" s="206"/>
      <c r="MML22" s="206"/>
      <c r="MMM22" s="206"/>
      <c r="MMN22" s="206"/>
      <c r="MMO22" s="206"/>
      <c r="MMP22" s="206"/>
      <c r="MMQ22" s="206"/>
      <c r="MMR22" s="206"/>
      <c r="MMS22" s="206"/>
      <c r="MMT22" s="206"/>
      <c r="MMU22" s="206"/>
      <c r="MMV22" s="206"/>
      <c r="MMW22" s="206"/>
      <c r="MMX22" s="206"/>
      <c r="MMY22" s="206"/>
      <c r="MMZ22" s="206"/>
      <c r="MNA22" s="206"/>
      <c r="MNB22" s="206"/>
      <c r="MNC22" s="206"/>
      <c r="MND22" s="206"/>
      <c r="MNE22" s="206"/>
      <c r="MNF22" s="206"/>
      <c r="MNG22" s="206"/>
      <c r="MNH22" s="206"/>
      <c r="MNI22" s="206"/>
      <c r="MNJ22" s="206"/>
      <c r="MNK22" s="206"/>
      <c r="MNL22" s="206"/>
      <c r="MNM22" s="206"/>
      <c r="MNN22" s="206"/>
      <c r="MNO22" s="206"/>
      <c r="MNP22" s="206"/>
      <c r="MNQ22" s="206"/>
      <c r="MNR22" s="206"/>
      <c r="MNS22" s="206"/>
      <c r="MNT22" s="206"/>
      <c r="MNU22" s="206"/>
      <c r="MNV22" s="206"/>
      <c r="MNW22" s="206"/>
      <c r="MNX22" s="206"/>
      <c r="MNY22" s="206"/>
      <c r="MNZ22" s="206"/>
      <c r="MOA22" s="206"/>
      <c r="MOB22" s="206"/>
      <c r="MOC22" s="206"/>
      <c r="MOD22" s="206"/>
      <c r="MOE22" s="206"/>
      <c r="MOF22" s="206"/>
      <c r="MOG22" s="206"/>
      <c r="MOH22" s="206"/>
      <c r="MOI22" s="206"/>
      <c r="MOJ22" s="206"/>
      <c r="MOK22" s="206"/>
      <c r="MOL22" s="206"/>
      <c r="MOM22" s="206"/>
      <c r="MON22" s="206"/>
      <c r="MOO22" s="206"/>
      <c r="MOP22" s="206"/>
      <c r="MOQ22" s="206"/>
      <c r="MOR22" s="206"/>
      <c r="MOS22" s="206"/>
      <c r="MOT22" s="206"/>
      <c r="MOU22" s="206"/>
      <c r="MOV22" s="206"/>
      <c r="MOW22" s="206"/>
      <c r="MOX22" s="206"/>
      <c r="MOY22" s="206"/>
      <c r="MOZ22" s="206"/>
      <c r="MPA22" s="206"/>
      <c r="MPB22" s="206"/>
      <c r="MPC22" s="206"/>
      <c r="MPD22" s="206"/>
      <c r="MPE22" s="206"/>
      <c r="MPF22" s="206"/>
      <c r="MPG22" s="206"/>
      <c r="MPH22" s="206"/>
      <c r="MPI22" s="206"/>
      <c r="MPJ22" s="206"/>
      <c r="MPK22" s="206"/>
      <c r="MPL22" s="206"/>
      <c r="MPM22" s="206"/>
      <c r="MPN22" s="206"/>
      <c r="MPO22" s="206"/>
      <c r="MPP22" s="206"/>
      <c r="MPQ22" s="206"/>
      <c r="MPR22" s="206"/>
      <c r="MPS22" s="206"/>
      <c r="MPT22" s="206"/>
      <c r="MPU22" s="206"/>
      <c r="MPV22" s="206"/>
      <c r="MPW22" s="206"/>
      <c r="MPX22" s="206"/>
      <c r="MPY22" s="206"/>
      <c r="MPZ22" s="206"/>
      <c r="MQA22" s="206"/>
      <c r="MQB22" s="206"/>
      <c r="MQC22" s="206"/>
      <c r="MQD22" s="206"/>
      <c r="MQE22" s="206"/>
      <c r="MQF22" s="206"/>
      <c r="MQG22" s="206"/>
      <c r="MQH22" s="206"/>
      <c r="MQI22" s="206"/>
      <c r="MQJ22" s="206"/>
      <c r="MQK22" s="206"/>
      <c r="MQL22" s="206"/>
      <c r="MQM22" s="206"/>
      <c r="MQN22" s="206"/>
      <c r="MQO22" s="206"/>
      <c r="MQP22" s="206"/>
      <c r="MQQ22" s="206"/>
      <c r="MQR22" s="206"/>
      <c r="MQS22" s="206"/>
      <c r="MQT22" s="206"/>
      <c r="MQU22" s="206"/>
      <c r="MQV22" s="206"/>
      <c r="MQW22" s="206"/>
      <c r="MQX22" s="206"/>
      <c r="MQY22" s="206"/>
      <c r="MQZ22" s="206"/>
      <c r="MRA22" s="206"/>
      <c r="MRB22" s="206"/>
      <c r="MRC22" s="206"/>
      <c r="MRD22" s="206"/>
      <c r="MRE22" s="206"/>
      <c r="MRF22" s="206"/>
      <c r="MRG22" s="206"/>
      <c r="MRH22" s="206"/>
      <c r="MRI22" s="206"/>
      <c r="MRJ22" s="206"/>
      <c r="MRK22" s="206"/>
      <c r="MRL22" s="206"/>
      <c r="MRM22" s="206"/>
      <c r="MRN22" s="206"/>
      <c r="MRO22" s="206"/>
      <c r="MRP22" s="206"/>
      <c r="MRQ22" s="206"/>
      <c r="MRR22" s="206"/>
      <c r="MRS22" s="206"/>
      <c r="MRT22" s="206"/>
      <c r="MRU22" s="206"/>
      <c r="MRV22" s="206"/>
      <c r="MRW22" s="206"/>
      <c r="MRX22" s="206"/>
      <c r="MRY22" s="206"/>
      <c r="MRZ22" s="206"/>
      <c r="MSA22" s="206"/>
      <c r="MSB22" s="206"/>
      <c r="MSC22" s="206"/>
      <c r="MSD22" s="206"/>
      <c r="MSE22" s="206"/>
      <c r="MSF22" s="206"/>
      <c r="MSG22" s="206"/>
      <c r="MSH22" s="206"/>
      <c r="MSI22" s="206"/>
      <c r="MSJ22" s="206"/>
      <c r="MSK22" s="206"/>
      <c r="MSL22" s="206"/>
      <c r="MSM22" s="206"/>
      <c r="MSN22" s="206"/>
      <c r="MSO22" s="206"/>
      <c r="MSP22" s="206"/>
      <c r="MSQ22" s="206"/>
      <c r="MSR22" s="206"/>
      <c r="MSS22" s="206"/>
      <c r="MST22" s="206"/>
      <c r="MSU22" s="206"/>
      <c r="MSV22" s="206"/>
      <c r="MSW22" s="206"/>
      <c r="MSX22" s="206"/>
      <c r="MSY22" s="206"/>
      <c r="MSZ22" s="206"/>
      <c r="MTA22" s="206"/>
      <c r="MTB22" s="206"/>
      <c r="MTC22" s="206"/>
      <c r="MTD22" s="206"/>
      <c r="MTE22" s="206"/>
      <c r="MTF22" s="206"/>
      <c r="MTG22" s="206"/>
      <c r="MTH22" s="206"/>
      <c r="MTI22" s="206"/>
      <c r="MTJ22" s="206"/>
      <c r="MTK22" s="206"/>
      <c r="MTL22" s="206"/>
      <c r="MTM22" s="206"/>
      <c r="MTN22" s="206"/>
      <c r="MTO22" s="206"/>
      <c r="MTP22" s="206"/>
      <c r="MTQ22" s="206"/>
      <c r="MTR22" s="206"/>
      <c r="MTS22" s="206"/>
      <c r="MTT22" s="206"/>
      <c r="MTU22" s="206"/>
      <c r="MTV22" s="206"/>
      <c r="MTW22" s="206"/>
      <c r="MTX22" s="206"/>
      <c r="MTY22" s="206"/>
      <c r="MTZ22" s="206"/>
      <c r="MUA22" s="206"/>
      <c r="MUB22" s="206"/>
      <c r="MUC22" s="206"/>
      <c r="MUD22" s="206"/>
      <c r="MUE22" s="206"/>
      <c r="MUF22" s="206"/>
      <c r="MUG22" s="206"/>
      <c r="MUH22" s="206"/>
      <c r="MUI22" s="206"/>
      <c r="MUJ22" s="206"/>
      <c r="MUK22" s="206"/>
      <c r="MUL22" s="206"/>
      <c r="MUM22" s="206"/>
      <c r="MUN22" s="206"/>
      <c r="MUO22" s="206"/>
      <c r="MUP22" s="206"/>
      <c r="MUQ22" s="206"/>
      <c r="MUR22" s="206"/>
      <c r="MUS22" s="206"/>
      <c r="MUT22" s="206"/>
      <c r="MUU22" s="206"/>
      <c r="MUV22" s="206"/>
      <c r="MUW22" s="206"/>
      <c r="MUX22" s="206"/>
      <c r="MUY22" s="206"/>
      <c r="MUZ22" s="206"/>
      <c r="MVA22" s="206"/>
      <c r="MVB22" s="206"/>
      <c r="MVC22" s="206"/>
      <c r="MVD22" s="206"/>
      <c r="MVE22" s="206"/>
      <c r="MVF22" s="206"/>
      <c r="MVG22" s="206"/>
      <c r="MVH22" s="206"/>
      <c r="MVI22" s="206"/>
      <c r="MVJ22" s="206"/>
      <c r="MVK22" s="206"/>
      <c r="MVL22" s="206"/>
      <c r="MVM22" s="206"/>
      <c r="MVN22" s="206"/>
      <c r="MVO22" s="206"/>
      <c r="MVP22" s="206"/>
      <c r="MVQ22" s="206"/>
      <c r="MVR22" s="206"/>
      <c r="MVS22" s="206"/>
      <c r="MVT22" s="206"/>
      <c r="MVU22" s="206"/>
      <c r="MVV22" s="206"/>
      <c r="MVW22" s="206"/>
      <c r="MVX22" s="206"/>
      <c r="MVY22" s="206"/>
      <c r="MVZ22" s="206"/>
      <c r="MWA22" s="206"/>
      <c r="MWB22" s="206"/>
      <c r="MWC22" s="206"/>
      <c r="MWD22" s="206"/>
      <c r="MWE22" s="206"/>
      <c r="MWF22" s="206"/>
      <c r="MWG22" s="206"/>
      <c r="MWH22" s="206"/>
      <c r="MWI22" s="206"/>
      <c r="MWJ22" s="206"/>
      <c r="MWK22" s="206"/>
      <c r="MWL22" s="206"/>
      <c r="MWM22" s="206"/>
      <c r="MWN22" s="206"/>
      <c r="MWO22" s="206"/>
      <c r="MWP22" s="206"/>
      <c r="MWQ22" s="206"/>
      <c r="MWR22" s="206"/>
      <c r="MWS22" s="206"/>
      <c r="MWT22" s="206"/>
      <c r="MWU22" s="206"/>
      <c r="MWV22" s="206"/>
      <c r="MWW22" s="206"/>
      <c r="MWX22" s="206"/>
      <c r="MWY22" s="206"/>
      <c r="MWZ22" s="206"/>
      <c r="MXA22" s="206"/>
      <c r="MXB22" s="206"/>
      <c r="MXC22" s="206"/>
      <c r="MXD22" s="206"/>
      <c r="MXE22" s="206"/>
      <c r="MXF22" s="206"/>
      <c r="MXG22" s="206"/>
      <c r="MXH22" s="206"/>
      <c r="MXI22" s="206"/>
      <c r="MXJ22" s="206"/>
      <c r="MXK22" s="206"/>
      <c r="MXL22" s="206"/>
      <c r="MXM22" s="206"/>
      <c r="MXN22" s="206"/>
      <c r="MXO22" s="206"/>
      <c r="MXP22" s="206"/>
      <c r="MXQ22" s="206"/>
      <c r="MXR22" s="206"/>
      <c r="MXS22" s="206"/>
      <c r="MXT22" s="206"/>
      <c r="MXU22" s="206"/>
      <c r="MXV22" s="206"/>
      <c r="MXW22" s="206"/>
      <c r="MXX22" s="206"/>
      <c r="MXY22" s="206"/>
      <c r="MXZ22" s="206"/>
      <c r="MYA22" s="206"/>
      <c r="MYB22" s="206"/>
      <c r="MYC22" s="206"/>
      <c r="MYD22" s="206"/>
      <c r="MYE22" s="206"/>
      <c r="MYF22" s="206"/>
      <c r="MYG22" s="206"/>
      <c r="MYH22" s="206"/>
      <c r="MYI22" s="206"/>
      <c r="MYJ22" s="206"/>
      <c r="MYK22" s="206"/>
      <c r="MYL22" s="206"/>
      <c r="MYM22" s="206"/>
      <c r="MYN22" s="206"/>
      <c r="MYO22" s="206"/>
      <c r="MYP22" s="206"/>
      <c r="MYQ22" s="206"/>
      <c r="MYR22" s="206"/>
      <c r="MYS22" s="206"/>
      <c r="MYT22" s="206"/>
      <c r="MYU22" s="206"/>
      <c r="MYV22" s="206"/>
      <c r="MYW22" s="206"/>
      <c r="MYX22" s="206"/>
      <c r="MYY22" s="206"/>
      <c r="MYZ22" s="206"/>
      <c r="MZA22" s="206"/>
      <c r="MZB22" s="206"/>
      <c r="MZC22" s="206"/>
      <c r="MZD22" s="206"/>
      <c r="MZE22" s="206"/>
      <c r="MZF22" s="206"/>
      <c r="MZG22" s="206"/>
      <c r="MZH22" s="206"/>
      <c r="MZI22" s="206"/>
      <c r="MZJ22" s="206"/>
      <c r="MZK22" s="206"/>
      <c r="MZL22" s="206"/>
      <c r="MZM22" s="206"/>
      <c r="MZN22" s="206"/>
      <c r="MZO22" s="206"/>
      <c r="MZP22" s="206"/>
      <c r="MZQ22" s="206"/>
      <c r="MZR22" s="206"/>
      <c r="MZS22" s="206"/>
      <c r="MZT22" s="206"/>
      <c r="MZU22" s="206"/>
      <c r="MZV22" s="206"/>
      <c r="MZW22" s="206"/>
      <c r="MZX22" s="206"/>
      <c r="MZY22" s="206"/>
      <c r="MZZ22" s="206"/>
      <c r="NAA22" s="206"/>
      <c r="NAB22" s="206"/>
      <c r="NAC22" s="206"/>
      <c r="NAD22" s="206"/>
      <c r="NAE22" s="206"/>
      <c r="NAF22" s="206"/>
      <c r="NAG22" s="206"/>
      <c r="NAH22" s="206"/>
      <c r="NAI22" s="206"/>
      <c r="NAJ22" s="206"/>
      <c r="NAK22" s="206"/>
      <c r="NAL22" s="206"/>
      <c r="NAM22" s="206"/>
      <c r="NAN22" s="206"/>
      <c r="NAO22" s="206"/>
      <c r="NAP22" s="206"/>
      <c r="NAQ22" s="206"/>
      <c r="NAR22" s="206"/>
      <c r="NAS22" s="206"/>
      <c r="NAT22" s="206"/>
      <c r="NAU22" s="206"/>
      <c r="NAV22" s="206"/>
      <c r="NAW22" s="206"/>
      <c r="NAX22" s="206"/>
      <c r="NAY22" s="206"/>
      <c r="NAZ22" s="206"/>
      <c r="NBA22" s="206"/>
      <c r="NBB22" s="206"/>
      <c r="NBC22" s="206"/>
      <c r="NBD22" s="206"/>
      <c r="NBE22" s="206"/>
      <c r="NBF22" s="206"/>
      <c r="NBG22" s="206"/>
      <c r="NBH22" s="206"/>
      <c r="NBI22" s="206"/>
      <c r="NBJ22" s="206"/>
      <c r="NBK22" s="206"/>
      <c r="NBL22" s="206"/>
      <c r="NBM22" s="206"/>
      <c r="NBN22" s="206"/>
      <c r="NBO22" s="206"/>
      <c r="NBP22" s="206"/>
      <c r="NBQ22" s="206"/>
      <c r="NBR22" s="206"/>
      <c r="NBS22" s="206"/>
      <c r="NBT22" s="206"/>
      <c r="NBU22" s="206"/>
      <c r="NBV22" s="206"/>
      <c r="NBW22" s="206"/>
      <c r="NBX22" s="206"/>
      <c r="NBY22" s="206"/>
      <c r="NBZ22" s="206"/>
      <c r="NCA22" s="206"/>
      <c r="NCB22" s="206"/>
      <c r="NCC22" s="206"/>
      <c r="NCD22" s="206"/>
      <c r="NCE22" s="206"/>
      <c r="NCF22" s="206"/>
      <c r="NCG22" s="206"/>
      <c r="NCH22" s="206"/>
      <c r="NCI22" s="206"/>
      <c r="NCJ22" s="206"/>
      <c r="NCK22" s="206"/>
      <c r="NCL22" s="206"/>
      <c r="NCM22" s="206"/>
      <c r="NCN22" s="206"/>
      <c r="NCO22" s="206"/>
      <c r="NCP22" s="206"/>
      <c r="NCQ22" s="206"/>
      <c r="NCR22" s="206"/>
      <c r="NCS22" s="206"/>
      <c r="NCT22" s="206"/>
      <c r="NCU22" s="206"/>
      <c r="NCV22" s="206"/>
      <c r="NCW22" s="206"/>
      <c r="NCX22" s="206"/>
      <c r="NCY22" s="206"/>
      <c r="NCZ22" s="206"/>
      <c r="NDA22" s="206"/>
      <c r="NDB22" s="206"/>
      <c r="NDC22" s="206"/>
      <c r="NDD22" s="206"/>
      <c r="NDE22" s="206"/>
      <c r="NDF22" s="206"/>
      <c r="NDG22" s="206"/>
      <c r="NDH22" s="206"/>
      <c r="NDI22" s="206"/>
      <c r="NDJ22" s="206"/>
      <c r="NDK22" s="206"/>
      <c r="NDL22" s="206"/>
      <c r="NDM22" s="206"/>
      <c r="NDN22" s="206"/>
      <c r="NDO22" s="206"/>
      <c r="NDP22" s="206"/>
      <c r="NDQ22" s="206"/>
      <c r="NDR22" s="206"/>
      <c r="NDS22" s="206"/>
      <c r="NDT22" s="206"/>
      <c r="NDU22" s="206"/>
      <c r="NDV22" s="206"/>
      <c r="NDW22" s="206"/>
      <c r="NDX22" s="206"/>
      <c r="NDY22" s="206"/>
      <c r="NDZ22" s="206"/>
      <c r="NEA22" s="206"/>
      <c r="NEB22" s="206"/>
      <c r="NEC22" s="206"/>
      <c r="NED22" s="206"/>
      <c r="NEE22" s="206"/>
      <c r="NEF22" s="206"/>
      <c r="NEG22" s="206"/>
      <c r="NEH22" s="206"/>
      <c r="NEI22" s="206"/>
      <c r="NEJ22" s="206"/>
      <c r="NEK22" s="206"/>
      <c r="NEL22" s="206"/>
      <c r="NEM22" s="206"/>
      <c r="NEN22" s="206"/>
      <c r="NEO22" s="206"/>
      <c r="NEP22" s="206"/>
      <c r="NEQ22" s="206"/>
      <c r="NER22" s="206"/>
      <c r="NES22" s="206"/>
      <c r="NET22" s="206"/>
      <c r="NEU22" s="206"/>
      <c r="NEV22" s="206"/>
      <c r="NEW22" s="206"/>
      <c r="NEX22" s="206"/>
      <c r="NEY22" s="206"/>
      <c r="NEZ22" s="206"/>
      <c r="NFA22" s="206"/>
      <c r="NFB22" s="206"/>
      <c r="NFC22" s="206"/>
      <c r="NFD22" s="206"/>
      <c r="NFE22" s="206"/>
      <c r="NFF22" s="206"/>
      <c r="NFG22" s="206"/>
      <c r="NFH22" s="206"/>
      <c r="NFI22" s="206"/>
      <c r="NFJ22" s="206"/>
      <c r="NFK22" s="206"/>
      <c r="NFL22" s="206"/>
      <c r="NFM22" s="206"/>
      <c r="NFN22" s="206"/>
      <c r="NFO22" s="206"/>
      <c r="NFP22" s="206"/>
      <c r="NFQ22" s="206"/>
      <c r="NFR22" s="206"/>
      <c r="NFS22" s="206"/>
      <c r="NFT22" s="206"/>
      <c r="NFU22" s="206"/>
      <c r="NFV22" s="206"/>
      <c r="NFW22" s="206"/>
      <c r="NFX22" s="206"/>
      <c r="NFY22" s="206"/>
      <c r="NFZ22" s="206"/>
      <c r="NGA22" s="206"/>
      <c r="NGB22" s="206"/>
      <c r="NGC22" s="206"/>
      <c r="NGD22" s="206"/>
      <c r="NGE22" s="206"/>
      <c r="NGF22" s="206"/>
      <c r="NGG22" s="206"/>
      <c r="NGH22" s="206"/>
      <c r="NGI22" s="206"/>
      <c r="NGJ22" s="206"/>
      <c r="NGK22" s="206"/>
      <c r="NGL22" s="206"/>
      <c r="NGM22" s="206"/>
      <c r="NGN22" s="206"/>
      <c r="NGO22" s="206"/>
      <c r="NGP22" s="206"/>
      <c r="NGQ22" s="206"/>
      <c r="NGR22" s="206"/>
      <c r="NGS22" s="206"/>
      <c r="NGT22" s="206"/>
      <c r="NGU22" s="206"/>
      <c r="NGV22" s="206"/>
      <c r="NGW22" s="206"/>
      <c r="NGX22" s="206"/>
      <c r="NGY22" s="206"/>
      <c r="NGZ22" s="206"/>
      <c r="NHA22" s="206"/>
      <c r="NHB22" s="206"/>
      <c r="NHC22" s="206"/>
      <c r="NHD22" s="206"/>
      <c r="NHE22" s="206"/>
      <c r="NHF22" s="206"/>
      <c r="NHG22" s="206"/>
      <c r="NHH22" s="206"/>
      <c r="NHI22" s="206"/>
      <c r="NHJ22" s="206"/>
      <c r="NHK22" s="206"/>
      <c r="NHL22" s="206"/>
      <c r="NHM22" s="206"/>
      <c r="NHN22" s="206"/>
      <c r="NHO22" s="206"/>
      <c r="NHP22" s="206"/>
      <c r="NHQ22" s="206"/>
      <c r="NHR22" s="206"/>
      <c r="NHS22" s="206"/>
      <c r="NHT22" s="206"/>
      <c r="NHU22" s="206"/>
      <c r="NHV22" s="206"/>
      <c r="NHW22" s="206"/>
      <c r="NHX22" s="206"/>
      <c r="NHY22" s="206"/>
      <c r="NHZ22" s="206"/>
      <c r="NIA22" s="206"/>
      <c r="NIB22" s="206"/>
      <c r="NIC22" s="206"/>
      <c r="NID22" s="206"/>
      <c r="NIE22" s="206"/>
      <c r="NIF22" s="206"/>
      <c r="NIG22" s="206"/>
      <c r="NIH22" s="206"/>
      <c r="NII22" s="206"/>
      <c r="NIJ22" s="206"/>
      <c r="NIK22" s="206"/>
      <c r="NIL22" s="206"/>
      <c r="NIM22" s="206"/>
      <c r="NIN22" s="206"/>
      <c r="NIO22" s="206"/>
      <c r="NIP22" s="206"/>
      <c r="NIQ22" s="206"/>
      <c r="NIR22" s="206"/>
      <c r="NIS22" s="206"/>
      <c r="NIT22" s="206"/>
      <c r="NIU22" s="206"/>
      <c r="NIV22" s="206"/>
      <c r="NIW22" s="206"/>
      <c r="NIX22" s="206"/>
      <c r="NIY22" s="206"/>
      <c r="NIZ22" s="206"/>
      <c r="NJA22" s="206"/>
      <c r="NJB22" s="206"/>
      <c r="NJC22" s="206"/>
      <c r="NJD22" s="206"/>
      <c r="NJE22" s="206"/>
      <c r="NJF22" s="206"/>
      <c r="NJG22" s="206"/>
      <c r="NJH22" s="206"/>
      <c r="NJI22" s="206"/>
      <c r="NJJ22" s="206"/>
      <c r="NJK22" s="206"/>
      <c r="NJL22" s="206"/>
      <c r="NJM22" s="206"/>
      <c r="NJN22" s="206"/>
      <c r="NJO22" s="206"/>
      <c r="NJP22" s="206"/>
      <c r="NJQ22" s="206"/>
      <c r="NJR22" s="206"/>
      <c r="NJS22" s="206"/>
      <c r="NJT22" s="206"/>
      <c r="NJU22" s="206"/>
      <c r="NJV22" s="206"/>
      <c r="NJW22" s="206"/>
      <c r="NJX22" s="206"/>
      <c r="NJY22" s="206"/>
      <c r="NJZ22" s="206"/>
      <c r="NKA22" s="206"/>
      <c r="NKB22" s="206"/>
      <c r="NKC22" s="206"/>
      <c r="NKD22" s="206"/>
      <c r="NKE22" s="206"/>
      <c r="NKF22" s="206"/>
      <c r="NKG22" s="206"/>
      <c r="NKH22" s="206"/>
      <c r="NKI22" s="206"/>
      <c r="NKJ22" s="206"/>
      <c r="NKK22" s="206"/>
      <c r="NKL22" s="206"/>
      <c r="NKM22" s="206"/>
      <c r="NKN22" s="206"/>
      <c r="NKO22" s="206"/>
      <c r="NKP22" s="206"/>
      <c r="NKQ22" s="206"/>
      <c r="NKR22" s="206"/>
      <c r="NKS22" s="206"/>
      <c r="NKT22" s="206"/>
      <c r="NKU22" s="206"/>
      <c r="NKV22" s="206"/>
      <c r="NKW22" s="206"/>
      <c r="NKX22" s="206"/>
      <c r="NKY22" s="206"/>
      <c r="NKZ22" s="206"/>
      <c r="NLA22" s="206"/>
      <c r="NLB22" s="206"/>
      <c r="NLC22" s="206"/>
      <c r="NLD22" s="206"/>
      <c r="NLE22" s="206"/>
      <c r="NLF22" s="206"/>
      <c r="NLG22" s="206"/>
      <c r="NLH22" s="206"/>
      <c r="NLI22" s="206"/>
      <c r="NLJ22" s="206"/>
      <c r="NLK22" s="206"/>
      <c r="NLL22" s="206"/>
      <c r="NLM22" s="206"/>
      <c r="NLN22" s="206"/>
      <c r="NLO22" s="206"/>
      <c r="NLP22" s="206"/>
      <c r="NLQ22" s="206"/>
      <c r="NLR22" s="206"/>
      <c r="NLS22" s="206"/>
      <c r="NLT22" s="206"/>
      <c r="NLU22" s="206"/>
      <c r="NLV22" s="206"/>
      <c r="NLW22" s="206"/>
      <c r="NLX22" s="206"/>
      <c r="NLY22" s="206"/>
      <c r="NLZ22" s="206"/>
      <c r="NMA22" s="206"/>
      <c r="NMB22" s="206"/>
      <c r="NMC22" s="206"/>
      <c r="NMD22" s="206"/>
      <c r="NME22" s="206"/>
      <c r="NMF22" s="206"/>
      <c r="NMG22" s="206"/>
      <c r="NMH22" s="206"/>
      <c r="NMI22" s="206"/>
      <c r="NMJ22" s="206"/>
      <c r="NMK22" s="206"/>
      <c r="NML22" s="206"/>
      <c r="NMM22" s="206"/>
      <c r="NMN22" s="206"/>
      <c r="NMO22" s="206"/>
      <c r="NMP22" s="206"/>
      <c r="NMQ22" s="206"/>
      <c r="NMR22" s="206"/>
      <c r="NMS22" s="206"/>
      <c r="NMT22" s="206"/>
      <c r="NMU22" s="206"/>
      <c r="NMV22" s="206"/>
      <c r="NMW22" s="206"/>
      <c r="NMX22" s="206"/>
      <c r="NMY22" s="206"/>
      <c r="NMZ22" s="206"/>
      <c r="NNA22" s="206"/>
      <c r="NNB22" s="206"/>
      <c r="NNC22" s="206"/>
      <c r="NND22" s="206"/>
      <c r="NNE22" s="206"/>
      <c r="NNF22" s="206"/>
      <c r="NNG22" s="206"/>
      <c r="NNH22" s="206"/>
      <c r="NNI22" s="206"/>
      <c r="NNJ22" s="206"/>
      <c r="NNK22" s="206"/>
      <c r="NNL22" s="206"/>
      <c r="NNM22" s="206"/>
      <c r="NNN22" s="206"/>
      <c r="NNO22" s="206"/>
      <c r="NNP22" s="206"/>
      <c r="NNQ22" s="206"/>
      <c r="NNR22" s="206"/>
      <c r="NNS22" s="206"/>
      <c r="NNT22" s="206"/>
      <c r="NNU22" s="206"/>
      <c r="NNV22" s="206"/>
      <c r="NNW22" s="206"/>
      <c r="NNX22" s="206"/>
      <c r="NNY22" s="206"/>
      <c r="NNZ22" s="206"/>
      <c r="NOA22" s="206"/>
      <c r="NOB22" s="206"/>
      <c r="NOC22" s="206"/>
      <c r="NOD22" s="206"/>
      <c r="NOE22" s="206"/>
      <c r="NOF22" s="206"/>
      <c r="NOG22" s="206"/>
      <c r="NOH22" s="206"/>
      <c r="NOI22" s="206"/>
      <c r="NOJ22" s="206"/>
      <c r="NOK22" s="206"/>
      <c r="NOL22" s="206"/>
      <c r="NOM22" s="206"/>
      <c r="NON22" s="206"/>
      <c r="NOO22" s="206"/>
      <c r="NOP22" s="206"/>
      <c r="NOQ22" s="206"/>
      <c r="NOR22" s="206"/>
      <c r="NOS22" s="206"/>
      <c r="NOT22" s="206"/>
      <c r="NOU22" s="206"/>
      <c r="NOV22" s="206"/>
      <c r="NOW22" s="206"/>
      <c r="NOX22" s="206"/>
      <c r="NOY22" s="206"/>
      <c r="NOZ22" s="206"/>
      <c r="NPA22" s="206"/>
      <c r="NPB22" s="206"/>
      <c r="NPC22" s="206"/>
      <c r="NPD22" s="206"/>
      <c r="NPE22" s="206"/>
      <c r="NPF22" s="206"/>
      <c r="NPG22" s="206"/>
      <c r="NPH22" s="206"/>
      <c r="NPI22" s="206"/>
      <c r="NPJ22" s="206"/>
      <c r="NPK22" s="206"/>
      <c r="NPL22" s="206"/>
      <c r="NPM22" s="206"/>
      <c r="NPN22" s="206"/>
      <c r="NPO22" s="206"/>
      <c r="NPP22" s="206"/>
      <c r="NPQ22" s="206"/>
      <c r="NPR22" s="206"/>
      <c r="NPS22" s="206"/>
      <c r="NPT22" s="206"/>
      <c r="NPU22" s="206"/>
      <c r="NPV22" s="206"/>
      <c r="NPW22" s="206"/>
      <c r="NPX22" s="206"/>
      <c r="NPY22" s="206"/>
      <c r="NPZ22" s="206"/>
      <c r="NQA22" s="206"/>
      <c r="NQB22" s="206"/>
      <c r="NQC22" s="206"/>
      <c r="NQD22" s="206"/>
      <c r="NQE22" s="206"/>
      <c r="NQF22" s="206"/>
      <c r="NQG22" s="206"/>
      <c r="NQH22" s="206"/>
      <c r="NQI22" s="206"/>
      <c r="NQJ22" s="206"/>
      <c r="NQK22" s="206"/>
      <c r="NQL22" s="206"/>
      <c r="NQM22" s="206"/>
      <c r="NQN22" s="206"/>
      <c r="NQO22" s="206"/>
      <c r="NQP22" s="206"/>
      <c r="NQQ22" s="206"/>
      <c r="NQR22" s="206"/>
      <c r="NQS22" s="206"/>
      <c r="NQT22" s="206"/>
      <c r="NQU22" s="206"/>
      <c r="NQV22" s="206"/>
      <c r="NQW22" s="206"/>
      <c r="NQX22" s="206"/>
      <c r="NQY22" s="206"/>
      <c r="NQZ22" s="206"/>
      <c r="NRA22" s="206"/>
      <c r="NRB22" s="206"/>
      <c r="NRC22" s="206"/>
      <c r="NRD22" s="206"/>
      <c r="NRE22" s="206"/>
      <c r="NRF22" s="206"/>
      <c r="NRG22" s="206"/>
      <c r="NRH22" s="206"/>
      <c r="NRI22" s="206"/>
      <c r="NRJ22" s="206"/>
      <c r="NRK22" s="206"/>
      <c r="NRL22" s="206"/>
      <c r="NRM22" s="206"/>
      <c r="NRN22" s="206"/>
      <c r="NRO22" s="206"/>
      <c r="NRP22" s="206"/>
      <c r="NRQ22" s="206"/>
      <c r="NRR22" s="206"/>
      <c r="NRS22" s="206"/>
      <c r="NRT22" s="206"/>
      <c r="NRU22" s="206"/>
      <c r="NRV22" s="206"/>
      <c r="NRW22" s="206"/>
      <c r="NRX22" s="206"/>
      <c r="NRY22" s="206"/>
      <c r="NRZ22" s="206"/>
      <c r="NSA22" s="206"/>
      <c r="NSB22" s="206"/>
      <c r="NSC22" s="206"/>
      <c r="NSD22" s="206"/>
      <c r="NSE22" s="206"/>
      <c r="NSF22" s="206"/>
      <c r="NSG22" s="206"/>
      <c r="NSH22" s="206"/>
      <c r="NSI22" s="206"/>
      <c r="NSJ22" s="206"/>
      <c r="NSK22" s="206"/>
      <c r="NSL22" s="206"/>
      <c r="NSM22" s="206"/>
      <c r="NSN22" s="206"/>
      <c r="NSO22" s="206"/>
      <c r="NSP22" s="206"/>
      <c r="NSQ22" s="206"/>
      <c r="NSR22" s="206"/>
      <c r="NSS22" s="206"/>
      <c r="NST22" s="206"/>
      <c r="NSU22" s="206"/>
      <c r="NSV22" s="206"/>
      <c r="NSW22" s="206"/>
      <c r="NSX22" s="206"/>
      <c r="NSY22" s="206"/>
      <c r="NSZ22" s="206"/>
      <c r="NTA22" s="206"/>
      <c r="NTB22" s="206"/>
      <c r="NTC22" s="206"/>
      <c r="NTD22" s="206"/>
      <c r="NTE22" s="206"/>
      <c r="NTF22" s="206"/>
      <c r="NTG22" s="206"/>
      <c r="NTH22" s="206"/>
      <c r="NTI22" s="206"/>
      <c r="NTJ22" s="206"/>
      <c r="NTK22" s="206"/>
      <c r="NTL22" s="206"/>
      <c r="NTM22" s="206"/>
      <c r="NTN22" s="206"/>
      <c r="NTO22" s="206"/>
      <c r="NTP22" s="206"/>
      <c r="NTQ22" s="206"/>
      <c r="NTR22" s="206"/>
      <c r="NTS22" s="206"/>
      <c r="NTT22" s="206"/>
      <c r="NTU22" s="206"/>
      <c r="NTV22" s="206"/>
      <c r="NTW22" s="206"/>
      <c r="NTX22" s="206"/>
      <c r="NTY22" s="206"/>
      <c r="NTZ22" s="206"/>
      <c r="NUA22" s="206"/>
      <c r="NUB22" s="206"/>
      <c r="NUC22" s="206"/>
      <c r="NUD22" s="206"/>
      <c r="NUE22" s="206"/>
      <c r="NUF22" s="206"/>
      <c r="NUG22" s="206"/>
      <c r="NUH22" s="206"/>
      <c r="NUI22" s="206"/>
      <c r="NUJ22" s="206"/>
      <c r="NUK22" s="206"/>
      <c r="NUL22" s="206"/>
      <c r="NUM22" s="206"/>
      <c r="NUN22" s="206"/>
      <c r="NUO22" s="206"/>
      <c r="NUP22" s="206"/>
      <c r="NUQ22" s="206"/>
      <c r="NUR22" s="206"/>
      <c r="NUS22" s="206"/>
      <c r="NUT22" s="206"/>
      <c r="NUU22" s="206"/>
      <c r="NUV22" s="206"/>
      <c r="NUW22" s="206"/>
      <c r="NUX22" s="206"/>
      <c r="NUY22" s="206"/>
      <c r="NUZ22" s="206"/>
      <c r="NVA22" s="206"/>
      <c r="NVB22" s="206"/>
      <c r="NVC22" s="206"/>
      <c r="NVD22" s="206"/>
      <c r="NVE22" s="206"/>
      <c r="NVF22" s="206"/>
      <c r="NVG22" s="206"/>
      <c r="NVH22" s="206"/>
      <c r="NVI22" s="206"/>
      <c r="NVJ22" s="206"/>
      <c r="NVK22" s="206"/>
      <c r="NVL22" s="206"/>
      <c r="NVM22" s="206"/>
      <c r="NVN22" s="206"/>
      <c r="NVO22" s="206"/>
      <c r="NVP22" s="206"/>
      <c r="NVQ22" s="206"/>
      <c r="NVR22" s="206"/>
      <c r="NVS22" s="206"/>
      <c r="NVT22" s="206"/>
      <c r="NVU22" s="206"/>
      <c r="NVV22" s="206"/>
      <c r="NVW22" s="206"/>
      <c r="NVX22" s="206"/>
      <c r="NVY22" s="206"/>
      <c r="NVZ22" s="206"/>
      <c r="NWA22" s="206"/>
      <c r="NWB22" s="206"/>
      <c r="NWC22" s="206"/>
      <c r="NWD22" s="206"/>
      <c r="NWE22" s="206"/>
      <c r="NWF22" s="206"/>
      <c r="NWG22" s="206"/>
      <c r="NWH22" s="206"/>
      <c r="NWI22" s="206"/>
      <c r="NWJ22" s="206"/>
      <c r="NWK22" s="206"/>
      <c r="NWL22" s="206"/>
      <c r="NWM22" s="206"/>
      <c r="NWN22" s="206"/>
      <c r="NWO22" s="206"/>
      <c r="NWP22" s="206"/>
      <c r="NWQ22" s="206"/>
      <c r="NWR22" s="206"/>
      <c r="NWS22" s="206"/>
      <c r="NWT22" s="206"/>
      <c r="NWU22" s="206"/>
      <c r="NWV22" s="206"/>
      <c r="NWW22" s="206"/>
      <c r="NWX22" s="206"/>
      <c r="NWY22" s="206"/>
      <c r="NWZ22" s="206"/>
      <c r="NXA22" s="206"/>
      <c r="NXB22" s="206"/>
      <c r="NXC22" s="206"/>
      <c r="NXD22" s="206"/>
      <c r="NXE22" s="206"/>
      <c r="NXF22" s="206"/>
      <c r="NXG22" s="206"/>
      <c r="NXH22" s="206"/>
      <c r="NXI22" s="206"/>
      <c r="NXJ22" s="206"/>
      <c r="NXK22" s="206"/>
      <c r="NXL22" s="206"/>
      <c r="NXM22" s="206"/>
      <c r="NXN22" s="206"/>
      <c r="NXO22" s="206"/>
      <c r="NXP22" s="206"/>
      <c r="NXQ22" s="206"/>
      <c r="NXR22" s="206"/>
      <c r="NXS22" s="206"/>
      <c r="NXT22" s="206"/>
      <c r="NXU22" s="206"/>
      <c r="NXV22" s="206"/>
      <c r="NXW22" s="206"/>
      <c r="NXX22" s="206"/>
      <c r="NXY22" s="206"/>
      <c r="NXZ22" s="206"/>
      <c r="NYA22" s="206"/>
      <c r="NYB22" s="206"/>
      <c r="NYC22" s="206"/>
      <c r="NYD22" s="206"/>
      <c r="NYE22" s="206"/>
      <c r="NYF22" s="206"/>
      <c r="NYG22" s="206"/>
      <c r="NYH22" s="206"/>
      <c r="NYI22" s="206"/>
      <c r="NYJ22" s="206"/>
      <c r="NYK22" s="206"/>
      <c r="NYL22" s="206"/>
      <c r="NYM22" s="206"/>
      <c r="NYN22" s="206"/>
      <c r="NYO22" s="206"/>
      <c r="NYP22" s="206"/>
      <c r="NYQ22" s="206"/>
      <c r="NYR22" s="206"/>
      <c r="NYS22" s="206"/>
      <c r="NYT22" s="206"/>
      <c r="NYU22" s="206"/>
      <c r="NYV22" s="206"/>
      <c r="NYW22" s="206"/>
      <c r="NYX22" s="206"/>
      <c r="NYY22" s="206"/>
      <c r="NYZ22" s="206"/>
      <c r="NZA22" s="206"/>
      <c r="NZB22" s="206"/>
      <c r="NZC22" s="206"/>
      <c r="NZD22" s="206"/>
      <c r="NZE22" s="206"/>
      <c r="NZF22" s="206"/>
      <c r="NZG22" s="206"/>
      <c r="NZH22" s="206"/>
      <c r="NZI22" s="206"/>
      <c r="NZJ22" s="206"/>
      <c r="NZK22" s="206"/>
      <c r="NZL22" s="206"/>
      <c r="NZM22" s="206"/>
      <c r="NZN22" s="206"/>
      <c r="NZO22" s="206"/>
      <c r="NZP22" s="206"/>
      <c r="NZQ22" s="206"/>
      <c r="NZR22" s="206"/>
      <c r="NZS22" s="206"/>
      <c r="NZT22" s="206"/>
      <c r="NZU22" s="206"/>
      <c r="NZV22" s="206"/>
      <c r="NZW22" s="206"/>
      <c r="NZX22" s="206"/>
      <c r="NZY22" s="206"/>
      <c r="NZZ22" s="206"/>
      <c r="OAA22" s="206"/>
      <c r="OAB22" s="206"/>
      <c r="OAC22" s="206"/>
      <c r="OAD22" s="206"/>
      <c r="OAE22" s="206"/>
      <c r="OAF22" s="206"/>
      <c r="OAG22" s="206"/>
      <c r="OAH22" s="206"/>
      <c r="OAI22" s="206"/>
      <c r="OAJ22" s="206"/>
      <c r="OAK22" s="206"/>
      <c r="OAL22" s="206"/>
      <c r="OAM22" s="206"/>
      <c r="OAN22" s="206"/>
      <c r="OAO22" s="206"/>
      <c r="OAP22" s="206"/>
      <c r="OAQ22" s="206"/>
      <c r="OAR22" s="206"/>
      <c r="OAS22" s="206"/>
      <c r="OAT22" s="206"/>
      <c r="OAU22" s="206"/>
      <c r="OAV22" s="206"/>
      <c r="OAW22" s="206"/>
      <c r="OAX22" s="206"/>
      <c r="OAY22" s="206"/>
      <c r="OAZ22" s="206"/>
      <c r="OBA22" s="206"/>
      <c r="OBB22" s="206"/>
      <c r="OBC22" s="206"/>
      <c r="OBD22" s="206"/>
      <c r="OBE22" s="206"/>
      <c r="OBF22" s="206"/>
      <c r="OBG22" s="206"/>
      <c r="OBH22" s="206"/>
      <c r="OBI22" s="206"/>
      <c r="OBJ22" s="206"/>
      <c r="OBK22" s="206"/>
      <c r="OBL22" s="206"/>
      <c r="OBM22" s="206"/>
      <c r="OBN22" s="206"/>
      <c r="OBO22" s="206"/>
      <c r="OBP22" s="206"/>
      <c r="OBQ22" s="206"/>
      <c r="OBR22" s="206"/>
      <c r="OBS22" s="206"/>
      <c r="OBT22" s="206"/>
      <c r="OBU22" s="206"/>
      <c r="OBV22" s="206"/>
      <c r="OBW22" s="206"/>
      <c r="OBX22" s="206"/>
      <c r="OBY22" s="206"/>
      <c r="OBZ22" s="206"/>
      <c r="OCA22" s="206"/>
      <c r="OCB22" s="206"/>
      <c r="OCC22" s="206"/>
      <c r="OCD22" s="206"/>
      <c r="OCE22" s="206"/>
      <c r="OCF22" s="206"/>
      <c r="OCG22" s="206"/>
      <c r="OCH22" s="206"/>
      <c r="OCI22" s="206"/>
      <c r="OCJ22" s="206"/>
      <c r="OCK22" s="206"/>
      <c r="OCL22" s="206"/>
      <c r="OCM22" s="206"/>
      <c r="OCN22" s="206"/>
      <c r="OCO22" s="206"/>
      <c r="OCP22" s="206"/>
      <c r="OCQ22" s="206"/>
      <c r="OCR22" s="206"/>
      <c r="OCS22" s="206"/>
      <c r="OCT22" s="206"/>
      <c r="OCU22" s="206"/>
      <c r="OCV22" s="206"/>
      <c r="OCW22" s="206"/>
      <c r="OCX22" s="206"/>
      <c r="OCY22" s="206"/>
      <c r="OCZ22" s="206"/>
      <c r="ODA22" s="206"/>
      <c r="ODB22" s="206"/>
      <c r="ODC22" s="206"/>
      <c r="ODD22" s="206"/>
      <c r="ODE22" s="206"/>
      <c r="ODF22" s="206"/>
      <c r="ODG22" s="206"/>
      <c r="ODH22" s="206"/>
      <c r="ODI22" s="206"/>
      <c r="ODJ22" s="206"/>
      <c r="ODK22" s="206"/>
      <c r="ODL22" s="206"/>
      <c r="ODM22" s="206"/>
      <c r="ODN22" s="206"/>
      <c r="ODO22" s="206"/>
      <c r="ODP22" s="206"/>
      <c r="ODQ22" s="206"/>
      <c r="ODR22" s="206"/>
      <c r="ODS22" s="206"/>
      <c r="ODT22" s="206"/>
      <c r="ODU22" s="206"/>
      <c r="ODV22" s="206"/>
      <c r="ODW22" s="206"/>
      <c r="ODX22" s="206"/>
      <c r="ODY22" s="206"/>
      <c r="ODZ22" s="206"/>
      <c r="OEA22" s="206"/>
      <c r="OEB22" s="206"/>
      <c r="OEC22" s="206"/>
      <c r="OED22" s="206"/>
      <c r="OEE22" s="206"/>
      <c r="OEF22" s="206"/>
      <c r="OEG22" s="206"/>
      <c r="OEH22" s="206"/>
      <c r="OEI22" s="206"/>
      <c r="OEJ22" s="206"/>
      <c r="OEK22" s="206"/>
      <c r="OEL22" s="206"/>
      <c r="OEM22" s="206"/>
      <c r="OEN22" s="206"/>
      <c r="OEO22" s="206"/>
      <c r="OEP22" s="206"/>
      <c r="OEQ22" s="206"/>
      <c r="OER22" s="206"/>
      <c r="OES22" s="206"/>
      <c r="OET22" s="206"/>
      <c r="OEU22" s="206"/>
      <c r="OEV22" s="206"/>
      <c r="OEW22" s="206"/>
      <c r="OEX22" s="206"/>
      <c r="OEY22" s="206"/>
      <c r="OEZ22" s="206"/>
      <c r="OFA22" s="206"/>
      <c r="OFB22" s="206"/>
      <c r="OFC22" s="206"/>
      <c r="OFD22" s="206"/>
      <c r="OFE22" s="206"/>
      <c r="OFF22" s="206"/>
      <c r="OFG22" s="206"/>
      <c r="OFH22" s="206"/>
      <c r="OFI22" s="206"/>
      <c r="OFJ22" s="206"/>
      <c r="OFK22" s="206"/>
      <c r="OFL22" s="206"/>
      <c r="OFM22" s="206"/>
      <c r="OFN22" s="206"/>
      <c r="OFO22" s="206"/>
      <c r="OFP22" s="206"/>
      <c r="OFQ22" s="206"/>
      <c r="OFR22" s="206"/>
      <c r="OFS22" s="206"/>
      <c r="OFT22" s="206"/>
      <c r="OFU22" s="206"/>
      <c r="OFV22" s="206"/>
      <c r="OFW22" s="206"/>
      <c r="OFX22" s="206"/>
      <c r="OFY22" s="206"/>
      <c r="OFZ22" s="206"/>
      <c r="OGA22" s="206"/>
      <c r="OGB22" s="206"/>
      <c r="OGC22" s="206"/>
      <c r="OGD22" s="206"/>
      <c r="OGE22" s="206"/>
      <c r="OGF22" s="206"/>
      <c r="OGG22" s="206"/>
      <c r="OGH22" s="206"/>
      <c r="OGI22" s="206"/>
      <c r="OGJ22" s="206"/>
      <c r="OGK22" s="206"/>
      <c r="OGL22" s="206"/>
      <c r="OGM22" s="206"/>
      <c r="OGN22" s="206"/>
      <c r="OGO22" s="206"/>
      <c r="OGP22" s="206"/>
      <c r="OGQ22" s="206"/>
      <c r="OGR22" s="206"/>
      <c r="OGS22" s="206"/>
      <c r="OGT22" s="206"/>
      <c r="OGU22" s="206"/>
      <c r="OGV22" s="206"/>
      <c r="OGW22" s="206"/>
      <c r="OGX22" s="206"/>
      <c r="OGY22" s="206"/>
      <c r="OGZ22" s="206"/>
      <c r="OHA22" s="206"/>
      <c r="OHB22" s="206"/>
      <c r="OHC22" s="206"/>
      <c r="OHD22" s="206"/>
      <c r="OHE22" s="206"/>
      <c r="OHF22" s="206"/>
      <c r="OHG22" s="206"/>
      <c r="OHH22" s="206"/>
      <c r="OHI22" s="206"/>
      <c r="OHJ22" s="206"/>
      <c r="OHK22" s="206"/>
      <c r="OHL22" s="206"/>
      <c r="OHM22" s="206"/>
      <c r="OHN22" s="206"/>
      <c r="OHO22" s="206"/>
      <c r="OHP22" s="206"/>
      <c r="OHQ22" s="206"/>
      <c r="OHR22" s="206"/>
      <c r="OHS22" s="206"/>
      <c r="OHT22" s="206"/>
      <c r="OHU22" s="206"/>
      <c r="OHV22" s="206"/>
      <c r="OHW22" s="206"/>
      <c r="OHX22" s="206"/>
      <c r="OHY22" s="206"/>
      <c r="OHZ22" s="206"/>
      <c r="OIA22" s="206"/>
      <c r="OIB22" s="206"/>
      <c r="OIC22" s="206"/>
      <c r="OID22" s="206"/>
      <c r="OIE22" s="206"/>
      <c r="OIF22" s="206"/>
      <c r="OIG22" s="206"/>
      <c r="OIH22" s="206"/>
      <c r="OII22" s="206"/>
      <c r="OIJ22" s="206"/>
      <c r="OIK22" s="206"/>
      <c r="OIL22" s="206"/>
      <c r="OIM22" s="206"/>
      <c r="OIN22" s="206"/>
      <c r="OIO22" s="206"/>
      <c r="OIP22" s="206"/>
      <c r="OIQ22" s="206"/>
      <c r="OIR22" s="206"/>
      <c r="OIS22" s="206"/>
      <c r="OIT22" s="206"/>
      <c r="OIU22" s="206"/>
      <c r="OIV22" s="206"/>
      <c r="OIW22" s="206"/>
      <c r="OIX22" s="206"/>
      <c r="OIY22" s="206"/>
      <c r="OIZ22" s="206"/>
      <c r="OJA22" s="206"/>
      <c r="OJB22" s="206"/>
      <c r="OJC22" s="206"/>
      <c r="OJD22" s="206"/>
      <c r="OJE22" s="206"/>
      <c r="OJF22" s="206"/>
      <c r="OJG22" s="206"/>
      <c r="OJH22" s="206"/>
      <c r="OJI22" s="206"/>
      <c r="OJJ22" s="206"/>
      <c r="OJK22" s="206"/>
      <c r="OJL22" s="206"/>
      <c r="OJM22" s="206"/>
      <c r="OJN22" s="206"/>
      <c r="OJO22" s="206"/>
      <c r="OJP22" s="206"/>
      <c r="OJQ22" s="206"/>
      <c r="OJR22" s="206"/>
      <c r="OJS22" s="206"/>
      <c r="OJT22" s="206"/>
      <c r="OJU22" s="206"/>
      <c r="OJV22" s="206"/>
      <c r="OJW22" s="206"/>
      <c r="OJX22" s="206"/>
      <c r="OJY22" s="206"/>
      <c r="OJZ22" s="206"/>
      <c r="OKA22" s="206"/>
      <c r="OKB22" s="206"/>
      <c r="OKC22" s="206"/>
      <c r="OKD22" s="206"/>
      <c r="OKE22" s="206"/>
      <c r="OKF22" s="206"/>
      <c r="OKG22" s="206"/>
      <c r="OKH22" s="206"/>
      <c r="OKI22" s="206"/>
      <c r="OKJ22" s="206"/>
      <c r="OKK22" s="206"/>
      <c r="OKL22" s="206"/>
      <c r="OKM22" s="206"/>
      <c r="OKN22" s="206"/>
      <c r="OKO22" s="206"/>
      <c r="OKP22" s="206"/>
      <c r="OKQ22" s="206"/>
      <c r="OKR22" s="206"/>
      <c r="OKS22" s="206"/>
      <c r="OKT22" s="206"/>
      <c r="OKU22" s="206"/>
      <c r="OKV22" s="206"/>
      <c r="OKW22" s="206"/>
      <c r="OKX22" s="206"/>
      <c r="OKY22" s="206"/>
      <c r="OKZ22" s="206"/>
      <c r="OLA22" s="206"/>
      <c r="OLB22" s="206"/>
      <c r="OLC22" s="206"/>
      <c r="OLD22" s="206"/>
      <c r="OLE22" s="206"/>
      <c r="OLF22" s="206"/>
      <c r="OLG22" s="206"/>
      <c r="OLH22" s="206"/>
      <c r="OLI22" s="206"/>
      <c r="OLJ22" s="206"/>
      <c r="OLK22" s="206"/>
      <c r="OLL22" s="206"/>
      <c r="OLM22" s="206"/>
      <c r="OLN22" s="206"/>
      <c r="OLO22" s="206"/>
      <c r="OLP22" s="206"/>
      <c r="OLQ22" s="206"/>
      <c r="OLR22" s="206"/>
      <c r="OLS22" s="206"/>
      <c r="OLT22" s="206"/>
      <c r="OLU22" s="206"/>
      <c r="OLV22" s="206"/>
      <c r="OLW22" s="206"/>
      <c r="OLX22" s="206"/>
      <c r="OLY22" s="206"/>
      <c r="OLZ22" s="206"/>
      <c r="OMA22" s="206"/>
      <c r="OMB22" s="206"/>
      <c r="OMC22" s="206"/>
      <c r="OMD22" s="206"/>
      <c r="OME22" s="206"/>
      <c r="OMF22" s="206"/>
      <c r="OMG22" s="206"/>
      <c r="OMH22" s="206"/>
      <c r="OMI22" s="206"/>
      <c r="OMJ22" s="206"/>
      <c r="OMK22" s="206"/>
      <c r="OML22" s="206"/>
      <c r="OMM22" s="206"/>
      <c r="OMN22" s="206"/>
      <c r="OMO22" s="206"/>
      <c r="OMP22" s="206"/>
      <c r="OMQ22" s="206"/>
      <c r="OMR22" s="206"/>
      <c r="OMS22" s="206"/>
      <c r="OMT22" s="206"/>
      <c r="OMU22" s="206"/>
      <c r="OMV22" s="206"/>
      <c r="OMW22" s="206"/>
      <c r="OMX22" s="206"/>
      <c r="OMY22" s="206"/>
      <c r="OMZ22" s="206"/>
      <c r="ONA22" s="206"/>
      <c r="ONB22" s="206"/>
      <c r="ONC22" s="206"/>
      <c r="OND22" s="206"/>
      <c r="ONE22" s="206"/>
      <c r="ONF22" s="206"/>
      <c r="ONG22" s="206"/>
      <c r="ONH22" s="206"/>
      <c r="ONI22" s="206"/>
      <c r="ONJ22" s="206"/>
      <c r="ONK22" s="206"/>
      <c r="ONL22" s="206"/>
      <c r="ONM22" s="206"/>
      <c r="ONN22" s="206"/>
      <c r="ONO22" s="206"/>
      <c r="ONP22" s="206"/>
      <c r="ONQ22" s="206"/>
      <c r="ONR22" s="206"/>
      <c r="ONS22" s="206"/>
      <c r="ONT22" s="206"/>
      <c r="ONU22" s="206"/>
      <c r="ONV22" s="206"/>
      <c r="ONW22" s="206"/>
      <c r="ONX22" s="206"/>
      <c r="ONY22" s="206"/>
      <c r="ONZ22" s="206"/>
      <c r="OOA22" s="206"/>
      <c r="OOB22" s="206"/>
      <c r="OOC22" s="206"/>
      <c r="OOD22" s="206"/>
      <c r="OOE22" s="206"/>
      <c r="OOF22" s="206"/>
      <c r="OOG22" s="206"/>
      <c r="OOH22" s="206"/>
      <c r="OOI22" s="206"/>
      <c r="OOJ22" s="206"/>
      <c r="OOK22" s="206"/>
      <c r="OOL22" s="206"/>
      <c r="OOM22" s="206"/>
      <c r="OON22" s="206"/>
      <c r="OOO22" s="206"/>
      <c r="OOP22" s="206"/>
      <c r="OOQ22" s="206"/>
      <c r="OOR22" s="206"/>
      <c r="OOS22" s="206"/>
      <c r="OOT22" s="206"/>
      <c r="OOU22" s="206"/>
      <c r="OOV22" s="206"/>
      <c r="OOW22" s="206"/>
      <c r="OOX22" s="206"/>
      <c r="OOY22" s="206"/>
      <c r="OOZ22" s="206"/>
      <c r="OPA22" s="206"/>
      <c r="OPB22" s="206"/>
      <c r="OPC22" s="206"/>
      <c r="OPD22" s="206"/>
      <c r="OPE22" s="206"/>
      <c r="OPF22" s="206"/>
      <c r="OPG22" s="206"/>
      <c r="OPH22" s="206"/>
      <c r="OPI22" s="206"/>
      <c r="OPJ22" s="206"/>
      <c r="OPK22" s="206"/>
      <c r="OPL22" s="206"/>
      <c r="OPM22" s="206"/>
      <c r="OPN22" s="206"/>
      <c r="OPO22" s="206"/>
      <c r="OPP22" s="206"/>
      <c r="OPQ22" s="206"/>
      <c r="OPR22" s="206"/>
      <c r="OPS22" s="206"/>
      <c r="OPT22" s="206"/>
      <c r="OPU22" s="206"/>
      <c r="OPV22" s="206"/>
      <c r="OPW22" s="206"/>
      <c r="OPX22" s="206"/>
      <c r="OPY22" s="206"/>
      <c r="OPZ22" s="206"/>
      <c r="OQA22" s="206"/>
      <c r="OQB22" s="206"/>
      <c r="OQC22" s="206"/>
      <c r="OQD22" s="206"/>
      <c r="OQE22" s="206"/>
      <c r="OQF22" s="206"/>
      <c r="OQG22" s="206"/>
      <c r="OQH22" s="206"/>
      <c r="OQI22" s="206"/>
      <c r="OQJ22" s="206"/>
      <c r="OQK22" s="206"/>
      <c r="OQL22" s="206"/>
      <c r="OQM22" s="206"/>
      <c r="OQN22" s="206"/>
      <c r="OQO22" s="206"/>
      <c r="OQP22" s="206"/>
      <c r="OQQ22" s="206"/>
      <c r="OQR22" s="206"/>
      <c r="OQS22" s="206"/>
      <c r="OQT22" s="206"/>
      <c r="OQU22" s="206"/>
      <c r="OQV22" s="206"/>
      <c r="OQW22" s="206"/>
      <c r="OQX22" s="206"/>
      <c r="OQY22" s="206"/>
      <c r="OQZ22" s="206"/>
      <c r="ORA22" s="206"/>
      <c r="ORB22" s="206"/>
      <c r="ORC22" s="206"/>
      <c r="ORD22" s="206"/>
      <c r="ORE22" s="206"/>
      <c r="ORF22" s="206"/>
      <c r="ORG22" s="206"/>
      <c r="ORH22" s="206"/>
      <c r="ORI22" s="206"/>
      <c r="ORJ22" s="206"/>
      <c r="ORK22" s="206"/>
      <c r="ORL22" s="206"/>
      <c r="ORM22" s="206"/>
      <c r="ORN22" s="206"/>
      <c r="ORO22" s="206"/>
      <c r="ORP22" s="206"/>
      <c r="ORQ22" s="206"/>
      <c r="ORR22" s="206"/>
      <c r="ORS22" s="206"/>
      <c r="ORT22" s="206"/>
      <c r="ORU22" s="206"/>
      <c r="ORV22" s="206"/>
      <c r="ORW22" s="206"/>
      <c r="ORX22" s="206"/>
      <c r="ORY22" s="206"/>
      <c r="ORZ22" s="206"/>
      <c r="OSA22" s="206"/>
      <c r="OSB22" s="206"/>
      <c r="OSC22" s="206"/>
      <c r="OSD22" s="206"/>
      <c r="OSE22" s="206"/>
      <c r="OSF22" s="206"/>
      <c r="OSG22" s="206"/>
      <c r="OSH22" s="206"/>
      <c r="OSI22" s="206"/>
      <c r="OSJ22" s="206"/>
      <c r="OSK22" s="206"/>
      <c r="OSL22" s="206"/>
      <c r="OSM22" s="206"/>
      <c r="OSN22" s="206"/>
      <c r="OSO22" s="206"/>
      <c r="OSP22" s="206"/>
      <c r="OSQ22" s="206"/>
      <c r="OSR22" s="206"/>
      <c r="OSS22" s="206"/>
      <c r="OST22" s="206"/>
      <c r="OSU22" s="206"/>
      <c r="OSV22" s="206"/>
      <c r="OSW22" s="206"/>
      <c r="OSX22" s="206"/>
      <c r="OSY22" s="206"/>
      <c r="OSZ22" s="206"/>
      <c r="OTA22" s="206"/>
      <c r="OTB22" s="206"/>
      <c r="OTC22" s="206"/>
      <c r="OTD22" s="206"/>
      <c r="OTE22" s="206"/>
      <c r="OTF22" s="206"/>
      <c r="OTG22" s="206"/>
      <c r="OTH22" s="206"/>
      <c r="OTI22" s="206"/>
      <c r="OTJ22" s="206"/>
      <c r="OTK22" s="206"/>
      <c r="OTL22" s="206"/>
      <c r="OTM22" s="206"/>
      <c r="OTN22" s="206"/>
      <c r="OTO22" s="206"/>
      <c r="OTP22" s="206"/>
      <c r="OTQ22" s="206"/>
      <c r="OTR22" s="206"/>
      <c r="OTS22" s="206"/>
      <c r="OTT22" s="206"/>
      <c r="OTU22" s="206"/>
      <c r="OTV22" s="206"/>
      <c r="OTW22" s="206"/>
      <c r="OTX22" s="206"/>
      <c r="OTY22" s="206"/>
      <c r="OTZ22" s="206"/>
      <c r="OUA22" s="206"/>
      <c r="OUB22" s="206"/>
      <c r="OUC22" s="206"/>
      <c r="OUD22" s="206"/>
      <c r="OUE22" s="206"/>
      <c r="OUF22" s="206"/>
      <c r="OUG22" s="206"/>
      <c r="OUH22" s="206"/>
      <c r="OUI22" s="206"/>
      <c r="OUJ22" s="206"/>
      <c r="OUK22" s="206"/>
      <c r="OUL22" s="206"/>
      <c r="OUM22" s="206"/>
      <c r="OUN22" s="206"/>
      <c r="OUO22" s="206"/>
      <c r="OUP22" s="206"/>
      <c r="OUQ22" s="206"/>
      <c r="OUR22" s="206"/>
      <c r="OUS22" s="206"/>
      <c r="OUT22" s="206"/>
      <c r="OUU22" s="206"/>
      <c r="OUV22" s="206"/>
      <c r="OUW22" s="206"/>
      <c r="OUX22" s="206"/>
      <c r="OUY22" s="206"/>
      <c r="OUZ22" s="206"/>
      <c r="OVA22" s="206"/>
      <c r="OVB22" s="206"/>
      <c r="OVC22" s="206"/>
      <c r="OVD22" s="206"/>
      <c r="OVE22" s="206"/>
      <c r="OVF22" s="206"/>
      <c r="OVG22" s="206"/>
      <c r="OVH22" s="206"/>
      <c r="OVI22" s="206"/>
      <c r="OVJ22" s="206"/>
      <c r="OVK22" s="206"/>
      <c r="OVL22" s="206"/>
      <c r="OVM22" s="206"/>
      <c r="OVN22" s="206"/>
      <c r="OVO22" s="206"/>
      <c r="OVP22" s="206"/>
      <c r="OVQ22" s="206"/>
      <c r="OVR22" s="206"/>
      <c r="OVS22" s="206"/>
      <c r="OVT22" s="206"/>
      <c r="OVU22" s="206"/>
      <c r="OVV22" s="206"/>
      <c r="OVW22" s="206"/>
      <c r="OVX22" s="206"/>
      <c r="OVY22" s="206"/>
      <c r="OVZ22" s="206"/>
      <c r="OWA22" s="206"/>
      <c r="OWB22" s="206"/>
      <c r="OWC22" s="206"/>
      <c r="OWD22" s="206"/>
      <c r="OWE22" s="206"/>
      <c r="OWF22" s="206"/>
      <c r="OWG22" s="206"/>
      <c r="OWH22" s="206"/>
      <c r="OWI22" s="206"/>
      <c r="OWJ22" s="206"/>
      <c r="OWK22" s="206"/>
      <c r="OWL22" s="206"/>
      <c r="OWM22" s="206"/>
      <c r="OWN22" s="206"/>
      <c r="OWO22" s="206"/>
      <c r="OWP22" s="206"/>
      <c r="OWQ22" s="206"/>
      <c r="OWR22" s="206"/>
      <c r="OWS22" s="206"/>
      <c r="OWT22" s="206"/>
      <c r="OWU22" s="206"/>
      <c r="OWV22" s="206"/>
      <c r="OWW22" s="206"/>
      <c r="OWX22" s="206"/>
      <c r="OWY22" s="206"/>
      <c r="OWZ22" s="206"/>
      <c r="OXA22" s="206"/>
      <c r="OXB22" s="206"/>
      <c r="OXC22" s="206"/>
      <c r="OXD22" s="206"/>
      <c r="OXE22" s="206"/>
      <c r="OXF22" s="206"/>
      <c r="OXG22" s="206"/>
      <c r="OXH22" s="206"/>
      <c r="OXI22" s="206"/>
      <c r="OXJ22" s="206"/>
      <c r="OXK22" s="206"/>
      <c r="OXL22" s="206"/>
      <c r="OXM22" s="206"/>
      <c r="OXN22" s="206"/>
      <c r="OXO22" s="206"/>
      <c r="OXP22" s="206"/>
      <c r="OXQ22" s="206"/>
      <c r="OXR22" s="206"/>
      <c r="OXS22" s="206"/>
      <c r="OXT22" s="206"/>
      <c r="OXU22" s="206"/>
      <c r="OXV22" s="206"/>
      <c r="OXW22" s="206"/>
      <c r="OXX22" s="206"/>
      <c r="OXY22" s="206"/>
      <c r="OXZ22" s="206"/>
      <c r="OYA22" s="206"/>
      <c r="OYB22" s="206"/>
      <c r="OYC22" s="206"/>
      <c r="OYD22" s="206"/>
      <c r="OYE22" s="206"/>
      <c r="OYF22" s="206"/>
      <c r="OYG22" s="206"/>
      <c r="OYH22" s="206"/>
      <c r="OYI22" s="206"/>
      <c r="OYJ22" s="206"/>
      <c r="OYK22" s="206"/>
      <c r="OYL22" s="206"/>
      <c r="OYM22" s="206"/>
      <c r="OYN22" s="206"/>
      <c r="OYO22" s="206"/>
      <c r="OYP22" s="206"/>
      <c r="OYQ22" s="206"/>
      <c r="OYR22" s="206"/>
      <c r="OYS22" s="206"/>
      <c r="OYT22" s="206"/>
      <c r="OYU22" s="206"/>
      <c r="OYV22" s="206"/>
      <c r="OYW22" s="206"/>
      <c r="OYX22" s="206"/>
      <c r="OYY22" s="206"/>
      <c r="OYZ22" s="206"/>
      <c r="OZA22" s="206"/>
      <c r="OZB22" s="206"/>
      <c r="OZC22" s="206"/>
      <c r="OZD22" s="206"/>
      <c r="OZE22" s="206"/>
      <c r="OZF22" s="206"/>
      <c r="OZG22" s="206"/>
      <c r="OZH22" s="206"/>
      <c r="OZI22" s="206"/>
      <c r="OZJ22" s="206"/>
      <c r="OZK22" s="206"/>
      <c r="OZL22" s="206"/>
      <c r="OZM22" s="206"/>
      <c r="OZN22" s="206"/>
      <c r="OZO22" s="206"/>
      <c r="OZP22" s="206"/>
      <c r="OZQ22" s="206"/>
      <c r="OZR22" s="206"/>
      <c r="OZS22" s="206"/>
      <c r="OZT22" s="206"/>
      <c r="OZU22" s="206"/>
      <c r="OZV22" s="206"/>
      <c r="OZW22" s="206"/>
      <c r="OZX22" s="206"/>
      <c r="OZY22" s="206"/>
      <c r="OZZ22" s="206"/>
      <c r="PAA22" s="206"/>
      <c r="PAB22" s="206"/>
      <c r="PAC22" s="206"/>
      <c r="PAD22" s="206"/>
      <c r="PAE22" s="206"/>
      <c r="PAF22" s="206"/>
      <c r="PAG22" s="206"/>
      <c r="PAH22" s="206"/>
      <c r="PAI22" s="206"/>
      <c r="PAJ22" s="206"/>
      <c r="PAK22" s="206"/>
      <c r="PAL22" s="206"/>
      <c r="PAM22" s="206"/>
      <c r="PAN22" s="206"/>
      <c r="PAO22" s="206"/>
      <c r="PAP22" s="206"/>
      <c r="PAQ22" s="206"/>
      <c r="PAR22" s="206"/>
      <c r="PAS22" s="206"/>
      <c r="PAT22" s="206"/>
      <c r="PAU22" s="206"/>
      <c r="PAV22" s="206"/>
      <c r="PAW22" s="206"/>
      <c r="PAX22" s="206"/>
      <c r="PAY22" s="206"/>
      <c r="PAZ22" s="206"/>
      <c r="PBA22" s="206"/>
      <c r="PBB22" s="206"/>
      <c r="PBC22" s="206"/>
      <c r="PBD22" s="206"/>
      <c r="PBE22" s="206"/>
      <c r="PBF22" s="206"/>
      <c r="PBG22" s="206"/>
      <c r="PBH22" s="206"/>
      <c r="PBI22" s="206"/>
      <c r="PBJ22" s="206"/>
      <c r="PBK22" s="206"/>
      <c r="PBL22" s="206"/>
      <c r="PBM22" s="206"/>
      <c r="PBN22" s="206"/>
      <c r="PBO22" s="206"/>
      <c r="PBP22" s="206"/>
      <c r="PBQ22" s="206"/>
      <c r="PBR22" s="206"/>
      <c r="PBS22" s="206"/>
      <c r="PBT22" s="206"/>
      <c r="PBU22" s="206"/>
      <c r="PBV22" s="206"/>
      <c r="PBW22" s="206"/>
      <c r="PBX22" s="206"/>
      <c r="PBY22" s="206"/>
      <c r="PBZ22" s="206"/>
      <c r="PCA22" s="206"/>
      <c r="PCB22" s="206"/>
      <c r="PCC22" s="206"/>
      <c r="PCD22" s="206"/>
      <c r="PCE22" s="206"/>
      <c r="PCF22" s="206"/>
      <c r="PCG22" s="206"/>
      <c r="PCH22" s="206"/>
      <c r="PCI22" s="206"/>
      <c r="PCJ22" s="206"/>
      <c r="PCK22" s="206"/>
      <c r="PCL22" s="206"/>
      <c r="PCM22" s="206"/>
      <c r="PCN22" s="206"/>
      <c r="PCO22" s="206"/>
      <c r="PCP22" s="206"/>
      <c r="PCQ22" s="206"/>
      <c r="PCR22" s="206"/>
      <c r="PCS22" s="206"/>
      <c r="PCT22" s="206"/>
      <c r="PCU22" s="206"/>
      <c r="PCV22" s="206"/>
      <c r="PCW22" s="206"/>
      <c r="PCX22" s="206"/>
      <c r="PCY22" s="206"/>
      <c r="PCZ22" s="206"/>
      <c r="PDA22" s="206"/>
      <c r="PDB22" s="206"/>
      <c r="PDC22" s="206"/>
      <c r="PDD22" s="206"/>
      <c r="PDE22" s="206"/>
      <c r="PDF22" s="206"/>
      <c r="PDG22" s="206"/>
      <c r="PDH22" s="206"/>
      <c r="PDI22" s="206"/>
      <c r="PDJ22" s="206"/>
      <c r="PDK22" s="206"/>
      <c r="PDL22" s="206"/>
      <c r="PDM22" s="206"/>
      <c r="PDN22" s="206"/>
      <c r="PDO22" s="206"/>
      <c r="PDP22" s="206"/>
      <c r="PDQ22" s="206"/>
      <c r="PDR22" s="206"/>
      <c r="PDS22" s="206"/>
      <c r="PDT22" s="206"/>
      <c r="PDU22" s="206"/>
      <c r="PDV22" s="206"/>
      <c r="PDW22" s="206"/>
      <c r="PDX22" s="206"/>
      <c r="PDY22" s="206"/>
      <c r="PDZ22" s="206"/>
      <c r="PEA22" s="206"/>
      <c r="PEB22" s="206"/>
      <c r="PEC22" s="206"/>
      <c r="PED22" s="206"/>
      <c r="PEE22" s="206"/>
      <c r="PEF22" s="206"/>
      <c r="PEG22" s="206"/>
      <c r="PEH22" s="206"/>
      <c r="PEI22" s="206"/>
      <c r="PEJ22" s="206"/>
      <c r="PEK22" s="206"/>
      <c r="PEL22" s="206"/>
      <c r="PEM22" s="206"/>
      <c r="PEN22" s="206"/>
      <c r="PEO22" s="206"/>
      <c r="PEP22" s="206"/>
      <c r="PEQ22" s="206"/>
      <c r="PER22" s="206"/>
      <c r="PES22" s="206"/>
      <c r="PET22" s="206"/>
      <c r="PEU22" s="206"/>
      <c r="PEV22" s="206"/>
      <c r="PEW22" s="206"/>
      <c r="PEX22" s="206"/>
      <c r="PEY22" s="206"/>
      <c r="PEZ22" s="206"/>
      <c r="PFA22" s="206"/>
      <c r="PFB22" s="206"/>
      <c r="PFC22" s="206"/>
      <c r="PFD22" s="206"/>
      <c r="PFE22" s="206"/>
      <c r="PFF22" s="206"/>
      <c r="PFG22" s="206"/>
      <c r="PFH22" s="206"/>
      <c r="PFI22" s="206"/>
      <c r="PFJ22" s="206"/>
      <c r="PFK22" s="206"/>
      <c r="PFL22" s="206"/>
      <c r="PFM22" s="206"/>
      <c r="PFN22" s="206"/>
      <c r="PFO22" s="206"/>
      <c r="PFP22" s="206"/>
      <c r="PFQ22" s="206"/>
      <c r="PFR22" s="206"/>
      <c r="PFS22" s="206"/>
      <c r="PFT22" s="206"/>
      <c r="PFU22" s="206"/>
      <c r="PFV22" s="206"/>
      <c r="PFW22" s="206"/>
      <c r="PFX22" s="206"/>
      <c r="PFY22" s="206"/>
      <c r="PFZ22" s="206"/>
      <c r="PGA22" s="206"/>
      <c r="PGB22" s="206"/>
      <c r="PGC22" s="206"/>
      <c r="PGD22" s="206"/>
      <c r="PGE22" s="206"/>
      <c r="PGF22" s="206"/>
      <c r="PGG22" s="206"/>
      <c r="PGH22" s="206"/>
      <c r="PGI22" s="206"/>
      <c r="PGJ22" s="206"/>
      <c r="PGK22" s="206"/>
      <c r="PGL22" s="206"/>
      <c r="PGM22" s="206"/>
      <c r="PGN22" s="206"/>
      <c r="PGO22" s="206"/>
      <c r="PGP22" s="206"/>
      <c r="PGQ22" s="206"/>
      <c r="PGR22" s="206"/>
      <c r="PGS22" s="206"/>
      <c r="PGT22" s="206"/>
      <c r="PGU22" s="206"/>
      <c r="PGV22" s="206"/>
      <c r="PGW22" s="206"/>
      <c r="PGX22" s="206"/>
      <c r="PGY22" s="206"/>
      <c r="PGZ22" s="206"/>
      <c r="PHA22" s="206"/>
      <c r="PHB22" s="206"/>
      <c r="PHC22" s="206"/>
      <c r="PHD22" s="206"/>
      <c r="PHE22" s="206"/>
      <c r="PHF22" s="206"/>
      <c r="PHG22" s="206"/>
      <c r="PHH22" s="206"/>
      <c r="PHI22" s="206"/>
      <c r="PHJ22" s="206"/>
      <c r="PHK22" s="206"/>
      <c r="PHL22" s="206"/>
      <c r="PHM22" s="206"/>
      <c r="PHN22" s="206"/>
      <c r="PHO22" s="206"/>
      <c r="PHP22" s="206"/>
      <c r="PHQ22" s="206"/>
      <c r="PHR22" s="206"/>
      <c r="PHS22" s="206"/>
      <c r="PHT22" s="206"/>
      <c r="PHU22" s="206"/>
      <c r="PHV22" s="206"/>
      <c r="PHW22" s="206"/>
      <c r="PHX22" s="206"/>
      <c r="PHY22" s="206"/>
      <c r="PHZ22" s="206"/>
      <c r="PIA22" s="206"/>
      <c r="PIB22" s="206"/>
      <c r="PIC22" s="206"/>
      <c r="PID22" s="206"/>
      <c r="PIE22" s="206"/>
      <c r="PIF22" s="206"/>
      <c r="PIG22" s="206"/>
      <c r="PIH22" s="206"/>
      <c r="PII22" s="206"/>
      <c r="PIJ22" s="206"/>
      <c r="PIK22" s="206"/>
      <c r="PIL22" s="206"/>
      <c r="PIM22" s="206"/>
      <c r="PIN22" s="206"/>
      <c r="PIO22" s="206"/>
      <c r="PIP22" s="206"/>
      <c r="PIQ22" s="206"/>
      <c r="PIR22" s="206"/>
      <c r="PIS22" s="206"/>
      <c r="PIT22" s="206"/>
      <c r="PIU22" s="206"/>
      <c r="PIV22" s="206"/>
      <c r="PIW22" s="206"/>
      <c r="PIX22" s="206"/>
      <c r="PIY22" s="206"/>
      <c r="PIZ22" s="206"/>
      <c r="PJA22" s="206"/>
      <c r="PJB22" s="206"/>
      <c r="PJC22" s="206"/>
      <c r="PJD22" s="206"/>
      <c r="PJE22" s="206"/>
      <c r="PJF22" s="206"/>
      <c r="PJG22" s="206"/>
      <c r="PJH22" s="206"/>
      <c r="PJI22" s="206"/>
      <c r="PJJ22" s="206"/>
      <c r="PJK22" s="206"/>
      <c r="PJL22" s="206"/>
      <c r="PJM22" s="206"/>
      <c r="PJN22" s="206"/>
      <c r="PJO22" s="206"/>
      <c r="PJP22" s="206"/>
      <c r="PJQ22" s="206"/>
      <c r="PJR22" s="206"/>
      <c r="PJS22" s="206"/>
      <c r="PJT22" s="206"/>
      <c r="PJU22" s="206"/>
      <c r="PJV22" s="206"/>
      <c r="PJW22" s="206"/>
      <c r="PJX22" s="206"/>
      <c r="PJY22" s="206"/>
      <c r="PJZ22" s="206"/>
      <c r="PKA22" s="206"/>
      <c r="PKB22" s="206"/>
      <c r="PKC22" s="206"/>
      <c r="PKD22" s="206"/>
      <c r="PKE22" s="206"/>
      <c r="PKF22" s="206"/>
      <c r="PKG22" s="206"/>
      <c r="PKH22" s="206"/>
      <c r="PKI22" s="206"/>
      <c r="PKJ22" s="206"/>
      <c r="PKK22" s="206"/>
      <c r="PKL22" s="206"/>
      <c r="PKM22" s="206"/>
      <c r="PKN22" s="206"/>
      <c r="PKO22" s="206"/>
      <c r="PKP22" s="206"/>
      <c r="PKQ22" s="206"/>
      <c r="PKR22" s="206"/>
      <c r="PKS22" s="206"/>
      <c r="PKT22" s="206"/>
      <c r="PKU22" s="206"/>
      <c r="PKV22" s="206"/>
      <c r="PKW22" s="206"/>
      <c r="PKX22" s="206"/>
      <c r="PKY22" s="206"/>
      <c r="PKZ22" s="206"/>
      <c r="PLA22" s="206"/>
      <c r="PLB22" s="206"/>
      <c r="PLC22" s="206"/>
      <c r="PLD22" s="206"/>
      <c r="PLE22" s="206"/>
      <c r="PLF22" s="206"/>
      <c r="PLG22" s="206"/>
      <c r="PLH22" s="206"/>
      <c r="PLI22" s="206"/>
      <c r="PLJ22" s="206"/>
      <c r="PLK22" s="206"/>
      <c r="PLL22" s="206"/>
      <c r="PLM22" s="206"/>
      <c r="PLN22" s="206"/>
      <c r="PLO22" s="206"/>
      <c r="PLP22" s="206"/>
      <c r="PLQ22" s="206"/>
      <c r="PLR22" s="206"/>
      <c r="PLS22" s="206"/>
      <c r="PLT22" s="206"/>
      <c r="PLU22" s="206"/>
      <c r="PLV22" s="206"/>
      <c r="PLW22" s="206"/>
      <c r="PLX22" s="206"/>
      <c r="PLY22" s="206"/>
      <c r="PLZ22" s="206"/>
      <c r="PMA22" s="206"/>
      <c r="PMB22" s="206"/>
      <c r="PMC22" s="206"/>
      <c r="PMD22" s="206"/>
      <c r="PME22" s="206"/>
      <c r="PMF22" s="206"/>
      <c r="PMG22" s="206"/>
      <c r="PMH22" s="206"/>
      <c r="PMI22" s="206"/>
      <c r="PMJ22" s="206"/>
      <c r="PMK22" s="206"/>
      <c r="PML22" s="206"/>
      <c r="PMM22" s="206"/>
      <c r="PMN22" s="206"/>
      <c r="PMO22" s="206"/>
      <c r="PMP22" s="206"/>
      <c r="PMQ22" s="206"/>
      <c r="PMR22" s="206"/>
      <c r="PMS22" s="206"/>
      <c r="PMT22" s="206"/>
      <c r="PMU22" s="206"/>
      <c r="PMV22" s="206"/>
      <c r="PMW22" s="206"/>
      <c r="PMX22" s="206"/>
      <c r="PMY22" s="206"/>
      <c r="PMZ22" s="206"/>
      <c r="PNA22" s="206"/>
      <c r="PNB22" s="206"/>
      <c r="PNC22" s="206"/>
      <c r="PND22" s="206"/>
      <c r="PNE22" s="206"/>
      <c r="PNF22" s="206"/>
      <c r="PNG22" s="206"/>
      <c r="PNH22" s="206"/>
      <c r="PNI22" s="206"/>
      <c r="PNJ22" s="206"/>
      <c r="PNK22" s="206"/>
      <c r="PNL22" s="206"/>
      <c r="PNM22" s="206"/>
      <c r="PNN22" s="206"/>
      <c r="PNO22" s="206"/>
      <c r="PNP22" s="206"/>
      <c r="PNQ22" s="206"/>
      <c r="PNR22" s="206"/>
      <c r="PNS22" s="206"/>
      <c r="PNT22" s="206"/>
      <c r="PNU22" s="206"/>
      <c r="PNV22" s="206"/>
      <c r="PNW22" s="206"/>
      <c r="PNX22" s="206"/>
      <c r="PNY22" s="206"/>
      <c r="PNZ22" s="206"/>
      <c r="POA22" s="206"/>
      <c r="POB22" s="206"/>
      <c r="POC22" s="206"/>
      <c r="POD22" s="206"/>
      <c r="POE22" s="206"/>
      <c r="POF22" s="206"/>
      <c r="POG22" s="206"/>
      <c r="POH22" s="206"/>
      <c r="POI22" s="206"/>
      <c r="POJ22" s="206"/>
      <c r="POK22" s="206"/>
      <c r="POL22" s="206"/>
      <c r="POM22" s="206"/>
      <c r="PON22" s="206"/>
      <c r="POO22" s="206"/>
      <c r="POP22" s="206"/>
      <c r="POQ22" s="206"/>
      <c r="POR22" s="206"/>
      <c r="POS22" s="206"/>
      <c r="POT22" s="206"/>
      <c r="POU22" s="206"/>
      <c r="POV22" s="206"/>
      <c r="POW22" s="206"/>
      <c r="POX22" s="206"/>
      <c r="POY22" s="206"/>
      <c r="POZ22" s="206"/>
      <c r="PPA22" s="206"/>
      <c r="PPB22" s="206"/>
      <c r="PPC22" s="206"/>
      <c r="PPD22" s="206"/>
      <c r="PPE22" s="206"/>
      <c r="PPF22" s="206"/>
      <c r="PPG22" s="206"/>
      <c r="PPH22" s="206"/>
      <c r="PPI22" s="206"/>
      <c r="PPJ22" s="206"/>
      <c r="PPK22" s="206"/>
      <c r="PPL22" s="206"/>
      <c r="PPM22" s="206"/>
      <c r="PPN22" s="206"/>
      <c r="PPO22" s="206"/>
      <c r="PPP22" s="206"/>
      <c r="PPQ22" s="206"/>
      <c r="PPR22" s="206"/>
      <c r="PPS22" s="206"/>
      <c r="PPT22" s="206"/>
      <c r="PPU22" s="206"/>
      <c r="PPV22" s="206"/>
      <c r="PPW22" s="206"/>
      <c r="PPX22" s="206"/>
      <c r="PPY22" s="206"/>
      <c r="PPZ22" s="206"/>
      <c r="PQA22" s="206"/>
      <c r="PQB22" s="206"/>
      <c r="PQC22" s="206"/>
      <c r="PQD22" s="206"/>
      <c r="PQE22" s="206"/>
      <c r="PQF22" s="206"/>
      <c r="PQG22" s="206"/>
      <c r="PQH22" s="206"/>
      <c r="PQI22" s="206"/>
      <c r="PQJ22" s="206"/>
      <c r="PQK22" s="206"/>
      <c r="PQL22" s="206"/>
      <c r="PQM22" s="206"/>
      <c r="PQN22" s="206"/>
      <c r="PQO22" s="206"/>
      <c r="PQP22" s="206"/>
      <c r="PQQ22" s="206"/>
      <c r="PQR22" s="206"/>
      <c r="PQS22" s="206"/>
      <c r="PQT22" s="206"/>
      <c r="PQU22" s="206"/>
      <c r="PQV22" s="206"/>
      <c r="PQW22" s="206"/>
      <c r="PQX22" s="206"/>
      <c r="PQY22" s="206"/>
      <c r="PQZ22" s="206"/>
      <c r="PRA22" s="206"/>
      <c r="PRB22" s="206"/>
      <c r="PRC22" s="206"/>
      <c r="PRD22" s="206"/>
      <c r="PRE22" s="206"/>
      <c r="PRF22" s="206"/>
      <c r="PRG22" s="206"/>
      <c r="PRH22" s="206"/>
      <c r="PRI22" s="206"/>
      <c r="PRJ22" s="206"/>
      <c r="PRK22" s="206"/>
      <c r="PRL22" s="206"/>
      <c r="PRM22" s="206"/>
      <c r="PRN22" s="206"/>
      <c r="PRO22" s="206"/>
      <c r="PRP22" s="206"/>
      <c r="PRQ22" s="206"/>
      <c r="PRR22" s="206"/>
      <c r="PRS22" s="206"/>
      <c r="PRT22" s="206"/>
      <c r="PRU22" s="206"/>
      <c r="PRV22" s="206"/>
      <c r="PRW22" s="206"/>
      <c r="PRX22" s="206"/>
      <c r="PRY22" s="206"/>
      <c r="PRZ22" s="206"/>
      <c r="PSA22" s="206"/>
      <c r="PSB22" s="206"/>
      <c r="PSC22" s="206"/>
      <c r="PSD22" s="206"/>
      <c r="PSE22" s="206"/>
      <c r="PSF22" s="206"/>
      <c r="PSG22" s="206"/>
      <c r="PSH22" s="206"/>
      <c r="PSI22" s="206"/>
      <c r="PSJ22" s="206"/>
      <c r="PSK22" s="206"/>
      <c r="PSL22" s="206"/>
      <c r="PSM22" s="206"/>
      <c r="PSN22" s="206"/>
      <c r="PSO22" s="206"/>
      <c r="PSP22" s="206"/>
      <c r="PSQ22" s="206"/>
      <c r="PSR22" s="206"/>
      <c r="PSS22" s="206"/>
      <c r="PST22" s="206"/>
      <c r="PSU22" s="206"/>
      <c r="PSV22" s="206"/>
      <c r="PSW22" s="206"/>
      <c r="PSX22" s="206"/>
      <c r="PSY22" s="206"/>
      <c r="PSZ22" s="206"/>
      <c r="PTA22" s="206"/>
      <c r="PTB22" s="206"/>
      <c r="PTC22" s="206"/>
      <c r="PTD22" s="206"/>
      <c r="PTE22" s="206"/>
      <c r="PTF22" s="206"/>
      <c r="PTG22" s="206"/>
      <c r="PTH22" s="206"/>
      <c r="PTI22" s="206"/>
      <c r="PTJ22" s="206"/>
      <c r="PTK22" s="206"/>
      <c r="PTL22" s="206"/>
      <c r="PTM22" s="206"/>
      <c r="PTN22" s="206"/>
      <c r="PTO22" s="206"/>
      <c r="PTP22" s="206"/>
      <c r="PTQ22" s="206"/>
      <c r="PTR22" s="206"/>
      <c r="PTS22" s="206"/>
      <c r="PTT22" s="206"/>
      <c r="PTU22" s="206"/>
      <c r="PTV22" s="206"/>
      <c r="PTW22" s="206"/>
      <c r="PTX22" s="206"/>
      <c r="PTY22" s="206"/>
      <c r="PTZ22" s="206"/>
      <c r="PUA22" s="206"/>
      <c r="PUB22" s="206"/>
      <c r="PUC22" s="206"/>
      <c r="PUD22" s="206"/>
      <c r="PUE22" s="206"/>
      <c r="PUF22" s="206"/>
      <c r="PUG22" s="206"/>
      <c r="PUH22" s="206"/>
      <c r="PUI22" s="206"/>
      <c r="PUJ22" s="206"/>
      <c r="PUK22" s="206"/>
      <c r="PUL22" s="206"/>
      <c r="PUM22" s="206"/>
      <c r="PUN22" s="206"/>
      <c r="PUO22" s="206"/>
      <c r="PUP22" s="206"/>
      <c r="PUQ22" s="206"/>
      <c r="PUR22" s="206"/>
      <c r="PUS22" s="206"/>
      <c r="PUT22" s="206"/>
      <c r="PUU22" s="206"/>
      <c r="PUV22" s="206"/>
      <c r="PUW22" s="206"/>
      <c r="PUX22" s="206"/>
      <c r="PUY22" s="206"/>
      <c r="PUZ22" s="206"/>
      <c r="PVA22" s="206"/>
      <c r="PVB22" s="206"/>
      <c r="PVC22" s="206"/>
      <c r="PVD22" s="206"/>
      <c r="PVE22" s="206"/>
      <c r="PVF22" s="206"/>
      <c r="PVG22" s="206"/>
      <c r="PVH22" s="206"/>
      <c r="PVI22" s="206"/>
      <c r="PVJ22" s="206"/>
      <c r="PVK22" s="206"/>
      <c r="PVL22" s="206"/>
      <c r="PVM22" s="206"/>
      <c r="PVN22" s="206"/>
      <c r="PVO22" s="206"/>
      <c r="PVP22" s="206"/>
      <c r="PVQ22" s="206"/>
      <c r="PVR22" s="206"/>
      <c r="PVS22" s="206"/>
      <c r="PVT22" s="206"/>
      <c r="PVU22" s="206"/>
      <c r="PVV22" s="206"/>
      <c r="PVW22" s="206"/>
      <c r="PVX22" s="206"/>
      <c r="PVY22" s="206"/>
      <c r="PVZ22" s="206"/>
      <c r="PWA22" s="206"/>
      <c r="PWB22" s="206"/>
      <c r="PWC22" s="206"/>
      <c r="PWD22" s="206"/>
      <c r="PWE22" s="206"/>
      <c r="PWF22" s="206"/>
      <c r="PWG22" s="206"/>
      <c r="PWH22" s="206"/>
      <c r="PWI22" s="206"/>
      <c r="PWJ22" s="206"/>
      <c r="PWK22" s="206"/>
      <c r="PWL22" s="206"/>
      <c r="PWM22" s="206"/>
      <c r="PWN22" s="206"/>
      <c r="PWO22" s="206"/>
      <c r="PWP22" s="206"/>
      <c r="PWQ22" s="206"/>
      <c r="PWR22" s="206"/>
      <c r="PWS22" s="206"/>
      <c r="PWT22" s="206"/>
      <c r="PWU22" s="206"/>
      <c r="PWV22" s="206"/>
      <c r="PWW22" s="206"/>
      <c r="PWX22" s="206"/>
      <c r="PWY22" s="206"/>
      <c r="PWZ22" s="206"/>
      <c r="PXA22" s="206"/>
      <c r="PXB22" s="206"/>
      <c r="PXC22" s="206"/>
      <c r="PXD22" s="206"/>
      <c r="PXE22" s="206"/>
      <c r="PXF22" s="206"/>
      <c r="PXG22" s="206"/>
      <c r="PXH22" s="206"/>
      <c r="PXI22" s="206"/>
      <c r="PXJ22" s="206"/>
      <c r="PXK22" s="206"/>
      <c r="PXL22" s="206"/>
      <c r="PXM22" s="206"/>
      <c r="PXN22" s="206"/>
      <c r="PXO22" s="206"/>
      <c r="PXP22" s="206"/>
      <c r="PXQ22" s="206"/>
      <c r="PXR22" s="206"/>
      <c r="PXS22" s="206"/>
      <c r="PXT22" s="206"/>
      <c r="PXU22" s="206"/>
      <c r="PXV22" s="206"/>
      <c r="PXW22" s="206"/>
      <c r="PXX22" s="206"/>
      <c r="PXY22" s="206"/>
      <c r="PXZ22" s="206"/>
      <c r="PYA22" s="206"/>
      <c r="PYB22" s="206"/>
      <c r="PYC22" s="206"/>
      <c r="PYD22" s="206"/>
      <c r="PYE22" s="206"/>
      <c r="PYF22" s="206"/>
      <c r="PYG22" s="206"/>
      <c r="PYH22" s="206"/>
      <c r="PYI22" s="206"/>
      <c r="PYJ22" s="206"/>
      <c r="PYK22" s="206"/>
      <c r="PYL22" s="206"/>
      <c r="PYM22" s="206"/>
      <c r="PYN22" s="206"/>
      <c r="PYO22" s="206"/>
      <c r="PYP22" s="206"/>
      <c r="PYQ22" s="206"/>
      <c r="PYR22" s="206"/>
      <c r="PYS22" s="206"/>
      <c r="PYT22" s="206"/>
      <c r="PYU22" s="206"/>
      <c r="PYV22" s="206"/>
      <c r="PYW22" s="206"/>
      <c r="PYX22" s="206"/>
      <c r="PYY22" s="206"/>
      <c r="PYZ22" s="206"/>
      <c r="PZA22" s="206"/>
      <c r="PZB22" s="206"/>
      <c r="PZC22" s="206"/>
      <c r="PZD22" s="206"/>
      <c r="PZE22" s="206"/>
      <c r="PZF22" s="206"/>
      <c r="PZG22" s="206"/>
      <c r="PZH22" s="206"/>
      <c r="PZI22" s="206"/>
      <c r="PZJ22" s="206"/>
      <c r="PZK22" s="206"/>
      <c r="PZL22" s="206"/>
      <c r="PZM22" s="206"/>
      <c r="PZN22" s="206"/>
      <c r="PZO22" s="206"/>
      <c r="PZP22" s="206"/>
      <c r="PZQ22" s="206"/>
      <c r="PZR22" s="206"/>
      <c r="PZS22" s="206"/>
      <c r="PZT22" s="206"/>
      <c r="PZU22" s="206"/>
      <c r="PZV22" s="206"/>
      <c r="PZW22" s="206"/>
      <c r="PZX22" s="206"/>
      <c r="PZY22" s="206"/>
      <c r="PZZ22" s="206"/>
      <c r="QAA22" s="206"/>
      <c r="QAB22" s="206"/>
      <c r="QAC22" s="206"/>
      <c r="QAD22" s="206"/>
      <c r="QAE22" s="206"/>
      <c r="QAF22" s="206"/>
      <c r="QAG22" s="206"/>
      <c r="QAH22" s="206"/>
      <c r="QAI22" s="206"/>
      <c r="QAJ22" s="206"/>
      <c r="QAK22" s="206"/>
      <c r="QAL22" s="206"/>
      <c r="QAM22" s="206"/>
      <c r="QAN22" s="206"/>
      <c r="QAO22" s="206"/>
      <c r="QAP22" s="206"/>
      <c r="QAQ22" s="206"/>
      <c r="QAR22" s="206"/>
      <c r="QAS22" s="206"/>
      <c r="QAT22" s="206"/>
      <c r="QAU22" s="206"/>
      <c r="QAV22" s="206"/>
      <c r="QAW22" s="206"/>
      <c r="QAX22" s="206"/>
      <c r="QAY22" s="206"/>
      <c r="QAZ22" s="206"/>
      <c r="QBA22" s="206"/>
      <c r="QBB22" s="206"/>
      <c r="QBC22" s="206"/>
      <c r="QBD22" s="206"/>
      <c r="QBE22" s="206"/>
      <c r="QBF22" s="206"/>
      <c r="QBG22" s="206"/>
      <c r="QBH22" s="206"/>
      <c r="QBI22" s="206"/>
      <c r="QBJ22" s="206"/>
      <c r="QBK22" s="206"/>
      <c r="QBL22" s="206"/>
      <c r="QBM22" s="206"/>
      <c r="QBN22" s="206"/>
      <c r="QBO22" s="206"/>
      <c r="QBP22" s="206"/>
      <c r="QBQ22" s="206"/>
      <c r="QBR22" s="206"/>
      <c r="QBS22" s="206"/>
      <c r="QBT22" s="206"/>
      <c r="QBU22" s="206"/>
      <c r="QBV22" s="206"/>
      <c r="QBW22" s="206"/>
      <c r="QBX22" s="206"/>
      <c r="QBY22" s="206"/>
      <c r="QBZ22" s="206"/>
      <c r="QCA22" s="206"/>
      <c r="QCB22" s="206"/>
      <c r="QCC22" s="206"/>
      <c r="QCD22" s="206"/>
      <c r="QCE22" s="206"/>
      <c r="QCF22" s="206"/>
      <c r="QCG22" s="206"/>
      <c r="QCH22" s="206"/>
      <c r="QCI22" s="206"/>
      <c r="QCJ22" s="206"/>
      <c r="QCK22" s="206"/>
      <c r="QCL22" s="206"/>
      <c r="QCM22" s="206"/>
      <c r="QCN22" s="206"/>
      <c r="QCO22" s="206"/>
      <c r="QCP22" s="206"/>
      <c r="QCQ22" s="206"/>
      <c r="QCR22" s="206"/>
      <c r="QCS22" s="206"/>
      <c r="QCT22" s="206"/>
      <c r="QCU22" s="206"/>
      <c r="QCV22" s="206"/>
      <c r="QCW22" s="206"/>
      <c r="QCX22" s="206"/>
      <c r="QCY22" s="206"/>
      <c r="QCZ22" s="206"/>
      <c r="QDA22" s="206"/>
      <c r="QDB22" s="206"/>
      <c r="QDC22" s="206"/>
      <c r="QDD22" s="206"/>
      <c r="QDE22" s="206"/>
      <c r="QDF22" s="206"/>
      <c r="QDG22" s="206"/>
      <c r="QDH22" s="206"/>
      <c r="QDI22" s="206"/>
      <c r="QDJ22" s="206"/>
      <c r="QDK22" s="206"/>
      <c r="QDL22" s="206"/>
      <c r="QDM22" s="206"/>
      <c r="QDN22" s="206"/>
      <c r="QDO22" s="206"/>
      <c r="QDP22" s="206"/>
      <c r="QDQ22" s="206"/>
      <c r="QDR22" s="206"/>
      <c r="QDS22" s="206"/>
      <c r="QDT22" s="206"/>
      <c r="QDU22" s="206"/>
      <c r="QDV22" s="206"/>
      <c r="QDW22" s="206"/>
      <c r="QDX22" s="206"/>
      <c r="QDY22" s="206"/>
      <c r="QDZ22" s="206"/>
      <c r="QEA22" s="206"/>
      <c r="QEB22" s="206"/>
      <c r="QEC22" s="206"/>
      <c r="QED22" s="206"/>
      <c r="QEE22" s="206"/>
      <c r="QEF22" s="206"/>
      <c r="QEG22" s="206"/>
      <c r="QEH22" s="206"/>
      <c r="QEI22" s="206"/>
      <c r="QEJ22" s="206"/>
      <c r="QEK22" s="206"/>
      <c r="QEL22" s="206"/>
      <c r="QEM22" s="206"/>
      <c r="QEN22" s="206"/>
      <c r="QEO22" s="206"/>
      <c r="QEP22" s="206"/>
      <c r="QEQ22" s="206"/>
      <c r="QER22" s="206"/>
      <c r="QES22" s="206"/>
      <c r="QET22" s="206"/>
      <c r="QEU22" s="206"/>
      <c r="QEV22" s="206"/>
      <c r="QEW22" s="206"/>
      <c r="QEX22" s="206"/>
      <c r="QEY22" s="206"/>
      <c r="QEZ22" s="206"/>
      <c r="QFA22" s="206"/>
      <c r="QFB22" s="206"/>
      <c r="QFC22" s="206"/>
      <c r="QFD22" s="206"/>
      <c r="QFE22" s="206"/>
      <c r="QFF22" s="206"/>
      <c r="QFG22" s="206"/>
      <c r="QFH22" s="206"/>
      <c r="QFI22" s="206"/>
      <c r="QFJ22" s="206"/>
      <c r="QFK22" s="206"/>
      <c r="QFL22" s="206"/>
      <c r="QFM22" s="206"/>
      <c r="QFN22" s="206"/>
      <c r="QFO22" s="206"/>
      <c r="QFP22" s="206"/>
      <c r="QFQ22" s="206"/>
      <c r="QFR22" s="206"/>
      <c r="QFS22" s="206"/>
      <c r="QFT22" s="206"/>
      <c r="QFU22" s="206"/>
      <c r="QFV22" s="206"/>
      <c r="QFW22" s="206"/>
      <c r="QFX22" s="206"/>
      <c r="QFY22" s="206"/>
      <c r="QFZ22" s="206"/>
      <c r="QGA22" s="206"/>
      <c r="QGB22" s="206"/>
      <c r="QGC22" s="206"/>
      <c r="QGD22" s="206"/>
      <c r="QGE22" s="206"/>
      <c r="QGF22" s="206"/>
      <c r="QGG22" s="206"/>
      <c r="QGH22" s="206"/>
      <c r="QGI22" s="206"/>
      <c r="QGJ22" s="206"/>
      <c r="QGK22" s="206"/>
      <c r="QGL22" s="206"/>
      <c r="QGM22" s="206"/>
      <c r="QGN22" s="206"/>
      <c r="QGO22" s="206"/>
      <c r="QGP22" s="206"/>
      <c r="QGQ22" s="206"/>
      <c r="QGR22" s="206"/>
      <c r="QGS22" s="206"/>
      <c r="QGT22" s="206"/>
      <c r="QGU22" s="206"/>
      <c r="QGV22" s="206"/>
      <c r="QGW22" s="206"/>
      <c r="QGX22" s="206"/>
      <c r="QGY22" s="206"/>
      <c r="QGZ22" s="206"/>
      <c r="QHA22" s="206"/>
      <c r="QHB22" s="206"/>
      <c r="QHC22" s="206"/>
      <c r="QHD22" s="206"/>
      <c r="QHE22" s="206"/>
      <c r="QHF22" s="206"/>
      <c r="QHG22" s="206"/>
      <c r="QHH22" s="206"/>
      <c r="QHI22" s="206"/>
      <c r="QHJ22" s="206"/>
      <c r="QHK22" s="206"/>
      <c r="QHL22" s="206"/>
      <c r="QHM22" s="206"/>
      <c r="QHN22" s="206"/>
      <c r="QHO22" s="206"/>
      <c r="QHP22" s="206"/>
      <c r="QHQ22" s="206"/>
      <c r="QHR22" s="206"/>
      <c r="QHS22" s="206"/>
      <c r="QHT22" s="206"/>
      <c r="QHU22" s="206"/>
      <c r="QHV22" s="206"/>
      <c r="QHW22" s="206"/>
      <c r="QHX22" s="206"/>
      <c r="QHY22" s="206"/>
      <c r="QHZ22" s="206"/>
      <c r="QIA22" s="206"/>
      <c r="QIB22" s="206"/>
      <c r="QIC22" s="206"/>
      <c r="QID22" s="206"/>
      <c r="QIE22" s="206"/>
      <c r="QIF22" s="206"/>
      <c r="QIG22" s="206"/>
      <c r="QIH22" s="206"/>
      <c r="QII22" s="206"/>
      <c r="QIJ22" s="206"/>
      <c r="QIK22" s="206"/>
      <c r="QIL22" s="206"/>
      <c r="QIM22" s="206"/>
      <c r="QIN22" s="206"/>
      <c r="QIO22" s="206"/>
      <c r="QIP22" s="206"/>
      <c r="QIQ22" s="206"/>
      <c r="QIR22" s="206"/>
      <c r="QIS22" s="206"/>
      <c r="QIT22" s="206"/>
      <c r="QIU22" s="206"/>
      <c r="QIV22" s="206"/>
      <c r="QIW22" s="206"/>
      <c r="QIX22" s="206"/>
      <c r="QIY22" s="206"/>
      <c r="QIZ22" s="206"/>
      <c r="QJA22" s="206"/>
      <c r="QJB22" s="206"/>
      <c r="QJC22" s="206"/>
      <c r="QJD22" s="206"/>
      <c r="QJE22" s="206"/>
      <c r="QJF22" s="206"/>
      <c r="QJG22" s="206"/>
      <c r="QJH22" s="206"/>
      <c r="QJI22" s="206"/>
      <c r="QJJ22" s="206"/>
      <c r="QJK22" s="206"/>
      <c r="QJL22" s="206"/>
      <c r="QJM22" s="206"/>
      <c r="QJN22" s="206"/>
      <c r="QJO22" s="206"/>
      <c r="QJP22" s="206"/>
      <c r="QJQ22" s="206"/>
      <c r="QJR22" s="206"/>
      <c r="QJS22" s="206"/>
      <c r="QJT22" s="206"/>
      <c r="QJU22" s="206"/>
      <c r="QJV22" s="206"/>
      <c r="QJW22" s="206"/>
      <c r="QJX22" s="206"/>
      <c r="QJY22" s="206"/>
      <c r="QJZ22" s="206"/>
      <c r="QKA22" s="206"/>
      <c r="QKB22" s="206"/>
      <c r="QKC22" s="206"/>
      <c r="QKD22" s="206"/>
      <c r="QKE22" s="206"/>
      <c r="QKF22" s="206"/>
      <c r="QKG22" s="206"/>
      <c r="QKH22" s="206"/>
      <c r="QKI22" s="206"/>
      <c r="QKJ22" s="206"/>
      <c r="QKK22" s="206"/>
      <c r="QKL22" s="206"/>
      <c r="QKM22" s="206"/>
      <c r="QKN22" s="206"/>
      <c r="QKO22" s="206"/>
      <c r="QKP22" s="206"/>
      <c r="QKQ22" s="206"/>
      <c r="QKR22" s="206"/>
      <c r="QKS22" s="206"/>
      <c r="QKT22" s="206"/>
      <c r="QKU22" s="206"/>
      <c r="QKV22" s="206"/>
      <c r="QKW22" s="206"/>
      <c r="QKX22" s="206"/>
      <c r="QKY22" s="206"/>
      <c r="QKZ22" s="206"/>
      <c r="QLA22" s="206"/>
      <c r="QLB22" s="206"/>
      <c r="QLC22" s="206"/>
      <c r="QLD22" s="206"/>
      <c r="QLE22" s="206"/>
      <c r="QLF22" s="206"/>
      <c r="QLG22" s="206"/>
      <c r="QLH22" s="206"/>
      <c r="QLI22" s="206"/>
      <c r="QLJ22" s="206"/>
      <c r="QLK22" s="206"/>
      <c r="QLL22" s="206"/>
      <c r="QLM22" s="206"/>
      <c r="QLN22" s="206"/>
      <c r="QLO22" s="206"/>
      <c r="QLP22" s="206"/>
      <c r="QLQ22" s="206"/>
      <c r="QLR22" s="206"/>
      <c r="QLS22" s="206"/>
      <c r="QLT22" s="206"/>
      <c r="QLU22" s="206"/>
      <c r="QLV22" s="206"/>
      <c r="QLW22" s="206"/>
      <c r="QLX22" s="206"/>
      <c r="QLY22" s="206"/>
      <c r="QLZ22" s="206"/>
      <c r="QMA22" s="206"/>
      <c r="QMB22" s="206"/>
      <c r="QMC22" s="206"/>
      <c r="QMD22" s="206"/>
      <c r="QME22" s="206"/>
      <c r="QMF22" s="206"/>
      <c r="QMG22" s="206"/>
      <c r="QMH22" s="206"/>
      <c r="QMI22" s="206"/>
      <c r="QMJ22" s="206"/>
      <c r="QMK22" s="206"/>
      <c r="QML22" s="206"/>
      <c r="QMM22" s="206"/>
      <c r="QMN22" s="206"/>
      <c r="QMO22" s="206"/>
      <c r="QMP22" s="206"/>
      <c r="QMQ22" s="206"/>
      <c r="QMR22" s="206"/>
      <c r="QMS22" s="206"/>
      <c r="QMT22" s="206"/>
      <c r="QMU22" s="206"/>
      <c r="QMV22" s="206"/>
      <c r="QMW22" s="206"/>
      <c r="QMX22" s="206"/>
      <c r="QMY22" s="206"/>
      <c r="QMZ22" s="206"/>
      <c r="QNA22" s="206"/>
      <c r="QNB22" s="206"/>
      <c r="QNC22" s="206"/>
      <c r="QND22" s="206"/>
      <c r="QNE22" s="206"/>
      <c r="QNF22" s="206"/>
      <c r="QNG22" s="206"/>
      <c r="QNH22" s="206"/>
      <c r="QNI22" s="206"/>
      <c r="QNJ22" s="206"/>
      <c r="QNK22" s="206"/>
      <c r="QNL22" s="206"/>
      <c r="QNM22" s="206"/>
      <c r="QNN22" s="206"/>
      <c r="QNO22" s="206"/>
      <c r="QNP22" s="206"/>
      <c r="QNQ22" s="206"/>
      <c r="QNR22" s="206"/>
      <c r="QNS22" s="206"/>
      <c r="QNT22" s="206"/>
      <c r="QNU22" s="206"/>
      <c r="QNV22" s="206"/>
      <c r="QNW22" s="206"/>
      <c r="QNX22" s="206"/>
      <c r="QNY22" s="206"/>
      <c r="QNZ22" s="206"/>
      <c r="QOA22" s="206"/>
      <c r="QOB22" s="206"/>
      <c r="QOC22" s="206"/>
      <c r="QOD22" s="206"/>
      <c r="QOE22" s="206"/>
      <c r="QOF22" s="206"/>
      <c r="QOG22" s="206"/>
      <c r="QOH22" s="206"/>
      <c r="QOI22" s="206"/>
      <c r="QOJ22" s="206"/>
      <c r="QOK22" s="206"/>
      <c r="QOL22" s="206"/>
      <c r="QOM22" s="206"/>
      <c r="QON22" s="206"/>
      <c r="QOO22" s="206"/>
      <c r="QOP22" s="206"/>
      <c r="QOQ22" s="206"/>
      <c r="QOR22" s="206"/>
      <c r="QOS22" s="206"/>
      <c r="QOT22" s="206"/>
      <c r="QOU22" s="206"/>
      <c r="QOV22" s="206"/>
      <c r="QOW22" s="206"/>
      <c r="QOX22" s="206"/>
      <c r="QOY22" s="206"/>
      <c r="QOZ22" s="206"/>
      <c r="QPA22" s="206"/>
      <c r="QPB22" s="206"/>
      <c r="QPC22" s="206"/>
      <c r="QPD22" s="206"/>
      <c r="QPE22" s="206"/>
      <c r="QPF22" s="206"/>
      <c r="QPG22" s="206"/>
      <c r="QPH22" s="206"/>
      <c r="QPI22" s="206"/>
      <c r="QPJ22" s="206"/>
      <c r="QPK22" s="206"/>
      <c r="QPL22" s="206"/>
      <c r="QPM22" s="206"/>
      <c r="QPN22" s="206"/>
      <c r="QPO22" s="206"/>
      <c r="QPP22" s="206"/>
      <c r="QPQ22" s="206"/>
      <c r="QPR22" s="206"/>
      <c r="QPS22" s="206"/>
      <c r="QPT22" s="206"/>
      <c r="QPU22" s="206"/>
      <c r="QPV22" s="206"/>
      <c r="QPW22" s="206"/>
      <c r="QPX22" s="206"/>
      <c r="QPY22" s="206"/>
      <c r="QPZ22" s="206"/>
      <c r="QQA22" s="206"/>
      <c r="QQB22" s="206"/>
      <c r="QQC22" s="206"/>
      <c r="QQD22" s="206"/>
      <c r="QQE22" s="206"/>
      <c r="QQF22" s="206"/>
      <c r="QQG22" s="206"/>
      <c r="QQH22" s="206"/>
      <c r="QQI22" s="206"/>
      <c r="QQJ22" s="206"/>
      <c r="QQK22" s="206"/>
      <c r="QQL22" s="206"/>
      <c r="QQM22" s="206"/>
      <c r="QQN22" s="206"/>
      <c r="QQO22" s="206"/>
      <c r="QQP22" s="206"/>
      <c r="QQQ22" s="206"/>
      <c r="QQR22" s="206"/>
      <c r="QQS22" s="206"/>
      <c r="QQT22" s="206"/>
      <c r="QQU22" s="206"/>
      <c r="QQV22" s="206"/>
      <c r="QQW22" s="206"/>
      <c r="QQX22" s="206"/>
      <c r="QQY22" s="206"/>
      <c r="QQZ22" s="206"/>
      <c r="QRA22" s="206"/>
      <c r="QRB22" s="206"/>
      <c r="QRC22" s="206"/>
      <c r="QRD22" s="206"/>
      <c r="QRE22" s="206"/>
      <c r="QRF22" s="206"/>
      <c r="QRG22" s="206"/>
      <c r="QRH22" s="206"/>
      <c r="QRI22" s="206"/>
      <c r="QRJ22" s="206"/>
      <c r="QRK22" s="206"/>
      <c r="QRL22" s="206"/>
      <c r="QRM22" s="206"/>
      <c r="QRN22" s="206"/>
      <c r="QRO22" s="206"/>
      <c r="QRP22" s="206"/>
      <c r="QRQ22" s="206"/>
      <c r="QRR22" s="206"/>
      <c r="QRS22" s="206"/>
      <c r="QRT22" s="206"/>
      <c r="QRU22" s="206"/>
      <c r="QRV22" s="206"/>
      <c r="QRW22" s="206"/>
      <c r="QRX22" s="206"/>
      <c r="QRY22" s="206"/>
      <c r="QRZ22" s="206"/>
      <c r="QSA22" s="206"/>
      <c r="QSB22" s="206"/>
      <c r="QSC22" s="206"/>
      <c r="QSD22" s="206"/>
      <c r="QSE22" s="206"/>
      <c r="QSF22" s="206"/>
      <c r="QSG22" s="206"/>
      <c r="QSH22" s="206"/>
      <c r="QSI22" s="206"/>
      <c r="QSJ22" s="206"/>
      <c r="QSK22" s="206"/>
      <c r="QSL22" s="206"/>
      <c r="QSM22" s="206"/>
      <c r="QSN22" s="206"/>
      <c r="QSO22" s="206"/>
      <c r="QSP22" s="206"/>
      <c r="QSQ22" s="206"/>
      <c r="QSR22" s="206"/>
      <c r="QSS22" s="206"/>
      <c r="QST22" s="206"/>
      <c r="QSU22" s="206"/>
      <c r="QSV22" s="206"/>
      <c r="QSW22" s="206"/>
      <c r="QSX22" s="206"/>
      <c r="QSY22" s="206"/>
      <c r="QSZ22" s="206"/>
      <c r="QTA22" s="206"/>
      <c r="QTB22" s="206"/>
      <c r="QTC22" s="206"/>
      <c r="QTD22" s="206"/>
      <c r="QTE22" s="206"/>
      <c r="QTF22" s="206"/>
      <c r="QTG22" s="206"/>
      <c r="QTH22" s="206"/>
      <c r="QTI22" s="206"/>
      <c r="QTJ22" s="206"/>
      <c r="QTK22" s="206"/>
      <c r="QTL22" s="206"/>
      <c r="QTM22" s="206"/>
      <c r="QTN22" s="206"/>
      <c r="QTO22" s="206"/>
      <c r="QTP22" s="206"/>
      <c r="QTQ22" s="206"/>
      <c r="QTR22" s="206"/>
      <c r="QTS22" s="206"/>
      <c r="QTT22" s="206"/>
      <c r="QTU22" s="206"/>
      <c r="QTV22" s="206"/>
      <c r="QTW22" s="206"/>
      <c r="QTX22" s="206"/>
      <c r="QTY22" s="206"/>
      <c r="QTZ22" s="206"/>
      <c r="QUA22" s="206"/>
      <c r="QUB22" s="206"/>
      <c r="QUC22" s="206"/>
      <c r="QUD22" s="206"/>
      <c r="QUE22" s="206"/>
      <c r="QUF22" s="206"/>
      <c r="QUG22" s="206"/>
      <c r="QUH22" s="206"/>
      <c r="QUI22" s="206"/>
      <c r="QUJ22" s="206"/>
      <c r="QUK22" s="206"/>
      <c r="QUL22" s="206"/>
      <c r="QUM22" s="206"/>
      <c r="QUN22" s="206"/>
      <c r="QUO22" s="206"/>
      <c r="QUP22" s="206"/>
      <c r="QUQ22" s="206"/>
      <c r="QUR22" s="206"/>
      <c r="QUS22" s="206"/>
      <c r="QUT22" s="206"/>
      <c r="QUU22" s="206"/>
      <c r="QUV22" s="206"/>
      <c r="QUW22" s="206"/>
      <c r="QUX22" s="206"/>
      <c r="QUY22" s="206"/>
      <c r="QUZ22" s="206"/>
      <c r="QVA22" s="206"/>
      <c r="QVB22" s="206"/>
      <c r="QVC22" s="206"/>
      <c r="QVD22" s="206"/>
      <c r="QVE22" s="206"/>
      <c r="QVF22" s="206"/>
      <c r="QVG22" s="206"/>
      <c r="QVH22" s="206"/>
      <c r="QVI22" s="206"/>
      <c r="QVJ22" s="206"/>
      <c r="QVK22" s="206"/>
      <c r="QVL22" s="206"/>
      <c r="QVM22" s="206"/>
      <c r="QVN22" s="206"/>
      <c r="QVO22" s="206"/>
      <c r="QVP22" s="206"/>
      <c r="QVQ22" s="206"/>
      <c r="QVR22" s="206"/>
      <c r="QVS22" s="206"/>
      <c r="QVT22" s="206"/>
      <c r="QVU22" s="206"/>
      <c r="QVV22" s="206"/>
      <c r="QVW22" s="206"/>
      <c r="QVX22" s="206"/>
      <c r="QVY22" s="206"/>
      <c r="QVZ22" s="206"/>
      <c r="QWA22" s="206"/>
      <c r="QWB22" s="206"/>
      <c r="QWC22" s="206"/>
      <c r="QWD22" s="206"/>
      <c r="QWE22" s="206"/>
      <c r="QWF22" s="206"/>
      <c r="QWG22" s="206"/>
      <c r="QWH22" s="206"/>
      <c r="QWI22" s="206"/>
      <c r="QWJ22" s="206"/>
      <c r="QWK22" s="206"/>
      <c r="QWL22" s="206"/>
      <c r="QWM22" s="206"/>
      <c r="QWN22" s="206"/>
      <c r="QWO22" s="206"/>
      <c r="QWP22" s="206"/>
      <c r="QWQ22" s="206"/>
      <c r="QWR22" s="206"/>
      <c r="QWS22" s="206"/>
      <c r="QWT22" s="206"/>
      <c r="QWU22" s="206"/>
      <c r="QWV22" s="206"/>
      <c r="QWW22" s="206"/>
      <c r="QWX22" s="206"/>
      <c r="QWY22" s="206"/>
      <c r="QWZ22" s="206"/>
      <c r="QXA22" s="206"/>
      <c r="QXB22" s="206"/>
      <c r="QXC22" s="206"/>
      <c r="QXD22" s="206"/>
      <c r="QXE22" s="206"/>
      <c r="QXF22" s="206"/>
      <c r="QXG22" s="206"/>
      <c r="QXH22" s="206"/>
      <c r="QXI22" s="206"/>
      <c r="QXJ22" s="206"/>
      <c r="QXK22" s="206"/>
      <c r="QXL22" s="206"/>
      <c r="QXM22" s="206"/>
      <c r="QXN22" s="206"/>
      <c r="QXO22" s="206"/>
      <c r="QXP22" s="206"/>
      <c r="QXQ22" s="206"/>
      <c r="QXR22" s="206"/>
      <c r="QXS22" s="206"/>
      <c r="QXT22" s="206"/>
      <c r="QXU22" s="206"/>
      <c r="QXV22" s="206"/>
      <c r="QXW22" s="206"/>
      <c r="QXX22" s="206"/>
      <c r="QXY22" s="206"/>
      <c r="QXZ22" s="206"/>
      <c r="QYA22" s="206"/>
      <c r="QYB22" s="206"/>
      <c r="QYC22" s="206"/>
      <c r="QYD22" s="206"/>
      <c r="QYE22" s="206"/>
      <c r="QYF22" s="206"/>
      <c r="QYG22" s="206"/>
      <c r="QYH22" s="206"/>
      <c r="QYI22" s="206"/>
      <c r="QYJ22" s="206"/>
      <c r="QYK22" s="206"/>
      <c r="QYL22" s="206"/>
      <c r="QYM22" s="206"/>
      <c r="QYN22" s="206"/>
      <c r="QYO22" s="206"/>
      <c r="QYP22" s="206"/>
      <c r="QYQ22" s="206"/>
      <c r="QYR22" s="206"/>
      <c r="QYS22" s="206"/>
      <c r="QYT22" s="206"/>
      <c r="QYU22" s="206"/>
      <c r="QYV22" s="206"/>
      <c r="QYW22" s="206"/>
      <c r="QYX22" s="206"/>
      <c r="QYY22" s="206"/>
      <c r="QYZ22" s="206"/>
      <c r="QZA22" s="206"/>
      <c r="QZB22" s="206"/>
      <c r="QZC22" s="206"/>
      <c r="QZD22" s="206"/>
      <c r="QZE22" s="206"/>
      <c r="QZF22" s="206"/>
      <c r="QZG22" s="206"/>
      <c r="QZH22" s="206"/>
      <c r="QZI22" s="206"/>
      <c r="QZJ22" s="206"/>
      <c r="QZK22" s="206"/>
      <c r="QZL22" s="206"/>
      <c r="QZM22" s="206"/>
      <c r="QZN22" s="206"/>
      <c r="QZO22" s="206"/>
      <c r="QZP22" s="206"/>
      <c r="QZQ22" s="206"/>
      <c r="QZR22" s="206"/>
      <c r="QZS22" s="206"/>
      <c r="QZT22" s="206"/>
      <c r="QZU22" s="206"/>
      <c r="QZV22" s="206"/>
      <c r="QZW22" s="206"/>
      <c r="QZX22" s="206"/>
      <c r="QZY22" s="206"/>
      <c r="QZZ22" s="206"/>
      <c r="RAA22" s="206"/>
      <c r="RAB22" s="206"/>
      <c r="RAC22" s="206"/>
      <c r="RAD22" s="206"/>
      <c r="RAE22" s="206"/>
      <c r="RAF22" s="206"/>
      <c r="RAG22" s="206"/>
      <c r="RAH22" s="206"/>
      <c r="RAI22" s="206"/>
      <c r="RAJ22" s="206"/>
      <c r="RAK22" s="206"/>
      <c r="RAL22" s="206"/>
      <c r="RAM22" s="206"/>
      <c r="RAN22" s="206"/>
      <c r="RAO22" s="206"/>
      <c r="RAP22" s="206"/>
      <c r="RAQ22" s="206"/>
      <c r="RAR22" s="206"/>
      <c r="RAS22" s="206"/>
      <c r="RAT22" s="206"/>
      <c r="RAU22" s="206"/>
      <c r="RAV22" s="206"/>
      <c r="RAW22" s="206"/>
      <c r="RAX22" s="206"/>
      <c r="RAY22" s="206"/>
      <c r="RAZ22" s="206"/>
      <c r="RBA22" s="206"/>
      <c r="RBB22" s="206"/>
      <c r="RBC22" s="206"/>
      <c r="RBD22" s="206"/>
      <c r="RBE22" s="206"/>
      <c r="RBF22" s="206"/>
      <c r="RBG22" s="206"/>
      <c r="RBH22" s="206"/>
      <c r="RBI22" s="206"/>
      <c r="RBJ22" s="206"/>
      <c r="RBK22" s="206"/>
      <c r="RBL22" s="206"/>
      <c r="RBM22" s="206"/>
      <c r="RBN22" s="206"/>
      <c r="RBO22" s="206"/>
      <c r="RBP22" s="206"/>
      <c r="RBQ22" s="206"/>
      <c r="RBR22" s="206"/>
      <c r="RBS22" s="206"/>
      <c r="RBT22" s="206"/>
      <c r="RBU22" s="206"/>
      <c r="RBV22" s="206"/>
      <c r="RBW22" s="206"/>
      <c r="RBX22" s="206"/>
      <c r="RBY22" s="206"/>
      <c r="RBZ22" s="206"/>
      <c r="RCA22" s="206"/>
      <c r="RCB22" s="206"/>
      <c r="RCC22" s="206"/>
      <c r="RCD22" s="206"/>
      <c r="RCE22" s="206"/>
      <c r="RCF22" s="206"/>
      <c r="RCG22" s="206"/>
      <c r="RCH22" s="206"/>
      <c r="RCI22" s="206"/>
      <c r="RCJ22" s="206"/>
      <c r="RCK22" s="206"/>
      <c r="RCL22" s="206"/>
      <c r="RCM22" s="206"/>
      <c r="RCN22" s="206"/>
      <c r="RCO22" s="206"/>
      <c r="RCP22" s="206"/>
      <c r="RCQ22" s="206"/>
      <c r="RCR22" s="206"/>
      <c r="RCS22" s="206"/>
      <c r="RCT22" s="206"/>
      <c r="RCU22" s="206"/>
      <c r="RCV22" s="206"/>
      <c r="RCW22" s="206"/>
      <c r="RCX22" s="206"/>
      <c r="RCY22" s="206"/>
      <c r="RCZ22" s="206"/>
      <c r="RDA22" s="206"/>
      <c r="RDB22" s="206"/>
      <c r="RDC22" s="206"/>
      <c r="RDD22" s="206"/>
      <c r="RDE22" s="206"/>
      <c r="RDF22" s="206"/>
      <c r="RDG22" s="206"/>
      <c r="RDH22" s="206"/>
      <c r="RDI22" s="206"/>
      <c r="RDJ22" s="206"/>
      <c r="RDK22" s="206"/>
      <c r="RDL22" s="206"/>
      <c r="RDM22" s="206"/>
      <c r="RDN22" s="206"/>
      <c r="RDO22" s="206"/>
      <c r="RDP22" s="206"/>
      <c r="RDQ22" s="206"/>
      <c r="RDR22" s="206"/>
      <c r="RDS22" s="206"/>
      <c r="RDT22" s="206"/>
      <c r="RDU22" s="206"/>
      <c r="RDV22" s="206"/>
      <c r="RDW22" s="206"/>
      <c r="RDX22" s="206"/>
      <c r="RDY22" s="206"/>
      <c r="RDZ22" s="206"/>
      <c r="REA22" s="206"/>
      <c r="REB22" s="206"/>
      <c r="REC22" s="206"/>
      <c r="RED22" s="206"/>
      <c r="REE22" s="206"/>
      <c r="REF22" s="206"/>
      <c r="REG22" s="206"/>
      <c r="REH22" s="206"/>
      <c r="REI22" s="206"/>
      <c r="REJ22" s="206"/>
      <c r="REK22" s="206"/>
      <c r="REL22" s="206"/>
      <c r="REM22" s="206"/>
      <c r="REN22" s="206"/>
      <c r="REO22" s="206"/>
      <c r="REP22" s="206"/>
      <c r="REQ22" s="206"/>
      <c r="RER22" s="206"/>
      <c r="RES22" s="206"/>
      <c r="RET22" s="206"/>
      <c r="REU22" s="206"/>
      <c r="REV22" s="206"/>
      <c r="REW22" s="206"/>
      <c r="REX22" s="206"/>
      <c r="REY22" s="206"/>
      <c r="REZ22" s="206"/>
      <c r="RFA22" s="206"/>
      <c r="RFB22" s="206"/>
      <c r="RFC22" s="206"/>
      <c r="RFD22" s="206"/>
      <c r="RFE22" s="206"/>
      <c r="RFF22" s="206"/>
      <c r="RFG22" s="206"/>
      <c r="RFH22" s="206"/>
      <c r="RFI22" s="206"/>
      <c r="RFJ22" s="206"/>
      <c r="RFK22" s="206"/>
      <c r="RFL22" s="206"/>
      <c r="RFM22" s="206"/>
      <c r="RFN22" s="206"/>
      <c r="RFO22" s="206"/>
      <c r="RFP22" s="206"/>
      <c r="RFQ22" s="206"/>
      <c r="RFR22" s="206"/>
      <c r="RFS22" s="206"/>
      <c r="RFT22" s="206"/>
      <c r="RFU22" s="206"/>
      <c r="RFV22" s="206"/>
      <c r="RFW22" s="206"/>
      <c r="RFX22" s="206"/>
      <c r="RFY22" s="206"/>
      <c r="RFZ22" s="206"/>
      <c r="RGA22" s="206"/>
      <c r="RGB22" s="206"/>
      <c r="RGC22" s="206"/>
      <c r="RGD22" s="206"/>
      <c r="RGE22" s="206"/>
      <c r="RGF22" s="206"/>
      <c r="RGG22" s="206"/>
      <c r="RGH22" s="206"/>
      <c r="RGI22" s="206"/>
      <c r="RGJ22" s="206"/>
      <c r="RGK22" s="206"/>
      <c r="RGL22" s="206"/>
      <c r="RGM22" s="206"/>
      <c r="RGN22" s="206"/>
      <c r="RGO22" s="206"/>
      <c r="RGP22" s="206"/>
      <c r="RGQ22" s="206"/>
      <c r="RGR22" s="206"/>
      <c r="RGS22" s="206"/>
      <c r="RGT22" s="206"/>
      <c r="RGU22" s="206"/>
      <c r="RGV22" s="206"/>
      <c r="RGW22" s="206"/>
      <c r="RGX22" s="206"/>
      <c r="RGY22" s="206"/>
      <c r="RGZ22" s="206"/>
      <c r="RHA22" s="206"/>
      <c r="RHB22" s="206"/>
      <c r="RHC22" s="206"/>
      <c r="RHD22" s="206"/>
      <c r="RHE22" s="206"/>
      <c r="RHF22" s="206"/>
      <c r="RHG22" s="206"/>
      <c r="RHH22" s="206"/>
      <c r="RHI22" s="206"/>
      <c r="RHJ22" s="206"/>
      <c r="RHK22" s="206"/>
      <c r="RHL22" s="206"/>
      <c r="RHM22" s="206"/>
      <c r="RHN22" s="206"/>
      <c r="RHO22" s="206"/>
      <c r="RHP22" s="206"/>
      <c r="RHQ22" s="206"/>
      <c r="RHR22" s="206"/>
      <c r="RHS22" s="206"/>
      <c r="RHT22" s="206"/>
      <c r="RHU22" s="206"/>
      <c r="RHV22" s="206"/>
      <c r="RHW22" s="206"/>
      <c r="RHX22" s="206"/>
      <c r="RHY22" s="206"/>
      <c r="RHZ22" s="206"/>
      <c r="RIA22" s="206"/>
      <c r="RIB22" s="206"/>
      <c r="RIC22" s="206"/>
      <c r="RID22" s="206"/>
      <c r="RIE22" s="206"/>
      <c r="RIF22" s="206"/>
      <c r="RIG22" s="206"/>
      <c r="RIH22" s="206"/>
      <c r="RII22" s="206"/>
      <c r="RIJ22" s="206"/>
      <c r="RIK22" s="206"/>
      <c r="RIL22" s="206"/>
      <c r="RIM22" s="206"/>
      <c r="RIN22" s="206"/>
      <c r="RIO22" s="206"/>
      <c r="RIP22" s="206"/>
      <c r="RIQ22" s="206"/>
      <c r="RIR22" s="206"/>
      <c r="RIS22" s="206"/>
      <c r="RIT22" s="206"/>
      <c r="RIU22" s="206"/>
      <c r="RIV22" s="206"/>
      <c r="RIW22" s="206"/>
      <c r="RIX22" s="206"/>
      <c r="RIY22" s="206"/>
      <c r="RIZ22" s="206"/>
      <c r="RJA22" s="206"/>
      <c r="RJB22" s="206"/>
      <c r="RJC22" s="206"/>
      <c r="RJD22" s="206"/>
      <c r="RJE22" s="206"/>
      <c r="RJF22" s="206"/>
      <c r="RJG22" s="206"/>
      <c r="RJH22" s="206"/>
      <c r="RJI22" s="206"/>
      <c r="RJJ22" s="206"/>
      <c r="RJK22" s="206"/>
      <c r="RJL22" s="206"/>
      <c r="RJM22" s="206"/>
      <c r="RJN22" s="206"/>
      <c r="RJO22" s="206"/>
      <c r="RJP22" s="206"/>
      <c r="RJQ22" s="206"/>
      <c r="RJR22" s="206"/>
      <c r="RJS22" s="206"/>
      <c r="RJT22" s="206"/>
      <c r="RJU22" s="206"/>
      <c r="RJV22" s="206"/>
      <c r="RJW22" s="206"/>
      <c r="RJX22" s="206"/>
      <c r="RJY22" s="206"/>
      <c r="RJZ22" s="206"/>
      <c r="RKA22" s="206"/>
      <c r="RKB22" s="206"/>
      <c r="RKC22" s="206"/>
      <c r="RKD22" s="206"/>
      <c r="RKE22" s="206"/>
      <c r="RKF22" s="206"/>
      <c r="RKG22" s="206"/>
      <c r="RKH22" s="206"/>
      <c r="RKI22" s="206"/>
      <c r="RKJ22" s="206"/>
      <c r="RKK22" s="206"/>
      <c r="RKL22" s="206"/>
      <c r="RKM22" s="206"/>
      <c r="RKN22" s="206"/>
      <c r="RKO22" s="206"/>
      <c r="RKP22" s="206"/>
      <c r="RKQ22" s="206"/>
      <c r="RKR22" s="206"/>
      <c r="RKS22" s="206"/>
      <c r="RKT22" s="206"/>
      <c r="RKU22" s="206"/>
      <c r="RKV22" s="206"/>
      <c r="RKW22" s="206"/>
      <c r="RKX22" s="206"/>
      <c r="RKY22" s="206"/>
      <c r="RKZ22" s="206"/>
      <c r="RLA22" s="206"/>
      <c r="RLB22" s="206"/>
      <c r="RLC22" s="206"/>
      <c r="RLD22" s="206"/>
      <c r="RLE22" s="206"/>
      <c r="RLF22" s="206"/>
      <c r="RLG22" s="206"/>
      <c r="RLH22" s="206"/>
      <c r="RLI22" s="206"/>
      <c r="RLJ22" s="206"/>
      <c r="RLK22" s="206"/>
      <c r="RLL22" s="206"/>
      <c r="RLM22" s="206"/>
      <c r="RLN22" s="206"/>
      <c r="RLO22" s="206"/>
      <c r="RLP22" s="206"/>
      <c r="RLQ22" s="206"/>
      <c r="RLR22" s="206"/>
      <c r="RLS22" s="206"/>
      <c r="RLT22" s="206"/>
      <c r="RLU22" s="206"/>
      <c r="RLV22" s="206"/>
      <c r="RLW22" s="206"/>
      <c r="RLX22" s="206"/>
      <c r="RLY22" s="206"/>
      <c r="RLZ22" s="206"/>
      <c r="RMA22" s="206"/>
      <c r="RMB22" s="206"/>
      <c r="RMC22" s="206"/>
      <c r="RMD22" s="206"/>
      <c r="RME22" s="206"/>
      <c r="RMF22" s="206"/>
      <c r="RMG22" s="206"/>
      <c r="RMH22" s="206"/>
      <c r="RMI22" s="206"/>
      <c r="RMJ22" s="206"/>
      <c r="RMK22" s="206"/>
      <c r="RML22" s="206"/>
      <c r="RMM22" s="206"/>
      <c r="RMN22" s="206"/>
      <c r="RMO22" s="206"/>
      <c r="RMP22" s="206"/>
      <c r="RMQ22" s="206"/>
      <c r="RMR22" s="206"/>
      <c r="RMS22" s="206"/>
      <c r="RMT22" s="206"/>
      <c r="RMU22" s="206"/>
      <c r="RMV22" s="206"/>
      <c r="RMW22" s="206"/>
      <c r="RMX22" s="206"/>
      <c r="RMY22" s="206"/>
      <c r="RMZ22" s="206"/>
      <c r="RNA22" s="206"/>
      <c r="RNB22" s="206"/>
      <c r="RNC22" s="206"/>
      <c r="RND22" s="206"/>
      <c r="RNE22" s="206"/>
      <c r="RNF22" s="206"/>
      <c r="RNG22" s="206"/>
      <c r="RNH22" s="206"/>
      <c r="RNI22" s="206"/>
      <c r="RNJ22" s="206"/>
      <c r="RNK22" s="206"/>
      <c r="RNL22" s="206"/>
      <c r="RNM22" s="206"/>
      <c r="RNN22" s="206"/>
      <c r="RNO22" s="206"/>
      <c r="RNP22" s="206"/>
      <c r="RNQ22" s="206"/>
      <c r="RNR22" s="206"/>
      <c r="RNS22" s="206"/>
      <c r="RNT22" s="206"/>
      <c r="RNU22" s="206"/>
      <c r="RNV22" s="206"/>
      <c r="RNW22" s="206"/>
      <c r="RNX22" s="206"/>
      <c r="RNY22" s="206"/>
      <c r="RNZ22" s="206"/>
      <c r="ROA22" s="206"/>
      <c r="ROB22" s="206"/>
      <c r="ROC22" s="206"/>
      <c r="ROD22" s="206"/>
      <c r="ROE22" s="206"/>
      <c r="ROF22" s="206"/>
      <c r="ROG22" s="206"/>
      <c r="ROH22" s="206"/>
      <c r="ROI22" s="206"/>
      <c r="ROJ22" s="206"/>
      <c r="ROK22" s="206"/>
      <c r="ROL22" s="206"/>
      <c r="ROM22" s="206"/>
      <c r="RON22" s="206"/>
      <c r="ROO22" s="206"/>
      <c r="ROP22" s="206"/>
      <c r="ROQ22" s="206"/>
      <c r="ROR22" s="206"/>
      <c r="ROS22" s="206"/>
      <c r="ROT22" s="206"/>
      <c r="ROU22" s="206"/>
      <c r="ROV22" s="206"/>
      <c r="ROW22" s="206"/>
      <c r="ROX22" s="206"/>
      <c r="ROY22" s="206"/>
      <c r="ROZ22" s="206"/>
      <c r="RPA22" s="206"/>
      <c r="RPB22" s="206"/>
      <c r="RPC22" s="206"/>
      <c r="RPD22" s="206"/>
      <c r="RPE22" s="206"/>
      <c r="RPF22" s="206"/>
      <c r="RPG22" s="206"/>
      <c r="RPH22" s="206"/>
      <c r="RPI22" s="206"/>
      <c r="RPJ22" s="206"/>
      <c r="RPK22" s="206"/>
      <c r="RPL22" s="206"/>
      <c r="RPM22" s="206"/>
      <c r="RPN22" s="206"/>
      <c r="RPO22" s="206"/>
      <c r="RPP22" s="206"/>
      <c r="RPQ22" s="206"/>
      <c r="RPR22" s="206"/>
      <c r="RPS22" s="206"/>
      <c r="RPT22" s="206"/>
      <c r="RPU22" s="206"/>
      <c r="RPV22" s="206"/>
      <c r="RPW22" s="206"/>
      <c r="RPX22" s="206"/>
      <c r="RPY22" s="206"/>
      <c r="RPZ22" s="206"/>
      <c r="RQA22" s="206"/>
      <c r="RQB22" s="206"/>
      <c r="RQC22" s="206"/>
      <c r="RQD22" s="206"/>
      <c r="RQE22" s="206"/>
      <c r="RQF22" s="206"/>
      <c r="RQG22" s="206"/>
      <c r="RQH22" s="206"/>
      <c r="RQI22" s="206"/>
      <c r="RQJ22" s="206"/>
      <c r="RQK22" s="206"/>
      <c r="RQL22" s="206"/>
      <c r="RQM22" s="206"/>
      <c r="RQN22" s="206"/>
      <c r="RQO22" s="206"/>
      <c r="RQP22" s="206"/>
      <c r="RQQ22" s="206"/>
      <c r="RQR22" s="206"/>
      <c r="RQS22" s="206"/>
      <c r="RQT22" s="206"/>
      <c r="RQU22" s="206"/>
      <c r="RQV22" s="206"/>
      <c r="RQW22" s="206"/>
      <c r="RQX22" s="206"/>
      <c r="RQY22" s="206"/>
      <c r="RQZ22" s="206"/>
      <c r="RRA22" s="206"/>
      <c r="RRB22" s="206"/>
      <c r="RRC22" s="206"/>
      <c r="RRD22" s="206"/>
      <c r="RRE22" s="206"/>
      <c r="RRF22" s="206"/>
      <c r="RRG22" s="206"/>
      <c r="RRH22" s="206"/>
      <c r="RRI22" s="206"/>
      <c r="RRJ22" s="206"/>
      <c r="RRK22" s="206"/>
      <c r="RRL22" s="206"/>
      <c r="RRM22" s="206"/>
      <c r="RRN22" s="206"/>
      <c r="RRO22" s="206"/>
      <c r="RRP22" s="206"/>
      <c r="RRQ22" s="206"/>
      <c r="RRR22" s="206"/>
      <c r="RRS22" s="206"/>
      <c r="RRT22" s="206"/>
      <c r="RRU22" s="206"/>
      <c r="RRV22" s="206"/>
      <c r="RRW22" s="206"/>
      <c r="RRX22" s="206"/>
      <c r="RRY22" s="206"/>
      <c r="RRZ22" s="206"/>
      <c r="RSA22" s="206"/>
      <c r="RSB22" s="206"/>
      <c r="RSC22" s="206"/>
      <c r="RSD22" s="206"/>
      <c r="RSE22" s="206"/>
      <c r="RSF22" s="206"/>
      <c r="RSG22" s="206"/>
      <c r="RSH22" s="206"/>
      <c r="RSI22" s="206"/>
      <c r="RSJ22" s="206"/>
      <c r="RSK22" s="206"/>
      <c r="RSL22" s="206"/>
      <c r="RSM22" s="206"/>
      <c r="RSN22" s="206"/>
      <c r="RSO22" s="206"/>
      <c r="RSP22" s="206"/>
      <c r="RSQ22" s="206"/>
      <c r="RSR22" s="206"/>
      <c r="RSS22" s="206"/>
      <c r="RST22" s="206"/>
      <c r="RSU22" s="206"/>
      <c r="RSV22" s="206"/>
      <c r="RSW22" s="206"/>
      <c r="RSX22" s="206"/>
      <c r="RSY22" s="206"/>
      <c r="RSZ22" s="206"/>
      <c r="RTA22" s="206"/>
      <c r="RTB22" s="206"/>
      <c r="RTC22" s="206"/>
      <c r="RTD22" s="206"/>
      <c r="RTE22" s="206"/>
      <c r="RTF22" s="206"/>
      <c r="RTG22" s="206"/>
      <c r="RTH22" s="206"/>
      <c r="RTI22" s="206"/>
      <c r="RTJ22" s="206"/>
      <c r="RTK22" s="206"/>
      <c r="RTL22" s="206"/>
      <c r="RTM22" s="206"/>
      <c r="RTN22" s="206"/>
      <c r="RTO22" s="206"/>
      <c r="RTP22" s="206"/>
      <c r="RTQ22" s="206"/>
      <c r="RTR22" s="206"/>
      <c r="RTS22" s="206"/>
      <c r="RTT22" s="206"/>
      <c r="RTU22" s="206"/>
      <c r="RTV22" s="206"/>
      <c r="RTW22" s="206"/>
      <c r="RTX22" s="206"/>
      <c r="RTY22" s="206"/>
      <c r="RTZ22" s="206"/>
      <c r="RUA22" s="206"/>
      <c r="RUB22" s="206"/>
      <c r="RUC22" s="206"/>
      <c r="RUD22" s="206"/>
      <c r="RUE22" s="206"/>
      <c r="RUF22" s="206"/>
      <c r="RUG22" s="206"/>
      <c r="RUH22" s="206"/>
      <c r="RUI22" s="206"/>
      <c r="RUJ22" s="206"/>
      <c r="RUK22" s="206"/>
      <c r="RUL22" s="206"/>
      <c r="RUM22" s="206"/>
      <c r="RUN22" s="206"/>
      <c r="RUO22" s="206"/>
      <c r="RUP22" s="206"/>
      <c r="RUQ22" s="206"/>
      <c r="RUR22" s="206"/>
      <c r="RUS22" s="206"/>
      <c r="RUT22" s="206"/>
      <c r="RUU22" s="206"/>
      <c r="RUV22" s="206"/>
      <c r="RUW22" s="206"/>
      <c r="RUX22" s="206"/>
      <c r="RUY22" s="206"/>
      <c r="RUZ22" s="206"/>
      <c r="RVA22" s="206"/>
      <c r="RVB22" s="206"/>
      <c r="RVC22" s="206"/>
      <c r="RVD22" s="206"/>
      <c r="RVE22" s="206"/>
      <c r="RVF22" s="206"/>
      <c r="RVG22" s="206"/>
      <c r="RVH22" s="206"/>
      <c r="RVI22" s="206"/>
      <c r="RVJ22" s="206"/>
      <c r="RVK22" s="206"/>
      <c r="RVL22" s="206"/>
      <c r="RVM22" s="206"/>
      <c r="RVN22" s="206"/>
      <c r="RVO22" s="206"/>
      <c r="RVP22" s="206"/>
      <c r="RVQ22" s="206"/>
      <c r="RVR22" s="206"/>
      <c r="RVS22" s="206"/>
      <c r="RVT22" s="206"/>
      <c r="RVU22" s="206"/>
      <c r="RVV22" s="206"/>
      <c r="RVW22" s="206"/>
      <c r="RVX22" s="206"/>
      <c r="RVY22" s="206"/>
      <c r="RVZ22" s="206"/>
      <c r="RWA22" s="206"/>
      <c r="RWB22" s="206"/>
      <c r="RWC22" s="206"/>
      <c r="RWD22" s="206"/>
      <c r="RWE22" s="206"/>
      <c r="RWF22" s="206"/>
      <c r="RWG22" s="206"/>
      <c r="RWH22" s="206"/>
      <c r="RWI22" s="206"/>
      <c r="RWJ22" s="206"/>
      <c r="RWK22" s="206"/>
      <c r="RWL22" s="206"/>
      <c r="RWM22" s="206"/>
      <c r="RWN22" s="206"/>
      <c r="RWO22" s="206"/>
      <c r="RWP22" s="206"/>
      <c r="RWQ22" s="206"/>
      <c r="RWR22" s="206"/>
      <c r="RWS22" s="206"/>
      <c r="RWT22" s="206"/>
      <c r="RWU22" s="206"/>
      <c r="RWV22" s="206"/>
      <c r="RWW22" s="206"/>
      <c r="RWX22" s="206"/>
      <c r="RWY22" s="206"/>
      <c r="RWZ22" s="206"/>
      <c r="RXA22" s="206"/>
      <c r="RXB22" s="206"/>
      <c r="RXC22" s="206"/>
      <c r="RXD22" s="206"/>
      <c r="RXE22" s="206"/>
      <c r="RXF22" s="206"/>
      <c r="RXG22" s="206"/>
      <c r="RXH22" s="206"/>
      <c r="RXI22" s="206"/>
      <c r="RXJ22" s="206"/>
      <c r="RXK22" s="206"/>
      <c r="RXL22" s="206"/>
      <c r="RXM22" s="206"/>
      <c r="RXN22" s="206"/>
      <c r="RXO22" s="206"/>
      <c r="RXP22" s="206"/>
      <c r="RXQ22" s="206"/>
      <c r="RXR22" s="206"/>
      <c r="RXS22" s="206"/>
      <c r="RXT22" s="206"/>
      <c r="RXU22" s="206"/>
      <c r="RXV22" s="206"/>
      <c r="RXW22" s="206"/>
      <c r="RXX22" s="206"/>
      <c r="RXY22" s="206"/>
      <c r="RXZ22" s="206"/>
      <c r="RYA22" s="206"/>
      <c r="RYB22" s="206"/>
      <c r="RYC22" s="206"/>
      <c r="RYD22" s="206"/>
      <c r="RYE22" s="206"/>
      <c r="RYF22" s="206"/>
      <c r="RYG22" s="206"/>
      <c r="RYH22" s="206"/>
      <c r="RYI22" s="206"/>
      <c r="RYJ22" s="206"/>
      <c r="RYK22" s="206"/>
      <c r="RYL22" s="206"/>
      <c r="RYM22" s="206"/>
      <c r="RYN22" s="206"/>
      <c r="RYO22" s="206"/>
      <c r="RYP22" s="206"/>
      <c r="RYQ22" s="206"/>
      <c r="RYR22" s="206"/>
      <c r="RYS22" s="206"/>
      <c r="RYT22" s="206"/>
      <c r="RYU22" s="206"/>
      <c r="RYV22" s="206"/>
      <c r="RYW22" s="206"/>
      <c r="RYX22" s="206"/>
      <c r="RYY22" s="206"/>
      <c r="RYZ22" s="206"/>
      <c r="RZA22" s="206"/>
      <c r="RZB22" s="206"/>
      <c r="RZC22" s="206"/>
      <c r="RZD22" s="206"/>
      <c r="RZE22" s="206"/>
      <c r="RZF22" s="206"/>
      <c r="RZG22" s="206"/>
      <c r="RZH22" s="206"/>
      <c r="RZI22" s="206"/>
      <c r="RZJ22" s="206"/>
      <c r="RZK22" s="206"/>
      <c r="RZL22" s="206"/>
      <c r="RZM22" s="206"/>
      <c r="RZN22" s="206"/>
      <c r="RZO22" s="206"/>
      <c r="RZP22" s="206"/>
      <c r="RZQ22" s="206"/>
      <c r="RZR22" s="206"/>
      <c r="RZS22" s="206"/>
      <c r="RZT22" s="206"/>
      <c r="RZU22" s="206"/>
      <c r="RZV22" s="206"/>
      <c r="RZW22" s="206"/>
      <c r="RZX22" s="206"/>
      <c r="RZY22" s="206"/>
      <c r="RZZ22" s="206"/>
      <c r="SAA22" s="206"/>
      <c r="SAB22" s="206"/>
      <c r="SAC22" s="206"/>
      <c r="SAD22" s="206"/>
      <c r="SAE22" s="206"/>
      <c r="SAF22" s="206"/>
      <c r="SAG22" s="206"/>
      <c r="SAH22" s="206"/>
      <c r="SAI22" s="206"/>
      <c r="SAJ22" s="206"/>
      <c r="SAK22" s="206"/>
      <c r="SAL22" s="206"/>
      <c r="SAM22" s="206"/>
      <c r="SAN22" s="206"/>
      <c r="SAO22" s="206"/>
      <c r="SAP22" s="206"/>
      <c r="SAQ22" s="206"/>
      <c r="SAR22" s="206"/>
      <c r="SAS22" s="206"/>
      <c r="SAT22" s="206"/>
      <c r="SAU22" s="206"/>
      <c r="SAV22" s="206"/>
      <c r="SAW22" s="206"/>
      <c r="SAX22" s="206"/>
      <c r="SAY22" s="206"/>
      <c r="SAZ22" s="206"/>
      <c r="SBA22" s="206"/>
      <c r="SBB22" s="206"/>
      <c r="SBC22" s="206"/>
      <c r="SBD22" s="206"/>
      <c r="SBE22" s="206"/>
      <c r="SBF22" s="206"/>
      <c r="SBG22" s="206"/>
      <c r="SBH22" s="206"/>
      <c r="SBI22" s="206"/>
      <c r="SBJ22" s="206"/>
      <c r="SBK22" s="206"/>
      <c r="SBL22" s="206"/>
      <c r="SBM22" s="206"/>
      <c r="SBN22" s="206"/>
      <c r="SBO22" s="206"/>
      <c r="SBP22" s="206"/>
      <c r="SBQ22" s="206"/>
      <c r="SBR22" s="206"/>
      <c r="SBS22" s="206"/>
      <c r="SBT22" s="206"/>
      <c r="SBU22" s="206"/>
      <c r="SBV22" s="206"/>
      <c r="SBW22" s="206"/>
      <c r="SBX22" s="206"/>
      <c r="SBY22" s="206"/>
      <c r="SBZ22" s="206"/>
      <c r="SCA22" s="206"/>
      <c r="SCB22" s="206"/>
      <c r="SCC22" s="206"/>
      <c r="SCD22" s="206"/>
      <c r="SCE22" s="206"/>
      <c r="SCF22" s="206"/>
      <c r="SCG22" s="206"/>
      <c r="SCH22" s="206"/>
      <c r="SCI22" s="206"/>
      <c r="SCJ22" s="206"/>
      <c r="SCK22" s="206"/>
      <c r="SCL22" s="206"/>
      <c r="SCM22" s="206"/>
      <c r="SCN22" s="206"/>
      <c r="SCO22" s="206"/>
      <c r="SCP22" s="206"/>
      <c r="SCQ22" s="206"/>
      <c r="SCR22" s="206"/>
      <c r="SCS22" s="206"/>
      <c r="SCT22" s="206"/>
      <c r="SCU22" s="206"/>
      <c r="SCV22" s="206"/>
      <c r="SCW22" s="206"/>
      <c r="SCX22" s="206"/>
      <c r="SCY22" s="206"/>
      <c r="SCZ22" s="206"/>
      <c r="SDA22" s="206"/>
      <c r="SDB22" s="206"/>
      <c r="SDC22" s="206"/>
      <c r="SDD22" s="206"/>
      <c r="SDE22" s="206"/>
      <c r="SDF22" s="206"/>
      <c r="SDG22" s="206"/>
      <c r="SDH22" s="206"/>
      <c r="SDI22" s="206"/>
      <c r="SDJ22" s="206"/>
      <c r="SDK22" s="206"/>
      <c r="SDL22" s="206"/>
      <c r="SDM22" s="206"/>
      <c r="SDN22" s="206"/>
      <c r="SDO22" s="206"/>
      <c r="SDP22" s="206"/>
      <c r="SDQ22" s="206"/>
      <c r="SDR22" s="206"/>
      <c r="SDS22" s="206"/>
      <c r="SDT22" s="206"/>
      <c r="SDU22" s="206"/>
      <c r="SDV22" s="206"/>
      <c r="SDW22" s="206"/>
      <c r="SDX22" s="206"/>
      <c r="SDY22" s="206"/>
      <c r="SDZ22" s="206"/>
      <c r="SEA22" s="206"/>
      <c r="SEB22" s="206"/>
      <c r="SEC22" s="206"/>
      <c r="SED22" s="206"/>
      <c r="SEE22" s="206"/>
      <c r="SEF22" s="206"/>
      <c r="SEG22" s="206"/>
      <c r="SEH22" s="206"/>
      <c r="SEI22" s="206"/>
      <c r="SEJ22" s="206"/>
      <c r="SEK22" s="206"/>
      <c r="SEL22" s="206"/>
      <c r="SEM22" s="206"/>
      <c r="SEN22" s="206"/>
      <c r="SEO22" s="206"/>
      <c r="SEP22" s="206"/>
      <c r="SEQ22" s="206"/>
      <c r="SER22" s="206"/>
      <c r="SES22" s="206"/>
      <c r="SET22" s="206"/>
      <c r="SEU22" s="206"/>
      <c r="SEV22" s="206"/>
      <c r="SEW22" s="206"/>
      <c r="SEX22" s="206"/>
      <c r="SEY22" s="206"/>
      <c r="SEZ22" s="206"/>
      <c r="SFA22" s="206"/>
      <c r="SFB22" s="206"/>
      <c r="SFC22" s="206"/>
      <c r="SFD22" s="206"/>
      <c r="SFE22" s="206"/>
      <c r="SFF22" s="206"/>
      <c r="SFG22" s="206"/>
      <c r="SFH22" s="206"/>
      <c r="SFI22" s="206"/>
      <c r="SFJ22" s="206"/>
      <c r="SFK22" s="206"/>
      <c r="SFL22" s="206"/>
      <c r="SFM22" s="206"/>
      <c r="SFN22" s="206"/>
      <c r="SFO22" s="206"/>
      <c r="SFP22" s="206"/>
      <c r="SFQ22" s="206"/>
      <c r="SFR22" s="206"/>
      <c r="SFS22" s="206"/>
      <c r="SFT22" s="206"/>
      <c r="SFU22" s="206"/>
      <c r="SFV22" s="206"/>
      <c r="SFW22" s="206"/>
      <c r="SFX22" s="206"/>
      <c r="SFY22" s="206"/>
      <c r="SFZ22" s="206"/>
      <c r="SGA22" s="206"/>
      <c r="SGB22" s="206"/>
      <c r="SGC22" s="206"/>
      <c r="SGD22" s="206"/>
      <c r="SGE22" s="206"/>
      <c r="SGF22" s="206"/>
      <c r="SGG22" s="206"/>
      <c r="SGH22" s="206"/>
      <c r="SGI22" s="206"/>
      <c r="SGJ22" s="206"/>
      <c r="SGK22" s="206"/>
      <c r="SGL22" s="206"/>
      <c r="SGM22" s="206"/>
      <c r="SGN22" s="206"/>
      <c r="SGO22" s="206"/>
      <c r="SGP22" s="206"/>
      <c r="SGQ22" s="206"/>
      <c r="SGR22" s="206"/>
      <c r="SGS22" s="206"/>
      <c r="SGT22" s="206"/>
      <c r="SGU22" s="206"/>
      <c r="SGV22" s="206"/>
      <c r="SGW22" s="206"/>
      <c r="SGX22" s="206"/>
      <c r="SGY22" s="206"/>
      <c r="SGZ22" s="206"/>
      <c r="SHA22" s="206"/>
      <c r="SHB22" s="206"/>
      <c r="SHC22" s="206"/>
      <c r="SHD22" s="206"/>
      <c r="SHE22" s="206"/>
      <c r="SHF22" s="206"/>
      <c r="SHG22" s="206"/>
      <c r="SHH22" s="206"/>
      <c r="SHI22" s="206"/>
      <c r="SHJ22" s="206"/>
      <c r="SHK22" s="206"/>
      <c r="SHL22" s="206"/>
      <c r="SHM22" s="206"/>
      <c r="SHN22" s="206"/>
      <c r="SHO22" s="206"/>
      <c r="SHP22" s="206"/>
      <c r="SHQ22" s="206"/>
      <c r="SHR22" s="206"/>
      <c r="SHS22" s="206"/>
      <c r="SHT22" s="206"/>
      <c r="SHU22" s="206"/>
      <c r="SHV22" s="206"/>
      <c r="SHW22" s="206"/>
      <c r="SHX22" s="206"/>
      <c r="SHY22" s="206"/>
      <c r="SHZ22" s="206"/>
      <c r="SIA22" s="206"/>
      <c r="SIB22" s="206"/>
      <c r="SIC22" s="206"/>
      <c r="SID22" s="206"/>
      <c r="SIE22" s="206"/>
      <c r="SIF22" s="206"/>
      <c r="SIG22" s="206"/>
      <c r="SIH22" s="206"/>
      <c r="SII22" s="206"/>
      <c r="SIJ22" s="206"/>
      <c r="SIK22" s="206"/>
      <c r="SIL22" s="206"/>
      <c r="SIM22" s="206"/>
      <c r="SIN22" s="206"/>
      <c r="SIO22" s="206"/>
      <c r="SIP22" s="206"/>
      <c r="SIQ22" s="206"/>
      <c r="SIR22" s="206"/>
      <c r="SIS22" s="206"/>
      <c r="SIT22" s="206"/>
      <c r="SIU22" s="206"/>
      <c r="SIV22" s="206"/>
      <c r="SIW22" s="206"/>
      <c r="SIX22" s="206"/>
      <c r="SIY22" s="206"/>
      <c r="SIZ22" s="206"/>
      <c r="SJA22" s="206"/>
      <c r="SJB22" s="206"/>
      <c r="SJC22" s="206"/>
      <c r="SJD22" s="206"/>
      <c r="SJE22" s="206"/>
      <c r="SJF22" s="206"/>
      <c r="SJG22" s="206"/>
      <c r="SJH22" s="206"/>
      <c r="SJI22" s="206"/>
      <c r="SJJ22" s="206"/>
      <c r="SJK22" s="206"/>
      <c r="SJL22" s="206"/>
      <c r="SJM22" s="206"/>
      <c r="SJN22" s="206"/>
      <c r="SJO22" s="206"/>
      <c r="SJP22" s="206"/>
      <c r="SJQ22" s="206"/>
      <c r="SJR22" s="206"/>
      <c r="SJS22" s="206"/>
      <c r="SJT22" s="206"/>
      <c r="SJU22" s="206"/>
      <c r="SJV22" s="206"/>
      <c r="SJW22" s="206"/>
      <c r="SJX22" s="206"/>
      <c r="SJY22" s="206"/>
      <c r="SJZ22" s="206"/>
      <c r="SKA22" s="206"/>
      <c r="SKB22" s="206"/>
      <c r="SKC22" s="206"/>
      <c r="SKD22" s="206"/>
      <c r="SKE22" s="206"/>
      <c r="SKF22" s="206"/>
      <c r="SKG22" s="206"/>
      <c r="SKH22" s="206"/>
      <c r="SKI22" s="206"/>
      <c r="SKJ22" s="206"/>
      <c r="SKK22" s="206"/>
      <c r="SKL22" s="206"/>
      <c r="SKM22" s="206"/>
      <c r="SKN22" s="206"/>
      <c r="SKO22" s="206"/>
      <c r="SKP22" s="206"/>
      <c r="SKQ22" s="206"/>
      <c r="SKR22" s="206"/>
      <c r="SKS22" s="206"/>
      <c r="SKT22" s="206"/>
      <c r="SKU22" s="206"/>
      <c r="SKV22" s="206"/>
      <c r="SKW22" s="206"/>
      <c r="SKX22" s="206"/>
      <c r="SKY22" s="206"/>
      <c r="SKZ22" s="206"/>
      <c r="SLA22" s="206"/>
      <c r="SLB22" s="206"/>
      <c r="SLC22" s="206"/>
      <c r="SLD22" s="206"/>
      <c r="SLE22" s="206"/>
      <c r="SLF22" s="206"/>
      <c r="SLG22" s="206"/>
      <c r="SLH22" s="206"/>
      <c r="SLI22" s="206"/>
      <c r="SLJ22" s="206"/>
      <c r="SLK22" s="206"/>
      <c r="SLL22" s="206"/>
      <c r="SLM22" s="206"/>
      <c r="SLN22" s="206"/>
      <c r="SLO22" s="206"/>
      <c r="SLP22" s="206"/>
      <c r="SLQ22" s="206"/>
      <c r="SLR22" s="206"/>
      <c r="SLS22" s="206"/>
      <c r="SLT22" s="206"/>
      <c r="SLU22" s="206"/>
      <c r="SLV22" s="206"/>
      <c r="SLW22" s="206"/>
      <c r="SLX22" s="206"/>
      <c r="SLY22" s="206"/>
      <c r="SLZ22" s="206"/>
      <c r="SMA22" s="206"/>
      <c r="SMB22" s="206"/>
      <c r="SMC22" s="206"/>
      <c r="SMD22" s="206"/>
      <c r="SME22" s="206"/>
      <c r="SMF22" s="206"/>
      <c r="SMG22" s="206"/>
      <c r="SMH22" s="206"/>
      <c r="SMI22" s="206"/>
      <c r="SMJ22" s="206"/>
      <c r="SMK22" s="206"/>
      <c r="SML22" s="206"/>
      <c r="SMM22" s="206"/>
      <c r="SMN22" s="206"/>
      <c r="SMO22" s="206"/>
      <c r="SMP22" s="206"/>
      <c r="SMQ22" s="206"/>
      <c r="SMR22" s="206"/>
      <c r="SMS22" s="206"/>
      <c r="SMT22" s="206"/>
      <c r="SMU22" s="206"/>
      <c r="SMV22" s="206"/>
      <c r="SMW22" s="206"/>
      <c r="SMX22" s="206"/>
      <c r="SMY22" s="206"/>
      <c r="SMZ22" s="206"/>
      <c r="SNA22" s="206"/>
      <c r="SNB22" s="206"/>
      <c r="SNC22" s="206"/>
      <c r="SND22" s="206"/>
      <c r="SNE22" s="206"/>
      <c r="SNF22" s="206"/>
      <c r="SNG22" s="206"/>
      <c r="SNH22" s="206"/>
      <c r="SNI22" s="206"/>
      <c r="SNJ22" s="206"/>
      <c r="SNK22" s="206"/>
      <c r="SNL22" s="206"/>
      <c r="SNM22" s="206"/>
      <c r="SNN22" s="206"/>
      <c r="SNO22" s="206"/>
      <c r="SNP22" s="206"/>
      <c r="SNQ22" s="206"/>
      <c r="SNR22" s="206"/>
      <c r="SNS22" s="206"/>
      <c r="SNT22" s="206"/>
      <c r="SNU22" s="206"/>
      <c r="SNV22" s="206"/>
      <c r="SNW22" s="206"/>
      <c r="SNX22" s="206"/>
      <c r="SNY22" s="206"/>
      <c r="SNZ22" s="206"/>
      <c r="SOA22" s="206"/>
      <c r="SOB22" s="206"/>
      <c r="SOC22" s="206"/>
      <c r="SOD22" s="206"/>
      <c r="SOE22" s="206"/>
      <c r="SOF22" s="206"/>
      <c r="SOG22" s="206"/>
      <c r="SOH22" s="206"/>
      <c r="SOI22" s="206"/>
      <c r="SOJ22" s="206"/>
      <c r="SOK22" s="206"/>
      <c r="SOL22" s="206"/>
      <c r="SOM22" s="206"/>
      <c r="SON22" s="206"/>
      <c r="SOO22" s="206"/>
      <c r="SOP22" s="206"/>
      <c r="SOQ22" s="206"/>
      <c r="SOR22" s="206"/>
      <c r="SOS22" s="206"/>
      <c r="SOT22" s="206"/>
      <c r="SOU22" s="206"/>
      <c r="SOV22" s="206"/>
      <c r="SOW22" s="206"/>
      <c r="SOX22" s="206"/>
      <c r="SOY22" s="206"/>
      <c r="SOZ22" s="206"/>
      <c r="SPA22" s="206"/>
      <c r="SPB22" s="206"/>
      <c r="SPC22" s="206"/>
      <c r="SPD22" s="206"/>
      <c r="SPE22" s="206"/>
      <c r="SPF22" s="206"/>
      <c r="SPG22" s="206"/>
      <c r="SPH22" s="206"/>
      <c r="SPI22" s="206"/>
      <c r="SPJ22" s="206"/>
      <c r="SPK22" s="206"/>
      <c r="SPL22" s="206"/>
      <c r="SPM22" s="206"/>
      <c r="SPN22" s="206"/>
      <c r="SPO22" s="206"/>
      <c r="SPP22" s="206"/>
      <c r="SPQ22" s="206"/>
      <c r="SPR22" s="206"/>
      <c r="SPS22" s="206"/>
      <c r="SPT22" s="206"/>
      <c r="SPU22" s="206"/>
      <c r="SPV22" s="206"/>
      <c r="SPW22" s="206"/>
      <c r="SPX22" s="206"/>
      <c r="SPY22" s="206"/>
      <c r="SPZ22" s="206"/>
      <c r="SQA22" s="206"/>
      <c r="SQB22" s="206"/>
      <c r="SQC22" s="206"/>
      <c r="SQD22" s="206"/>
      <c r="SQE22" s="206"/>
      <c r="SQF22" s="206"/>
      <c r="SQG22" s="206"/>
      <c r="SQH22" s="206"/>
      <c r="SQI22" s="206"/>
      <c r="SQJ22" s="206"/>
      <c r="SQK22" s="206"/>
      <c r="SQL22" s="206"/>
      <c r="SQM22" s="206"/>
      <c r="SQN22" s="206"/>
      <c r="SQO22" s="206"/>
      <c r="SQP22" s="206"/>
      <c r="SQQ22" s="206"/>
      <c r="SQR22" s="206"/>
      <c r="SQS22" s="206"/>
      <c r="SQT22" s="206"/>
      <c r="SQU22" s="206"/>
      <c r="SQV22" s="206"/>
      <c r="SQW22" s="206"/>
      <c r="SQX22" s="206"/>
      <c r="SQY22" s="206"/>
      <c r="SQZ22" s="206"/>
      <c r="SRA22" s="206"/>
      <c r="SRB22" s="206"/>
      <c r="SRC22" s="206"/>
      <c r="SRD22" s="206"/>
      <c r="SRE22" s="206"/>
      <c r="SRF22" s="206"/>
      <c r="SRG22" s="206"/>
      <c r="SRH22" s="206"/>
      <c r="SRI22" s="206"/>
      <c r="SRJ22" s="206"/>
      <c r="SRK22" s="206"/>
      <c r="SRL22" s="206"/>
      <c r="SRM22" s="206"/>
      <c r="SRN22" s="206"/>
      <c r="SRO22" s="206"/>
      <c r="SRP22" s="206"/>
      <c r="SRQ22" s="206"/>
      <c r="SRR22" s="206"/>
      <c r="SRS22" s="206"/>
      <c r="SRT22" s="206"/>
      <c r="SRU22" s="206"/>
      <c r="SRV22" s="206"/>
      <c r="SRW22" s="206"/>
      <c r="SRX22" s="206"/>
      <c r="SRY22" s="206"/>
      <c r="SRZ22" s="206"/>
      <c r="SSA22" s="206"/>
      <c r="SSB22" s="206"/>
      <c r="SSC22" s="206"/>
      <c r="SSD22" s="206"/>
      <c r="SSE22" s="206"/>
      <c r="SSF22" s="206"/>
      <c r="SSG22" s="206"/>
      <c r="SSH22" s="206"/>
      <c r="SSI22" s="206"/>
      <c r="SSJ22" s="206"/>
      <c r="SSK22" s="206"/>
      <c r="SSL22" s="206"/>
      <c r="SSM22" s="206"/>
      <c r="SSN22" s="206"/>
      <c r="SSO22" s="206"/>
      <c r="SSP22" s="206"/>
      <c r="SSQ22" s="206"/>
      <c r="SSR22" s="206"/>
      <c r="SSS22" s="206"/>
      <c r="SST22" s="206"/>
      <c r="SSU22" s="206"/>
      <c r="SSV22" s="206"/>
      <c r="SSW22" s="206"/>
      <c r="SSX22" s="206"/>
      <c r="SSY22" s="206"/>
      <c r="SSZ22" s="206"/>
      <c r="STA22" s="206"/>
      <c r="STB22" s="206"/>
      <c r="STC22" s="206"/>
      <c r="STD22" s="206"/>
      <c r="STE22" s="206"/>
      <c r="STF22" s="206"/>
      <c r="STG22" s="206"/>
      <c r="STH22" s="206"/>
      <c r="STI22" s="206"/>
      <c r="STJ22" s="206"/>
      <c r="STK22" s="206"/>
      <c r="STL22" s="206"/>
      <c r="STM22" s="206"/>
      <c r="STN22" s="206"/>
      <c r="STO22" s="206"/>
      <c r="STP22" s="206"/>
      <c r="STQ22" s="206"/>
      <c r="STR22" s="206"/>
      <c r="STS22" s="206"/>
      <c r="STT22" s="206"/>
      <c r="STU22" s="206"/>
      <c r="STV22" s="206"/>
      <c r="STW22" s="206"/>
      <c r="STX22" s="206"/>
      <c r="STY22" s="206"/>
      <c r="STZ22" s="206"/>
      <c r="SUA22" s="206"/>
      <c r="SUB22" s="206"/>
      <c r="SUC22" s="206"/>
      <c r="SUD22" s="206"/>
      <c r="SUE22" s="206"/>
      <c r="SUF22" s="206"/>
      <c r="SUG22" s="206"/>
      <c r="SUH22" s="206"/>
      <c r="SUI22" s="206"/>
      <c r="SUJ22" s="206"/>
      <c r="SUK22" s="206"/>
      <c r="SUL22" s="206"/>
      <c r="SUM22" s="206"/>
      <c r="SUN22" s="206"/>
      <c r="SUO22" s="206"/>
      <c r="SUP22" s="206"/>
      <c r="SUQ22" s="206"/>
      <c r="SUR22" s="206"/>
      <c r="SUS22" s="206"/>
      <c r="SUT22" s="206"/>
      <c r="SUU22" s="206"/>
      <c r="SUV22" s="206"/>
      <c r="SUW22" s="206"/>
      <c r="SUX22" s="206"/>
      <c r="SUY22" s="206"/>
      <c r="SUZ22" s="206"/>
      <c r="SVA22" s="206"/>
      <c r="SVB22" s="206"/>
      <c r="SVC22" s="206"/>
      <c r="SVD22" s="206"/>
      <c r="SVE22" s="206"/>
      <c r="SVF22" s="206"/>
      <c r="SVG22" s="206"/>
      <c r="SVH22" s="206"/>
      <c r="SVI22" s="206"/>
      <c r="SVJ22" s="206"/>
      <c r="SVK22" s="206"/>
      <c r="SVL22" s="206"/>
      <c r="SVM22" s="206"/>
      <c r="SVN22" s="206"/>
      <c r="SVO22" s="206"/>
      <c r="SVP22" s="206"/>
      <c r="SVQ22" s="206"/>
      <c r="SVR22" s="206"/>
      <c r="SVS22" s="206"/>
      <c r="SVT22" s="206"/>
      <c r="SVU22" s="206"/>
      <c r="SVV22" s="206"/>
      <c r="SVW22" s="206"/>
      <c r="SVX22" s="206"/>
      <c r="SVY22" s="206"/>
      <c r="SVZ22" s="206"/>
      <c r="SWA22" s="206"/>
      <c r="SWB22" s="206"/>
      <c r="SWC22" s="206"/>
      <c r="SWD22" s="206"/>
      <c r="SWE22" s="206"/>
      <c r="SWF22" s="206"/>
      <c r="SWG22" s="206"/>
      <c r="SWH22" s="206"/>
      <c r="SWI22" s="206"/>
      <c r="SWJ22" s="206"/>
      <c r="SWK22" s="206"/>
      <c r="SWL22" s="206"/>
      <c r="SWM22" s="206"/>
      <c r="SWN22" s="206"/>
      <c r="SWO22" s="206"/>
      <c r="SWP22" s="206"/>
      <c r="SWQ22" s="206"/>
      <c r="SWR22" s="206"/>
      <c r="SWS22" s="206"/>
      <c r="SWT22" s="206"/>
      <c r="SWU22" s="206"/>
      <c r="SWV22" s="206"/>
      <c r="SWW22" s="206"/>
      <c r="SWX22" s="206"/>
      <c r="SWY22" s="206"/>
      <c r="SWZ22" s="206"/>
      <c r="SXA22" s="206"/>
      <c r="SXB22" s="206"/>
      <c r="SXC22" s="206"/>
      <c r="SXD22" s="206"/>
      <c r="SXE22" s="206"/>
      <c r="SXF22" s="206"/>
      <c r="SXG22" s="206"/>
      <c r="SXH22" s="206"/>
      <c r="SXI22" s="206"/>
      <c r="SXJ22" s="206"/>
      <c r="SXK22" s="206"/>
      <c r="SXL22" s="206"/>
      <c r="SXM22" s="206"/>
      <c r="SXN22" s="206"/>
      <c r="SXO22" s="206"/>
      <c r="SXP22" s="206"/>
      <c r="SXQ22" s="206"/>
      <c r="SXR22" s="206"/>
      <c r="SXS22" s="206"/>
      <c r="SXT22" s="206"/>
      <c r="SXU22" s="206"/>
      <c r="SXV22" s="206"/>
      <c r="SXW22" s="206"/>
      <c r="SXX22" s="206"/>
      <c r="SXY22" s="206"/>
      <c r="SXZ22" s="206"/>
      <c r="SYA22" s="206"/>
      <c r="SYB22" s="206"/>
      <c r="SYC22" s="206"/>
      <c r="SYD22" s="206"/>
      <c r="SYE22" s="206"/>
      <c r="SYF22" s="206"/>
      <c r="SYG22" s="206"/>
      <c r="SYH22" s="206"/>
      <c r="SYI22" s="206"/>
      <c r="SYJ22" s="206"/>
      <c r="SYK22" s="206"/>
      <c r="SYL22" s="206"/>
      <c r="SYM22" s="206"/>
      <c r="SYN22" s="206"/>
      <c r="SYO22" s="206"/>
      <c r="SYP22" s="206"/>
      <c r="SYQ22" s="206"/>
      <c r="SYR22" s="206"/>
      <c r="SYS22" s="206"/>
      <c r="SYT22" s="206"/>
      <c r="SYU22" s="206"/>
      <c r="SYV22" s="206"/>
      <c r="SYW22" s="206"/>
      <c r="SYX22" s="206"/>
      <c r="SYY22" s="206"/>
      <c r="SYZ22" s="206"/>
      <c r="SZA22" s="206"/>
      <c r="SZB22" s="206"/>
      <c r="SZC22" s="206"/>
      <c r="SZD22" s="206"/>
      <c r="SZE22" s="206"/>
      <c r="SZF22" s="206"/>
      <c r="SZG22" s="206"/>
      <c r="SZH22" s="206"/>
      <c r="SZI22" s="206"/>
      <c r="SZJ22" s="206"/>
      <c r="SZK22" s="206"/>
      <c r="SZL22" s="206"/>
      <c r="SZM22" s="206"/>
      <c r="SZN22" s="206"/>
      <c r="SZO22" s="206"/>
      <c r="SZP22" s="206"/>
      <c r="SZQ22" s="206"/>
      <c r="SZR22" s="206"/>
      <c r="SZS22" s="206"/>
      <c r="SZT22" s="206"/>
      <c r="SZU22" s="206"/>
      <c r="SZV22" s="206"/>
      <c r="SZW22" s="206"/>
      <c r="SZX22" s="206"/>
      <c r="SZY22" s="206"/>
      <c r="SZZ22" s="206"/>
      <c r="TAA22" s="206"/>
      <c r="TAB22" s="206"/>
      <c r="TAC22" s="206"/>
      <c r="TAD22" s="206"/>
      <c r="TAE22" s="206"/>
      <c r="TAF22" s="206"/>
      <c r="TAG22" s="206"/>
      <c r="TAH22" s="206"/>
      <c r="TAI22" s="206"/>
      <c r="TAJ22" s="206"/>
      <c r="TAK22" s="206"/>
      <c r="TAL22" s="206"/>
      <c r="TAM22" s="206"/>
      <c r="TAN22" s="206"/>
      <c r="TAO22" s="206"/>
      <c r="TAP22" s="206"/>
      <c r="TAQ22" s="206"/>
      <c r="TAR22" s="206"/>
      <c r="TAS22" s="206"/>
      <c r="TAT22" s="206"/>
      <c r="TAU22" s="206"/>
      <c r="TAV22" s="206"/>
      <c r="TAW22" s="206"/>
      <c r="TAX22" s="206"/>
      <c r="TAY22" s="206"/>
      <c r="TAZ22" s="206"/>
      <c r="TBA22" s="206"/>
      <c r="TBB22" s="206"/>
      <c r="TBC22" s="206"/>
      <c r="TBD22" s="206"/>
      <c r="TBE22" s="206"/>
      <c r="TBF22" s="206"/>
      <c r="TBG22" s="206"/>
      <c r="TBH22" s="206"/>
      <c r="TBI22" s="206"/>
      <c r="TBJ22" s="206"/>
      <c r="TBK22" s="206"/>
      <c r="TBL22" s="206"/>
      <c r="TBM22" s="206"/>
      <c r="TBN22" s="206"/>
      <c r="TBO22" s="206"/>
      <c r="TBP22" s="206"/>
      <c r="TBQ22" s="206"/>
      <c r="TBR22" s="206"/>
      <c r="TBS22" s="206"/>
      <c r="TBT22" s="206"/>
      <c r="TBU22" s="206"/>
      <c r="TBV22" s="206"/>
      <c r="TBW22" s="206"/>
      <c r="TBX22" s="206"/>
      <c r="TBY22" s="206"/>
      <c r="TBZ22" s="206"/>
      <c r="TCA22" s="206"/>
      <c r="TCB22" s="206"/>
      <c r="TCC22" s="206"/>
      <c r="TCD22" s="206"/>
      <c r="TCE22" s="206"/>
      <c r="TCF22" s="206"/>
      <c r="TCG22" s="206"/>
      <c r="TCH22" s="206"/>
      <c r="TCI22" s="206"/>
      <c r="TCJ22" s="206"/>
      <c r="TCK22" s="206"/>
      <c r="TCL22" s="206"/>
      <c r="TCM22" s="206"/>
      <c r="TCN22" s="206"/>
      <c r="TCO22" s="206"/>
      <c r="TCP22" s="206"/>
      <c r="TCQ22" s="206"/>
      <c r="TCR22" s="206"/>
      <c r="TCS22" s="206"/>
      <c r="TCT22" s="206"/>
      <c r="TCU22" s="206"/>
      <c r="TCV22" s="206"/>
      <c r="TCW22" s="206"/>
      <c r="TCX22" s="206"/>
      <c r="TCY22" s="206"/>
      <c r="TCZ22" s="206"/>
      <c r="TDA22" s="206"/>
      <c r="TDB22" s="206"/>
      <c r="TDC22" s="206"/>
      <c r="TDD22" s="206"/>
      <c r="TDE22" s="206"/>
      <c r="TDF22" s="206"/>
      <c r="TDG22" s="206"/>
      <c r="TDH22" s="206"/>
      <c r="TDI22" s="206"/>
      <c r="TDJ22" s="206"/>
      <c r="TDK22" s="206"/>
      <c r="TDL22" s="206"/>
      <c r="TDM22" s="206"/>
      <c r="TDN22" s="206"/>
      <c r="TDO22" s="206"/>
      <c r="TDP22" s="206"/>
      <c r="TDQ22" s="206"/>
      <c r="TDR22" s="206"/>
      <c r="TDS22" s="206"/>
      <c r="TDT22" s="206"/>
      <c r="TDU22" s="206"/>
      <c r="TDV22" s="206"/>
      <c r="TDW22" s="206"/>
      <c r="TDX22" s="206"/>
      <c r="TDY22" s="206"/>
      <c r="TDZ22" s="206"/>
      <c r="TEA22" s="206"/>
      <c r="TEB22" s="206"/>
      <c r="TEC22" s="206"/>
      <c r="TED22" s="206"/>
      <c r="TEE22" s="206"/>
      <c r="TEF22" s="206"/>
      <c r="TEG22" s="206"/>
      <c r="TEH22" s="206"/>
      <c r="TEI22" s="206"/>
      <c r="TEJ22" s="206"/>
      <c r="TEK22" s="206"/>
      <c r="TEL22" s="206"/>
      <c r="TEM22" s="206"/>
      <c r="TEN22" s="206"/>
      <c r="TEO22" s="206"/>
      <c r="TEP22" s="206"/>
      <c r="TEQ22" s="206"/>
      <c r="TER22" s="206"/>
      <c r="TES22" s="206"/>
      <c r="TET22" s="206"/>
      <c r="TEU22" s="206"/>
      <c r="TEV22" s="206"/>
      <c r="TEW22" s="206"/>
      <c r="TEX22" s="206"/>
      <c r="TEY22" s="206"/>
      <c r="TEZ22" s="206"/>
      <c r="TFA22" s="206"/>
      <c r="TFB22" s="206"/>
      <c r="TFC22" s="206"/>
      <c r="TFD22" s="206"/>
      <c r="TFE22" s="206"/>
      <c r="TFF22" s="206"/>
      <c r="TFG22" s="206"/>
      <c r="TFH22" s="206"/>
      <c r="TFI22" s="206"/>
      <c r="TFJ22" s="206"/>
      <c r="TFK22" s="206"/>
      <c r="TFL22" s="206"/>
      <c r="TFM22" s="206"/>
      <c r="TFN22" s="206"/>
      <c r="TFO22" s="206"/>
      <c r="TFP22" s="206"/>
      <c r="TFQ22" s="206"/>
      <c r="TFR22" s="206"/>
      <c r="TFS22" s="206"/>
      <c r="TFT22" s="206"/>
      <c r="TFU22" s="206"/>
      <c r="TFV22" s="206"/>
      <c r="TFW22" s="206"/>
      <c r="TFX22" s="206"/>
      <c r="TFY22" s="206"/>
      <c r="TFZ22" s="206"/>
      <c r="TGA22" s="206"/>
      <c r="TGB22" s="206"/>
      <c r="TGC22" s="206"/>
      <c r="TGD22" s="206"/>
      <c r="TGE22" s="206"/>
      <c r="TGF22" s="206"/>
      <c r="TGG22" s="206"/>
      <c r="TGH22" s="206"/>
      <c r="TGI22" s="206"/>
      <c r="TGJ22" s="206"/>
      <c r="TGK22" s="206"/>
      <c r="TGL22" s="206"/>
      <c r="TGM22" s="206"/>
      <c r="TGN22" s="206"/>
      <c r="TGO22" s="206"/>
      <c r="TGP22" s="206"/>
      <c r="TGQ22" s="206"/>
      <c r="TGR22" s="206"/>
      <c r="TGS22" s="206"/>
      <c r="TGT22" s="206"/>
      <c r="TGU22" s="206"/>
      <c r="TGV22" s="206"/>
      <c r="TGW22" s="206"/>
      <c r="TGX22" s="206"/>
      <c r="TGY22" s="206"/>
      <c r="TGZ22" s="206"/>
      <c r="THA22" s="206"/>
      <c r="THB22" s="206"/>
      <c r="THC22" s="206"/>
      <c r="THD22" s="206"/>
      <c r="THE22" s="206"/>
      <c r="THF22" s="206"/>
      <c r="THG22" s="206"/>
      <c r="THH22" s="206"/>
      <c r="THI22" s="206"/>
      <c r="THJ22" s="206"/>
      <c r="THK22" s="206"/>
      <c r="THL22" s="206"/>
      <c r="THM22" s="206"/>
      <c r="THN22" s="206"/>
      <c r="THO22" s="206"/>
      <c r="THP22" s="206"/>
      <c r="THQ22" s="206"/>
      <c r="THR22" s="206"/>
      <c r="THS22" s="206"/>
      <c r="THT22" s="206"/>
      <c r="THU22" s="206"/>
      <c r="THV22" s="206"/>
      <c r="THW22" s="206"/>
      <c r="THX22" s="206"/>
      <c r="THY22" s="206"/>
      <c r="THZ22" s="206"/>
      <c r="TIA22" s="206"/>
      <c r="TIB22" s="206"/>
      <c r="TIC22" s="206"/>
      <c r="TID22" s="206"/>
      <c r="TIE22" s="206"/>
      <c r="TIF22" s="206"/>
      <c r="TIG22" s="206"/>
      <c r="TIH22" s="206"/>
      <c r="TII22" s="206"/>
      <c r="TIJ22" s="206"/>
      <c r="TIK22" s="206"/>
      <c r="TIL22" s="206"/>
      <c r="TIM22" s="206"/>
      <c r="TIN22" s="206"/>
      <c r="TIO22" s="206"/>
      <c r="TIP22" s="206"/>
      <c r="TIQ22" s="206"/>
      <c r="TIR22" s="206"/>
      <c r="TIS22" s="206"/>
      <c r="TIT22" s="206"/>
      <c r="TIU22" s="206"/>
      <c r="TIV22" s="206"/>
      <c r="TIW22" s="206"/>
      <c r="TIX22" s="206"/>
      <c r="TIY22" s="206"/>
      <c r="TIZ22" s="206"/>
      <c r="TJA22" s="206"/>
      <c r="TJB22" s="206"/>
      <c r="TJC22" s="206"/>
      <c r="TJD22" s="206"/>
      <c r="TJE22" s="206"/>
      <c r="TJF22" s="206"/>
      <c r="TJG22" s="206"/>
      <c r="TJH22" s="206"/>
      <c r="TJI22" s="206"/>
      <c r="TJJ22" s="206"/>
      <c r="TJK22" s="206"/>
      <c r="TJL22" s="206"/>
      <c r="TJM22" s="206"/>
      <c r="TJN22" s="206"/>
      <c r="TJO22" s="206"/>
      <c r="TJP22" s="206"/>
      <c r="TJQ22" s="206"/>
      <c r="TJR22" s="206"/>
      <c r="TJS22" s="206"/>
      <c r="TJT22" s="206"/>
      <c r="TJU22" s="206"/>
      <c r="TJV22" s="206"/>
      <c r="TJW22" s="206"/>
      <c r="TJX22" s="206"/>
      <c r="TJY22" s="206"/>
      <c r="TJZ22" s="206"/>
      <c r="TKA22" s="206"/>
      <c r="TKB22" s="206"/>
      <c r="TKC22" s="206"/>
      <c r="TKD22" s="206"/>
      <c r="TKE22" s="206"/>
      <c r="TKF22" s="206"/>
      <c r="TKG22" s="206"/>
      <c r="TKH22" s="206"/>
      <c r="TKI22" s="206"/>
      <c r="TKJ22" s="206"/>
      <c r="TKK22" s="206"/>
      <c r="TKL22" s="206"/>
      <c r="TKM22" s="206"/>
      <c r="TKN22" s="206"/>
      <c r="TKO22" s="206"/>
      <c r="TKP22" s="206"/>
      <c r="TKQ22" s="206"/>
      <c r="TKR22" s="206"/>
      <c r="TKS22" s="206"/>
      <c r="TKT22" s="206"/>
      <c r="TKU22" s="206"/>
      <c r="TKV22" s="206"/>
      <c r="TKW22" s="206"/>
      <c r="TKX22" s="206"/>
      <c r="TKY22" s="206"/>
      <c r="TKZ22" s="206"/>
      <c r="TLA22" s="206"/>
      <c r="TLB22" s="206"/>
      <c r="TLC22" s="206"/>
      <c r="TLD22" s="206"/>
      <c r="TLE22" s="206"/>
      <c r="TLF22" s="206"/>
      <c r="TLG22" s="206"/>
      <c r="TLH22" s="206"/>
      <c r="TLI22" s="206"/>
      <c r="TLJ22" s="206"/>
      <c r="TLK22" s="206"/>
      <c r="TLL22" s="206"/>
      <c r="TLM22" s="206"/>
      <c r="TLN22" s="206"/>
      <c r="TLO22" s="206"/>
      <c r="TLP22" s="206"/>
      <c r="TLQ22" s="206"/>
      <c r="TLR22" s="206"/>
      <c r="TLS22" s="206"/>
      <c r="TLT22" s="206"/>
      <c r="TLU22" s="206"/>
      <c r="TLV22" s="206"/>
      <c r="TLW22" s="206"/>
      <c r="TLX22" s="206"/>
      <c r="TLY22" s="206"/>
      <c r="TLZ22" s="206"/>
      <c r="TMA22" s="206"/>
      <c r="TMB22" s="206"/>
      <c r="TMC22" s="206"/>
      <c r="TMD22" s="206"/>
      <c r="TME22" s="206"/>
      <c r="TMF22" s="206"/>
      <c r="TMG22" s="206"/>
      <c r="TMH22" s="206"/>
      <c r="TMI22" s="206"/>
      <c r="TMJ22" s="206"/>
      <c r="TMK22" s="206"/>
      <c r="TML22" s="206"/>
      <c r="TMM22" s="206"/>
      <c r="TMN22" s="206"/>
      <c r="TMO22" s="206"/>
      <c r="TMP22" s="206"/>
      <c r="TMQ22" s="206"/>
      <c r="TMR22" s="206"/>
      <c r="TMS22" s="206"/>
      <c r="TMT22" s="206"/>
      <c r="TMU22" s="206"/>
      <c r="TMV22" s="206"/>
      <c r="TMW22" s="206"/>
      <c r="TMX22" s="206"/>
      <c r="TMY22" s="206"/>
      <c r="TMZ22" s="206"/>
      <c r="TNA22" s="206"/>
      <c r="TNB22" s="206"/>
      <c r="TNC22" s="206"/>
      <c r="TND22" s="206"/>
      <c r="TNE22" s="206"/>
      <c r="TNF22" s="206"/>
      <c r="TNG22" s="206"/>
      <c r="TNH22" s="206"/>
      <c r="TNI22" s="206"/>
      <c r="TNJ22" s="206"/>
      <c r="TNK22" s="206"/>
      <c r="TNL22" s="206"/>
      <c r="TNM22" s="206"/>
      <c r="TNN22" s="206"/>
      <c r="TNO22" s="206"/>
      <c r="TNP22" s="206"/>
      <c r="TNQ22" s="206"/>
      <c r="TNR22" s="206"/>
      <c r="TNS22" s="206"/>
      <c r="TNT22" s="206"/>
      <c r="TNU22" s="206"/>
      <c r="TNV22" s="206"/>
      <c r="TNW22" s="206"/>
      <c r="TNX22" s="206"/>
      <c r="TNY22" s="206"/>
      <c r="TNZ22" s="206"/>
      <c r="TOA22" s="206"/>
      <c r="TOB22" s="206"/>
      <c r="TOC22" s="206"/>
      <c r="TOD22" s="206"/>
      <c r="TOE22" s="206"/>
      <c r="TOF22" s="206"/>
      <c r="TOG22" s="206"/>
      <c r="TOH22" s="206"/>
      <c r="TOI22" s="206"/>
      <c r="TOJ22" s="206"/>
      <c r="TOK22" s="206"/>
      <c r="TOL22" s="206"/>
      <c r="TOM22" s="206"/>
      <c r="TON22" s="206"/>
      <c r="TOO22" s="206"/>
      <c r="TOP22" s="206"/>
      <c r="TOQ22" s="206"/>
      <c r="TOR22" s="206"/>
      <c r="TOS22" s="206"/>
      <c r="TOT22" s="206"/>
      <c r="TOU22" s="206"/>
      <c r="TOV22" s="206"/>
      <c r="TOW22" s="206"/>
      <c r="TOX22" s="206"/>
      <c r="TOY22" s="206"/>
      <c r="TOZ22" s="206"/>
      <c r="TPA22" s="206"/>
      <c r="TPB22" s="206"/>
      <c r="TPC22" s="206"/>
      <c r="TPD22" s="206"/>
      <c r="TPE22" s="206"/>
      <c r="TPF22" s="206"/>
      <c r="TPG22" s="206"/>
      <c r="TPH22" s="206"/>
      <c r="TPI22" s="206"/>
      <c r="TPJ22" s="206"/>
      <c r="TPK22" s="206"/>
      <c r="TPL22" s="206"/>
      <c r="TPM22" s="206"/>
      <c r="TPN22" s="206"/>
      <c r="TPO22" s="206"/>
      <c r="TPP22" s="206"/>
      <c r="TPQ22" s="206"/>
      <c r="TPR22" s="206"/>
      <c r="TPS22" s="206"/>
      <c r="TPT22" s="206"/>
      <c r="TPU22" s="206"/>
      <c r="TPV22" s="206"/>
      <c r="TPW22" s="206"/>
      <c r="TPX22" s="206"/>
      <c r="TPY22" s="206"/>
      <c r="TPZ22" s="206"/>
      <c r="TQA22" s="206"/>
      <c r="TQB22" s="206"/>
      <c r="TQC22" s="206"/>
      <c r="TQD22" s="206"/>
      <c r="TQE22" s="206"/>
      <c r="TQF22" s="206"/>
      <c r="TQG22" s="206"/>
      <c r="TQH22" s="206"/>
      <c r="TQI22" s="206"/>
      <c r="TQJ22" s="206"/>
      <c r="TQK22" s="206"/>
      <c r="TQL22" s="206"/>
      <c r="TQM22" s="206"/>
      <c r="TQN22" s="206"/>
      <c r="TQO22" s="206"/>
      <c r="TQP22" s="206"/>
      <c r="TQQ22" s="206"/>
      <c r="TQR22" s="206"/>
      <c r="TQS22" s="206"/>
      <c r="TQT22" s="206"/>
      <c r="TQU22" s="206"/>
      <c r="TQV22" s="206"/>
      <c r="TQW22" s="206"/>
      <c r="TQX22" s="206"/>
      <c r="TQY22" s="206"/>
      <c r="TQZ22" s="206"/>
      <c r="TRA22" s="206"/>
      <c r="TRB22" s="206"/>
      <c r="TRC22" s="206"/>
      <c r="TRD22" s="206"/>
      <c r="TRE22" s="206"/>
      <c r="TRF22" s="206"/>
      <c r="TRG22" s="206"/>
      <c r="TRH22" s="206"/>
      <c r="TRI22" s="206"/>
      <c r="TRJ22" s="206"/>
      <c r="TRK22" s="206"/>
      <c r="TRL22" s="206"/>
      <c r="TRM22" s="206"/>
      <c r="TRN22" s="206"/>
      <c r="TRO22" s="206"/>
      <c r="TRP22" s="206"/>
      <c r="TRQ22" s="206"/>
      <c r="TRR22" s="206"/>
      <c r="TRS22" s="206"/>
      <c r="TRT22" s="206"/>
      <c r="TRU22" s="206"/>
      <c r="TRV22" s="206"/>
      <c r="TRW22" s="206"/>
      <c r="TRX22" s="206"/>
      <c r="TRY22" s="206"/>
      <c r="TRZ22" s="206"/>
      <c r="TSA22" s="206"/>
      <c r="TSB22" s="206"/>
      <c r="TSC22" s="206"/>
      <c r="TSD22" s="206"/>
      <c r="TSE22" s="206"/>
      <c r="TSF22" s="206"/>
      <c r="TSG22" s="206"/>
      <c r="TSH22" s="206"/>
      <c r="TSI22" s="206"/>
      <c r="TSJ22" s="206"/>
      <c r="TSK22" s="206"/>
      <c r="TSL22" s="206"/>
      <c r="TSM22" s="206"/>
      <c r="TSN22" s="206"/>
      <c r="TSO22" s="206"/>
      <c r="TSP22" s="206"/>
      <c r="TSQ22" s="206"/>
      <c r="TSR22" s="206"/>
      <c r="TSS22" s="206"/>
      <c r="TST22" s="206"/>
      <c r="TSU22" s="206"/>
      <c r="TSV22" s="206"/>
      <c r="TSW22" s="206"/>
      <c r="TSX22" s="206"/>
      <c r="TSY22" s="206"/>
      <c r="TSZ22" s="206"/>
      <c r="TTA22" s="206"/>
      <c r="TTB22" s="206"/>
      <c r="TTC22" s="206"/>
      <c r="TTD22" s="206"/>
      <c r="TTE22" s="206"/>
      <c r="TTF22" s="206"/>
      <c r="TTG22" s="206"/>
      <c r="TTH22" s="206"/>
      <c r="TTI22" s="206"/>
      <c r="TTJ22" s="206"/>
      <c r="TTK22" s="206"/>
      <c r="TTL22" s="206"/>
      <c r="TTM22" s="206"/>
      <c r="TTN22" s="206"/>
      <c r="TTO22" s="206"/>
      <c r="TTP22" s="206"/>
      <c r="TTQ22" s="206"/>
      <c r="TTR22" s="206"/>
      <c r="TTS22" s="206"/>
      <c r="TTT22" s="206"/>
      <c r="TTU22" s="206"/>
      <c r="TTV22" s="206"/>
      <c r="TTW22" s="206"/>
      <c r="TTX22" s="206"/>
      <c r="TTY22" s="206"/>
      <c r="TTZ22" s="206"/>
      <c r="TUA22" s="206"/>
      <c r="TUB22" s="206"/>
      <c r="TUC22" s="206"/>
      <c r="TUD22" s="206"/>
      <c r="TUE22" s="206"/>
      <c r="TUF22" s="206"/>
      <c r="TUG22" s="206"/>
      <c r="TUH22" s="206"/>
      <c r="TUI22" s="206"/>
      <c r="TUJ22" s="206"/>
      <c r="TUK22" s="206"/>
      <c r="TUL22" s="206"/>
      <c r="TUM22" s="206"/>
      <c r="TUN22" s="206"/>
      <c r="TUO22" s="206"/>
      <c r="TUP22" s="206"/>
      <c r="TUQ22" s="206"/>
      <c r="TUR22" s="206"/>
      <c r="TUS22" s="206"/>
      <c r="TUT22" s="206"/>
      <c r="TUU22" s="206"/>
      <c r="TUV22" s="206"/>
      <c r="TUW22" s="206"/>
      <c r="TUX22" s="206"/>
      <c r="TUY22" s="206"/>
      <c r="TUZ22" s="206"/>
      <c r="TVA22" s="206"/>
      <c r="TVB22" s="206"/>
      <c r="TVC22" s="206"/>
      <c r="TVD22" s="206"/>
      <c r="TVE22" s="206"/>
      <c r="TVF22" s="206"/>
      <c r="TVG22" s="206"/>
      <c r="TVH22" s="206"/>
      <c r="TVI22" s="206"/>
      <c r="TVJ22" s="206"/>
      <c r="TVK22" s="206"/>
      <c r="TVL22" s="206"/>
      <c r="TVM22" s="206"/>
      <c r="TVN22" s="206"/>
      <c r="TVO22" s="206"/>
      <c r="TVP22" s="206"/>
      <c r="TVQ22" s="206"/>
      <c r="TVR22" s="206"/>
      <c r="TVS22" s="206"/>
      <c r="TVT22" s="206"/>
      <c r="TVU22" s="206"/>
      <c r="TVV22" s="206"/>
      <c r="TVW22" s="206"/>
      <c r="TVX22" s="206"/>
      <c r="TVY22" s="206"/>
      <c r="TVZ22" s="206"/>
      <c r="TWA22" s="206"/>
      <c r="TWB22" s="206"/>
      <c r="TWC22" s="206"/>
      <c r="TWD22" s="206"/>
      <c r="TWE22" s="206"/>
      <c r="TWF22" s="206"/>
      <c r="TWG22" s="206"/>
      <c r="TWH22" s="206"/>
      <c r="TWI22" s="206"/>
      <c r="TWJ22" s="206"/>
      <c r="TWK22" s="206"/>
      <c r="TWL22" s="206"/>
      <c r="TWM22" s="206"/>
      <c r="TWN22" s="206"/>
      <c r="TWO22" s="206"/>
      <c r="TWP22" s="206"/>
      <c r="TWQ22" s="206"/>
      <c r="TWR22" s="206"/>
      <c r="TWS22" s="206"/>
      <c r="TWT22" s="206"/>
      <c r="TWU22" s="206"/>
      <c r="TWV22" s="206"/>
      <c r="TWW22" s="206"/>
      <c r="TWX22" s="206"/>
      <c r="TWY22" s="206"/>
      <c r="TWZ22" s="206"/>
      <c r="TXA22" s="206"/>
      <c r="TXB22" s="206"/>
      <c r="TXC22" s="206"/>
      <c r="TXD22" s="206"/>
      <c r="TXE22" s="206"/>
      <c r="TXF22" s="206"/>
      <c r="TXG22" s="206"/>
      <c r="TXH22" s="206"/>
      <c r="TXI22" s="206"/>
      <c r="TXJ22" s="206"/>
      <c r="TXK22" s="206"/>
      <c r="TXL22" s="206"/>
      <c r="TXM22" s="206"/>
      <c r="TXN22" s="206"/>
      <c r="TXO22" s="206"/>
      <c r="TXP22" s="206"/>
      <c r="TXQ22" s="206"/>
      <c r="TXR22" s="206"/>
      <c r="TXS22" s="206"/>
      <c r="TXT22" s="206"/>
      <c r="TXU22" s="206"/>
      <c r="TXV22" s="206"/>
      <c r="TXW22" s="206"/>
      <c r="TXX22" s="206"/>
      <c r="TXY22" s="206"/>
      <c r="TXZ22" s="206"/>
      <c r="TYA22" s="206"/>
      <c r="TYB22" s="206"/>
      <c r="TYC22" s="206"/>
      <c r="TYD22" s="206"/>
      <c r="TYE22" s="206"/>
      <c r="TYF22" s="206"/>
      <c r="TYG22" s="206"/>
      <c r="TYH22" s="206"/>
      <c r="TYI22" s="206"/>
      <c r="TYJ22" s="206"/>
      <c r="TYK22" s="206"/>
      <c r="TYL22" s="206"/>
      <c r="TYM22" s="206"/>
      <c r="TYN22" s="206"/>
      <c r="TYO22" s="206"/>
      <c r="TYP22" s="206"/>
      <c r="TYQ22" s="206"/>
      <c r="TYR22" s="206"/>
      <c r="TYS22" s="206"/>
      <c r="TYT22" s="206"/>
      <c r="TYU22" s="206"/>
      <c r="TYV22" s="206"/>
      <c r="TYW22" s="206"/>
      <c r="TYX22" s="206"/>
      <c r="TYY22" s="206"/>
      <c r="TYZ22" s="206"/>
      <c r="TZA22" s="206"/>
      <c r="TZB22" s="206"/>
      <c r="TZC22" s="206"/>
      <c r="TZD22" s="206"/>
      <c r="TZE22" s="206"/>
      <c r="TZF22" s="206"/>
      <c r="TZG22" s="206"/>
      <c r="TZH22" s="206"/>
      <c r="TZI22" s="206"/>
      <c r="TZJ22" s="206"/>
      <c r="TZK22" s="206"/>
      <c r="TZL22" s="206"/>
      <c r="TZM22" s="206"/>
      <c r="TZN22" s="206"/>
      <c r="TZO22" s="206"/>
      <c r="TZP22" s="206"/>
      <c r="TZQ22" s="206"/>
      <c r="TZR22" s="206"/>
      <c r="TZS22" s="206"/>
      <c r="TZT22" s="206"/>
      <c r="TZU22" s="206"/>
      <c r="TZV22" s="206"/>
      <c r="TZW22" s="206"/>
      <c r="TZX22" s="206"/>
      <c r="TZY22" s="206"/>
      <c r="TZZ22" s="206"/>
      <c r="UAA22" s="206"/>
      <c r="UAB22" s="206"/>
      <c r="UAC22" s="206"/>
      <c r="UAD22" s="206"/>
      <c r="UAE22" s="206"/>
      <c r="UAF22" s="206"/>
      <c r="UAG22" s="206"/>
      <c r="UAH22" s="206"/>
      <c r="UAI22" s="206"/>
      <c r="UAJ22" s="206"/>
      <c r="UAK22" s="206"/>
      <c r="UAL22" s="206"/>
      <c r="UAM22" s="206"/>
      <c r="UAN22" s="206"/>
      <c r="UAO22" s="206"/>
      <c r="UAP22" s="206"/>
      <c r="UAQ22" s="206"/>
      <c r="UAR22" s="206"/>
      <c r="UAS22" s="206"/>
      <c r="UAT22" s="206"/>
      <c r="UAU22" s="206"/>
      <c r="UAV22" s="206"/>
      <c r="UAW22" s="206"/>
      <c r="UAX22" s="206"/>
      <c r="UAY22" s="206"/>
      <c r="UAZ22" s="206"/>
      <c r="UBA22" s="206"/>
      <c r="UBB22" s="206"/>
      <c r="UBC22" s="206"/>
      <c r="UBD22" s="206"/>
      <c r="UBE22" s="206"/>
      <c r="UBF22" s="206"/>
      <c r="UBG22" s="206"/>
      <c r="UBH22" s="206"/>
      <c r="UBI22" s="206"/>
      <c r="UBJ22" s="206"/>
      <c r="UBK22" s="206"/>
      <c r="UBL22" s="206"/>
      <c r="UBM22" s="206"/>
      <c r="UBN22" s="206"/>
      <c r="UBO22" s="206"/>
      <c r="UBP22" s="206"/>
      <c r="UBQ22" s="206"/>
      <c r="UBR22" s="206"/>
      <c r="UBS22" s="206"/>
      <c r="UBT22" s="206"/>
      <c r="UBU22" s="206"/>
      <c r="UBV22" s="206"/>
      <c r="UBW22" s="206"/>
      <c r="UBX22" s="206"/>
      <c r="UBY22" s="206"/>
      <c r="UBZ22" s="206"/>
      <c r="UCA22" s="206"/>
      <c r="UCB22" s="206"/>
      <c r="UCC22" s="206"/>
      <c r="UCD22" s="206"/>
      <c r="UCE22" s="206"/>
      <c r="UCF22" s="206"/>
      <c r="UCG22" s="206"/>
      <c r="UCH22" s="206"/>
      <c r="UCI22" s="206"/>
      <c r="UCJ22" s="206"/>
      <c r="UCK22" s="206"/>
      <c r="UCL22" s="206"/>
      <c r="UCM22" s="206"/>
      <c r="UCN22" s="206"/>
      <c r="UCO22" s="206"/>
      <c r="UCP22" s="206"/>
      <c r="UCQ22" s="206"/>
      <c r="UCR22" s="206"/>
      <c r="UCS22" s="206"/>
      <c r="UCT22" s="206"/>
      <c r="UCU22" s="206"/>
      <c r="UCV22" s="206"/>
      <c r="UCW22" s="206"/>
      <c r="UCX22" s="206"/>
      <c r="UCY22" s="206"/>
      <c r="UCZ22" s="206"/>
      <c r="UDA22" s="206"/>
      <c r="UDB22" s="206"/>
      <c r="UDC22" s="206"/>
      <c r="UDD22" s="206"/>
      <c r="UDE22" s="206"/>
      <c r="UDF22" s="206"/>
      <c r="UDG22" s="206"/>
      <c r="UDH22" s="206"/>
      <c r="UDI22" s="206"/>
      <c r="UDJ22" s="206"/>
      <c r="UDK22" s="206"/>
      <c r="UDL22" s="206"/>
      <c r="UDM22" s="206"/>
      <c r="UDN22" s="206"/>
      <c r="UDO22" s="206"/>
      <c r="UDP22" s="206"/>
      <c r="UDQ22" s="206"/>
      <c r="UDR22" s="206"/>
      <c r="UDS22" s="206"/>
      <c r="UDT22" s="206"/>
      <c r="UDU22" s="206"/>
      <c r="UDV22" s="206"/>
      <c r="UDW22" s="206"/>
      <c r="UDX22" s="206"/>
      <c r="UDY22" s="206"/>
      <c r="UDZ22" s="206"/>
      <c r="UEA22" s="206"/>
      <c r="UEB22" s="206"/>
      <c r="UEC22" s="206"/>
      <c r="UED22" s="206"/>
      <c r="UEE22" s="206"/>
      <c r="UEF22" s="206"/>
      <c r="UEG22" s="206"/>
      <c r="UEH22" s="206"/>
      <c r="UEI22" s="206"/>
      <c r="UEJ22" s="206"/>
      <c r="UEK22" s="206"/>
      <c r="UEL22" s="206"/>
      <c r="UEM22" s="206"/>
      <c r="UEN22" s="206"/>
      <c r="UEO22" s="206"/>
      <c r="UEP22" s="206"/>
      <c r="UEQ22" s="206"/>
      <c r="UER22" s="206"/>
      <c r="UES22" s="206"/>
      <c r="UET22" s="206"/>
      <c r="UEU22" s="206"/>
      <c r="UEV22" s="206"/>
      <c r="UEW22" s="206"/>
      <c r="UEX22" s="206"/>
      <c r="UEY22" s="206"/>
      <c r="UEZ22" s="206"/>
      <c r="UFA22" s="206"/>
      <c r="UFB22" s="206"/>
      <c r="UFC22" s="206"/>
      <c r="UFD22" s="206"/>
      <c r="UFE22" s="206"/>
      <c r="UFF22" s="206"/>
      <c r="UFG22" s="206"/>
      <c r="UFH22" s="206"/>
      <c r="UFI22" s="206"/>
      <c r="UFJ22" s="206"/>
      <c r="UFK22" s="206"/>
      <c r="UFL22" s="206"/>
      <c r="UFM22" s="206"/>
      <c r="UFN22" s="206"/>
      <c r="UFO22" s="206"/>
      <c r="UFP22" s="206"/>
      <c r="UFQ22" s="206"/>
      <c r="UFR22" s="206"/>
      <c r="UFS22" s="206"/>
      <c r="UFT22" s="206"/>
      <c r="UFU22" s="206"/>
      <c r="UFV22" s="206"/>
      <c r="UFW22" s="206"/>
      <c r="UFX22" s="206"/>
      <c r="UFY22" s="206"/>
      <c r="UFZ22" s="206"/>
      <c r="UGA22" s="206"/>
      <c r="UGB22" s="206"/>
      <c r="UGC22" s="206"/>
      <c r="UGD22" s="206"/>
      <c r="UGE22" s="206"/>
      <c r="UGF22" s="206"/>
      <c r="UGG22" s="206"/>
      <c r="UGH22" s="206"/>
      <c r="UGI22" s="206"/>
      <c r="UGJ22" s="206"/>
      <c r="UGK22" s="206"/>
      <c r="UGL22" s="206"/>
      <c r="UGM22" s="206"/>
      <c r="UGN22" s="206"/>
      <c r="UGO22" s="206"/>
      <c r="UGP22" s="206"/>
      <c r="UGQ22" s="206"/>
      <c r="UGR22" s="206"/>
      <c r="UGS22" s="206"/>
      <c r="UGT22" s="206"/>
      <c r="UGU22" s="206"/>
      <c r="UGV22" s="206"/>
      <c r="UGW22" s="206"/>
      <c r="UGX22" s="206"/>
      <c r="UGY22" s="206"/>
      <c r="UGZ22" s="206"/>
      <c r="UHA22" s="206"/>
      <c r="UHB22" s="206"/>
      <c r="UHC22" s="206"/>
      <c r="UHD22" s="206"/>
      <c r="UHE22" s="206"/>
      <c r="UHF22" s="206"/>
      <c r="UHG22" s="206"/>
      <c r="UHH22" s="206"/>
      <c r="UHI22" s="206"/>
      <c r="UHJ22" s="206"/>
      <c r="UHK22" s="206"/>
      <c r="UHL22" s="206"/>
      <c r="UHM22" s="206"/>
      <c r="UHN22" s="206"/>
      <c r="UHO22" s="206"/>
      <c r="UHP22" s="206"/>
      <c r="UHQ22" s="206"/>
      <c r="UHR22" s="206"/>
      <c r="UHS22" s="206"/>
      <c r="UHT22" s="206"/>
      <c r="UHU22" s="206"/>
      <c r="UHV22" s="206"/>
      <c r="UHW22" s="206"/>
      <c r="UHX22" s="206"/>
      <c r="UHY22" s="206"/>
      <c r="UHZ22" s="206"/>
      <c r="UIA22" s="206"/>
      <c r="UIB22" s="206"/>
      <c r="UIC22" s="206"/>
      <c r="UID22" s="206"/>
      <c r="UIE22" s="206"/>
      <c r="UIF22" s="206"/>
      <c r="UIG22" s="206"/>
      <c r="UIH22" s="206"/>
      <c r="UII22" s="206"/>
      <c r="UIJ22" s="206"/>
      <c r="UIK22" s="206"/>
      <c r="UIL22" s="206"/>
      <c r="UIM22" s="206"/>
      <c r="UIN22" s="206"/>
      <c r="UIO22" s="206"/>
      <c r="UIP22" s="206"/>
      <c r="UIQ22" s="206"/>
      <c r="UIR22" s="206"/>
      <c r="UIS22" s="206"/>
      <c r="UIT22" s="206"/>
      <c r="UIU22" s="206"/>
      <c r="UIV22" s="206"/>
      <c r="UIW22" s="206"/>
      <c r="UIX22" s="206"/>
      <c r="UIY22" s="206"/>
      <c r="UIZ22" s="206"/>
      <c r="UJA22" s="206"/>
      <c r="UJB22" s="206"/>
      <c r="UJC22" s="206"/>
      <c r="UJD22" s="206"/>
      <c r="UJE22" s="206"/>
      <c r="UJF22" s="206"/>
      <c r="UJG22" s="206"/>
      <c r="UJH22" s="206"/>
      <c r="UJI22" s="206"/>
      <c r="UJJ22" s="206"/>
      <c r="UJK22" s="206"/>
      <c r="UJL22" s="206"/>
      <c r="UJM22" s="206"/>
      <c r="UJN22" s="206"/>
      <c r="UJO22" s="206"/>
      <c r="UJP22" s="206"/>
      <c r="UJQ22" s="206"/>
      <c r="UJR22" s="206"/>
      <c r="UJS22" s="206"/>
      <c r="UJT22" s="206"/>
      <c r="UJU22" s="206"/>
      <c r="UJV22" s="206"/>
      <c r="UJW22" s="206"/>
      <c r="UJX22" s="206"/>
      <c r="UJY22" s="206"/>
      <c r="UJZ22" s="206"/>
      <c r="UKA22" s="206"/>
      <c r="UKB22" s="206"/>
      <c r="UKC22" s="206"/>
      <c r="UKD22" s="206"/>
      <c r="UKE22" s="206"/>
      <c r="UKF22" s="206"/>
      <c r="UKG22" s="206"/>
      <c r="UKH22" s="206"/>
      <c r="UKI22" s="206"/>
      <c r="UKJ22" s="206"/>
      <c r="UKK22" s="206"/>
      <c r="UKL22" s="206"/>
      <c r="UKM22" s="206"/>
      <c r="UKN22" s="206"/>
      <c r="UKO22" s="206"/>
      <c r="UKP22" s="206"/>
      <c r="UKQ22" s="206"/>
      <c r="UKR22" s="206"/>
      <c r="UKS22" s="206"/>
      <c r="UKT22" s="206"/>
      <c r="UKU22" s="206"/>
      <c r="UKV22" s="206"/>
      <c r="UKW22" s="206"/>
      <c r="UKX22" s="206"/>
      <c r="UKY22" s="206"/>
      <c r="UKZ22" s="206"/>
      <c r="ULA22" s="206"/>
      <c r="ULB22" s="206"/>
      <c r="ULC22" s="206"/>
      <c r="ULD22" s="206"/>
      <c r="ULE22" s="206"/>
      <c r="ULF22" s="206"/>
      <c r="ULG22" s="206"/>
      <c r="ULH22" s="206"/>
      <c r="ULI22" s="206"/>
      <c r="ULJ22" s="206"/>
      <c r="ULK22" s="206"/>
      <c r="ULL22" s="206"/>
      <c r="ULM22" s="206"/>
      <c r="ULN22" s="206"/>
      <c r="ULO22" s="206"/>
      <c r="ULP22" s="206"/>
      <c r="ULQ22" s="206"/>
      <c r="ULR22" s="206"/>
      <c r="ULS22" s="206"/>
      <c r="ULT22" s="206"/>
      <c r="ULU22" s="206"/>
      <c r="ULV22" s="206"/>
      <c r="ULW22" s="206"/>
      <c r="ULX22" s="206"/>
      <c r="ULY22" s="206"/>
      <c r="ULZ22" s="206"/>
      <c r="UMA22" s="206"/>
      <c r="UMB22" s="206"/>
      <c r="UMC22" s="206"/>
      <c r="UMD22" s="206"/>
      <c r="UME22" s="206"/>
      <c r="UMF22" s="206"/>
      <c r="UMG22" s="206"/>
      <c r="UMH22" s="206"/>
      <c r="UMI22" s="206"/>
      <c r="UMJ22" s="206"/>
      <c r="UMK22" s="206"/>
      <c r="UML22" s="206"/>
      <c r="UMM22" s="206"/>
      <c r="UMN22" s="206"/>
      <c r="UMO22" s="206"/>
      <c r="UMP22" s="206"/>
      <c r="UMQ22" s="206"/>
      <c r="UMR22" s="206"/>
      <c r="UMS22" s="206"/>
      <c r="UMT22" s="206"/>
      <c r="UMU22" s="206"/>
      <c r="UMV22" s="206"/>
      <c r="UMW22" s="206"/>
      <c r="UMX22" s="206"/>
      <c r="UMY22" s="206"/>
      <c r="UMZ22" s="206"/>
      <c r="UNA22" s="206"/>
      <c r="UNB22" s="206"/>
      <c r="UNC22" s="206"/>
      <c r="UND22" s="206"/>
      <c r="UNE22" s="206"/>
      <c r="UNF22" s="206"/>
      <c r="UNG22" s="206"/>
      <c r="UNH22" s="206"/>
      <c r="UNI22" s="206"/>
      <c r="UNJ22" s="206"/>
      <c r="UNK22" s="206"/>
      <c r="UNL22" s="206"/>
      <c r="UNM22" s="206"/>
      <c r="UNN22" s="206"/>
      <c r="UNO22" s="206"/>
      <c r="UNP22" s="206"/>
      <c r="UNQ22" s="206"/>
      <c r="UNR22" s="206"/>
      <c r="UNS22" s="206"/>
      <c r="UNT22" s="206"/>
      <c r="UNU22" s="206"/>
      <c r="UNV22" s="206"/>
      <c r="UNW22" s="206"/>
      <c r="UNX22" s="206"/>
      <c r="UNY22" s="206"/>
      <c r="UNZ22" s="206"/>
      <c r="UOA22" s="206"/>
      <c r="UOB22" s="206"/>
      <c r="UOC22" s="206"/>
      <c r="UOD22" s="206"/>
      <c r="UOE22" s="206"/>
      <c r="UOF22" s="206"/>
      <c r="UOG22" s="206"/>
      <c r="UOH22" s="206"/>
      <c r="UOI22" s="206"/>
      <c r="UOJ22" s="206"/>
      <c r="UOK22" s="206"/>
      <c r="UOL22" s="206"/>
      <c r="UOM22" s="206"/>
      <c r="UON22" s="206"/>
      <c r="UOO22" s="206"/>
      <c r="UOP22" s="206"/>
      <c r="UOQ22" s="206"/>
      <c r="UOR22" s="206"/>
      <c r="UOS22" s="206"/>
      <c r="UOT22" s="206"/>
      <c r="UOU22" s="206"/>
      <c r="UOV22" s="206"/>
      <c r="UOW22" s="206"/>
      <c r="UOX22" s="206"/>
      <c r="UOY22" s="206"/>
      <c r="UOZ22" s="206"/>
      <c r="UPA22" s="206"/>
      <c r="UPB22" s="206"/>
      <c r="UPC22" s="206"/>
      <c r="UPD22" s="206"/>
      <c r="UPE22" s="206"/>
      <c r="UPF22" s="206"/>
      <c r="UPG22" s="206"/>
      <c r="UPH22" s="206"/>
      <c r="UPI22" s="206"/>
      <c r="UPJ22" s="206"/>
      <c r="UPK22" s="206"/>
      <c r="UPL22" s="206"/>
      <c r="UPM22" s="206"/>
      <c r="UPN22" s="206"/>
      <c r="UPO22" s="206"/>
      <c r="UPP22" s="206"/>
      <c r="UPQ22" s="206"/>
      <c r="UPR22" s="206"/>
      <c r="UPS22" s="206"/>
      <c r="UPT22" s="206"/>
      <c r="UPU22" s="206"/>
      <c r="UPV22" s="206"/>
      <c r="UPW22" s="206"/>
      <c r="UPX22" s="206"/>
      <c r="UPY22" s="206"/>
      <c r="UPZ22" s="206"/>
      <c r="UQA22" s="206"/>
      <c r="UQB22" s="206"/>
      <c r="UQC22" s="206"/>
      <c r="UQD22" s="206"/>
      <c r="UQE22" s="206"/>
      <c r="UQF22" s="206"/>
      <c r="UQG22" s="206"/>
      <c r="UQH22" s="206"/>
      <c r="UQI22" s="206"/>
      <c r="UQJ22" s="206"/>
      <c r="UQK22" s="206"/>
      <c r="UQL22" s="206"/>
      <c r="UQM22" s="206"/>
      <c r="UQN22" s="206"/>
      <c r="UQO22" s="206"/>
      <c r="UQP22" s="206"/>
      <c r="UQQ22" s="206"/>
      <c r="UQR22" s="206"/>
      <c r="UQS22" s="206"/>
      <c r="UQT22" s="206"/>
      <c r="UQU22" s="206"/>
      <c r="UQV22" s="206"/>
      <c r="UQW22" s="206"/>
      <c r="UQX22" s="206"/>
      <c r="UQY22" s="206"/>
      <c r="UQZ22" s="206"/>
      <c r="URA22" s="206"/>
      <c r="URB22" s="206"/>
      <c r="URC22" s="206"/>
      <c r="URD22" s="206"/>
      <c r="URE22" s="206"/>
      <c r="URF22" s="206"/>
      <c r="URG22" s="206"/>
      <c r="URH22" s="206"/>
      <c r="URI22" s="206"/>
      <c r="URJ22" s="206"/>
      <c r="URK22" s="206"/>
      <c r="URL22" s="206"/>
      <c r="URM22" s="206"/>
      <c r="URN22" s="206"/>
      <c r="URO22" s="206"/>
      <c r="URP22" s="206"/>
      <c r="URQ22" s="206"/>
      <c r="URR22" s="206"/>
      <c r="URS22" s="206"/>
      <c r="URT22" s="206"/>
      <c r="URU22" s="206"/>
      <c r="URV22" s="206"/>
      <c r="URW22" s="206"/>
      <c r="URX22" s="206"/>
      <c r="URY22" s="206"/>
      <c r="URZ22" s="206"/>
      <c r="USA22" s="206"/>
      <c r="USB22" s="206"/>
      <c r="USC22" s="206"/>
      <c r="USD22" s="206"/>
      <c r="USE22" s="206"/>
      <c r="USF22" s="206"/>
      <c r="USG22" s="206"/>
      <c r="USH22" s="206"/>
      <c r="USI22" s="206"/>
      <c r="USJ22" s="206"/>
      <c r="USK22" s="206"/>
      <c r="USL22" s="206"/>
      <c r="USM22" s="206"/>
      <c r="USN22" s="206"/>
      <c r="USO22" s="206"/>
      <c r="USP22" s="206"/>
      <c r="USQ22" s="206"/>
      <c r="USR22" s="206"/>
      <c r="USS22" s="206"/>
      <c r="UST22" s="206"/>
      <c r="USU22" s="206"/>
      <c r="USV22" s="206"/>
      <c r="USW22" s="206"/>
      <c r="USX22" s="206"/>
      <c r="USY22" s="206"/>
      <c r="USZ22" s="206"/>
      <c r="UTA22" s="206"/>
      <c r="UTB22" s="206"/>
      <c r="UTC22" s="206"/>
      <c r="UTD22" s="206"/>
      <c r="UTE22" s="206"/>
      <c r="UTF22" s="206"/>
      <c r="UTG22" s="206"/>
      <c r="UTH22" s="206"/>
      <c r="UTI22" s="206"/>
      <c r="UTJ22" s="206"/>
      <c r="UTK22" s="206"/>
      <c r="UTL22" s="206"/>
      <c r="UTM22" s="206"/>
      <c r="UTN22" s="206"/>
      <c r="UTO22" s="206"/>
      <c r="UTP22" s="206"/>
      <c r="UTQ22" s="206"/>
      <c r="UTR22" s="206"/>
      <c r="UTS22" s="206"/>
      <c r="UTT22" s="206"/>
      <c r="UTU22" s="206"/>
      <c r="UTV22" s="206"/>
      <c r="UTW22" s="206"/>
      <c r="UTX22" s="206"/>
      <c r="UTY22" s="206"/>
      <c r="UTZ22" s="206"/>
      <c r="UUA22" s="206"/>
      <c r="UUB22" s="206"/>
      <c r="UUC22" s="206"/>
      <c r="UUD22" s="206"/>
      <c r="UUE22" s="206"/>
      <c r="UUF22" s="206"/>
      <c r="UUG22" s="206"/>
      <c r="UUH22" s="206"/>
      <c r="UUI22" s="206"/>
      <c r="UUJ22" s="206"/>
      <c r="UUK22" s="206"/>
      <c r="UUL22" s="206"/>
      <c r="UUM22" s="206"/>
      <c r="UUN22" s="206"/>
      <c r="UUO22" s="206"/>
      <c r="UUP22" s="206"/>
      <c r="UUQ22" s="206"/>
      <c r="UUR22" s="206"/>
      <c r="UUS22" s="206"/>
      <c r="UUT22" s="206"/>
      <c r="UUU22" s="206"/>
      <c r="UUV22" s="206"/>
      <c r="UUW22" s="206"/>
      <c r="UUX22" s="206"/>
      <c r="UUY22" s="206"/>
      <c r="UUZ22" s="206"/>
      <c r="UVA22" s="206"/>
      <c r="UVB22" s="206"/>
      <c r="UVC22" s="206"/>
      <c r="UVD22" s="206"/>
      <c r="UVE22" s="206"/>
      <c r="UVF22" s="206"/>
      <c r="UVG22" s="206"/>
      <c r="UVH22" s="206"/>
      <c r="UVI22" s="206"/>
      <c r="UVJ22" s="206"/>
      <c r="UVK22" s="206"/>
      <c r="UVL22" s="206"/>
      <c r="UVM22" s="206"/>
      <c r="UVN22" s="206"/>
      <c r="UVO22" s="206"/>
      <c r="UVP22" s="206"/>
      <c r="UVQ22" s="206"/>
      <c r="UVR22" s="206"/>
      <c r="UVS22" s="206"/>
      <c r="UVT22" s="206"/>
      <c r="UVU22" s="206"/>
      <c r="UVV22" s="206"/>
      <c r="UVW22" s="206"/>
      <c r="UVX22" s="206"/>
      <c r="UVY22" s="206"/>
      <c r="UVZ22" s="206"/>
      <c r="UWA22" s="206"/>
      <c r="UWB22" s="206"/>
      <c r="UWC22" s="206"/>
      <c r="UWD22" s="206"/>
      <c r="UWE22" s="206"/>
      <c r="UWF22" s="206"/>
      <c r="UWG22" s="206"/>
      <c r="UWH22" s="206"/>
      <c r="UWI22" s="206"/>
      <c r="UWJ22" s="206"/>
      <c r="UWK22" s="206"/>
      <c r="UWL22" s="206"/>
      <c r="UWM22" s="206"/>
      <c r="UWN22" s="206"/>
      <c r="UWO22" s="206"/>
      <c r="UWP22" s="206"/>
      <c r="UWQ22" s="206"/>
      <c r="UWR22" s="206"/>
      <c r="UWS22" s="206"/>
      <c r="UWT22" s="206"/>
      <c r="UWU22" s="206"/>
      <c r="UWV22" s="206"/>
      <c r="UWW22" s="206"/>
      <c r="UWX22" s="206"/>
      <c r="UWY22" s="206"/>
      <c r="UWZ22" s="206"/>
      <c r="UXA22" s="206"/>
      <c r="UXB22" s="206"/>
      <c r="UXC22" s="206"/>
      <c r="UXD22" s="206"/>
      <c r="UXE22" s="206"/>
      <c r="UXF22" s="206"/>
      <c r="UXG22" s="206"/>
      <c r="UXH22" s="206"/>
      <c r="UXI22" s="206"/>
      <c r="UXJ22" s="206"/>
      <c r="UXK22" s="206"/>
      <c r="UXL22" s="206"/>
      <c r="UXM22" s="206"/>
      <c r="UXN22" s="206"/>
      <c r="UXO22" s="206"/>
      <c r="UXP22" s="206"/>
      <c r="UXQ22" s="206"/>
      <c r="UXR22" s="206"/>
      <c r="UXS22" s="206"/>
      <c r="UXT22" s="206"/>
      <c r="UXU22" s="206"/>
      <c r="UXV22" s="206"/>
      <c r="UXW22" s="206"/>
      <c r="UXX22" s="206"/>
      <c r="UXY22" s="206"/>
      <c r="UXZ22" s="206"/>
      <c r="UYA22" s="206"/>
      <c r="UYB22" s="206"/>
      <c r="UYC22" s="206"/>
      <c r="UYD22" s="206"/>
      <c r="UYE22" s="206"/>
      <c r="UYF22" s="206"/>
      <c r="UYG22" s="206"/>
      <c r="UYH22" s="206"/>
      <c r="UYI22" s="206"/>
      <c r="UYJ22" s="206"/>
      <c r="UYK22" s="206"/>
      <c r="UYL22" s="206"/>
      <c r="UYM22" s="206"/>
      <c r="UYN22" s="206"/>
      <c r="UYO22" s="206"/>
      <c r="UYP22" s="206"/>
      <c r="UYQ22" s="206"/>
      <c r="UYR22" s="206"/>
      <c r="UYS22" s="206"/>
      <c r="UYT22" s="206"/>
      <c r="UYU22" s="206"/>
      <c r="UYV22" s="206"/>
      <c r="UYW22" s="206"/>
      <c r="UYX22" s="206"/>
      <c r="UYY22" s="206"/>
      <c r="UYZ22" s="206"/>
      <c r="UZA22" s="206"/>
      <c r="UZB22" s="206"/>
      <c r="UZC22" s="206"/>
      <c r="UZD22" s="206"/>
      <c r="UZE22" s="206"/>
      <c r="UZF22" s="206"/>
      <c r="UZG22" s="206"/>
      <c r="UZH22" s="206"/>
      <c r="UZI22" s="206"/>
      <c r="UZJ22" s="206"/>
      <c r="UZK22" s="206"/>
      <c r="UZL22" s="206"/>
      <c r="UZM22" s="206"/>
      <c r="UZN22" s="206"/>
      <c r="UZO22" s="206"/>
      <c r="UZP22" s="206"/>
      <c r="UZQ22" s="206"/>
      <c r="UZR22" s="206"/>
      <c r="UZS22" s="206"/>
      <c r="UZT22" s="206"/>
      <c r="UZU22" s="206"/>
      <c r="UZV22" s="206"/>
      <c r="UZW22" s="206"/>
      <c r="UZX22" s="206"/>
      <c r="UZY22" s="206"/>
      <c r="UZZ22" s="206"/>
      <c r="VAA22" s="206"/>
      <c r="VAB22" s="206"/>
      <c r="VAC22" s="206"/>
      <c r="VAD22" s="206"/>
      <c r="VAE22" s="206"/>
      <c r="VAF22" s="206"/>
      <c r="VAG22" s="206"/>
      <c r="VAH22" s="206"/>
      <c r="VAI22" s="206"/>
      <c r="VAJ22" s="206"/>
      <c r="VAK22" s="206"/>
      <c r="VAL22" s="206"/>
      <c r="VAM22" s="206"/>
      <c r="VAN22" s="206"/>
      <c r="VAO22" s="206"/>
      <c r="VAP22" s="206"/>
      <c r="VAQ22" s="206"/>
      <c r="VAR22" s="206"/>
      <c r="VAS22" s="206"/>
      <c r="VAT22" s="206"/>
      <c r="VAU22" s="206"/>
      <c r="VAV22" s="206"/>
      <c r="VAW22" s="206"/>
      <c r="VAX22" s="206"/>
      <c r="VAY22" s="206"/>
      <c r="VAZ22" s="206"/>
      <c r="VBA22" s="206"/>
      <c r="VBB22" s="206"/>
      <c r="VBC22" s="206"/>
      <c r="VBD22" s="206"/>
      <c r="VBE22" s="206"/>
      <c r="VBF22" s="206"/>
      <c r="VBG22" s="206"/>
      <c r="VBH22" s="206"/>
      <c r="VBI22" s="206"/>
      <c r="VBJ22" s="206"/>
      <c r="VBK22" s="206"/>
      <c r="VBL22" s="206"/>
      <c r="VBM22" s="206"/>
      <c r="VBN22" s="206"/>
      <c r="VBO22" s="206"/>
      <c r="VBP22" s="206"/>
      <c r="VBQ22" s="206"/>
      <c r="VBR22" s="206"/>
      <c r="VBS22" s="206"/>
      <c r="VBT22" s="206"/>
      <c r="VBU22" s="206"/>
      <c r="VBV22" s="206"/>
      <c r="VBW22" s="206"/>
      <c r="VBX22" s="206"/>
      <c r="VBY22" s="206"/>
      <c r="VBZ22" s="206"/>
      <c r="VCA22" s="206"/>
      <c r="VCB22" s="206"/>
      <c r="VCC22" s="206"/>
      <c r="VCD22" s="206"/>
      <c r="VCE22" s="206"/>
      <c r="VCF22" s="206"/>
      <c r="VCG22" s="206"/>
      <c r="VCH22" s="206"/>
      <c r="VCI22" s="206"/>
      <c r="VCJ22" s="206"/>
      <c r="VCK22" s="206"/>
      <c r="VCL22" s="206"/>
      <c r="VCM22" s="206"/>
      <c r="VCN22" s="206"/>
      <c r="VCO22" s="206"/>
      <c r="VCP22" s="206"/>
      <c r="VCQ22" s="206"/>
      <c r="VCR22" s="206"/>
      <c r="VCS22" s="206"/>
      <c r="VCT22" s="206"/>
      <c r="VCU22" s="206"/>
      <c r="VCV22" s="206"/>
      <c r="VCW22" s="206"/>
      <c r="VCX22" s="206"/>
      <c r="VCY22" s="206"/>
      <c r="VCZ22" s="206"/>
      <c r="VDA22" s="206"/>
      <c r="VDB22" s="206"/>
      <c r="VDC22" s="206"/>
      <c r="VDD22" s="206"/>
      <c r="VDE22" s="206"/>
      <c r="VDF22" s="206"/>
      <c r="VDG22" s="206"/>
      <c r="VDH22" s="206"/>
      <c r="VDI22" s="206"/>
      <c r="VDJ22" s="206"/>
      <c r="VDK22" s="206"/>
      <c r="VDL22" s="206"/>
      <c r="VDM22" s="206"/>
      <c r="VDN22" s="206"/>
      <c r="VDO22" s="206"/>
      <c r="VDP22" s="206"/>
      <c r="VDQ22" s="206"/>
      <c r="VDR22" s="206"/>
      <c r="VDS22" s="206"/>
      <c r="VDT22" s="206"/>
      <c r="VDU22" s="206"/>
      <c r="VDV22" s="206"/>
      <c r="VDW22" s="206"/>
      <c r="VDX22" s="206"/>
      <c r="VDY22" s="206"/>
      <c r="VDZ22" s="206"/>
      <c r="VEA22" s="206"/>
      <c r="VEB22" s="206"/>
      <c r="VEC22" s="206"/>
      <c r="VED22" s="206"/>
      <c r="VEE22" s="206"/>
      <c r="VEF22" s="206"/>
      <c r="VEG22" s="206"/>
      <c r="VEH22" s="206"/>
      <c r="VEI22" s="206"/>
      <c r="VEJ22" s="206"/>
      <c r="VEK22" s="206"/>
      <c r="VEL22" s="206"/>
      <c r="VEM22" s="206"/>
      <c r="VEN22" s="206"/>
      <c r="VEO22" s="206"/>
      <c r="VEP22" s="206"/>
      <c r="VEQ22" s="206"/>
      <c r="VER22" s="206"/>
      <c r="VES22" s="206"/>
      <c r="VET22" s="206"/>
      <c r="VEU22" s="206"/>
      <c r="VEV22" s="206"/>
      <c r="VEW22" s="206"/>
      <c r="VEX22" s="206"/>
      <c r="VEY22" s="206"/>
      <c r="VEZ22" s="206"/>
      <c r="VFA22" s="206"/>
      <c r="VFB22" s="206"/>
      <c r="VFC22" s="206"/>
      <c r="VFD22" s="206"/>
      <c r="VFE22" s="206"/>
      <c r="VFF22" s="206"/>
      <c r="VFG22" s="206"/>
      <c r="VFH22" s="206"/>
      <c r="VFI22" s="206"/>
      <c r="VFJ22" s="206"/>
      <c r="VFK22" s="206"/>
      <c r="VFL22" s="206"/>
      <c r="VFM22" s="206"/>
      <c r="VFN22" s="206"/>
      <c r="VFO22" s="206"/>
      <c r="VFP22" s="206"/>
      <c r="VFQ22" s="206"/>
      <c r="VFR22" s="206"/>
      <c r="VFS22" s="206"/>
      <c r="VFT22" s="206"/>
      <c r="VFU22" s="206"/>
      <c r="VFV22" s="206"/>
      <c r="VFW22" s="206"/>
      <c r="VFX22" s="206"/>
      <c r="VFY22" s="206"/>
      <c r="VFZ22" s="206"/>
      <c r="VGA22" s="206"/>
      <c r="VGB22" s="206"/>
      <c r="VGC22" s="206"/>
      <c r="VGD22" s="206"/>
      <c r="VGE22" s="206"/>
      <c r="VGF22" s="206"/>
      <c r="VGG22" s="206"/>
      <c r="VGH22" s="206"/>
      <c r="VGI22" s="206"/>
      <c r="VGJ22" s="206"/>
      <c r="VGK22" s="206"/>
      <c r="VGL22" s="206"/>
      <c r="VGM22" s="206"/>
      <c r="VGN22" s="206"/>
      <c r="VGO22" s="206"/>
      <c r="VGP22" s="206"/>
      <c r="VGQ22" s="206"/>
      <c r="VGR22" s="206"/>
      <c r="VGS22" s="206"/>
      <c r="VGT22" s="206"/>
      <c r="VGU22" s="206"/>
      <c r="VGV22" s="206"/>
      <c r="VGW22" s="206"/>
      <c r="VGX22" s="206"/>
      <c r="VGY22" s="206"/>
      <c r="VGZ22" s="206"/>
      <c r="VHA22" s="206"/>
      <c r="VHB22" s="206"/>
      <c r="VHC22" s="206"/>
      <c r="VHD22" s="206"/>
      <c r="VHE22" s="206"/>
      <c r="VHF22" s="206"/>
      <c r="VHG22" s="206"/>
      <c r="VHH22" s="206"/>
      <c r="VHI22" s="206"/>
      <c r="VHJ22" s="206"/>
      <c r="VHK22" s="206"/>
      <c r="VHL22" s="206"/>
      <c r="VHM22" s="206"/>
      <c r="VHN22" s="206"/>
      <c r="VHO22" s="206"/>
      <c r="VHP22" s="206"/>
      <c r="VHQ22" s="206"/>
      <c r="VHR22" s="206"/>
      <c r="VHS22" s="206"/>
      <c r="VHT22" s="206"/>
      <c r="VHU22" s="206"/>
      <c r="VHV22" s="206"/>
      <c r="VHW22" s="206"/>
      <c r="VHX22" s="206"/>
      <c r="VHY22" s="206"/>
      <c r="VHZ22" s="206"/>
      <c r="VIA22" s="206"/>
      <c r="VIB22" s="206"/>
      <c r="VIC22" s="206"/>
      <c r="VID22" s="206"/>
      <c r="VIE22" s="206"/>
      <c r="VIF22" s="206"/>
      <c r="VIG22" s="206"/>
      <c r="VIH22" s="206"/>
      <c r="VII22" s="206"/>
      <c r="VIJ22" s="206"/>
      <c r="VIK22" s="206"/>
      <c r="VIL22" s="206"/>
      <c r="VIM22" s="206"/>
      <c r="VIN22" s="206"/>
      <c r="VIO22" s="206"/>
      <c r="VIP22" s="206"/>
      <c r="VIQ22" s="206"/>
      <c r="VIR22" s="206"/>
      <c r="VIS22" s="206"/>
      <c r="VIT22" s="206"/>
      <c r="VIU22" s="206"/>
      <c r="VIV22" s="206"/>
      <c r="VIW22" s="206"/>
      <c r="VIX22" s="206"/>
      <c r="VIY22" s="206"/>
      <c r="VIZ22" s="206"/>
      <c r="VJA22" s="206"/>
      <c r="VJB22" s="206"/>
      <c r="VJC22" s="206"/>
      <c r="VJD22" s="206"/>
      <c r="VJE22" s="206"/>
      <c r="VJF22" s="206"/>
      <c r="VJG22" s="206"/>
      <c r="VJH22" s="206"/>
      <c r="VJI22" s="206"/>
      <c r="VJJ22" s="206"/>
      <c r="VJK22" s="206"/>
      <c r="VJL22" s="206"/>
      <c r="VJM22" s="206"/>
      <c r="VJN22" s="206"/>
      <c r="VJO22" s="206"/>
      <c r="VJP22" s="206"/>
      <c r="VJQ22" s="206"/>
      <c r="VJR22" s="206"/>
      <c r="VJS22" s="206"/>
      <c r="VJT22" s="206"/>
      <c r="VJU22" s="206"/>
      <c r="VJV22" s="206"/>
      <c r="VJW22" s="206"/>
      <c r="VJX22" s="206"/>
      <c r="VJY22" s="206"/>
      <c r="VJZ22" s="206"/>
      <c r="VKA22" s="206"/>
      <c r="VKB22" s="206"/>
      <c r="VKC22" s="206"/>
      <c r="VKD22" s="206"/>
      <c r="VKE22" s="206"/>
      <c r="VKF22" s="206"/>
      <c r="VKG22" s="206"/>
      <c r="VKH22" s="206"/>
      <c r="VKI22" s="206"/>
      <c r="VKJ22" s="206"/>
      <c r="VKK22" s="206"/>
      <c r="VKL22" s="206"/>
      <c r="VKM22" s="206"/>
      <c r="VKN22" s="206"/>
      <c r="VKO22" s="206"/>
      <c r="VKP22" s="206"/>
      <c r="VKQ22" s="206"/>
      <c r="VKR22" s="206"/>
      <c r="VKS22" s="206"/>
      <c r="VKT22" s="206"/>
      <c r="VKU22" s="206"/>
      <c r="VKV22" s="206"/>
      <c r="VKW22" s="206"/>
      <c r="VKX22" s="206"/>
      <c r="VKY22" s="206"/>
      <c r="VKZ22" s="206"/>
      <c r="VLA22" s="206"/>
      <c r="VLB22" s="206"/>
      <c r="VLC22" s="206"/>
      <c r="VLD22" s="206"/>
      <c r="VLE22" s="206"/>
      <c r="VLF22" s="206"/>
      <c r="VLG22" s="206"/>
      <c r="VLH22" s="206"/>
      <c r="VLI22" s="206"/>
      <c r="VLJ22" s="206"/>
      <c r="VLK22" s="206"/>
      <c r="VLL22" s="206"/>
      <c r="VLM22" s="206"/>
      <c r="VLN22" s="206"/>
      <c r="VLO22" s="206"/>
      <c r="VLP22" s="206"/>
      <c r="VLQ22" s="206"/>
      <c r="VLR22" s="206"/>
      <c r="VLS22" s="206"/>
      <c r="VLT22" s="206"/>
      <c r="VLU22" s="206"/>
      <c r="VLV22" s="206"/>
      <c r="VLW22" s="206"/>
      <c r="VLX22" s="206"/>
      <c r="VLY22" s="206"/>
      <c r="VLZ22" s="206"/>
      <c r="VMA22" s="206"/>
      <c r="VMB22" s="206"/>
      <c r="VMC22" s="206"/>
      <c r="VMD22" s="206"/>
      <c r="VME22" s="206"/>
      <c r="VMF22" s="206"/>
      <c r="VMG22" s="206"/>
      <c r="VMH22" s="206"/>
      <c r="VMI22" s="206"/>
      <c r="VMJ22" s="206"/>
      <c r="VMK22" s="206"/>
      <c r="VML22" s="206"/>
      <c r="VMM22" s="206"/>
      <c r="VMN22" s="206"/>
      <c r="VMO22" s="206"/>
      <c r="VMP22" s="206"/>
      <c r="VMQ22" s="206"/>
      <c r="VMR22" s="206"/>
      <c r="VMS22" s="206"/>
      <c r="VMT22" s="206"/>
      <c r="VMU22" s="206"/>
      <c r="VMV22" s="206"/>
      <c r="VMW22" s="206"/>
      <c r="VMX22" s="206"/>
      <c r="VMY22" s="206"/>
      <c r="VMZ22" s="206"/>
      <c r="VNA22" s="206"/>
      <c r="VNB22" s="206"/>
      <c r="VNC22" s="206"/>
      <c r="VND22" s="206"/>
      <c r="VNE22" s="206"/>
      <c r="VNF22" s="206"/>
      <c r="VNG22" s="206"/>
      <c r="VNH22" s="206"/>
      <c r="VNI22" s="206"/>
      <c r="VNJ22" s="206"/>
      <c r="VNK22" s="206"/>
      <c r="VNL22" s="206"/>
      <c r="VNM22" s="206"/>
      <c r="VNN22" s="206"/>
      <c r="VNO22" s="206"/>
      <c r="VNP22" s="206"/>
      <c r="VNQ22" s="206"/>
      <c r="VNR22" s="206"/>
      <c r="VNS22" s="206"/>
      <c r="VNT22" s="206"/>
      <c r="VNU22" s="206"/>
      <c r="VNV22" s="206"/>
      <c r="VNW22" s="206"/>
      <c r="VNX22" s="206"/>
      <c r="VNY22" s="206"/>
      <c r="VNZ22" s="206"/>
      <c r="VOA22" s="206"/>
      <c r="VOB22" s="206"/>
      <c r="VOC22" s="206"/>
      <c r="VOD22" s="206"/>
      <c r="VOE22" s="206"/>
      <c r="VOF22" s="206"/>
      <c r="VOG22" s="206"/>
      <c r="VOH22" s="206"/>
      <c r="VOI22" s="206"/>
      <c r="VOJ22" s="206"/>
      <c r="VOK22" s="206"/>
      <c r="VOL22" s="206"/>
      <c r="VOM22" s="206"/>
      <c r="VON22" s="206"/>
      <c r="VOO22" s="206"/>
      <c r="VOP22" s="206"/>
      <c r="VOQ22" s="206"/>
      <c r="VOR22" s="206"/>
      <c r="VOS22" s="206"/>
      <c r="VOT22" s="206"/>
      <c r="VOU22" s="206"/>
      <c r="VOV22" s="206"/>
      <c r="VOW22" s="206"/>
      <c r="VOX22" s="206"/>
      <c r="VOY22" s="206"/>
      <c r="VOZ22" s="206"/>
      <c r="VPA22" s="206"/>
      <c r="VPB22" s="206"/>
      <c r="VPC22" s="206"/>
      <c r="VPD22" s="206"/>
      <c r="VPE22" s="206"/>
      <c r="VPF22" s="206"/>
      <c r="VPG22" s="206"/>
      <c r="VPH22" s="206"/>
      <c r="VPI22" s="206"/>
      <c r="VPJ22" s="206"/>
      <c r="VPK22" s="206"/>
      <c r="VPL22" s="206"/>
      <c r="VPM22" s="206"/>
      <c r="VPN22" s="206"/>
      <c r="VPO22" s="206"/>
      <c r="VPP22" s="206"/>
      <c r="VPQ22" s="206"/>
      <c r="VPR22" s="206"/>
      <c r="VPS22" s="206"/>
      <c r="VPT22" s="206"/>
      <c r="VPU22" s="206"/>
      <c r="VPV22" s="206"/>
      <c r="VPW22" s="206"/>
      <c r="VPX22" s="206"/>
      <c r="VPY22" s="206"/>
      <c r="VPZ22" s="206"/>
      <c r="VQA22" s="206"/>
      <c r="VQB22" s="206"/>
      <c r="VQC22" s="206"/>
      <c r="VQD22" s="206"/>
      <c r="VQE22" s="206"/>
      <c r="VQF22" s="206"/>
      <c r="VQG22" s="206"/>
      <c r="VQH22" s="206"/>
      <c r="VQI22" s="206"/>
      <c r="VQJ22" s="206"/>
      <c r="VQK22" s="206"/>
      <c r="VQL22" s="206"/>
      <c r="VQM22" s="206"/>
      <c r="VQN22" s="206"/>
      <c r="VQO22" s="206"/>
      <c r="VQP22" s="206"/>
      <c r="VQQ22" s="206"/>
      <c r="VQR22" s="206"/>
      <c r="VQS22" s="206"/>
      <c r="VQT22" s="206"/>
      <c r="VQU22" s="206"/>
      <c r="VQV22" s="206"/>
      <c r="VQW22" s="206"/>
      <c r="VQX22" s="206"/>
      <c r="VQY22" s="206"/>
      <c r="VQZ22" s="206"/>
      <c r="VRA22" s="206"/>
      <c r="VRB22" s="206"/>
      <c r="VRC22" s="206"/>
      <c r="VRD22" s="206"/>
      <c r="VRE22" s="206"/>
      <c r="VRF22" s="206"/>
      <c r="VRG22" s="206"/>
      <c r="VRH22" s="206"/>
      <c r="VRI22" s="206"/>
      <c r="VRJ22" s="206"/>
      <c r="VRK22" s="206"/>
      <c r="VRL22" s="206"/>
      <c r="VRM22" s="206"/>
      <c r="VRN22" s="206"/>
      <c r="VRO22" s="206"/>
      <c r="VRP22" s="206"/>
      <c r="VRQ22" s="206"/>
      <c r="VRR22" s="206"/>
      <c r="VRS22" s="206"/>
      <c r="VRT22" s="206"/>
      <c r="VRU22" s="206"/>
      <c r="VRV22" s="206"/>
      <c r="VRW22" s="206"/>
      <c r="VRX22" s="206"/>
      <c r="VRY22" s="206"/>
      <c r="VRZ22" s="206"/>
      <c r="VSA22" s="206"/>
      <c r="VSB22" s="206"/>
      <c r="VSC22" s="206"/>
      <c r="VSD22" s="206"/>
      <c r="VSE22" s="206"/>
      <c r="VSF22" s="206"/>
      <c r="VSG22" s="206"/>
      <c r="VSH22" s="206"/>
      <c r="VSI22" s="206"/>
      <c r="VSJ22" s="206"/>
      <c r="VSK22" s="206"/>
      <c r="VSL22" s="206"/>
      <c r="VSM22" s="206"/>
      <c r="VSN22" s="206"/>
      <c r="VSO22" s="206"/>
      <c r="VSP22" s="206"/>
      <c r="VSQ22" s="206"/>
      <c r="VSR22" s="206"/>
      <c r="VSS22" s="206"/>
      <c r="VST22" s="206"/>
      <c r="VSU22" s="206"/>
      <c r="VSV22" s="206"/>
      <c r="VSW22" s="206"/>
      <c r="VSX22" s="206"/>
      <c r="VSY22" s="206"/>
      <c r="VSZ22" s="206"/>
      <c r="VTA22" s="206"/>
      <c r="VTB22" s="206"/>
      <c r="VTC22" s="206"/>
      <c r="VTD22" s="206"/>
      <c r="VTE22" s="206"/>
      <c r="VTF22" s="206"/>
      <c r="VTG22" s="206"/>
      <c r="VTH22" s="206"/>
      <c r="VTI22" s="206"/>
      <c r="VTJ22" s="206"/>
      <c r="VTK22" s="206"/>
      <c r="VTL22" s="206"/>
      <c r="VTM22" s="206"/>
      <c r="VTN22" s="206"/>
      <c r="VTO22" s="206"/>
      <c r="VTP22" s="206"/>
      <c r="VTQ22" s="206"/>
      <c r="VTR22" s="206"/>
      <c r="VTS22" s="206"/>
      <c r="VTT22" s="206"/>
      <c r="VTU22" s="206"/>
      <c r="VTV22" s="206"/>
      <c r="VTW22" s="206"/>
      <c r="VTX22" s="206"/>
      <c r="VTY22" s="206"/>
      <c r="VTZ22" s="206"/>
      <c r="VUA22" s="206"/>
      <c r="VUB22" s="206"/>
      <c r="VUC22" s="206"/>
      <c r="VUD22" s="206"/>
      <c r="VUE22" s="206"/>
      <c r="VUF22" s="206"/>
      <c r="VUG22" s="206"/>
      <c r="VUH22" s="206"/>
      <c r="VUI22" s="206"/>
      <c r="VUJ22" s="206"/>
      <c r="VUK22" s="206"/>
      <c r="VUL22" s="206"/>
      <c r="VUM22" s="206"/>
      <c r="VUN22" s="206"/>
      <c r="VUO22" s="206"/>
      <c r="VUP22" s="206"/>
      <c r="VUQ22" s="206"/>
      <c r="VUR22" s="206"/>
      <c r="VUS22" s="206"/>
      <c r="VUT22" s="206"/>
      <c r="VUU22" s="206"/>
      <c r="VUV22" s="206"/>
      <c r="VUW22" s="206"/>
      <c r="VUX22" s="206"/>
      <c r="VUY22" s="206"/>
      <c r="VUZ22" s="206"/>
      <c r="VVA22" s="206"/>
      <c r="VVB22" s="206"/>
      <c r="VVC22" s="206"/>
      <c r="VVD22" s="206"/>
      <c r="VVE22" s="206"/>
      <c r="VVF22" s="206"/>
      <c r="VVG22" s="206"/>
      <c r="VVH22" s="206"/>
      <c r="VVI22" s="206"/>
      <c r="VVJ22" s="206"/>
      <c r="VVK22" s="206"/>
      <c r="VVL22" s="206"/>
      <c r="VVM22" s="206"/>
      <c r="VVN22" s="206"/>
      <c r="VVO22" s="206"/>
      <c r="VVP22" s="206"/>
      <c r="VVQ22" s="206"/>
      <c r="VVR22" s="206"/>
      <c r="VVS22" s="206"/>
      <c r="VVT22" s="206"/>
      <c r="VVU22" s="206"/>
      <c r="VVV22" s="206"/>
      <c r="VVW22" s="206"/>
      <c r="VVX22" s="206"/>
      <c r="VVY22" s="206"/>
      <c r="VVZ22" s="206"/>
      <c r="VWA22" s="206"/>
      <c r="VWB22" s="206"/>
      <c r="VWC22" s="206"/>
      <c r="VWD22" s="206"/>
      <c r="VWE22" s="206"/>
      <c r="VWF22" s="206"/>
      <c r="VWG22" s="206"/>
      <c r="VWH22" s="206"/>
      <c r="VWI22" s="206"/>
      <c r="VWJ22" s="206"/>
      <c r="VWK22" s="206"/>
      <c r="VWL22" s="206"/>
      <c r="VWM22" s="206"/>
      <c r="VWN22" s="206"/>
      <c r="VWO22" s="206"/>
      <c r="VWP22" s="206"/>
      <c r="VWQ22" s="206"/>
      <c r="VWR22" s="206"/>
      <c r="VWS22" s="206"/>
      <c r="VWT22" s="206"/>
      <c r="VWU22" s="206"/>
      <c r="VWV22" s="206"/>
      <c r="VWW22" s="206"/>
      <c r="VWX22" s="206"/>
      <c r="VWY22" s="206"/>
      <c r="VWZ22" s="206"/>
      <c r="VXA22" s="206"/>
      <c r="VXB22" s="206"/>
      <c r="VXC22" s="206"/>
      <c r="VXD22" s="206"/>
      <c r="VXE22" s="206"/>
      <c r="VXF22" s="206"/>
      <c r="VXG22" s="206"/>
      <c r="VXH22" s="206"/>
      <c r="VXI22" s="206"/>
      <c r="VXJ22" s="206"/>
      <c r="VXK22" s="206"/>
      <c r="VXL22" s="206"/>
      <c r="VXM22" s="206"/>
      <c r="VXN22" s="206"/>
      <c r="VXO22" s="206"/>
      <c r="VXP22" s="206"/>
      <c r="VXQ22" s="206"/>
      <c r="VXR22" s="206"/>
      <c r="VXS22" s="206"/>
      <c r="VXT22" s="206"/>
      <c r="VXU22" s="206"/>
      <c r="VXV22" s="206"/>
      <c r="VXW22" s="206"/>
      <c r="VXX22" s="206"/>
      <c r="VXY22" s="206"/>
      <c r="VXZ22" s="206"/>
      <c r="VYA22" s="206"/>
      <c r="VYB22" s="206"/>
      <c r="VYC22" s="206"/>
      <c r="VYD22" s="206"/>
      <c r="VYE22" s="206"/>
      <c r="VYF22" s="206"/>
      <c r="VYG22" s="206"/>
      <c r="VYH22" s="206"/>
      <c r="VYI22" s="206"/>
      <c r="VYJ22" s="206"/>
      <c r="VYK22" s="206"/>
      <c r="VYL22" s="206"/>
      <c r="VYM22" s="206"/>
      <c r="VYN22" s="206"/>
      <c r="VYO22" s="206"/>
      <c r="VYP22" s="206"/>
      <c r="VYQ22" s="206"/>
      <c r="VYR22" s="206"/>
      <c r="VYS22" s="206"/>
      <c r="VYT22" s="206"/>
      <c r="VYU22" s="206"/>
      <c r="VYV22" s="206"/>
      <c r="VYW22" s="206"/>
      <c r="VYX22" s="206"/>
      <c r="VYY22" s="206"/>
      <c r="VYZ22" s="206"/>
      <c r="VZA22" s="206"/>
      <c r="VZB22" s="206"/>
      <c r="VZC22" s="206"/>
      <c r="VZD22" s="206"/>
      <c r="VZE22" s="206"/>
      <c r="VZF22" s="206"/>
      <c r="VZG22" s="206"/>
      <c r="VZH22" s="206"/>
      <c r="VZI22" s="206"/>
      <c r="VZJ22" s="206"/>
      <c r="VZK22" s="206"/>
      <c r="VZL22" s="206"/>
      <c r="VZM22" s="206"/>
      <c r="VZN22" s="206"/>
      <c r="VZO22" s="206"/>
      <c r="VZP22" s="206"/>
      <c r="VZQ22" s="206"/>
      <c r="VZR22" s="206"/>
      <c r="VZS22" s="206"/>
      <c r="VZT22" s="206"/>
      <c r="VZU22" s="206"/>
      <c r="VZV22" s="206"/>
      <c r="VZW22" s="206"/>
      <c r="VZX22" s="206"/>
      <c r="VZY22" s="206"/>
      <c r="VZZ22" s="206"/>
      <c r="WAA22" s="206"/>
      <c r="WAB22" s="206"/>
      <c r="WAC22" s="206"/>
      <c r="WAD22" s="206"/>
      <c r="WAE22" s="206"/>
      <c r="WAF22" s="206"/>
      <c r="WAG22" s="206"/>
      <c r="WAH22" s="206"/>
      <c r="WAI22" s="206"/>
      <c r="WAJ22" s="206"/>
      <c r="WAK22" s="206"/>
      <c r="WAL22" s="206"/>
      <c r="WAM22" s="206"/>
      <c r="WAN22" s="206"/>
      <c r="WAO22" s="206"/>
      <c r="WAP22" s="206"/>
      <c r="WAQ22" s="206"/>
      <c r="WAR22" s="206"/>
      <c r="WAS22" s="206"/>
      <c r="WAT22" s="206"/>
      <c r="WAU22" s="206"/>
      <c r="WAV22" s="206"/>
      <c r="WAW22" s="206"/>
      <c r="WAX22" s="206"/>
      <c r="WAY22" s="206"/>
      <c r="WAZ22" s="206"/>
      <c r="WBA22" s="206"/>
      <c r="WBB22" s="206"/>
      <c r="WBC22" s="206"/>
      <c r="WBD22" s="206"/>
      <c r="WBE22" s="206"/>
      <c r="WBF22" s="206"/>
      <c r="WBG22" s="206"/>
      <c r="WBH22" s="206"/>
      <c r="WBI22" s="206"/>
      <c r="WBJ22" s="206"/>
      <c r="WBK22" s="206"/>
      <c r="WBL22" s="206"/>
      <c r="WBM22" s="206"/>
      <c r="WBN22" s="206"/>
      <c r="WBO22" s="206"/>
      <c r="WBP22" s="206"/>
      <c r="WBQ22" s="206"/>
      <c r="WBR22" s="206"/>
      <c r="WBS22" s="206"/>
      <c r="WBT22" s="206"/>
      <c r="WBU22" s="206"/>
      <c r="WBV22" s="206"/>
      <c r="WBW22" s="206"/>
      <c r="WBX22" s="206"/>
      <c r="WBY22" s="206"/>
      <c r="WBZ22" s="206"/>
      <c r="WCA22" s="206"/>
      <c r="WCB22" s="206"/>
      <c r="WCC22" s="206"/>
      <c r="WCD22" s="206"/>
      <c r="WCE22" s="206"/>
      <c r="WCF22" s="206"/>
      <c r="WCG22" s="206"/>
      <c r="WCH22" s="206"/>
      <c r="WCI22" s="206"/>
      <c r="WCJ22" s="206"/>
      <c r="WCK22" s="206"/>
      <c r="WCL22" s="206"/>
      <c r="WCM22" s="206"/>
      <c r="WCN22" s="206"/>
      <c r="WCO22" s="206"/>
      <c r="WCP22" s="206"/>
      <c r="WCQ22" s="206"/>
      <c r="WCR22" s="206"/>
      <c r="WCS22" s="206"/>
      <c r="WCT22" s="206"/>
      <c r="WCU22" s="206"/>
      <c r="WCV22" s="206"/>
      <c r="WCW22" s="206"/>
      <c r="WCX22" s="206"/>
      <c r="WCY22" s="206"/>
      <c r="WCZ22" s="206"/>
      <c r="WDA22" s="206"/>
      <c r="WDB22" s="206"/>
      <c r="WDC22" s="206"/>
      <c r="WDD22" s="206"/>
      <c r="WDE22" s="206"/>
      <c r="WDF22" s="206"/>
      <c r="WDG22" s="206"/>
      <c r="WDH22" s="206"/>
      <c r="WDI22" s="206"/>
      <c r="WDJ22" s="206"/>
      <c r="WDK22" s="206"/>
      <c r="WDL22" s="206"/>
      <c r="WDM22" s="206"/>
      <c r="WDN22" s="206"/>
      <c r="WDO22" s="206"/>
      <c r="WDP22" s="206"/>
      <c r="WDQ22" s="206"/>
      <c r="WDR22" s="206"/>
      <c r="WDS22" s="206"/>
      <c r="WDT22" s="206"/>
      <c r="WDU22" s="206"/>
      <c r="WDV22" s="206"/>
      <c r="WDW22" s="206"/>
      <c r="WDX22" s="206"/>
      <c r="WDY22" s="206"/>
      <c r="WDZ22" s="206"/>
      <c r="WEA22" s="206"/>
      <c r="WEB22" s="206"/>
      <c r="WEC22" s="206"/>
      <c r="WED22" s="206"/>
      <c r="WEE22" s="206"/>
      <c r="WEF22" s="206"/>
      <c r="WEG22" s="206"/>
      <c r="WEH22" s="206"/>
      <c r="WEI22" s="206"/>
      <c r="WEJ22" s="206"/>
      <c r="WEK22" s="206"/>
      <c r="WEL22" s="206"/>
      <c r="WEM22" s="206"/>
      <c r="WEN22" s="206"/>
      <c r="WEO22" s="206"/>
      <c r="WEP22" s="206"/>
      <c r="WEQ22" s="206"/>
      <c r="WER22" s="206"/>
      <c r="WES22" s="206"/>
      <c r="WET22" s="206"/>
      <c r="WEU22" s="206"/>
      <c r="WEV22" s="206"/>
      <c r="WEW22" s="206"/>
      <c r="WEX22" s="206"/>
      <c r="WEY22" s="206"/>
      <c r="WEZ22" s="206"/>
      <c r="WFA22" s="206"/>
      <c r="WFB22" s="206"/>
      <c r="WFC22" s="206"/>
      <c r="WFD22" s="206"/>
      <c r="WFE22" s="206"/>
      <c r="WFF22" s="206"/>
      <c r="WFG22" s="206"/>
      <c r="WFH22" s="206"/>
      <c r="WFI22" s="206"/>
      <c r="WFJ22" s="206"/>
      <c r="WFK22" s="206"/>
      <c r="WFL22" s="206"/>
      <c r="WFM22" s="206"/>
      <c r="WFN22" s="206"/>
      <c r="WFO22" s="206"/>
      <c r="WFP22" s="206"/>
      <c r="WFQ22" s="206"/>
      <c r="WFR22" s="206"/>
      <c r="WFS22" s="206"/>
      <c r="WFT22" s="206"/>
      <c r="WFU22" s="206"/>
      <c r="WFV22" s="206"/>
      <c r="WFW22" s="206"/>
      <c r="WFX22" s="206"/>
      <c r="WFY22" s="206"/>
      <c r="WFZ22" s="206"/>
      <c r="WGA22" s="206"/>
      <c r="WGB22" s="206"/>
      <c r="WGC22" s="206"/>
      <c r="WGD22" s="206"/>
      <c r="WGE22" s="206"/>
      <c r="WGF22" s="206"/>
      <c r="WGG22" s="206"/>
      <c r="WGH22" s="206"/>
      <c r="WGI22" s="206"/>
      <c r="WGJ22" s="206"/>
      <c r="WGK22" s="206"/>
      <c r="WGL22" s="206"/>
      <c r="WGM22" s="206"/>
      <c r="WGN22" s="206"/>
      <c r="WGO22" s="206"/>
      <c r="WGP22" s="206"/>
      <c r="WGQ22" s="206"/>
      <c r="WGR22" s="206"/>
      <c r="WGS22" s="206"/>
      <c r="WGT22" s="206"/>
      <c r="WGU22" s="206"/>
      <c r="WGV22" s="206"/>
      <c r="WGW22" s="206"/>
      <c r="WGX22" s="206"/>
      <c r="WGY22" s="206"/>
      <c r="WGZ22" s="206"/>
      <c r="WHA22" s="206"/>
      <c r="WHB22" s="206"/>
      <c r="WHC22" s="206"/>
      <c r="WHD22" s="206"/>
      <c r="WHE22" s="206"/>
      <c r="WHF22" s="206"/>
      <c r="WHG22" s="206"/>
      <c r="WHH22" s="206"/>
      <c r="WHI22" s="206"/>
      <c r="WHJ22" s="206"/>
      <c r="WHK22" s="206"/>
      <c r="WHL22" s="206"/>
      <c r="WHM22" s="206"/>
      <c r="WHN22" s="206"/>
      <c r="WHO22" s="206"/>
      <c r="WHP22" s="206"/>
      <c r="WHQ22" s="206"/>
      <c r="WHR22" s="206"/>
      <c r="WHS22" s="206"/>
      <c r="WHT22" s="206"/>
      <c r="WHU22" s="206"/>
      <c r="WHV22" s="206"/>
      <c r="WHW22" s="206"/>
      <c r="WHX22" s="206"/>
      <c r="WHY22" s="206"/>
      <c r="WHZ22" s="206"/>
      <c r="WIA22" s="206"/>
      <c r="WIB22" s="206"/>
      <c r="WIC22" s="206"/>
      <c r="WID22" s="206"/>
      <c r="WIE22" s="206"/>
      <c r="WIF22" s="206"/>
      <c r="WIG22" s="206"/>
      <c r="WIH22" s="206"/>
      <c r="WII22" s="206"/>
      <c r="WIJ22" s="206"/>
      <c r="WIK22" s="206"/>
      <c r="WIL22" s="206"/>
      <c r="WIM22" s="206"/>
      <c r="WIN22" s="206"/>
      <c r="WIO22" s="206"/>
      <c r="WIP22" s="206"/>
      <c r="WIQ22" s="206"/>
      <c r="WIR22" s="206"/>
      <c r="WIS22" s="206"/>
      <c r="WIT22" s="206"/>
      <c r="WIU22" s="206"/>
      <c r="WIV22" s="206"/>
      <c r="WIW22" s="206"/>
      <c r="WIX22" s="206"/>
      <c r="WIY22" s="206"/>
      <c r="WIZ22" s="206"/>
      <c r="WJA22" s="206"/>
      <c r="WJB22" s="206"/>
      <c r="WJC22" s="206"/>
      <c r="WJD22" s="206"/>
      <c r="WJE22" s="206"/>
      <c r="WJF22" s="206"/>
      <c r="WJG22" s="206"/>
      <c r="WJH22" s="206"/>
      <c r="WJI22" s="206"/>
      <c r="WJJ22" s="206"/>
      <c r="WJK22" s="206"/>
      <c r="WJL22" s="206"/>
      <c r="WJM22" s="206"/>
      <c r="WJN22" s="206"/>
      <c r="WJO22" s="206"/>
      <c r="WJP22" s="206"/>
      <c r="WJQ22" s="206"/>
      <c r="WJR22" s="206"/>
      <c r="WJS22" s="206"/>
      <c r="WJT22" s="206"/>
      <c r="WJU22" s="206"/>
      <c r="WJV22" s="206"/>
      <c r="WJW22" s="206"/>
      <c r="WJX22" s="206"/>
      <c r="WJY22" s="206"/>
      <c r="WJZ22" s="206"/>
      <c r="WKA22" s="206"/>
      <c r="WKB22" s="206"/>
      <c r="WKC22" s="206"/>
      <c r="WKD22" s="206"/>
      <c r="WKE22" s="206"/>
      <c r="WKF22" s="206"/>
      <c r="WKG22" s="206"/>
      <c r="WKH22" s="206"/>
      <c r="WKI22" s="206"/>
      <c r="WKJ22" s="206"/>
      <c r="WKK22" s="206"/>
      <c r="WKL22" s="206"/>
      <c r="WKM22" s="206"/>
      <c r="WKN22" s="206"/>
      <c r="WKO22" s="206"/>
      <c r="WKP22" s="206"/>
      <c r="WKQ22" s="206"/>
      <c r="WKR22" s="206"/>
      <c r="WKS22" s="206"/>
      <c r="WKT22" s="206"/>
      <c r="WKU22" s="206"/>
      <c r="WKV22" s="206"/>
      <c r="WKW22" s="206"/>
      <c r="WKX22" s="206"/>
      <c r="WKY22" s="206"/>
      <c r="WKZ22" s="206"/>
      <c r="WLA22" s="206"/>
      <c r="WLB22" s="206"/>
      <c r="WLC22" s="206"/>
      <c r="WLD22" s="206"/>
      <c r="WLE22" s="206"/>
      <c r="WLF22" s="206"/>
      <c r="WLG22" s="206"/>
      <c r="WLH22" s="206"/>
      <c r="WLI22" s="206"/>
      <c r="WLJ22" s="206"/>
      <c r="WLK22" s="206"/>
      <c r="WLL22" s="206"/>
      <c r="WLM22" s="206"/>
      <c r="WLN22" s="206"/>
      <c r="WLO22" s="206"/>
      <c r="WLP22" s="206"/>
      <c r="WLQ22" s="206"/>
      <c r="WLR22" s="206"/>
      <c r="WLS22" s="206"/>
      <c r="WLT22" s="206"/>
      <c r="WLU22" s="206"/>
      <c r="WLV22" s="206"/>
      <c r="WLW22" s="206"/>
      <c r="WLX22" s="206"/>
      <c r="WLY22" s="206"/>
      <c r="WLZ22" s="206"/>
      <c r="WMA22" s="206"/>
      <c r="WMB22" s="206"/>
      <c r="WMC22" s="206"/>
      <c r="WMD22" s="206"/>
      <c r="WME22" s="206"/>
      <c r="WMF22" s="206"/>
      <c r="WMG22" s="206"/>
      <c r="WMH22" s="206"/>
      <c r="WMI22" s="206"/>
      <c r="WMJ22" s="206"/>
      <c r="WMK22" s="206"/>
      <c r="WML22" s="206"/>
      <c r="WMM22" s="206"/>
      <c r="WMN22" s="206"/>
      <c r="WMO22" s="206"/>
      <c r="WMP22" s="206"/>
      <c r="WMQ22" s="206"/>
      <c r="WMR22" s="206"/>
      <c r="WMS22" s="206"/>
      <c r="WMT22" s="206"/>
      <c r="WMU22" s="206"/>
      <c r="WMV22" s="206"/>
      <c r="WMW22" s="206"/>
      <c r="WMX22" s="206"/>
      <c r="WMY22" s="206"/>
      <c r="WMZ22" s="206"/>
      <c r="WNA22" s="206"/>
      <c r="WNB22" s="206"/>
      <c r="WNC22" s="206"/>
      <c r="WND22" s="206"/>
      <c r="WNE22" s="206"/>
      <c r="WNF22" s="206"/>
      <c r="WNG22" s="206"/>
      <c r="WNH22" s="206"/>
      <c r="WNI22" s="206"/>
      <c r="WNJ22" s="206"/>
      <c r="WNK22" s="206"/>
      <c r="WNL22" s="206"/>
      <c r="WNM22" s="206"/>
      <c r="WNN22" s="206"/>
      <c r="WNO22" s="206"/>
      <c r="WNP22" s="206"/>
      <c r="WNQ22" s="206"/>
      <c r="WNR22" s="206"/>
      <c r="WNS22" s="206"/>
      <c r="WNT22" s="206"/>
      <c r="WNU22" s="206"/>
      <c r="WNV22" s="206"/>
      <c r="WNW22" s="206"/>
      <c r="WNX22" s="206"/>
      <c r="WNY22" s="206"/>
      <c r="WNZ22" s="206"/>
      <c r="WOA22" s="206"/>
      <c r="WOB22" s="206"/>
      <c r="WOC22" s="206"/>
      <c r="WOD22" s="206"/>
      <c r="WOE22" s="206"/>
      <c r="WOF22" s="206"/>
      <c r="WOG22" s="206"/>
      <c r="WOH22" s="206"/>
      <c r="WOI22" s="206"/>
      <c r="WOJ22" s="206"/>
      <c r="WOK22" s="206"/>
      <c r="WOL22" s="206"/>
      <c r="WOM22" s="206"/>
      <c r="WON22" s="206"/>
      <c r="WOO22" s="206"/>
      <c r="WOP22" s="206"/>
      <c r="WOQ22" s="206"/>
      <c r="WOR22" s="206"/>
      <c r="WOS22" s="206"/>
      <c r="WOT22" s="206"/>
      <c r="WOU22" s="206"/>
      <c r="WOV22" s="206"/>
      <c r="WOW22" s="206"/>
      <c r="WOX22" s="206"/>
      <c r="WOY22" s="206"/>
      <c r="WOZ22" s="206"/>
      <c r="WPA22" s="206"/>
      <c r="WPB22" s="206"/>
      <c r="WPC22" s="206"/>
      <c r="WPD22" s="206"/>
      <c r="WPE22" s="206"/>
      <c r="WPF22" s="206"/>
      <c r="WPG22" s="206"/>
      <c r="WPH22" s="206"/>
      <c r="WPI22" s="206"/>
      <c r="WPJ22" s="206"/>
      <c r="WPK22" s="206"/>
      <c r="WPL22" s="206"/>
      <c r="WPM22" s="206"/>
      <c r="WPN22" s="206"/>
      <c r="WPO22" s="206"/>
      <c r="WPP22" s="206"/>
      <c r="WPQ22" s="206"/>
      <c r="WPR22" s="206"/>
      <c r="WPS22" s="206"/>
      <c r="WPT22" s="206"/>
      <c r="WPU22" s="206"/>
      <c r="WPV22" s="206"/>
      <c r="WPW22" s="206"/>
      <c r="WPX22" s="206"/>
      <c r="WPY22" s="206"/>
      <c r="WPZ22" s="206"/>
      <c r="WQA22" s="206"/>
      <c r="WQB22" s="206"/>
      <c r="WQC22" s="206"/>
      <c r="WQD22" s="206"/>
      <c r="WQE22" s="206"/>
      <c r="WQF22" s="206"/>
      <c r="WQG22" s="206"/>
      <c r="WQH22" s="206"/>
      <c r="WQI22" s="206"/>
      <c r="WQJ22" s="206"/>
      <c r="WQK22" s="206"/>
      <c r="WQL22" s="206"/>
      <c r="WQM22" s="206"/>
      <c r="WQN22" s="206"/>
      <c r="WQO22" s="206"/>
      <c r="WQP22" s="206"/>
      <c r="WQQ22" s="206"/>
      <c r="WQR22" s="206"/>
      <c r="WQS22" s="206"/>
      <c r="WQT22" s="206"/>
      <c r="WQU22" s="206"/>
      <c r="WQV22" s="206"/>
      <c r="WQW22" s="206"/>
      <c r="WQX22" s="206"/>
      <c r="WQY22" s="206"/>
      <c r="WQZ22" s="206"/>
      <c r="WRA22" s="206"/>
      <c r="WRB22" s="206"/>
      <c r="WRC22" s="206"/>
      <c r="WRD22" s="206"/>
      <c r="WRE22" s="206"/>
      <c r="WRF22" s="206"/>
      <c r="WRG22" s="206"/>
      <c r="WRH22" s="206"/>
      <c r="WRI22" s="206"/>
      <c r="WRJ22" s="206"/>
      <c r="WRK22" s="206"/>
      <c r="WRL22" s="206"/>
      <c r="WRM22" s="206"/>
      <c r="WRN22" s="206"/>
      <c r="WRO22" s="206"/>
      <c r="WRP22" s="206"/>
      <c r="WRQ22" s="206"/>
      <c r="WRR22" s="206"/>
      <c r="WRS22" s="206"/>
      <c r="WRT22" s="206"/>
      <c r="WRU22" s="206"/>
      <c r="WRV22" s="206"/>
      <c r="WRW22" s="206"/>
      <c r="WRX22" s="206"/>
      <c r="WRY22" s="206"/>
      <c r="WRZ22" s="206"/>
      <c r="WSA22" s="206"/>
      <c r="WSB22" s="206"/>
      <c r="WSC22" s="206"/>
      <c r="WSD22" s="206"/>
      <c r="WSE22" s="206"/>
      <c r="WSF22" s="206"/>
      <c r="WSG22" s="206"/>
      <c r="WSH22" s="206"/>
      <c r="WSI22" s="206"/>
      <c r="WSJ22" s="206"/>
      <c r="WSK22" s="206"/>
      <c r="WSL22" s="206"/>
      <c r="WSM22" s="206"/>
      <c r="WSN22" s="206"/>
      <c r="WSO22" s="206"/>
      <c r="WSP22" s="206"/>
      <c r="WSQ22" s="206"/>
      <c r="WSR22" s="206"/>
      <c r="WSS22" s="206"/>
      <c r="WST22" s="206"/>
      <c r="WSU22" s="206"/>
      <c r="WSV22" s="206"/>
      <c r="WSW22" s="206"/>
      <c r="WSX22" s="206"/>
      <c r="WSY22" s="206"/>
      <c r="WSZ22" s="206"/>
      <c r="WTA22" s="206"/>
      <c r="WTB22" s="206"/>
      <c r="WTC22" s="206"/>
      <c r="WTD22" s="206"/>
      <c r="WTE22" s="206"/>
      <c r="WTF22" s="206"/>
      <c r="WTG22" s="206"/>
      <c r="WTH22" s="206"/>
      <c r="WTI22" s="206"/>
      <c r="WTJ22" s="206"/>
      <c r="WTK22" s="206"/>
      <c r="WTL22" s="206"/>
      <c r="WTM22" s="206"/>
      <c r="WTN22" s="206"/>
      <c r="WTO22" s="206"/>
      <c r="WTP22" s="206"/>
      <c r="WTQ22" s="206"/>
      <c r="WTR22" s="206"/>
      <c r="WTS22" s="206"/>
      <c r="WTT22" s="206"/>
      <c r="WTU22" s="206"/>
      <c r="WTV22" s="206"/>
      <c r="WTW22" s="206"/>
      <c r="WTX22" s="206"/>
      <c r="WTY22" s="206"/>
      <c r="WTZ22" s="206"/>
      <c r="WUA22" s="206"/>
      <c r="WUB22" s="206"/>
      <c r="WUC22" s="206"/>
      <c r="WUD22" s="206"/>
      <c r="WUE22" s="206"/>
      <c r="WUF22" s="206"/>
      <c r="WUG22" s="206"/>
      <c r="WUH22" s="206"/>
      <c r="WUI22" s="206"/>
      <c r="WUJ22" s="206"/>
      <c r="WUK22" s="206"/>
      <c r="WUL22" s="206"/>
      <c r="WUM22" s="206"/>
      <c r="WUN22" s="206"/>
      <c r="WUO22" s="206"/>
      <c r="WUP22" s="206"/>
      <c r="WUQ22" s="206"/>
      <c r="WUR22" s="206"/>
      <c r="WUS22" s="206"/>
      <c r="WUT22" s="206"/>
      <c r="WUU22" s="206"/>
      <c r="WUV22" s="206"/>
      <c r="WUW22" s="206"/>
      <c r="WUX22" s="206"/>
      <c r="WUY22" s="206"/>
      <c r="WUZ22" s="206"/>
      <c r="WVA22" s="206"/>
      <c r="WVB22" s="206"/>
      <c r="WVC22" s="206"/>
      <c r="WVD22" s="206"/>
      <c r="WVE22" s="206"/>
      <c r="WVF22" s="206"/>
      <c r="WVG22" s="206"/>
      <c r="WVH22" s="206"/>
      <c r="WVI22" s="206"/>
      <c r="WVJ22" s="206"/>
      <c r="WVK22" s="206"/>
      <c r="WVL22" s="206"/>
      <c r="WVM22" s="206"/>
      <c r="WVN22" s="206"/>
      <c r="WVO22" s="206"/>
      <c r="WVP22" s="206"/>
      <c r="WVQ22" s="206"/>
      <c r="WVR22" s="206"/>
      <c r="WVS22" s="206"/>
      <c r="WVT22" s="206"/>
      <c r="WVU22" s="206"/>
      <c r="WVV22" s="206"/>
      <c r="WVW22" s="206"/>
      <c r="WVX22" s="206"/>
      <c r="WVY22" s="206"/>
      <c r="WVZ22" s="206"/>
      <c r="WWA22" s="206"/>
      <c r="WWB22" s="206"/>
      <c r="WWC22" s="206"/>
      <c r="WWD22" s="206"/>
      <c r="WWE22" s="206"/>
      <c r="WWF22" s="206"/>
      <c r="WWG22" s="206"/>
      <c r="WWH22" s="206"/>
      <c r="WWI22" s="206"/>
      <c r="WWJ22" s="206"/>
      <c r="WWK22" s="206"/>
      <c r="WWL22" s="206"/>
      <c r="WWM22" s="206"/>
      <c r="WWN22" s="206"/>
      <c r="WWO22" s="206"/>
      <c r="WWP22" s="206"/>
      <c r="WWQ22" s="206"/>
      <c r="WWR22" s="206"/>
      <c r="WWS22" s="206"/>
      <c r="WWT22" s="206"/>
      <c r="WWU22" s="206"/>
      <c r="WWV22" s="206"/>
      <c r="WWW22" s="206"/>
      <c r="WWX22" s="206"/>
      <c r="WWY22" s="206"/>
      <c r="WWZ22" s="206"/>
      <c r="WXA22" s="206"/>
      <c r="WXB22" s="206"/>
      <c r="WXC22" s="206"/>
      <c r="WXD22" s="206"/>
      <c r="WXE22" s="206"/>
      <c r="WXF22" s="206"/>
      <c r="WXG22" s="206"/>
      <c r="WXH22" s="206"/>
      <c r="WXI22" s="206"/>
      <c r="WXJ22" s="206"/>
      <c r="WXK22" s="206"/>
      <c r="WXL22" s="206"/>
      <c r="WXM22" s="206"/>
      <c r="WXN22" s="206"/>
      <c r="WXO22" s="206"/>
      <c r="WXP22" s="206"/>
      <c r="WXQ22" s="206"/>
      <c r="WXR22" s="206"/>
      <c r="WXS22" s="206"/>
      <c r="WXT22" s="206"/>
      <c r="WXU22" s="206"/>
      <c r="WXV22" s="206"/>
      <c r="WXW22" s="206"/>
      <c r="WXX22" s="206"/>
      <c r="WXY22" s="206"/>
      <c r="WXZ22" s="206"/>
      <c r="WYA22" s="206"/>
      <c r="WYB22" s="206"/>
      <c r="WYC22" s="206"/>
      <c r="WYD22" s="206"/>
      <c r="WYE22" s="206"/>
      <c r="WYF22" s="206"/>
      <c r="WYG22" s="206"/>
      <c r="WYH22" s="206"/>
      <c r="WYI22" s="206"/>
      <c r="WYJ22" s="206"/>
      <c r="WYK22" s="206"/>
      <c r="WYL22" s="206"/>
      <c r="WYM22" s="206"/>
      <c r="WYN22" s="206"/>
      <c r="WYO22" s="206"/>
      <c r="WYP22" s="206"/>
      <c r="WYQ22" s="206"/>
      <c r="WYR22" s="206"/>
      <c r="WYS22" s="206"/>
      <c r="WYT22" s="206"/>
      <c r="WYU22" s="206"/>
      <c r="WYV22" s="206"/>
      <c r="WYW22" s="206"/>
      <c r="WYX22" s="206"/>
      <c r="WYY22" s="206"/>
      <c r="WYZ22" s="206"/>
      <c r="WZA22" s="206"/>
      <c r="WZB22" s="206"/>
      <c r="WZC22" s="206"/>
      <c r="WZD22" s="206"/>
      <c r="WZE22" s="206"/>
      <c r="WZF22" s="206"/>
      <c r="WZG22" s="206"/>
      <c r="WZH22" s="206"/>
      <c r="WZI22" s="206"/>
      <c r="WZJ22" s="206"/>
      <c r="WZK22" s="206"/>
      <c r="WZL22" s="206"/>
      <c r="WZM22" s="206"/>
      <c r="WZN22" s="206"/>
      <c r="WZO22" s="206"/>
      <c r="WZP22" s="206"/>
      <c r="WZQ22" s="206"/>
      <c r="WZR22" s="206"/>
      <c r="WZS22" s="206"/>
      <c r="WZT22" s="206"/>
      <c r="WZU22" s="206"/>
      <c r="WZV22" s="206"/>
      <c r="WZW22" s="206"/>
      <c r="WZX22" s="206"/>
      <c r="WZY22" s="206"/>
      <c r="WZZ22" s="206"/>
      <c r="XAA22" s="206"/>
      <c r="XAB22" s="206"/>
      <c r="XAC22" s="206"/>
      <c r="XAD22" s="206"/>
      <c r="XAE22" s="206"/>
      <c r="XAF22" s="206"/>
      <c r="XAG22" s="206"/>
      <c r="XAH22" s="206"/>
      <c r="XAI22" s="206"/>
      <c r="XAJ22" s="206"/>
      <c r="XAK22" s="206"/>
      <c r="XAL22" s="206"/>
      <c r="XAM22" s="206"/>
      <c r="XAN22" s="206"/>
      <c r="XAO22" s="206"/>
      <c r="XAP22" s="206"/>
      <c r="XAQ22" s="206"/>
      <c r="XAR22" s="206"/>
      <c r="XAS22" s="206"/>
      <c r="XAT22" s="206"/>
      <c r="XAU22" s="206"/>
      <c r="XAV22" s="206"/>
      <c r="XAW22" s="206"/>
      <c r="XAX22" s="206"/>
      <c r="XAY22" s="206"/>
      <c r="XAZ22" s="206"/>
      <c r="XBA22" s="206"/>
      <c r="XBB22" s="206"/>
      <c r="XBC22" s="206"/>
      <c r="XBD22" s="206"/>
      <c r="XBE22" s="206"/>
      <c r="XBF22" s="206"/>
      <c r="XBG22" s="206"/>
      <c r="XBH22" s="206"/>
      <c r="XBI22" s="206"/>
      <c r="XBJ22" s="206"/>
      <c r="XBK22" s="206"/>
      <c r="XBL22" s="206"/>
      <c r="XBM22" s="206"/>
      <c r="XBN22" s="206"/>
      <c r="XBO22" s="206"/>
      <c r="XBP22" s="206"/>
      <c r="XBQ22" s="206"/>
      <c r="XBR22" s="206"/>
      <c r="XBS22" s="206"/>
      <c r="XBT22" s="206"/>
      <c r="XBU22" s="206"/>
      <c r="XBV22" s="206"/>
      <c r="XBW22" s="206"/>
      <c r="XBX22" s="206"/>
      <c r="XBY22" s="206"/>
      <c r="XBZ22" s="206"/>
      <c r="XCA22" s="206"/>
      <c r="XCB22" s="206"/>
      <c r="XCC22" s="206"/>
      <c r="XCD22" s="206"/>
      <c r="XCE22" s="206"/>
      <c r="XCF22" s="206"/>
      <c r="XCG22" s="206"/>
      <c r="XCH22" s="206"/>
      <c r="XCI22" s="206"/>
      <c r="XCJ22" s="206"/>
      <c r="XCK22" s="206"/>
      <c r="XCL22" s="206"/>
      <c r="XCM22" s="206"/>
      <c r="XCN22" s="206"/>
      <c r="XCO22" s="206"/>
      <c r="XCP22" s="206"/>
      <c r="XCQ22" s="206"/>
      <c r="XCR22" s="206"/>
      <c r="XCS22" s="206"/>
      <c r="XCT22" s="206"/>
      <c r="XCU22" s="206"/>
      <c r="XCV22" s="206"/>
      <c r="XCW22" s="206"/>
      <c r="XCX22" s="206"/>
      <c r="XCY22" s="206"/>
      <c r="XCZ22" s="206"/>
      <c r="XDA22" s="206"/>
      <c r="XDB22" s="206"/>
      <c r="XDC22" s="206"/>
      <c r="XDD22" s="206"/>
      <c r="XDE22" s="206"/>
      <c r="XDF22" s="206"/>
      <c r="XDG22" s="206"/>
      <c r="XDH22" s="206"/>
      <c r="XDI22" s="206"/>
      <c r="XDJ22" s="206"/>
      <c r="XDK22" s="206"/>
      <c r="XDL22" s="206"/>
      <c r="XDM22" s="206"/>
      <c r="XDN22" s="206"/>
      <c r="XDO22" s="206"/>
      <c r="XDP22" s="206"/>
      <c r="XDQ22" s="206"/>
      <c r="XDR22" s="206"/>
      <c r="XDS22" s="206"/>
      <c r="XDT22" s="206"/>
      <c r="XDU22" s="206"/>
      <c r="XDV22" s="206"/>
      <c r="XDW22" s="206"/>
      <c r="XDX22" s="206"/>
      <c r="XDY22" s="206"/>
      <c r="XDZ22" s="206"/>
      <c r="XEA22" s="206"/>
      <c r="XEB22" s="206"/>
      <c r="XEC22" s="206"/>
      <c r="XED22" s="206"/>
      <c r="XEE22" s="206"/>
      <c r="XEF22" s="206"/>
      <c r="XEG22" s="206"/>
      <c r="XEH22" s="206"/>
      <c r="XEI22" s="206"/>
      <c r="XEJ22" s="206"/>
      <c r="XEK22" s="206"/>
      <c r="XEL22" s="206"/>
      <c r="XEM22" s="206"/>
      <c r="XEN22" s="206"/>
      <c r="XEO22" s="206"/>
      <c r="XEP22" s="206"/>
      <c r="XEQ22" s="206"/>
      <c r="XER22" s="206"/>
      <c r="XES22" s="206"/>
      <c r="XET22" s="206"/>
      <c r="XEU22" s="206"/>
      <c r="XEV22" s="206"/>
      <c r="XEW22" s="206"/>
      <c r="XEX22" s="206"/>
      <c r="XEY22" s="206"/>
      <c r="XEZ22" s="206"/>
      <c r="XFA22" s="206"/>
      <c r="XFB22" s="206"/>
      <c r="XFC22" s="206"/>
      <c r="XFD22" s="206"/>
    </row>
    <row r="23" spans="1:16384" s="237" customFormat="1" ht="15" customHeight="1" x14ac:dyDescent="0.25">
      <c r="A23" s="449"/>
      <c r="B23" s="203"/>
      <c r="C23" s="510"/>
      <c r="D23" s="512"/>
      <c r="E23" s="512"/>
      <c r="F23" s="512"/>
      <c r="G23" s="468"/>
      <c r="H23" s="468"/>
      <c r="I23" s="468"/>
      <c r="J23" s="511"/>
      <c r="K23" s="511"/>
      <c r="L23" s="449"/>
      <c r="M23" s="449"/>
    </row>
    <row r="24" spans="1:16384" s="521" customFormat="1" ht="18" customHeight="1" x14ac:dyDescent="0.25">
      <c r="A24" s="516"/>
      <c r="B24" s="358" t="s">
        <v>472</v>
      </c>
      <c r="C24" s="517"/>
      <c r="D24" s="518"/>
      <c r="E24" s="518"/>
      <c r="F24" s="518"/>
      <c r="G24" s="519"/>
      <c r="H24" s="519"/>
      <c r="I24" s="519"/>
      <c r="J24" s="519"/>
      <c r="K24" s="520"/>
      <c r="L24" s="212"/>
      <c r="M24" s="212"/>
    </row>
    <row r="25" spans="1:16384" ht="15" customHeight="1" outlineLevel="1" x14ac:dyDescent="0.2">
      <c r="B25" s="339"/>
      <c r="C25" s="339"/>
      <c r="D25" s="339"/>
      <c r="E25" s="339"/>
      <c r="F25" s="500"/>
      <c r="G25" s="500"/>
      <c r="H25" s="501"/>
      <c r="I25" s="501"/>
      <c r="J25" s="501"/>
      <c r="K25" s="501"/>
      <c r="L25" s="339"/>
      <c r="M25" s="339"/>
    </row>
    <row r="26" spans="1:16384" ht="15" customHeight="1" outlineLevel="1" x14ac:dyDescent="0.25">
      <c r="B26" s="523" t="s">
        <v>124</v>
      </c>
      <c r="C26" s="339"/>
      <c r="D26" s="339"/>
      <c r="E26" s="339"/>
      <c r="F26" s="339"/>
      <c r="G26" s="339"/>
      <c r="H26" s="339"/>
      <c r="I26" s="339"/>
      <c r="J26" s="339"/>
      <c r="K26" s="339"/>
      <c r="L26" s="339"/>
      <c r="M26" s="339"/>
    </row>
    <row r="27" spans="1:16384" s="237" customFormat="1" ht="15" customHeight="1" outlineLevel="1" x14ac:dyDescent="0.25">
      <c r="A27" s="363"/>
      <c r="B27" s="363" t="s">
        <v>1905</v>
      </c>
      <c r="C27" s="363"/>
      <c r="D27" s="363"/>
      <c r="E27" s="363"/>
      <c r="F27" s="363"/>
      <c r="G27" s="524"/>
      <c r="H27" s="363"/>
      <c r="I27" s="363"/>
      <c r="J27" s="363"/>
      <c r="K27" s="363"/>
      <c r="L27" s="363"/>
      <c r="M27" s="363"/>
    </row>
    <row r="28" spans="1:16384" s="237" customFormat="1" ht="15" customHeight="1" outlineLevel="1" x14ac:dyDescent="0.25">
      <c r="A28" s="363"/>
      <c r="B28" s="1298" t="s">
        <v>1906</v>
      </c>
      <c r="C28" s="1298"/>
      <c r="D28" s="1298"/>
      <c r="E28" s="1298"/>
      <c r="F28" s="1298"/>
      <c r="G28" s="524"/>
      <c r="H28" s="363"/>
      <c r="I28" s="363"/>
      <c r="J28" s="363"/>
      <c r="K28" s="363"/>
      <c r="L28" s="363"/>
      <c r="M28" s="363"/>
    </row>
    <row r="29" spans="1:16384" s="237" customFormat="1" ht="15" customHeight="1" outlineLevel="1" x14ac:dyDescent="0.25">
      <c r="A29" s="363"/>
      <c r="B29" s="363" t="s">
        <v>53</v>
      </c>
      <c r="C29" s="363"/>
      <c r="D29" s="363"/>
      <c r="E29" s="363"/>
      <c r="F29" s="363"/>
      <c r="G29" s="524"/>
      <c r="H29" s="363"/>
      <c r="I29" s="363"/>
      <c r="J29" s="363"/>
      <c r="K29" s="363"/>
      <c r="L29" s="363"/>
      <c r="M29" s="363"/>
    </row>
    <row r="30" spans="1:16384" s="237" customFormat="1" ht="15" customHeight="1" outlineLevel="1" x14ac:dyDescent="0.25">
      <c r="A30" s="363"/>
      <c r="B30" s="363"/>
      <c r="C30" s="363" t="s">
        <v>1913</v>
      </c>
      <c r="D30" s="363"/>
      <c r="E30" s="363"/>
      <c r="F30" s="363"/>
      <c r="G30" s="524"/>
      <c r="H30" s="363"/>
      <c r="I30" s="363"/>
      <c r="J30" s="363"/>
      <c r="K30" s="363"/>
      <c r="L30" s="363"/>
      <c r="M30" s="363"/>
    </row>
    <row r="31" spans="1:16384" s="237" customFormat="1" ht="15" customHeight="1" outlineLevel="1" x14ac:dyDescent="0.25">
      <c r="A31" s="363"/>
      <c r="B31" s="363"/>
      <c r="C31" s="363" t="s">
        <v>308</v>
      </c>
      <c r="D31" s="363"/>
      <c r="E31" s="363"/>
      <c r="F31" s="363"/>
      <c r="G31" s="524"/>
      <c r="H31" s="363"/>
      <c r="I31" s="363"/>
      <c r="J31" s="363"/>
      <c r="K31" s="363"/>
      <c r="L31" s="363"/>
      <c r="M31" s="363"/>
    </row>
    <row r="32" spans="1:16384" s="237" customFormat="1" ht="15" customHeight="1" outlineLevel="1" x14ac:dyDescent="0.25">
      <c r="A32" s="363"/>
      <c r="B32" s="363"/>
      <c r="C32" s="363" t="s">
        <v>309</v>
      </c>
      <c r="D32" s="363"/>
      <c r="E32" s="363"/>
      <c r="F32" s="363"/>
      <c r="G32" s="524"/>
      <c r="H32" s="363"/>
      <c r="I32" s="363"/>
      <c r="J32" s="363"/>
      <c r="K32" s="363"/>
      <c r="L32" s="363"/>
      <c r="M32" s="363"/>
    </row>
    <row r="33" spans="1:13" s="237" customFormat="1" ht="15" customHeight="1" outlineLevel="1" x14ac:dyDescent="0.25">
      <c r="A33" s="363"/>
      <c r="B33" s="363"/>
      <c r="C33" s="363" t="s">
        <v>1907</v>
      </c>
      <c r="D33" s="363"/>
      <c r="E33" s="363"/>
      <c r="F33" s="363"/>
      <c r="G33" s="524"/>
      <c r="H33" s="363"/>
      <c r="I33" s="363"/>
      <c r="J33" s="363"/>
      <c r="K33" s="363"/>
      <c r="L33" s="363"/>
      <c r="M33" s="363"/>
    </row>
    <row r="34" spans="1:13" s="237" customFormat="1" ht="15" customHeight="1" outlineLevel="1" x14ac:dyDescent="0.25">
      <c r="A34" s="363"/>
      <c r="B34" s="363"/>
      <c r="C34" s="363" t="s">
        <v>1908</v>
      </c>
      <c r="D34" s="363"/>
      <c r="E34" s="363"/>
      <c r="F34" s="363"/>
      <c r="G34" s="524"/>
      <c r="H34" s="363"/>
      <c r="I34" s="363"/>
      <c r="J34" s="363"/>
      <c r="K34" s="363"/>
      <c r="L34" s="363"/>
      <c r="M34" s="363"/>
    </row>
    <row r="35" spans="1:13" s="237" customFormat="1" ht="15" customHeight="1" outlineLevel="1" x14ac:dyDescent="0.25">
      <c r="A35" s="363"/>
      <c r="B35" s="363" t="s">
        <v>1414</v>
      </c>
      <c r="C35" s="363"/>
      <c r="D35" s="363"/>
      <c r="E35" s="363"/>
      <c r="F35" s="363"/>
      <c r="G35" s="524"/>
      <c r="H35" s="363"/>
      <c r="I35" s="363"/>
      <c r="J35" s="363"/>
      <c r="K35" s="363"/>
      <c r="L35" s="363"/>
      <c r="M35" s="363"/>
    </row>
    <row r="36" spans="1:13" s="237" customFormat="1" ht="15" customHeight="1" outlineLevel="1" x14ac:dyDescent="0.25">
      <c r="A36" s="363"/>
      <c r="B36" s="363"/>
      <c r="C36" s="363" t="s">
        <v>1909</v>
      </c>
      <c r="D36" s="363"/>
      <c r="E36" s="363"/>
      <c r="F36" s="363"/>
      <c r="G36" s="524"/>
      <c r="H36" s="363"/>
      <c r="I36" s="363"/>
      <c r="J36" s="363"/>
      <c r="K36" s="363"/>
      <c r="L36" s="363"/>
      <c r="M36" s="363"/>
    </row>
    <row r="37" spans="1:13" s="237" customFormat="1" ht="15" customHeight="1" outlineLevel="1" x14ac:dyDescent="0.25">
      <c r="A37" s="363"/>
      <c r="B37" s="363"/>
      <c r="C37" s="363" t="s">
        <v>1910</v>
      </c>
      <c r="D37" s="363"/>
      <c r="E37" s="363"/>
      <c r="F37" s="363"/>
      <c r="G37" s="524"/>
      <c r="H37" s="363"/>
      <c r="I37" s="363"/>
      <c r="J37" s="363"/>
      <c r="K37" s="363"/>
      <c r="L37" s="363"/>
      <c r="M37" s="363"/>
    </row>
    <row r="38" spans="1:13" s="237" customFormat="1" ht="15" customHeight="1" outlineLevel="1" x14ac:dyDescent="0.25">
      <c r="A38" s="524"/>
      <c r="B38" s="363"/>
      <c r="C38" s="525" t="s">
        <v>1911</v>
      </c>
      <c r="D38" s="363"/>
      <c r="E38" s="363"/>
      <c r="F38" s="363"/>
      <c r="G38" s="524"/>
      <c r="H38" s="363"/>
      <c r="I38" s="363"/>
      <c r="J38" s="363"/>
      <c r="K38" s="363"/>
      <c r="L38" s="363"/>
      <c r="M38" s="363"/>
    </row>
    <row r="39" spans="1:13" s="237" customFormat="1" ht="15" customHeight="1" outlineLevel="1" x14ac:dyDescent="0.25">
      <c r="A39" s="524"/>
      <c r="B39" s="363" t="s">
        <v>1912</v>
      </c>
      <c r="C39" s="363"/>
      <c r="D39" s="363"/>
      <c r="E39" s="363"/>
      <c r="F39" s="363"/>
      <c r="G39" s="524"/>
      <c r="H39" s="363"/>
      <c r="I39" s="363"/>
      <c r="J39" s="363"/>
      <c r="K39" s="363"/>
      <c r="L39" s="363"/>
      <c r="M39" s="363"/>
    </row>
    <row r="40" spans="1:13" s="237" customFormat="1" ht="15" customHeight="1" outlineLevel="1" x14ac:dyDescent="0.25">
      <c r="A40" s="363"/>
      <c r="B40" s="526"/>
      <c r="C40" s="524"/>
      <c r="D40" s="524"/>
      <c r="E40" s="524"/>
      <c r="F40" s="524"/>
      <c r="G40" s="524"/>
      <c r="H40" s="363"/>
      <c r="I40" s="363"/>
      <c r="J40" s="363"/>
      <c r="K40" s="363"/>
      <c r="L40" s="363"/>
      <c r="M40" s="363"/>
    </row>
    <row r="41" spans="1:13" s="237" customFormat="1" ht="15" customHeight="1" outlineLevel="1" x14ac:dyDescent="0.25">
      <c r="A41" s="524"/>
      <c r="B41" s="524"/>
      <c r="C41" s="524"/>
      <c r="D41" s="524"/>
      <c r="E41" s="524"/>
      <c r="F41" s="524"/>
      <c r="G41" s="524"/>
      <c r="H41" s="363"/>
      <c r="I41" s="363"/>
      <c r="J41" s="363"/>
      <c r="K41" s="363"/>
      <c r="L41" s="363"/>
      <c r="M41" s="363"/>
    </row>
    <row r="42" spans="1:13" s="237" customFormat="1" ht="15" customHeight="1" outlineLevel="1" x14ac:dyDescent="0.25">
      <c r="A42" s="363"/>
      <c r="B42" s="362" t="s">
        <v>1914</v>
      </c>
      <c r="C42" s="363"/>
      <c r="D42" s="363"/>
      <c r="E42" s="363"/>
      <c r="F42" s="363"/>
      <c r="G42" s="363"/>
      <c r="H42" s="363"/>
      <c r="I42" s="363"/>
      <c r="J42" s="363"/>
      <c r="K42" s="363"/>
      <c r="L42" s="363"/>
      <c r="M42" s="363"/>
    </row>
    <row r="43" spans="1:13" s="237" customFormat="1" ht="30" customHeight="1" outlineLevel="1" x14ac:dyDescent="0.25">
      <c r="A43" s="363"/>
      <c r="B43" s="1291" t="s">
        <v>475</v>
      </c>
      <c r="C43" s="1291"/>
      <c r="D43" s="1291"/>
      <c r="E43" s="1291"/>
      <c r="F43" s="1291"/>
      <c r="G43" s="1291"/>
      <c r="H43" s="1291"/>
      <c r="I43" s="1291"/>
      <c r="J43" s="363"/>
      <c r="K43" s="363"/>
      <c r="L43" s="363"/>
      <c r="M43" s="363"/>
    </row>
    <row r="44" spans="1:13" s="237" customFormat="1" ht="15" customHeight="1" outlineLevel="1" x14ac:dyDescent="0.25">
      <c r="A44" s="363"/>
      <c r="B44" s="448" t="s">
        <v>474</v>
      </c>
      <c r="C44" s="448"/>
      <c r="D44" s="448"/>
      <c r="E44" s="448"/>
      <c r="F44" s="448"/>
      <c r="G44" s="448"/>
      <c r="H44" s="448"/>
      <c r="I44" s="448"/>
      <c r="J44" s="363"/>
      <c r="K44" s="363"/>
      <c r="L44" s="363"/>
      <c r="M44" s="363"/>
    </row>
    <row r="45" spans="1:13" s="237" customFormat="1" ht="15" customHeight="1" outlineLevel="1" x14ac:dyDescent="0.25">
      <c r="A45" s="363"/>
      <c r="B45" s="448" t="s">
        <v>265</v>
      </c>
      <c r="C45" s="448"/>
      <c r="D45" s="448"/>
      <c r="E45" s="448"/>
      <c r="F45" s="448"/>
      <c r="G45" s="448"/>
      <c r="H45" s="448"/>
      <c r="I45" s="448"/>
      <c r="J45" s="363"/>
      <c r="K45" s="363"/>
      <c r="L45" s="363"/>
      <c r="M45" s="363"/>
    </row>
    <row r="46" spans="1:13" s="237" customFormat="1" ht="15" customHeight="1" outlineLevel="1" x14ac:dyDescent="0.25">
      <c r="A46" s="363"/>
      <c r="B46" s="527" t="s">
        <v>476</v>
      </c>
      <c r="C46" s="363"/>
      <c r="D46" s="363"/>
      <c r="E46" s="363"/>
      <c r="F46" s="363"/>
      <c r="G46" s="363"/>
      <c r="H46" s="363"/>
      <c r="I46" s="363"/>
      <c r="J46" s="363"/>
      <c r="K46" s="363"/>
      <c r="L46" s="363"/>
      <c r="M46" s="363"/>
    </row>
    <row r="47" spans="1:13" s="237" customFormat="1" ht="15" customHeight="1" outlineLevel="1" x14ac:dyDescent="0.25">
      <c r="A47" s="363"/>
      <c r="B47" s="528" t="s">
        <v>477</v>
      </c>
      <c r="C47" s="363"/>
      <c r="D47" s="363"/>
      <c r="E47" s="363"/>
      <c r="F47" s="363"/>
      <c r="G47" s="363"/>
      <c r="H47" s="363"/>
      <c r="I47" s="363"/>
      <c r="J47" s="363"/>
      <c r="K47" s="363"/>
      <c r="L47" s="363"/>
      <c r="M47" s="363"/>
    </row>
    <row r="48" spans="1:13" s="237" customFormat="1" ht="15" customHeight="1" outlineLevel="1" x14ac:dyDescent="0.25">
      <c r="A48" s="363"/>
      <c r="B48" s="529" t="s">
        <v>478</v>
      </c>
      <c r="C48" s="205"/>
      <c r="D48" s="205"/>
      <c r="E48" s="205"/>
      <c r="F48" s="205"/>
      <c r="G48" s="205"/>
      <c r="H48" s="205"/>
      <c r="I48" s="205"/>
      <c r="J48" s="363"/>
      <c r="K48" s="363"/>
      <c r="L48" s="363"/>
      <c r="M48" s="363"/>
    </row>
    <row r="49" spans="1:28" s="237" customFormat="1" ht="15" customHeight="1" outlineLevel="1" x14ac:dyDescent="0.25">
      <c r="A49" s="363"/>
      <c r="B49" s="530" t="s">
        <v>1946</v>
      </c>
      <c r="C49" s="205"/>
      <c r="D49" s="203"/>
      <c r="E49" s="205"/>
      <c r="F49" s="205"/>
      <c r="G49" s="205"/>
      <c r="H49" s="205"/>
      <c r="I49" s="205"/>
      <c r="J49" s="363"/>
      <c r="K49" s="363"/>
      <c r="L49" s="363"/>
      <c r="M49" s="363"/>
    </row>
    <row r="50" spans="1:28" s="237" customFormat="1" ht="15" customHeight="1" outlineLevel="1" x14ac:dyDescent="0.25">
      <c r="A50" s="363"/>
      <c r="B50" s="531" t="s">
        <v>1415</v>
      </c>
      <c r="C50" s="205"/>
      <c r="D50" s="205"/>
      <c r="E50" s="205"/>
      <c r="F50" s="205"/>
      <c r="G50" s="205"/>
      <c r="H50" s="205"/>
      <c r="I50" s="205"/>
      <c r="J50" s="363"/>
      <c r="K50" s="363"/>
      <c r="L50" s="363"/>
      <c r="M50" s="363"/>
    </row>
    <row r="51" spans="1:28" s="237" customFormat="1" ht="15" customHeight="1" outlineLevel="1" x14ac:dyDescent="0.25">
      <c r="A51" s="363"/>
      <c r="B51" s="532" t="s">
        <v>1915</v>
      </c>
      <c r="C51" s="205"/>
      <c r="D51" s="205"/>
      <c r="E51" s="205"/>
      <c r="F51" s="205"/>
      <c r="G51" s="205"/>
      <c r="H51" s="205"/>
      <c r="I51" s="205"/>
      <c r="J51" s="363"/>
      <c r="K51" s="363"/>
      <c r="L51" s="363"/>
      <c r="M51" s="363"/>
    </row>
    <row r="52" spans="1:28" s="237" customFormat="1" ht="15" customHeight="1" outlineLevel="1" x14ac:dyDescent="0.25">
      <c r="A52" s="363"/>
      <c r="B52" s="532" t="s">
        <v>1416</v>
      </c>
      <c r="C52" s="205"/>
      <c r="D52" s="205"/>
      <c r="E52" s="205"/>
      <c r="F52" s="205"/>
      <c r="G52" s="205"/>
      <c r="H52" s="205"/>
      <c r="I52" s="205"/>
      <c r="J52" s="363"/>
      <c r="K52" s="363"/>
      <c r="L52" s="363"/>
      <c r="M52" s="363"/>
    </row>
    <row r="53" spans="1:28" s="237" customFormat="1" ht="15" customHeight="1" outlineLevel="1" x14ac:dyDescent="0.25">
      <c r="A53" s="363"/>
      <c r="B53" s="532" t="s">
        <v>1417</v>
      </c>
      <c r="C53" s="205"/>
      <c r="D53" s="203"/>
      <c r="E53" s="203"/>
      <c r="F53" s="203"/>
      <c r="G53" s="203"/>
      <c r="H53" s="203"/>
      <c r="I53" s="205"/>
      <c r="J53" s="363"/>
      <c r="K53" s="363"/>
      <c r="L53" s="363"/>
      <c r="M53" s="363"/>
    </row>
    <row r="54" spans="1:28" s="237" customFormat="1" ht="15" customHeight="1" outlineLevel="1" x14ac:dyDescent="0.25">
      <c r="A54" s="363"/>
      <c r="B54" s="363"/>
      <c r="C54" s="363"/>
      <c r="D54" s="363"/>
      <c r="E54" s="363"/>
      <c r="F54" s="363"/>
      <c r="G54" s="363"/>
      <c r="H54" s="363"/>
      <c r="I54" s="363"/>
      <c r="J54" s="363"/>
      <c r="K54" s="363"/>
      <c r="L54" s="363"/>
      <c r="M54" s="363"/>
    </row>
    <row r="55" spans="1:28" s="237" customFormat="1" ht="15" customHeight="1" outlineLevel="1" x14ac:dyDescent="0.25">
      <c r="A55" s="363"/>
      <c r="B55" s="468" t="s">
        <v>1916</v>
      </c>
      <c r="C55" s="363"/>
      <c r="D55" s="363"/>
      <c r="E55" s="363"/>
      <c r="F55" s="363"/>
      <c r="G55" s="363"/>
      <c r="H55" s="363"/>
      <c r="I55" s="363"/>
      <c r="J55" s="363"/>
      <c r="K55" s="363"/>
      <c r="L55" s="363"/>
      <c r="M55" s="363"/>
    </row>
    <row r="56" spans="1:28" s="237" customFormat="1" ht="15" customHeight="1" outlineLevel="1" x14ac:dyDescent="0.25">
      <c r="A56" s="363"/>
      <c r="B56" s="289"/>
      <c r="C56" s="289"/>
      <c r="D56" s="1295" t="s">
        <v>102</v>
      </c>
      <c r="E56" s="1296"/>
      <c r="F56" s="533" t="s">
        <v>103</v>
      </c>
      <c r="G56" s="1295" t="s">
        <v>104</v>
      </c>
      <c r="H56" s="1296"/>
      <c r="I56" s="289" t="s">
        <v>188</v>
      </c>
      <c r="J56" s="363"/>
      <c r="K56" s="363"/>
      <c r="L56" s="363"/>
      <c r="M56" s="363"/>
    </row>
    <row r="57" spans="1:28" s="237" customFormat="1" ht="15" customHeight="1" outlineLevel="1" x14ac:dyDescent="0.35">
      <c r="A57" s="363"/>
      <c r="B57" s="534" t="s">
        <v>572</v>
      </c>
      <c r="C57" s="534" t="s">
        <v>110</v>
      </c>
      <c r="D57" s="289" t="s">
        <v>105</v>
      </c>
      <c r="E57" s="289" t="s">
        <v>100</v>
      </c>
      <c r="F57" s="289" t="s">
        <v>106</v>
      </c>
      <c r="G57" s="289" t="s">
        <v>100</v>
      </c>
      <c r="H57" s="289" t="s">
        <v>131</v>
      </c>
      <c r="I57" s="534" t="s">
        <v>1418</v>
      </c>
      <c r="J57" s="363"/>
      <c r="K57" s="363"/>
      <c r="L57" s="363"/>
      <c r="M57" s="363"/>
    </row>
    <row r="58" spans="1:28" s="237" customFormat="1" ht="15" customHeight="1" outlineLevel="1" x14ac:dyDescent="0.25">
      <c r="A58" s="363"/>
      <c r="B58" s="535"/>
      <c r="C58" s="535"/>
      <c r="D58" s="535" t="s">
        <v>115</v>
      </c>
      <c r="E58" s="535" t="s">
        <v>115</v>
      </c>
      <c r="F58" s="535" t="s">
        <v>115</v>
      </c>
      <c r="G58" s="535" t="s">
        <v>115</v>
      </c>
      <c r="H58" s="535" t="s">
        <v>115</v>
      </c>
      <c r="I58" s="535" t="s">
        <v>115</v>
      </c>
      <c r="J58" s="373"/>
      <c r="K58" s="363"/>
      <c r="L58" s="363"/>
      <c r="M58" s="536"/>
      <c r="N58" s="537">
        <v>2</v>
      </c>
      <c r="O58" s="537">
        <v>3</v>
      </c>
      <c r="P58" s="537"/>
      <c r="Q58" s="537">
        <v>4</v>
      </c>
      <c r="R58" s="537">
        <v>5</v>
      </c>
      <c r="S58" s="537"/>
      <c r="T58" s="537">
        <v>6</v>
      </c>
      <c r="U58" s="537">
        <v>7</v>
      </c>
      <c r="V58" s="537"/>
      <c r="W58" s="537">
        <v>8</v>
      </c>
      <c r="X58" s="537">
        <v>9</v>
      </c>
      <c r="Y58" s="537"/>
      <c r="Z58" s="537">
        <v>10</v>
      </c>
      <c r="AA58" s="537">
        <v>11</v>
      </c>
    </row>
    <row r="59" spans="1:28" s="237" customFormat="1" ht="15" customHeight="1" outlineLevel="1" x14ac:dyDescent="0.25">
      <c r="A59" s="363"/>
      <c r="B59" s="538" t="str">
        <f>B205</f>
        <v>HFC-32</v>
      </c>
      <c r="C59" s="539">
        <f>D205</f>
        <v>675</v>
      </c>
      <c r="D59" s="540">
        <v>12</v>
      </c>
      <c r="E59" s="540">
        <v>10</v>
      </c>
      <c r="F59" s="540">
        <v>3</v>
      </c>
      <c r="G59" s="540">
        <v>5</v>
      </c>
      <c r="H59" s="540">
        <v>1</v>
      </c>
      <c r="I59" s="541">
        <f t="shared" ref="I59:I64" si="0">IF(ISBLANK($E59)+ISBLANK($F59)+ISBLANK($G59)&lt;3, ($D59-$E59+$F59+$G59-$H59)*$C59,"")</f>
        <v>6075</v>
      </c>
      <c r="J59" s="542" t="s">
        <v>146</v>
      </c>
      <c r="K59" s="363"/>
      <c r="L59" s="363"/>
      <c r="M59" s="502" t="s">
        <v>550</v>
      </c>
      <c r="N59" s="503" t="s">
        <v>551</v>
      </c>
      <c r="O59" s="504" t="s">
        <v>552</v>
      </c>
      <c r="P59" s="505" t="s">
        <v>566</v>
      </c>
      <c r="Q59" s="504" t="s">
        <v>553</v>
      </c>
      <c r="R59" s="504" t="s">
        <v>554</v>
      </c>
      <c r="S59" s="504" t="s">
        <v>567</v>
      </c>
      <c r="T59" s="503" t="s">
        <v>555</v>
      </c>
      <c r="U59" s="504" t="s">
        <v>556</v>
      </c>
      <c r="V59" s="505" t="s">
        <v>568</v>
      </c>
      <c r="W59" s="503" t="s">
        <v>557</v>
      </c>
      <c r="X59" s="504" t="s">
        <v>558</v>
      </c>
      <c r="Y59" s="505" t="s">
        <v>569</v>
      </c>
      <c r="Z59" s="504" t="s">
        <v>559</v>
      </c>
      <c r="AA59" s="504" t="s">
        <v>560</v>
      </c>
      <c r="AB59" s="505" t="s">
        <v>570</v>
      </c>
    </row>
    <row r="60" spans="1:28" s="237" customFormat="1" ht="15" customHeight="1" outlineLevel="1" x14ac:dyDescent="0.25">
      <c r="A60" s="363"/>
      <c r="B60" s="543"/>
      <c r="C60" s="544" t="str">
        <f t="shared" ref="C60:C74" si="1">IF(B60="","",VLOOKUP(B60,tabela_GWP,3,FALSE))</f>
        <v/>
      </c>
      <c r="D60" s="545"/>
      <c r="E60" s="545"/>
      <c r="F60" s="545"/>
      <c r="G60" s="545"/>
      <c r="H60" s="545"/>
      <c r="I60" s="546" t="str">
        <f t="shared" si="0"/>
        <v/>
      </c>
      <c r="J60" s="363"/>
      <c r="K60" s="363"/>
      <c r="L60" s="363"/>
      <c r="M60" s="547" t="e">
        <f>I60/C60</f>
        <v>#VALUE!</v>
      </c>
      <c r="N60" s="548" t="e">
        <f t="shared" ref="N60:O74" si="2">VLOOKUP($B60,$B$239:$L$320,N$58,FALSE)</f>
        <v>#N/A</v>
      </c>
      <c r="O60" s="549" t="e">
        <f t="shared" si="2"/>
        <v>#N/A</v>
      </c>
      <c r="P60" s="550" t="e">
        <f>$M60*O60</f>
        <v>#VALUE!</v>
      </c>
      <c r="Q60" s="549" t="e">
        <f t="shared" ref="Q60:R74" si="3">VLOOKUP($B60,$B$239:$L$320,Q$58,FALSE)</f>
        <v>#N/A</v>
      </c>
      <c r="R60" s="549" t="e">
        <f t="shared" si="3"/>
        <v>#N/A</v>
      </c>
      <c r="S60" s="550" t="e">
        <f>$M60*R60</f>
        <v>#VALUE!</v>
      </c>
      <c r="T60" s="548" t="e">
        <f t="shared" ref="T60:U74" si="4">VLOOKUP($B60,$B$239:$L$320,T$58,FALSE)</f>
        <v>#N/A</v>
      </c>
      <c r="U60" s="549" t="e">
        <f t="shared" si="4"/>
        <v>#N/A</v>
      </c>
      <c r="V60" s="550" t="e">
        <f>$M60*U60</f>
        <v>#VALUE!</v>
      </c>
      <c r="W60" s="548" t="e">
        <f t="shared" ref="W60:X74" si="5">VLOOKUP($B60,$B$239:$L$320,W$58,FALSE)</f>
        <v>#N/A</v>
      </c>
      <c r="X60" s="549" t="e">
        <f t="shared" si="5"/>
        <v>#N/A</v>
      </c>
      <c r="Y60" s="550" t="e">
        <f>$M60*X60</f>
        <v>#VALUE!</v>
      </c>
      <c r="Z60" s="549" t="e">
        <f t="shared" ref="Z60:AA74" si="6">VLOOKUP($B60,$B$239:$L$320,Z$58,FALSE)</f>
        <v>#N/A</v>
      </c>
      <c r="AA60" s="549" t="e">
        <f t="shared" si="6"/>
        <v>#N/A</v>
      </c>
      <c r="AB60" s="550" t="e">
        <f>$M60*AA60</f>
        <v>#VALUE!</v>
      </c>
    </row>
    <row r="61" spans="1:28" s="237" customFormat="1" ht="15" customHeight="1" outlineLevel="1" x14ac:dyDescent="0.25">
      <c r="A61" s="363"/>
      <c r="B61" s="543"/>
      <c r="C61" s="544" t="str">
        <f t="shared" si="1"/>
        <v/>
      </c>
      <c r="D61" s="545"/>
      <c r="E61" s="545"/>
      <c r="F61" s="545"/>
      <c r="G61" s="545"/>
      <c r="H61" s="545"/>
      <c r="I61" s="546" t="str">
        <f t="shared" si="0"/>
        <v/>
      </c>
      <c r="J61" s="363"/>
      <c r="K61" s="363"/>
      <c r="L61" s="363"/>
      <c r="M61" s="547" t="e">
        <f t="shared" ref="M61:M74" si="7">I61/C61</f>
        <v>#VALUE!</v>
      </c>
      <c r="N61" s="548" t="e">
        <f t="shared" si="2"/>
        <v>#N/A</v>
      </c>
      <c r="O61" s="549" t="e">
        <f t="shared" si="2"/>
        <v>#N/A</v>
      </c>
      <c r="P61" s="550" t="e">
        <f t="shared" ref="P61:P74" si="8">$M61*O61</f>
        <v>#VALUE!</v>
      </c>
      <c r="Q61" s="549" t="e">
        <f t="shared" si="3"/>
        <v>#N/A</v>
      </c>
      <c r="R61" s="549" t="e">
        <f t="shared" si="3"/>
        <v>#N/A</v>
      </c>
      <c r="S61" s="550" t="e">
        <f t="shared" ref="S61:S74" si="9">$M61*R61</f>
        <v>#VALUE!</v>
      </c>
      <c r="T61" s="548" t="e">
        <f t="shared" si="4"/>
        <v>#N/A</v>
      </c>
      <c r="U61" s="549" t="e">
        <f t="shared" si="4"/>
        <v>#N/A</v>
      </c>
      <c r="V61" s="550" t="e">
        <f t="shared" ref="V61:V74" si="10">$M61*U61</f>
        <v>#VALUE!</v>
      </c>
      <c r="W61" s="548" t="e">
        <f t="shared" si="5"/>
        <v>#N/A</v>
      </c>
      <c r="X61" s="549" t="e">
        <f t="shared" si="5"/>
        <v>#N/A</v>
      </c>
      <c r="Y61" s="550" t="e">
        <f t="shared" ref="Y61:Y74" si="11">$M61*X61</f>
        <v>#VALUE!</v>
      </c>
      <c r="Z61" s="549" t="e">
        <f t="shared" si="6"/>
        <v>#N/A</v>
      </c>
      <c r="AA61" s="549" t="e">
        <f t="shared" si="6"/>
        <v>#N/A</v>
      </c>
      <c r="AB61" s="550" t="e">
        <f t="shared" ref="AB61:AB74" si="12">$M61*AA61</f>
        <v>#VALUE!</v>
      </c>
    </row>
    <row r="62" spans="1:28" s="237" customFormat="1" ht="15" customHeight="1" outlineLevel="1" x14ac:dyDescent="0.25">
      <c r="A62" s="363"/>
      <c r="B62" s="543"/>
      <c r="C62" s="544" t="str">
        <f t="shared" si="1"/>
        <v/>
      </c>
      <c r="D62" s="545"/>
      <c r="E62" s="545"/>
      <c r="F62" s="545"/>
      <c r="G62" s="545"/>
      <c r="H62" s="545"/>
      <c r="I62" s="546" t="str">
        <f t="shared" si="0"/>
        <v/>
      </c>
      <c r="J62" s="363"/>
      <c r="K62" s="363"/>
      <c r="L62" s="363"/>
      <c r="M62" s="547" t="e">
        <f t="shared" si="7"/>
        <v>#VALUE!</v>
      </c>
      <c r="N62" s="548" t="e">
        <f t="shared" si="2"/>
        <v>#N/A</v>
      </c>
      <c r="O62" s="549" t="e">
        <f t="shared" si="2"/>
        <v>#N/A</v>
      </c>
      <c r="P62" s="550" t="e">
        <f t="shared" si="8"/>
        <v>#VALUE!</v>
      </c>
      <c r="Q62" s="549" t="e">
        <f t="shared" si="3"/>
        <v>#N/A</v>
      </c>
      <c r="R62" s="549" t="e">
        <f t="shared" si="3"/>
        <v>#N/A</v>
      </c>
      <c r="S62" s="550" t="e">
        <f t="shared" si="9"/>
        <v>#VALUE!</v>
      </c>
      <c r="T62" s="548" t="e">
        <f t="shared" si="4"/>
        <v>#N/A</v>
      </c>
      <c r="U62" s="549" t="e">
        <f t="shared" si="4"/>
        <v>#N/A</v>
      </c>
      <c r="V62" s="550" t="e">
        <f t="shared" si="10"/>
        <v>#VALUE!</v>
      </c>
      <c r="W62" s="548" t="e">
        <f t="shared" si="5"/>
        <v>#N/A</v>
      </c>
      <c r="X62" s="549" t="e">
        <f t="shared" si="5"/>
        <v>#N/A</v>
      </c>
      <c r="Y62" s="550" t="e">
        <f t="shared" si="11"/>
        <v>#VALUE!</v>
      </c>
      <c r="Z62" s="549" t="e">
        <f t="shared" si="6"/>
        <v>#N/A</v>
      </c>
      <c r="AA62" s="549" t="e">
        <f t="shared" si="6"/>
        <v>#N/A</v>
      </c>
      <c r="AB62" s="550" t="e">
        <f t="shared" si="12"/>
        <v>#VALUE!</v>
      </c>
    </row>
    <row r="63" spans="1:28" s="237" customFormat="1" ht="15" customHeight="1" outlineLevel="1" x14ac:dyDescent="0.25">
      <c r="A63" s="363"/>
      <c r="B63" s="543"/>
      <c r="C63" s="544" t="str">
        <f t="shared" si="1"/>
        <v/>
      </c>
      <c r="D63" s="545"/>
      <c r="E63" s="545"/>
      <c r="F63" s="545"/>
      <c r="G63" s="545"/>
      <c r="H63" s="545"/>
      <c r="I63" s="546" t="str">
        <f t="shared" si="0"/>
        <v/>
      </c>
      <c r="J63" s="363"/>
      <c r="K63" s="363"/>
      <c r="L63" s="363"/>
      <c r="M63" s="547" t="e">
        <f t="shared" si="7"/>
        <v>#VALUE!</v>
      </c>
      <c r="N63" s="548" t="e">
        <f t="shared" si="2"/>
        <v>#N/A</v>
      </c>
      <c r="O63" s="549" t="e">
        <f t="shared" si="2"/>
        <v>#N/A</v>
      </c>
      <c r="P63" s="550" t="e">
        <f t="shared" si="8"/>
        <v>#VALUE!</v>
      </c>
      <c r="Q63" s="549" t="e">
        <f t="shared" si="3"/>
        <v>#N/A</v>
      </c>
      <c r="R63" s="549" t="e">
        <f t="shared" si="3"/>
        <v>#N/A</v>
      </c>
      <c r="S63" s="550" t="e">
        <f t="shared" si="9"/>
        <v>#VALUE!</v>
      </c>
      <c r="T63" s="548" t="e">
        <f t="shared" si="4"/>
        <v>#N/A</v>
      </c>
      <c r="U63" s="549" t="e">
        <f t="shared" si="4"/>
        <v>#N/A</v>
      </c>
      <c r="V63" s="550" t="e">
        <f t="shared" si="10"/>
        <v>#VALUE!</v>
      </c>
      <c r="W63" s="548" t="e">
        <f t="shared" si="5"/>
        <v>#N/A</v>
      </c>
      <c r="X63" s="549" t="e">
        <f t="shared" si="5"/>
        <v>#N/A</v>
      </c>
      <c r="Y63" s="550" t="e">
        <f t="shared" si="11"/>
        <v>#VALUE!</v>
      </c>
      <c r="Z63" s="549" t="e">
        <f t="shared" si="6"/>
        <v>#N/A</v>
      </c>
      <c r="AA63" s="549" t="e">
        <f t="shared" si="6"/>
        <v>#N/A</v>
      </c>
      <c r="AB63" s="550" t="e">
        <f t="shared" si="12"/>
        <v>#VALUE!</v>
      </c>
    </row>
    <row r="64" spans="1:28" s="237" customFormat="1" ht="15" customHeight="1" outlineLevel="1" x14ac:dyDescent="0.25">
      <c r="A64" s="363"/>
      <c r="B64" s="543"/>
      <c r="C64" s="544" t="str">
        <f t="shared" si="1"/>
        <v/>
      </c>
      <c r="D64" s="545"/>
      <c r="E64" s="545"/>
      <c r="F64" s="545"/>
      <c r="G64" s="545"/>
      <c r="H64" s="545"/>
      <c r="I64" s="546" t="str">
        <f t="shared" si="0"/>
        <v/>
      </c>
      <c r="J64" s="363"/>
      <c r="K64" s="363"/>
      <c r="L64" s="363"/>
      <c r="M64" s="547" t="e">
        <f t="shared" si="7"/>
        <v>#VALUE!</v>
      </c>
      <c r="N64" s="548" t="e">
        <f t="shared" si="2"/>
        <v>#N/A</v>
      </c>
      <c r="O64" s="549" t="e">
        <f t="shared" si="2"/>
        <v>#N/A</v>
      </c>
      <c r="P64" s="550" t="e">
        <f t="shared" si="8"/>
        <v>#VALUE!</v>
      </c>
      <c r="Q64" s="549" t="e">
        <f t="shared" si="3"/>
        <v>#N/A</v>
      </c>
      <c r="R64" s="549" t="e">
        <f t="shared" si="3"/>
        <v>#N/A</v>
      </c>
      <c r="S64" s="550" t="e">
        <f t="shared" si="9"/>
        <v>#VALUE!</v>
      </c>
      <c r="T64" s="548" t="e">
        <f t="shared" si="4"/>
        <v>#N/A</v>
      </c>
      <c r="U64" s="549" t="e">
        <f t="shared" si="4"/>
        <v>#N/A</v>
      </c>
      <c r="V64" s="550" t="e">
        <f t="shared" si="10"/>
        <v>#VALUE!</v>
      </c>
      <c r="W64" s="548" t="e">
        <f t="shared" si="5"/>
        <v>#N/A</v>
      </c>
      <c r="X64" s="549" t="e">
        <f t="shared" si="5"/>
        <v>#N/A</v>
      </c>
      <c r="Y64" s="550" t="e">
        <f t="shared" si="11"/>
        <v>#VALUE!</v>
      </c>
      <c r="Z64" s="549" t="e">
        <f t="shared" si="6"/>
        <v>#N/A</v>
      </c>
      <c r="AA64" s="549" t="e">
        <f t="shared" si="6"/>
        <v>#N/A</v>
      </c>
      <c r="AB64" s="550" t="e">
        <f t="shared" si="12"/>
        <v>#VALUE!</v>
      </c>
    </row>
    <row r="65" spans="1:28" s="237" customFormat="1" ht="15" customHeight="1" outlineLevel="1" x14ac:dyDescent="0.25">
      <c r="A65" s="363"/>
      <c r="B65" s="543"/>
      <c r="C65" s="544" t="str">
        <f t="shared" si="1"/>
        <v/>
      </c>
      <c r="D65" s="545"/>
      <c r="E65" s="545"/>
      <c r="F65" s="545"/>
      <c r="G65" s="545"/>
      <c r="H65" s="545"/>
      <c r="I65" s="546" t="str">
        <f t="shared" ref="I65:I74" si="13">IF(ISBLANK($E65)+ISBLANK($F65)+ISBLANK($G65)&lt;3, ($D65-$E65+$F65+$G65-$H65)*$C65,"")</f>
        <v/>
      </c>
      <c r="J65" s="363"/>
      <c r="K65" s="363"/>
      <c r="L65" s="363"/>
      <c r="M65" s="547" t="e">
        <f t="shared" si="7"/>
        <v>#VALUE!</v>
      </c>
      <c r="N65" s="548" t="e">
        <f t="shared" si="2"/>
        <v>#N/A</v>
      </c>
      <c r="O65" s="549" t="e">
        <f t="shared" si="2"/>
        <v>#N/A</v>
      </c>
      <c r="P65" s="550" t="e">
        <f t="shared" si="8"/>
        <v>#VALUE!</v>
      </c>
      <c r="Q65" s="549" t="e">
        <f t="shared" si="3"/>
        <v>#N/A</v>
      </c>
      <c r="R65" s="549" t="e">
        <f t="shared" si="3"/>
        <v>#N/A</v>
      </c>
      <c r="S65" s="550" t="e">
        <f t="shared" si="9"/>
        <v>#VALUE!</v>
      </c>
      <c r="T65" s="548" t="e">
        <f t="shared" si="4"/>
        <v>#N/A</v>
      </c>
      <c r="U65" s="549" t="e">
        <f t="shared" si="4"/>
        <v>#N/A</v>
      </c>
      <c r="V65" s="550" t="e">
        <f t="shared" si="10"/>
        <v>#VALUE!</v>
      </c>
      <c r="W65" s="548" t="e">
        <f t="shared" si="5"/>
        <v>#N/A</v>
      </c>
      <c r="X65" s="549" t="e">
        <f t="shared" si="5"/>
        <v>#N/A</v>
      </c>
      <c r="Y65" s="550" t="e">
        <f t="shared" si="11"/>
        <v>#VALUE!</v>
      </c>
      <c r="Z65" s="549" t="e">
        <f t="shared" si="6"/>
        <v>#N/A</v>
      </c>
      <c r="AA65" s="549" t="e">
        <f t="shared" si="6"/>
        <v>#N/A</v>
      </c>
      <c r="AB65" s="550" t="e">
        <f t="shared" si="12"/>
        <v>#VALUE!</v>
      </c>
    </row>
    <row r="66" spans="1:28" s="237" customFormat="1" ht="15" customHeight="1" outlineLevel="1" x14ac:dyDescent="0.25">
      <c r="A66" s="363"/>
      <c r="B66" s="543"/>
      <c r="C66" s="544" t="str">
        <f t="shared" si="1"/>
        <v/>
      </c>
      <c r="D66" s="545"/>
      <c r="E66" s="545"/>
      <c r="F66" s="545"/>
      <c r="G66" s="545"/>
      <c r="H66" s="545"/>
      <c r="I66" s="546" t="str">
        <f t="shared" si="13"/>
        <v/>
      </c>
      <c r="J66" s="363"/>
      <c r="K66" s="363"/>
      <c r="L66" s="363"/>
      <c r="M66" s="547" t="e">
        <f t="shared" si="7"/>
        <v>#VALUE!</v>
      </c>
      <c r="N66" s="548" t="e">
        <f t="shared" si="2"/>
        <v>#N/A</v>
      </c>
      <c r="O66" s="549" t="e">
        <f t="shared" si="2"/>
        <v>#N/A</v>
      </c>
      <c r="P66" s="550" t="e">
        <f t="shared" si="8"/>
        <v>#VALUE!</v>
      </c>
      <c r="Q66" s="549" t="e">
        <f t="shared" si="3"/>
        <v>#N/A</v>
      </c>
      <c r="R66" s="549" t="e">
        <f t="shared" si="3"/>
        <v>#N/A</v>
      </c>
      <c r="S66" s="550" t="e">
        <f t="shared" si="9"/>
        <v>#VALUE!</v>
      </c>
      <c r="T66" s="548" t="e">
        <f t="shared" si="4"/>
        <v>#N/A</v>
      </c>
      <c r="U66" s="549" t="e">
        <f t="shared" si="4"/>
        <v>#N/A</v>
      </c>
      <c r="V66" s="550" t="e">
        <f t="shared" si="10"/>
        <v>#VALUE!</v>
      </c>
      <c r="W66" s="548" t="e">
        <f t="shared" si="5"/>
        <v>#N/A</v>
      </c>
      <c r="X66" s="549" t="e">
        <f t="shared" si="5"/>
        <v>#N/A</v>
      </c>
      <c r="Y66" s="550" t="e">
        <f t="shared" si="11"/>
        <v>#VALUE!</v>
      </c>
      <c r="Z66" s="549" t="e">
        <f t="shared" si="6"/>
        <v>#N/A</v>
      </c>
      <c r="AA66" s="549" t="e">
        <f t="shared" si="6"/>
        <v>#N/A</v>
      </c>
      <c r="AB66" s="550" t="e">
        <f t="shared" si="12"/>
        <v>#VALUE!</v>
      </c>
    </row>
    <row r="67" spans="1:28" s="237" customFormat="1" ht="15" customHeight="1" outlineLevel="1" x14ac:dyDescent="0.25">
      <c r="A67" s="363"/>
      <c r="B67" s="543"/>
      <c r="C67" s="544" t="str">
        <f t="shared" si="1"/>
        <v/>
      </c>
      <c r="D67" s="545"/>
      <c r="E67" s="545"/>
      <c r="F67" s="545"/>
      <c r="G67" s="545"/>
      <c r="H67" s="545"/>
      <c r="I67" s="546" t="str">
        <f t="shared" si="13"/>
        <v/>
      </c>
      <c r="J67" s="363"/>
      <c r="K67" s="363"/>
      <c r="L67" s="363"/>
      <c r="M67" s="547" t="e">
        <f t="shared" si="7"/>
        <v>#VALUE!</v>
      </c>
      <c r="N67" s="548" t="e">
        <f t="shared" si="2"/>
        <v>#N/A</v>
      </c>
      <c r="O67" s="549" t="e">
        <f t="shared" si="2"/>
        <v>#N/A</v>
      </c>
      <c r="P67" s="550" t="e">
        <f t="shared" si="8"/>
        <v>#VALUE!</v>
      </c>
      <c r="Q67" s="549" t="e">
        <f t="shared" si="3"/>
        <v>#N/A</v>
      </c>
      <c r="R67" s="549" t="e">
        <f t="shared" si="3"/>
        <v>#N/A</v>
      </c>
      <c r="S67" s="550" t="e">
        <f t="shared" si="9"/>
        <v>#VALUE!</v>
      </c>
      <c r="T67" s="548" t="e">
        <f t="shared" si="4"/>
        <v>#N/A</v>
      </c>
      <c r="U67" s="549" t="e">
        <f t="shared" si="4"/>
        <v>#N/A</v>
      </c>
      <c r="V67" s="550" t="e">
        <f t="shared" si="10"/>
        <v>#VALUE!</v>
      </c>
      <c r="W67" s="548" t="e">
        <f t="shared" si="5"/>
        <v>#N/A</v>
      </c>
      <c r="X67" s="549" t="e">
        <f t="shared" si="5"/>
        <v>#N/A</v>
      </c>
      <c r="Y67" s="550" t="e">
        <f t="shared" si="11"/>
        <v>#VALUE!</v>
      </c>
      <c r="Z67" s="549" t="e">
        <f t="shared" si="6"/>
        <v>#N/A</v>
      </c>
      <c r="AA67" s="549" t="e">
        <f t="shared" si="6"/>
        <v>#N/A</v>
      </c>
      <c r="AB67" s="550" t="e">
        <f t="shared" si="12"/>
        <v>#VALUE!</v>
      </c>
    </row>
    <row r="68" spans="1:28" s="237" customFormat="1" ht="15" customHeight="1" outlineLevel="1" x14ac:dyDescent="0.25">
      <c r="A68" s="363"/>
      <c r="B68" s="543"/>
      <c r="C68" s="544" t="str">
        <f t="shared" si="1"/>
        <v/>
      </c>
      <c r="D68" s="545"/>
      <c r="E68" s="545"/>
      <c r="F68" s="545"/>
      <c r="G68" s="545"/>
      <c r="H68" s="545"/>
      <c r="I68" s="546" t="str">
        <f t="shared" si="13"/>
        <v/>
      </c>
      <c r="J68" s="363"/>
      <c r="K68" s="363"/>
      <c r="L68" s="363"/>
      <c r="M68" s="547" t="e">
        <f t="shared" si="7"/>
        <v>#VALUE!</v>
      </c>
      <c r="N68" s="548" t="e">
        <f t="shared" si="2"/>
        <v>#N/A</v>
      </c>
      <c r="O68" s="549" t="e">
        <f t="shared" si="2"/>
        <v>#N/A</v>
      </c>
      <c r="P68" s="550" t="e">
        <f t="shared" si="8"/>
        <v>#VALUE!</v>
      </c>
      <c r="Q68" s="549" t="e">
        <f t="shared" si="3"/>
        <v>#N/A</v>
      </c>
      <c r="R68" s="549" t="e">
        <f t="shared" si="3"/>
        <v>#N/A</v>
      </c>
      <c r="S68" s="550" t="e">
        <f t="shared" si="9"/>
        <v>#VALUE!</v>
      </c>
      <c r="T68" s="548" t="e">
        <f t="shared" si="4"/>
        <v>#N/A</v>
      </c>
      <c r="U68" s="549" t="e">
        <f t="shared" si="4"/>
        <v>#N/A</v>
      </c>
      <c r="V68" s="550" t="e">
        <f t="shared" si="10"/>
        <v>#VALUE!</v>
      </c>
      <c r="W68" s="548" t="e">
        <f t="shared" si="5"/>
        <v>#N/A</v>
      </c>
      <c r="X68" s="549" t="e">
        <f t="shared" si="5"/>
        <v>#N/A</v>
      </c>
      <c r="Y68" s="550" t="e">
        <f t="shared" si="11"/>
        <v>#VALUE!</v>
      </c>
      <c r="Z68" s="549" t="e">
        <f t="shared" si="6"/>
        <v>#N/A</v>
      </c>
      <c r="AA68" s="549" t="e">
        <f t="shared" si="6"/>
        <v>#N/A</v>
      </c>
      <c r="AB68" s="550" t="e">
        <f t="shared" si="12"/>
        <v>#VALUE!</v>
      </c>
    </row>
    <row r="69" spans="1:28" s="237" customFormat="1" ht="15" customHeight="1" outlineLevel="1" x14ac:dyDescent="0.25">
      <c r="A69" s="363"/>
      <c r="B69" s="543"/>
      <c r="C69" s="544" t="str">
        <f t="shared" si="1"/>
        <v/>
      </c>
      <c r="D69" s="545"/>
      <c r="E69" s="545"/>
      <c r="F69" s="545"/>
      <c r="G69" s="545"/>
      <c r="H69" s="545"/>
      <c r="I69" s="546" t="str">
        <f t="shared" si="13"/>
        <v/>
      </c>
      <c r="J69" s="363"/>
      <c r="K69" s="363"/>
      <c r="L69" s="363"/>
      <c r="M69" s="547" t="e">
        <f t="shared" si="7"/>
        <v>#VALUE!</v>
      </c>
      <c r="N69" s="548" t="e">
        <f t="shared" si="2"/>
        <v>#N/A</v>
      </c>
      <c r="O69" s="549" t="e">
        <f t="shared" si="2"/>
        <v>#N/A</v>
      </c>
      <c r="P69" s="550" t="e">
        <f t="shared" si="8"/>
        <v>#VALUE!</v>
      </c>
      <c r="Q69" s="549" t="e">
        <f t="shared" si="3"/>
        <v>#N/A</v>
      </c>
      <c r="R69" s="549" t="e">
        <f t="shared" si="3"/>
        <v>#N/A</v>
      </c>
      <c r="S69" s="550" t="e">
        <f t="shared" si="9"/>
        <v>#VALUE!</v>
      </c>
      <c r="T69" s="548" t="e">
        <f t="shared" si="4"/>
        <v>#N/A</v>
      </c>
      <c r="U69" s="549" t="e">
        <f t="shared" si="4"/>
        <v>#N/A</v>
      </c>
      <c r="V69" s="550" t="e">
        <f t="shared" si="10"/>
        <v>#VALUE!</v>
      </c>
      <c r="W69" s="548" t="e">
        <f t="shared" si="5"/>
        <v>#N/A</v>
      </c>
      <c r="X69" s="549" t="e">
        <f t="shared" si="5"/>
        <v>#N/A</v>
      </c>
      <c r="Y69" s="550" t="e">
        <f t="shared" si="11"/>
        <v>#VALUE!</v>
      </c>
      <c r="Z69" s="549" t="e">
        <f t="shared" si="6"/>
        <v>#N/A</v>
      </c>
      <c r="AA69" s="549" t="e">
        <f t="shared" si="6"/>
        <v>#N/A</v>
      </c>
      <c r="AB69" s="550" t="e">
        <f t="shared" si="12"/>
        <v>#VALUE!</v>
      </c>
    </row>
    <row r="70" spans="1:28" s="237" customFormat="1" ht="15" customHeight="1" outlineLevel="1" x14ac:dyDescent="0.25">
      <c r="A70" s="363"/>
      <c r="B70" s="543"/>
      <c r="C70" s="544" t="str">
        <f t="shared" si="1"/>
        <v/>
      </c>
      <c r="D70" s="545"/>
      <c r="E70" s="545"/>
      <c r="F70" s="545"/>
      <c r="G70" s="545"/>
      <c r="H70" s="545"/>
      <c r="I70" s="546" t="str">
        <f t="shared" si="13"/>
        <v/>
      </c>
      <c r="J70" s="363"/>
      <c r="K70" s="363"/>
      <c r="L70" s="363"/>
      <c r="M70" s="547" t="e">
        <f t="shared" si="7"/>
        <v>#VALUE!</v>
      </c>
      <c r="N70" s="548" t="e">
        <f t="shared" si="2"/>
        <v>#N/A</v>
      </c>
      <c r="O70" s="549" t="e">
        <f t="shared" si="2"/>
        <v>#N/A</v>
      </c>
      <c r="P70" s="550" t="e">
        <f t="shared" si="8"/>
        <v>#VALUE!</v>
      </c>
      <c r="Q70" s="549" t="e">
        <f t="shared" si="3"/>
        <v>#N/A</v>
      </c>
      <c r="R70" s="549" t="e">
        <f t="shared" si="3"/>
        <v>#N/A</v>
      </c>
      <c r="S70" s="550" t="e">
        <f t="shared" si="9"/>
        <v>#VALUE!</v>
      </c>
      <c r="T70" s="548" t="e">
        <f t="shared" si="4"/>
        <v>#N/A</v>
      </c>
      <c r="U70" s="549" t="e">
        <f t="shared" si="4"/>
        <v>#N/A</v>
      </c>
      <c r="V70" s="550" t="e">
        <f t="shared" si="10"/>
        <v>#VALUE!</v>
      </c>
      <c r="W70" s="548" t="e">
        <f t="shared" si="5"/>
        <v>#N/A</v>
      </c>
      <c r="X70" s="549" t="e">
        <f t="shared" si="5"/>
        <v>#N/A</v>
      </c>
      <c r="Y70" s="550" t="e">
        <f t="shared" si="11"/>
        <v>#VALUE!</v>
      </c>
      <c r="Z70" s="549" t="e">
        <f t="shared" si="6"/>
        <v>#N/A</v>
      </c>
      <c r="AA70" s="549" t="e">
        <f t="shared" si="6"/>
        <v>#N/A</v>
      </c>
      <c r="AB70" s="550" t="e">
        <f t="shared" si="12"/>
        <v>#VALUE!</v>
      </c>
    </row>
    <row r="71" spans="1:28" s="237" customFormat="1" ht="15" customHeight="1" outlineLevel="1" x14ac:dyDescent="0.25">
      <c r="A71" s="363"/>
      <c r="B71" s="543"/>
      <c r="C71" s="544" t="str">
        <f t="shared" si="1"/>
        <v/>
      </c>
      <c r="D71" s="545"/>
      <c r="E71" s="545"/>
      <c r="F71" s="545"/>
      <c r="G71" s="545"/>
      <c r="H71" s="545"/>
      <c r="I71" s="546" t="str">
        <f t="shared" si="13"/>
        <v/>
      </c>
      <c r="J71" s="363"/>
      <c r="K71" s="363"/>
      <c r="L71" s="363"/>
      <c r="M71" s="547" t="e">
        <f t="shared" si="7"/>
        <v>#VALUE!</v>
      </c>
      <c r="N71" s="548" t="e">
        <f t="shared" si="2"/>
        <v>#N/A</v>
      </c>
      <c r="O71" s="549" t="e">
        <f t="shared" si="2"/>
        <v>#N/A</v>
      </c>
      <c r="P71" s="550" t="e">
        <f t="shared" si="8"/>
        <v>#VALUE!</v>
      </c>
      <c r="Q71" s="549" t="e">
        <f t="shared" si="3"/>
        <v>#N/A</v>
      </c>
      <c r="R71" s="549" t="e">
        <f t="shared" si="3"/>
        <v>#N/A</v>
      </c>
      <c r="S71" s="550" t="e">
        <f t="shared" si="9"/>
        <v>#VALUE!</v>
      </c>
      <c r="T71" s="548" t="e">
        <f t="shared" si="4"/>
        <v>#N/A</v>
      </c>
      <c r="U71" s="549" t="e">
        <f t="shared" si="4"/>
        <v>#N/A</v>
      </c>
      <c r="V71" s="550" t="e">
        <f t="shared" si="10"/>
        <v>#VALUE!</v>
      </c>
      <c r="W71" s="548" t="e">
        <f t="shared" si="5"/>
        <v>#N/A</v>
      </c>
      <c r="X71" s="549" t="e">
        <f t="shared" si="5"/>
        <v>#N/A</v>
      </c>
      <c r="Y71" s="550" t="e">
        <f t="shared" si="11"/>
        <v>#VALUE!</v>
      </c>
      <c r="Z71" s="549" t="e">
        <f t="shared" si="6"/>
        <v>#N/A</v>
      </c>
      <c r="AA71" s="549" t="e">
        <f t="shared" si="6"/>
        <v>#N/A</v>
      </c>
      <c r="AB71" s="550" t="e">
        <f t="shared" si="12"/>
        <v>#VALUE!</v>
      </c>
    </row>
    <row r="72" spans="1:28" s="237" customFormat="1" ht="15" customHeight="1" outlineLevel="1" x14ac:dyDescent="0.25">
      <c r="A72" s="363"/>
      <c r="B72" s="543"/>
      <c r="C72" s="544" t="str">
        <f t="shared" si="1"/>
        <v/>
      </c>
      <c r="D72" s="545"/>
      <c r="E72" s="545"/>
      <c r="F72" s="545"/>
      <c r="G72" s="545"/>
      <c r="H72" s="545"/>
      <c r="I72" s="546" t="str">
        <f t="shared" si="13"/>
        <v/>
      </c>
      <c r="J72" s="363"/>
      <c r="K72" s="363"/>
      <c r="L72" s="363"/>
      <c r="M72" s="547" t="e">
        <f t="shared" si="7"/>
        <v>#VALUE!</v>
      </c>
      <c r="N72" s="548" t="e">
        <f t="shared" si="2"/>
        <v>#N/A</v>
      </c>
      <c r="O72" s="549" t="e">
        <f t="shared" si="2"/>
        <v>#N/A</v>
      </c>
      <c r="P72" s="550" t="e">
        <f t="shared" si="8"/>
        <v>#VALUE!</v>
      </c>
      <c r="Q72" s="549" t="e">
        <f t="shared" si="3"/>
        <v>#N/A</v>
      </c>
      <c r="R72" s="549" t="e">
        <f t="shared" si="3"/>
        <v>#N/A</v>
      </c>
      <c r="S72" s="550" t="e">
        <f t="shared" si="9"/>
        <v>#VALUE!</v>
      </c>
      <c r="T72" s="548" t="e">
        <f t="shared" si="4"/>
        <v>#N/A</v>
      </c>
      <c r="U72" s="549" t="e">
        <f t="shared" si="4"/>
        <v>#N/A</v>
      </c>
      <c r="V72" s="550" t="e">
        <f t="shared" si="10"/>
        <v>#VALUE!</v>
      </c>
      <c r="W72" s="548" t="e">
        <f t="shared" si="5"/>
        <v>#N/A</v>
      </c>
      <c r="X72" s="549" t="e">
        <f t="shared" si="5"/>
        <v>#N/A</v>
      </c>
      <c r="Y72" s="550" t="e">
        <f t="shared" si="11"/>
        <v>#VALUE!</v>
      </c>
      <c r="Z72" s="549" t="e">
        <f t="shared" si="6"/>
        <v>#N/A</v>
      </c>
      <c r="AA72" s="549" t="e">
        <f t="shared" si="6"/>
        <v>#N/A</v>
      </c>
      <c r="AB72" s="550" t="e">
        <f t="shared" si="12"/>
        <v>#VALUE!</v>
      </c>
    </row>
    <row r="73" spans="1:28" s="237" customFormat="1" ht="15" customHeight="1" outlineLevel="1" x14ac:dyDescent="0.25">
      <c r="A73" s="363"/>
      <c r="B73" s="543"/>
      <c r="C73" s="544" t="str">
        <f t="shared" si="1"/>
        <v/>
      </c>
      <c r="D73" s="545"/>
      <c r="E73" s="545"/>
      <c r="F73" s="545"/>
      <c r="G73" s="545"/>
      <c r="H73" s="545"/>
      <c r="I73" s="546" t="str">
        <f t="shared" si="13"/>
        <v/>
      </c>
      <c r="J73" s="363"/>
      <c r="K73" s="363"/>
      <c r="L73" s="363"/>
      <c r="M73" s="547" t="e">
        <f t="shared" si="7"/>
        <v>#VALUE!</v>
      </c>
      <c r="N73" s="548" t="e">
        <f t="shared" si="2"/>
        <v>#N/A</v>
      </c>
      <c r="O73" s="549" t="e">
        <f t="shared" si="2"/>
        <v>#N/A</v>
      </c>
      <c r="P73" s="550" t="e">
        <f t="shared" si="8"/>
        <v>#VALUE!</v>
      </c>
      <c r="Q73" s="549" t="e">
        <f t="shared" si="3"/>
        <v>#N/A</v>
      </c>
      <c r="R73" s="549" t="e">
        <f t="shared" si="3"/>
        <v>#N/A</v>
      </c>
      <c r="S73" s="550" t="e">
        <f t="shared" si="9"/>
        <v>#VALUE!</v>
      </c>
      <c r="T73" s="548" t="e">
        <f t="shared" si="4"/>
        <v>#N/A</v>
      </c>
      <c r="U73" s="549" t="e">
        <f t="shared" si="4"/>
        <v>#N/A</v>
      </c>
      <c r="V73" s="550" t="e">
        <f t="shared" si="10"/>
        <v>#VALUE!</v>
      </c>
      <c r="W73" s="548" t="e">
        <f t="shared" si="5"/>
        <v>#N/A</v>
      </c>
      <c r="X73" s="549" t="e">
        <f t="shared" si="5"/>
        <v>#N/A</v>
      </c>
      <c r="Y73" s="550" t="e">
        <f t="shared" si="11"/>
        <v>#VALUE!</v>
      </c>
      <c r="Z73" s="549" t="e">
        <f t="shared" si="6"/>
        <v>#N/A</v>
      </c>
      <c r="AA73" s="549" t="e">
        <f t="shared" si="6"/>
        <v>#N/A</v>
      </c>
      <c r="AB73" s="550" t="e">
        <f t="shared" si="12"/>
        <v>#VALUE!</v>
      </c>
    </row>
    <row r="74" spans="1:28" s="237" customFormat="1" ht="15" customHeight="1" outlineLevel="1" x14ac:dyDescent="0.25">
      <c r="A74" s="363"/>
      <c r="B74" s="543"/>
      <c r="C74" s="544" t="str">
        <f t="shared" si="1"/>
        <v/>
      </c>
      <c r="D74" s="545"/>
      <c r="E74" s="545"/>
      <c r="F74" s="545"/>
      <c r="G74" s="545"/>
      <c r="H74" s="545"/>
      <c r="I74" s="546" t="str">
        <f t="shared" si="13"/>
        <v/>
      </c>
      <c r="J74" s="363"/>
      <c r="K74" s="363"/>
      <c r="L74" s="363"/>
      <c r="M74" s="551" t="e">
        <f t="shared" si="7"/>
        <v>#VALUE!</v>
      </c>
      <c r="N74" s="552" t="e">
        <f t="shared" si="2"/>
        <v>#N/A</v>
      </c>
      <c r="O74" s="553" t="e">
        <f t="shared" si="2"/>
        <v>#N/A</v>
      </c>
      <c r="P74" s="554" t="e">
        <f t="shared" si="8"/>
        <v>#VALUE!</v>
      </c>
      <c r="Q74" s="553" t="e">
        <f t="shared" si="3"/>
        <v>#N/A</v>
      </c>
      <c r="R74" s="553" t="e">
        <f t="shared" si="3"/>
        <v>#N/A</v>
      </c>
      <c r="S74" s="554" t="e">
        <f t="shared" si="9"/>
        <v>#VALUE!</v>
      </c>
      <c r="T74" s="552" t="e">
        <f t="shared" si="4"/>
        <v>#N/A</v>
      </c>
      <c r="U74" s="553" t="e">
        <f t="shared" si="4"/>
        <v>#N/A</v>
      </c>
      <c r="V74" s="554" t="e">
        <f t="shared" si="10"/>
        <v>#VALUE!</v>
      </c>
      <c r="W74" s="552" t="e">
        <f t="shared" si="5"/>
        <v>#N/A</v>
      </c>
      <c r="X74" s="553" t="e">
        <f t="shared" si="5"/>
        <v>#N/A</v>
      </c>
      <c r="Y74" s="554" t="e">
        <f t="shared" si="11"/>
        <v>#VALUE!</v>
      </c>
      <c r="Z74" s="553" t="e">
        <f t="shared" si="6"/>
        <v>#N/A</v>
      </c>
      <c r="AA74" s="553" t="e">
        <f t="shared" si="6"/>
        <v>#N/A</v>
      </c>
      <c r="AB74" s="554" t="e">
        <f t="shared" si="12"/>
        <v>#VALUE!</v>
      </c>
    </row>
    <row r="75" spans="1:28" s="237" customFormat="1" ht="15" customHeight="1" outlineLevel="1" x14ac:dyDescent="0.25">
      <c r="A75" s="363"/>
      <c r="B75" s="1114" t="s">
        <v>78</v>
      </c>
      <c r="C75" s="457"/>
      <c r="D75" s="555"/>
      <c r="E75" s="555"/>
      <c r="F75" s="555"/>
      <c r="G75" s="555"/>
      <c r="H75" s="556"/>
      <c r="I75" s="557">
        <f>SUM(I60:I74)</f>
        <v>0</v>
      </c>
      <c r="J75" s="363"/>
      <c r="K75" s="363"/>
      <c r="L75" s="363"/>
      <c r="M75" s="363"/>
      <c r="N75" s="537"/>
    </row>
    <row r="76" spans="1:28" s="237" customFormat="1" ht="20.100000000000001" customHeight="1" outlineLevel="1" x14ac:dyDescent="0.25">
      <c r="A76" s="363"/>
      <c r="C76" s="558"/>
      <c r="D76" s="559"/>
      <c r="E76" s="559"/>
      <c r="F76" s="559"/>
      <c r="G76" s="559"/>
      <c r="H76" s="559"/>
      <c r="I76" s="405"/>
      <c r="J76" s="363"/>
      <c r="K76" s="363"/>
      <c r="L76" s="363"/>
      <c r="M76" s="363"/>
    </row>
    <row r="77" spans="1:28" s="237" customFormat="1" ht="15" customHeight="1" outlineLevel="1" x14ac:dyDescent="0.25">
      <c r="A77" s="363"/>
      <c r="B77" s="468" t="s">
        <v>1341</v>
      </c>
      <c r="C77" s="363"/>
      <c r="D77" s="363"/>
      <c r="E77" s="363"/>
      <c r="F77" s="363"/>
      <c r="G77" s="363"/>
      <c r="H77" s="363"/>
      <c r="I77" s="363"/>
      <c r="J77" s="363"/>
      <c r="K77" s="363"/>
      <c r="L77" s="363"/>
      <c r="M77" s="363"/>
    </row>
    <row r="78" spans="1:28" s="237" customFormat="1" ht="15" customHeight="1" outlineLevel="1" x14ac:dyDescent="0.25">
      <c r="A78" s="363"/>
      <c r="B78" s="560" t="s">
        <v>1917</v>
      </c>
      <c r="C78" s="561"/>
      <c r="D78" s="449"/>
      <c r="E78" s="449"/>
      <c r="F78" s="363"/>
      <c r="G78" s="363"/>
      <c r="H78" s="363"/>
      <c r="I78" s="363"/>
      <c r="J78" s="363"/>
      <c r="K78" s="363"/>
      <c r="L78" s="363"/>
      <c r="M78" s="536"/>
      <c r="N78" s="537"/>
    </row>
    <row r="79" spans="1:28" s="237" customFormat="1" ht="15" customHeight="1" outlineLevel="1" x14ac:dyDescent="0.25">
      <c r="A79" s="205"/>
      <c r="B79" s="562" t="s">
        <v>522</v>
      </c>
      <c r="C79" s="205"/>
      <c r="D79" s="206"/>
      <c r="E79" s="206"/>
      <c r="F79" s="205"/>
      <c r="G79" s="205"/>
      <c r="H79" s="205"/>
      <c r="I79" s="205"/>
      <c r="J79" s="205"/>
      <c r="K79" s="363"/>
      <c r="L79" s="363"/>
      <c r="M79" s="363"/>
    </row>
    <row r="80" spans="1:28" s="237" customFormat="1" ht="15" customHeight="1" outlineLevel="1" x14ac:dyDescent="0.25">
      <c r="A80" s="205"/>
      <c r="B80" s="563" t="s">
        <v>1947</v>
      </c>
      <c r="C80" s="206"/>
      <c r="D80" s="205"/>
      <c r="E80" s="206"/>
      <c r="F80" s="205"/>
      <c r="G80" s="205"/>
      <c r="H80" s="205"/>
      <c r="I80" s="205"/>
      <c r="J80" s="205"/>
      <c r="K80" s="363"/>
      <c r="L80" s="363"/>
      <c r="M80" s="363"/>
    </row>
    <row r="81" spans="1:27" s="237" customFormat="1" ht="15" customHeight="1" outlineLevel="1" x14ac:dyDescent="0.25">
      <c r="A81" s="205"/>
      <c r="B81" s="564" t="s">
        <v>1419</v>
      </c>
      <c r="C81" s="205"/>
      <c r="D81" s="206"/>
      <c r="E81" s="206"/>
      <c r="F81" s="205"/>
      <c r="G81" s="205"/>
      <c r="H81" s="205"/>
      <c r="I81" s="205"/>
      <c r="J81" s="205"/>
      <c r="K81" s="363"/>
      <c r="L81" s="363"/>
      <c r="M81" s="363"/>
    </row>
    <row r="82" spans="1:27" s="237" customFormat="1" ht="15" customHeight="1" outlineLevel="1" x14ac:dyDescent="0.25">
      <c r="A82" s="205"/>
      <c r="B82" s="565" t="s">
        <v>1918</v>
      </c>
      <c r="C82" s="205"/>
      <c r="D82" s="206"/>
      <c r="E82" s="206"/>
      <c r="F82" s="205"/>
      <c r="G82" s="205"/>
      <c r="H82" s="205"/>
      <c r="I82" s="205"/>
      <c r="J82" s="205"/>
      <c r="K82" s="363"/>
      <c r="L82" s="363"/>
      <c r="M82" s="363"/>
    </row>
    <row r="83" spans="1:27" s="237" customFormat="1" ht="15" customHeight="1" outlineLevel="1" x14ac:dyDescent="0.25">
      <c r="A83" s="205"/>
      <c r="B83" s="566" t="s">
        <v>1919</v>
      </c>
      <c r="C83" s="205"/>
      <c r="D83" s="206"/>
      <c r="E83" s="206"/>
      <c r="F83" s="205"/>
      <c r="G83" s="205"/>
      <c r="H83" s="205"/>
      <c r="I83" s="205"/>
      <c r="J83" s="205"/>
      <c r="K83" s="363"/>
      <c r="L83" s="363"/>
      <c r="M83" s="363"/>
    </row>
    <row r="84" spans="1:27" s="237" customFormat="1" ht="15" customHeight="1" outlineLevel="1" x14ac:dyDescent="0.25">
      <c r="A84" s="205"/>
      <c r="B84" s="565" t="s">
        <v>1420</v>
      </c>
      <c r="C84" s="205"/>
      <c r="D84" s="206"/>
      <c r="E84" s="206"/>
      <c r="F84" s="205"/>
      <c r="G84" s="205"/>
      <c r="H84" s="205"/>
      <c r="I84" s="205"/>
      <c r="J84" s="205"/>
      <c r="K84" s="363"/>
      <c r="L84" s="363"/>
      <c r="M84" s="363"/>
    </row>
    <row r="85" spans="1:27" s="237" customFormat="1" ht="15" customHeight="1" outlineLevel="1" x14ac:dyDescent="0.25">
      <c r="A85" s="205"/>
      <c r="B85" s="567" t="s">
        <v>1920</v>
      </c>
      <c r="C85" s="205"/>
      <c r="D85" s="206"/>
      <c r="E85" s="206"/>
      <c r="F85" s="205"/>
      <c r="G85" s="205"/>
      <c r="H85" s="205"/>
      <c r="I85" s="205"/>
      <c r="J85" s="205"/>
      <c r="K85" s="363"/>
      <c r="L85" s="363"/>
      <c r="M85" s="363"/>
    </row>
    <row r="86" spans="1:27" s="237" customFormat="1" ht="15" customHeight="1" outlineLevel="1" x14ac:dyDescent="0.25">
      <c r="A86" s="205"/>
      <c r="B86" s="568" t="s">
        <v>1921</v>
      </c>
      <c r="C86" s="205"/>
      <c r="D86" s="206"/>
      <c r="E86" s="206"/>
      <c r="F86" s="205"/>
      <c r="G86" s="205"/>
      <c r="H86" s="205"/>
      <c r="I86" s="205"/>
      <c r="J86" s="205"/>
      <c r="K86" s="363"/>
      <c r="L86" s="363"/>
      <c r="M86" s="363"/>
    </row>
    <row r="87" spans="1:27" s="237" customFormat="1" ht="15" customHeight="1" outlineLevel="1" x14ac:dyDescent="0.25">
      <c r="A87" s="205"/>
      <c r="B87" s="567" t="s">
        <v>523</v>
      </c>
      <c r="C87" s="205"/>
      <c r="D87" s="206"/>
      <c r="E87" s="206"/>
      <c r="F87" s="205"/>
      <c r="G87" s="205"/>
      <c r="H87" s="205"/>
      <c r="I87" s="205"/>
      <c r="J87" s="205"/>
      <c r="K87" s="363"/>
      <c r="L87" s="363"/>
      <c r="M87" s="363"/>
    </row>
    <row r="88" spans="1:27" s="237" customFormat="1" ht="15" customHeight="1" outlineLevel="1" x14ac:dyDescent="0.25">
      <c r="A88" s="205"/>
      <c r="B88" s="566" t="s">
        <v>524</v>
      </c>
      <c r="C88" s="205"/>
      <c r="D88" s="206"/>
      <c r="E88" s="206"/>
      <c r="F88" s="205"/>
      <c r="G88" s="205"/>
      <c r="H88" s="205"/>
      <c r="I88" s="205"/>
      <c r="J88" s="205"/>
      <c r="K88" s="363"/>
      <c r="L88" s="363"/>
      <c r="M88" s="363"/>
    </row>
    <row r="89" spans="1:27" s="237" customFormat="1" ht="15" customHeight="1" outlineLevel="1" x14ac:dyDescent="0.25">
      <c r="A89" s="205"/>
      <c r="B89" s="565" t="s">
        <v>1421</v>
      </c>
      <c r="C89" s="205"/>
      <c r="D89" s="206"/>
      <c r="E89" s="206"/>
      <c r="F89" s="205"/>
      <c r="G89" s="205"/>
      <c r="H89" s="205"/>
      <c r="I89" s="205"/>
      <c r="J89" s="205"/>
      <c r="K89" s="363"/>
      <c r="L89" s="363"/>
      <c r="M89" s="363"/>
    </row>
    <row r="90" spans="1:27" s="237" customFormat="1" ht="15" customHeight="1" outlineLevel="1" x14ac:dyDescent="0.25">
      <c r="A90" s="205"/>
      <c r="B90" s="568" t="s">
        <v>525</v>
      </c>
      <c r="C90" s="205"/>
      <c r="D90" s="206"/>
      <c r="E90" s="206"/>
      <c r="F90" s="205"/>
      <c r="G90" s="205"/>
      <c r="H90" s="205"/>
      <c r="I90" s="205"/>
      <c r="J90" s="205"/>
      <c r="K90" s="363"/>
      <c r="L90" s="363"/>
      <c r="M90" s="363"/>
    </row>
    <row r="91" spans="1:27" s="237" customFormat="1" ht="15" customHeight="1" outlineLevel="1" x14ac:dyDescent="0.25">
      <c r="A91" s="205"/>
      <c r="B91" s="566" t="s">
        <v>526</v>
      </c>
      <c r="C91" s="205"/>
      <c r="D91" s="206"/>
      <c r="E91" s="206"/>
      <c r="F91" s="205"/>
      <c r="G91" s="205"/>
      <c r="H91" s="205"/>
      <c r="I91" s="205"/>
      <c r="J91" s="205"/>
      <c r="K91" s="363"/>
      <c r="L91" s="363"/>
      <c r="M91" s="363"/>
    </row>
    <row r="92" spans="1:27" s="237" customFormat="1" ht="15" customHeight="1" outlineLevel="1" x14ac:dyDescent="0.25">
      <c r="A92" s="363"/>
      <c r="B92" s="569"/>
      <c r="C92" s="363"/>
      <c r="D92" s="363"/>
      <c r="E92" s="363"/>
      <c r="F92" s="363"/>
      <c r="G92" s="363"/>
      <c r="H92" s="363"/>
      <c r="I92" s="363"/>
      <c r="J92" s="363"/>
      <c r="K92" s="363"/>
      <c r="L92" s="363"/>
      <c r="M92" s="363"/>
    </row>
    <row r="93" spans="1:27" s="237" customFormat="1" ht="15" customHeight="1" outlineLevel="1" x14ac:dyDescent="0.25">
      <c r="A93" s="363"/>
      <c r="B93" s="468" t="s">
        <v>527</v>
      </c>
      <c r="C93" s="363"/>
      <c r="D93" s="363"/>
      <c r="E93" s="363"/>
      <c r="F93" s="363"/>
      <c r="G93" s="363"/>
      <c r="H93" s="363"/>
      <c r="I93" s="363"/>
      <c r="J93" s="363"/>
      <c r="K93" s="363"/>
      <c r="L93" s="363"/>
      <c r="M93" s="363"/>
    </row>
    <row r="94" spans="1:27" s="237" customFormat="1" ht="15" customHeight="1" outlineLevel="1" x14ac:dyDescent="0.25">
      <c r="A94" s="363"/>
      <c r="B94" s="1269" t="s">
        <v>572</v>
      </c>
      <c r="C94" s="1269" t="s">
        <v>110</v>
      </c>
      <c r="D94" s="376" t="s">
        <v>615</v>
      </c>
      <c r="E94" s="376" t="s">
        <v>189</v>
      </c>
      <c r="F94" s="376" t="s">
        <v>190</v>
      </c>
      <c r="G94" s="376" t="s">
        <v>188</v>
      </c>
      <c r="H94" s="363"/>
      <c r="I94" s="363"/>
      <c r="J94" s="363"/>
      <c r="K94" s="363"/>
      <c r="L94" s="363"/>
      <c r="M94" s="363"/>
    </row>
    <row r="95" spans="1:27" s="237" customFormat="1" ht="15" customHeight="1" outlineLevel="1" x14ac:dyDescent="0.25">
      <c r="A95" s="363"/>
      <c r="B95" s="1270"/>
      <c r="C95" s="1270"/>
      <c r="D95" s="379" t="s">
        <v>1922</v>
      </c>
      <c r="E95" s="379" t="s">
        <v>99</v>
      </c>
      <c r="F95" s="379" t="s">
        <v>100</v>
      </c>
      <c r="G95" s="379" t="s">
        <v>1418</v>
      </c>
      <c r="H95" s="363"/>
      <c r="I95" s="363"/>
      <c r="J95" s="363"/>
      <c r="K95" s="363"/>
      <c r="L95" s="363"/>
      <c r="M95" s="363"/>
    </row>
    <row r="96" spans="1:27" s="237" customFormat="1" ht="15" customHeight="1" outlineLevel="1" x14ac:dyDescent="0.25">
      <c r="A96" s="363"/>
      <c r="B96" s="1271"/>
      <c r="C96" s="1271"/>
      <c r="D96" s="570" t="s">
        <v>115</v>
      </c>
      <c r="E96" s="570" t="s">
        <v>115</v>
      </c>
      <c r="F96" s="570" t="s">
        <v>115</v>
      </c>
      <c r="G96" s="570" t="s">
        <v>115</v>
      </c>
      <c r="H96" s="363"/>
      <c r="I96" s="363"/>
      <c r="J96" s="363"/>
      <c r="K96" s="363"/>
      <c r="L96" s="363"/>
      <c r="M96" s="536"/>
      <c r="N96" s="537">
        <v>2</v>
      </c>
      <c r="O96" s="537">
        <v>3</v>
      </c>
      <c r="P96" s="537"/>
      <c r="Q96" s="537">
        <v>4</v>
      </c>
      <c r="R96" s="537">
        <v>5</v>
      </c>
      <c r="S96" s="537"/>
      <c r="T96" s="537">
        <v>6</v>
      </c>
      <c r="U96" s="537">
        <v>7</v>
      </c>
      <c r="V96" s="537"/>
      <c r="W96" s="537">
        <v>8</v>
      </c>
      <c r="X96" s="537">
        <v>9</v>
      </c>
      <c r="Y96" s="537"/>
      <c r="Z96" s="537">
        <v>10</v>
      </c>
      <c r="AA96" s="537">
        <v>11</v>
      </c>
    </row>
    <row r="97" spans="1:28" s="237" customFormat="1" ht="15" customHeight="1" outlineLevel="1" x14ac:dyDescent="0.25">
      <c r="A97" s="363"/>
      <c r="B97" s="571" t="str">
        <f>B226</f>
        <v>PFC-116</v>
      </c>
      <c r="C97" s="572">
        <f>D226</f>
        <v>12200</v>
      </c>
      <c r="D97" s="571">
        <v>3</v>
      </c>
      <c r="E97" s="571">
        <v>5</v>
      </c>
      <c r="F97" s="571">
        <v>0</v>
      </c>
      <c r="G97" s="573">
        <v>73600</v>
      </c>
      <c r="H97" s="542" t="s">
        <v>146</v>
      </c>
      <c r="I97" s="363"/>
      <c r="J97" s="363"/>
      <c r="K97" s="363"/>
      <c r="L97" s="363"/>
      <c r="M97" s="502" t="s">
        <v>550</v>
      </c>
      <c r="N97" s="503" t="s">
        <v>551</v>
      </c>
      <c r="O97" s="504" t="s">
        <v>552</v>
      </c>
      <c r="P97" s="505" t="s">
        <v>566</v>
      </c>
      <c r="Q97" s="504" t="s">
        <v>553</v>
      </c>
      <c r="R97" s="504" t="s">
        <v>554</v>
      </c>
      <c r="S97" s="504" t="s">
        <v>567</v>
      </c>
      <c r="T97" s="503" t="s">
        <v>555</v>
      </c>
      <c r="U97" s="504" t="s">
        <v>556</v>
      </c>
      <c r="V97" s="505" t="s">
        <v>568</v>
      </c>
      <c r="W97" s="503" t="s">
        <v>557</v>
      </c>
      <c r="X97" s="504" t="s">
        <v>558</v>
      </c>
      <c r="Y97" s="505" t="s">
        <v>569</v>
      </c>
      <c r="Z97" s="504" t="s">
        <v>559</v>
      </c>
      <c r="AA97" s="504" t="s">
        <v>560</v>
      </c>
      <c r="AB97" s="505" t="s">
        <v>570</v>
      </c>
    </row>
    <row r="98" spans="1:28" s="237" customFormat="1" ht="15" customHeight="1" outlineLevel="1" x14ac:dyDescent="0.25">
      <c r="A98" s="363"/>
      <c r="B98" s="543"/>
      <c r="C98" s="544" t="str">
        <f t="shared" ref="C98:C112" si="14">IF(B98="","",VLOOKUP(B98,tabela_GWP,3,FALSE))</f>
        <v/>
      </c>
      <c r="D98" s="574"/>
      <c r="E98" s="574"/>
      <c r="F98" s="574"/>
      <c r="G98" s="575" t="str">
        <f>IF(ISBLANK($D98)+ISBLANK($E98)+ISBLANK($F98)&lt;3,($D98+$E98+$F98)*$C98,"")</f>
        <v/>
      </c>
      <c r="H98" s="449"/>
      <c r="I98" s="576"/>
      <c r="J98" s="363"/>
      <c r="K98" s="363"/>
      <c r="L98" s="363"/>
      <c r="M98" s="547" t="e">
        <f>G98/C98</f>
        <v>#VALUE!</v>
      </c>
      <c r="N98" s="548" t="e">
        <f t="shared" ref="N98:O112" si="15">VLOOKUP($B98,$B$239:$L$320,N$58,FALSE)</f>
        <v>#N/A</v>
      </c>
      <c r="O98" s="549" t="e">
        <f t="shared" si="15"/>
        <v>#N/A</v>
      </c>
      <c r="P98" s="550" t="e">
        <f>$M98*O98</f>
        <v>#VALUE!</v>
      </c>
      <c r="Q98" s="549" t="e">
        <f t="shared" ref="Q98:R112" si="16">VLOOKUP($B98,$B$239:$L$320,Q$58,FALSE)</f>
        <v>#N/A</v>
      </c>
      <c r="R98" s="549" t="e">
        <f t="shared" si="16"/>
        <v>#N/A</v>
      </c>
      <c r="S98" s="550" t="e">
        <f>$M98*R98</f>
        <v>#VALUE!</v>
      </c>
      <c r="T98" s="548" t="e">
        <f t="shared" ref="T98:U112" si="17">VLOOKUP($B98,$B$239:$L$320,T$58,FALSE)</f>
        <v>#N/A</v>
      </c>
      <c r="U98" s="549" t="e">
        <f t="shared" si="17"/>
        <v>#N/A</v>
      </c>
      <c r="V98" s="550" t="e">
        <f>$M98*U98</f>
        <v>#VALUE!</v>
      </c>
      <c r="W98" s="548" t="e">
        <f t="shared" ref="W98:X112" si="18">VLOOKUP($B98,$B$239:$L$320,W$58,FALSE)</f>
        <v>#N/A</v>
      </c>
      <c r="X98" s="549" t="e">
        <f t="shared" si="18"/>
        <v>#N/A</v>
      </c>
      <c r="Y98" s="550" t="e">
        <f>$M98*X98</f>
        <v>#VALUE!</v>
      </c>
      <c r="Z98" s="549" t="e">
        <f t="shared" ref="Z98:AA112" si="19">VLOOKUP($B98,$B$239:$L$320,Z$58,FALSE)</f>
        <v>#N/A</v>
      </c>
      <c r="AA98" s="549" t="e">
        <f t="shared" si="19"/>
        <v>#N/A</v>
      </c>
      <c r="AB98" s="550" t="e">
        <f>$M98*AA98</f>
        <v>#VALUE!</v>
      </c>
    </row>
    <row r="99" spans="1:28" s="237" customFormat="1" ht="15" customHeight="1" outlineLevel="1" x14ac:dyDescent="0.25">
      <c r="A99" s="363"/>
      <c r="B99" s="543"/>
      <c r="C99" s="544" t="str">
        <f t="shared" si="14"/>
        <v/>
      </c>
      <c r="D99" s="574"/>
      <c r="E99" s="574"/>
      <c r="F99" s="574"/>
      <c r="G99" s="575" t="str">
        <f t="shared" ref="G99:G112" si="20">IF(ISBLANK($D99)+ISBLANK($E99)+ISBLANK($F99)&lt;3,($D99+$E99+$F99)*$C99,"")</f>
        <v/>
      </c>
      <c r="H99" s="449"/>
      <c r="I99" s="363"/>
      <c r="J99" s="363"/>
      <c r="K99" s="363"/>
      <c r="L99" s="363"/>
      <c r="M99" s="547" t="e">
        <f t="shared" ref="M99:M112" si="21">G99/C99</f>
        <v>#VALUE!</v>
      </c>
      <c r="N99" s="548" t="e">
        <f t="shared" si="15"/>
        <v>#N/A</v>
      </c>
      <c r="O99" s="549" t="e">
        <f t="shared" si="15"/>
        <v>#N/A</v>
      </c>
      <c r="P99" s="550" t="e">
        <f t="shared" ref="P99:P112" si="22">$M99*O99</f>
        <v>#VALUE!</v>
      </c>
      <c r="Q99" s="549" t="e">
        <f t="shared" si="16"/>
        <v>#N/A</v>
      </c>
      <c r="R99" s="549" t="e">
        <f t="shared" si="16"/>
        <v>#N/A</v>
      </c>
      <c r="S99" s="550" t="e">
        <f t="shared" ref="S99:S112" si="23">$M99*R99</f>
        <v>#VALUE!</v>
      </c>
      <c r="T99" s="548" t="e">
        <f t="shared" si="17"/>
        <v>#N/A</v>
      </c>
      <c r="U99" s="549" t="e">
        <f t="shared" si="17"/>
        <v>#N/A</v>
      </c>
      <c r="V99" s="550" t="e">
        <f t="shared" ref="V99:V112" si="24">$M99*U99</f>
        <v>#VALUE!</v>
      </c>
      <c r="W99" s="548" t="e">
        <f t="shared" si="18"/>
        <v>#N/A</v>
      </c>
      <c r="X99" s="549" t="e">
        <f t="shared" si="18"/>
        <v>#N/A</v>
      </c>
      <c r="Y99" s="550" t="e">
        <f t="shared" ref="Y99:Y112" si="25">$M99*X99</f>
        <v>#VALUE!</v>
      </c>
      <c r="Z99" s="549" t="e">
        <f t="shared" si="19"/>
        <v>#N/A</v>
      </c>
      <c r="AA99" s="549" t="e">
        <f t="shared" si="19"/>
        <v>#N/A</v>
      </c>
      <c r="AB99" s="550" t="e">
        <f t="shared" ref="AB99:AB112" si="26">$M99*AA99</f>
        <v>#VALUE!</v>
      </c>
    </row>
    <row r="100" spans="1:28" s="237" customFormat="1" ht="15" customHeight="1" outlineLevel="1" x14ac:dyDescent="0.25">
      <c r="A100" s="363"/>
      <c r="B100" s="543"/>
      <c r="C100" s="544" t="str">
        <f t="shared" si="14"/>
        <v/>
      </c>
      <c r="D100" s="574"/>
      <c r="E100" s="574"/>
      <c r="F100" s="574"/>
      <c r="G100" s="575" t="str">
        <f>IF(ISBLANK($D100)+ISBLANK($E100)+ISBLANK($F100)&lt;3,($D100+$E100+$F100)*$C100,"")</f>
        <v/>
      </c>
      <c r="H100" s="449"/>
      <c r="I100" s="363"/>
      <c r="J100" s="363"/>
      <c r="K100" s="363"/>
      <c r="L100" s="363"/>
      <c r="M100" s="547" t="e">
        <f t="shared" si="21"/>
        <v>#VALUE!</v>
      </c>
      <c r="N100" s="548" t="e">
        <f t="shared" si="15"/>
        <v>#N/A</v>
      </c>
      <c r="O100" s="549" t="e">
        <f t="shared" si="15"/>
        <v>#N/A</v>
      </c>
      <c r="P100" s="550" t="e">
        <f t="shared" si="22"/>
        <v>#VALUE!</v>
      </c>
      <c r="Q100" s="549" t="e">
        <f t="shared" si="16"/>
        <v>#N/A</v>
      </c>
      <c r="R100" s="549" t="e">
        <f t="shared" si="16"/>
        <v>#N/A</v>
      </c>
      <c r="S100" s="550" t="e">
        <f t="shared" si="23"/>
        <v>#VALUE!</v>
      </c>
      <c r="T100" s="548" t="e">
        <f t="shared" si="17"/>
        <v>#N/A</v>
      </c>
      <c r="U100" s="549" t="e">
        <f t="shared" si="17"/>
        <v>#N/A</v>
      </c>
      <c r="V100" s="550" t="e">
        <f t="shared" si="24"/>
        <v>#VALUE!</v>
      </c>
      <c r="W100" s="548" t="e">
        <f t="shared" si="18"/>
        <v>#N/A</v>
      </c>
      <c r="X100" s="549" t="e">
        <f t="shared" si="18"/>
        <v>#N/A</v>
      </c>
      <c r="Y100" s="550" t="e">
        <f t="shared" si="25"/>
        <v>#VALUE!</v>
      </c>
      <c r="Z100" s="549" t="e">
        <f t="shared" si="19"/>
        <v>#N/A</v>
      </c>
      <c r="AA100" s="549" t="e">
        <f t="shared" si="19"/>
        <v>#N/A</v>
      </c>
      <c r="AB100" s="550" t="e">
        <f t="shared" si="26"/>
        <v>#VALUE!</v>
      </c>
    </row>
    <row r="101" spans="1:28" s="237" customFormat="1" ht="15" customHeight="1" outlineLevel="1" x14ac:dyDescent="0.25">
      <c r="A101" s="363"/>
      <c r="B101" s="543"/>
      <c r="C101" s="544" t="str">
        <f t="shared" si="14"/>
        <v/>
      </c>
      <c r="D101" s="574"/>
      <c r="E101" s="574"/>
      <c r="F101" s="574"/>
      <c r="G101" s="575" t="str">
        <f t="shared" si="20"/>
        <v/>
      </c>
      <c r="H101" s="449"/>
      <c r="I101" s="576"/>
      <c r="J101" s="363"/>
      <c r="K101" s="363"/>
      <c r="L101" s="363"/>
      <c r="M101" s="547" t="e">
        <f t="shared" si="21"/>
        <v>#VALUE!</v>
      </c>
      <c r="N101" s="548" t="e">
        <f t="shared" si="15"/>
        <v>#N/A</v>
      </c>
      <c r="O101" s="549" t="e">
        <f t="shared" si="15"/>
        <v>#N/A</v>
      </c>
      <c r="P101" s="550" t="e">
        <f t="shared" si="22"/>
        <v>#VALUE!</v>
      </c>
      <c r="Q101" s="549" t="e">
        <f t="shared" si="16"/>
        <v>#N/A</v>
      </c>
      <c r="R101" s="549" t="e">
        <f t="shared" si="16"/>
        <v>#N/A</v>
      </c>
      <c r="S101" s="550" t="e">
        <f t="shared" si="23"/>
        <v>#VALUE!</v>
      </c>
      <c r="T101" s="548" t="e">
        <f t="shared" si="17"/>
        <v>#N/A</v>
      </c>
      <c r="U101" s="549" t="e">
        <f t="shared" si="17"/>
        <v>#N/A</v>
      </c>
      <c r="V101" s="550" t="e">
        <f t="shared" si="24"/>
        <v>#VALUE!</v>
      </c>
      <c r="W101" s="548" t="e">
        <f t="shared" si="18"/>
        <v>#N/A</v>
      </c>
      <c r="X101" s="549" t="e">
        <f t="shared" si="18"/>
        <v>#N/A</v>
      </c>
      <c r="Y101" s="550" t="e">
        <f t="shared" si="25"/>
        <v>#VALUE!</v>
      </c>
      <c r="Z101" s="549" t="e">
        <f t="shared" si="19"/>
        <v>#N/A</v>
      </c>
      <c r="AA101" s="549" t="e">
        <f t="shared" si="19"/>
        <v>#N/A</v>
      </c>
      <c r="AB101" s="550" t="e">
        <f t="shared" si="26"/>
        <v>#VALUE!</v>
      </c>
    </row>
    <row r="102" spans="1:28" s="237" customFormat="1" ht="15" customHeight="1" outlineLevel="1" x14ac:dyDescent="0.25">
      <c r="A102" s="363"/>
      <c r="B102" s="543"/>
      <c r="C102" s="544" t="str">
        <f t="shared" si="14"/>
        <v/>
      </c>
      <c r="D102" s="574"/>
      <c r="E102" s="574"/>
      <c r="F102" s="574"/>
      <c r="G102" s="575" t="str">
        <f t="shared" si="20"/>
        <v/>
      </c>
      <c r="H102" s="449"/>
      <c r="I102" s="363"/>
      <c r="J102" s="363"/>
      <c r="K102" s="363"/>
      <c r="L102" s="363"/>
      <c r="M102" s="547" t="e">
        <f t="shared" si="21"/>
        <v>#VALUE!</v>
      </c>
      <c r="N102" s="548" t="e">
        <f t="shared" si="15"/>
        <v>#N/A</v>
      </c>
      <c r="O102" s="549" t="e">
        <f t="shared" si="15"/>
        <v>#N/A</v>
      </c>
      <c r="P102" s="550" t="e">
        <f t="shared" si="22"/>
        <v>#VALUE!</v>
      </c>
      <c r="Q102" s="549" t="e">
        <f t="shared" si="16"/>
        <v>#N/A</v>
      </c>
      <c r="R102" s="549" t="e">
        <f t="shared" si="16"/>
        <v>#N/A</v>
      </c>
      <c r="S102" s="550" t="e">
        <f t="shared" si="23"/>
        <v>#VALUE!</v>
      </c>
      <c r="T102" s="548" t="e">
        <f t="shared" si="17"/>
        <v>#N/A</v>
      </c>
      <c r="U102" s="549" t="e">
        <f t="shared" si="17"/>
        <v>#N/A</v>
      </c>
      <c r="V102" s="550" t="e">
        <f t="shared" si="24"/>
        <v>#VALUE!</v>
      </c>
      <c r="W102" s="548" t="e">
        <f t="shared" si="18"/>
        <v>#N/A</v>
      </c>
      <c r="X102" s="549" t="e">
        <f t="shared" si="18"/>
        <v>#N/A</v>
      </c>
      <c r="Y102" s="550" t="e">
        <f t="shared" si="25"/>
        <v>#VALUE!</v>
      </c>
      <c r="Z102" s="549" t="e">
        <f t="shared" si="19"/>
        <v>#N/A</v>
      </c>
      <c r="AA102" s="549" t="e">
        <f t="shared" si="19"/>
        <v>#N/A</v>
      </c>
      <c r="AB102" s="550" t="e">
        <f t="shared" si="26"/>
        <v>#VALUE!</v>
      </c>
    </row>
    <row r="103" spans="1:28" s="237" customFormat="1" ht="15" customHeight="1" outlineLevel="1" x14ac:dyDescent="0.25">
      <c r="A103" s="363"/>
      <c r="B103" s="543"/>
      <c r="C103" s="544" t="str">
        <f t="shared" si="14"/>
        <v/>
      </c>
      <c r="D103" s="574"/>
      <c r="E103" s="574"/>
      <c r="F103" s="574"/>
      <c r="G103" s="575" t="str">
        <f t="shared" si="20"/>
        <v/>
      </c>
      <c r="H103" s="449"/>
      <c r="I103" s="363"/>
      <c r="J103" s="363"/>
      <c r="K103" s="363"/>
      <c r="L103" s="363"/>
      <c r="M103" s="547" t="e">
        <f t="shared" si="21"/>
        <v>#VALUE!</v>
      </c>
      <c r="N103" s="548" t="e">
        <f t="shared" si="15"/>
        <v>#N/A</v>
      </c>
      <c r="O103" s="549" t="e">
        <f t="shared" si="15"/>
        <v>#N/A</v>
      </c>
      <c r="P103" s="550" t="e">
        <f t="shared" si="22"/>
        <v>#VALUE!</v>
      </c>
      <c r="Q103" s="549" t="e">
        <f t="shared" si="16"/>
        <v>#N/A</v>
      </c>
      <c r="R103" s="549" t="e">
        <f t="shared" si="16"/>
        <v>#N/A</v>
      </c>
      <c r="S103" s="550" t="e">
        <f t="shared" si="23"/>
        <v>#VALUE!</v>
      </c>
      <c r="T103" s="548" t="e">
        <f t="shared" si="17"/>
        <v>#N/A</v>
      </c>
      <c r="U103" s="549" t="e">
        <f t="shared" si="17"/>
        <v>#N/A</v>
      </c>
      <c r="V103" s="550" t="e">
        <f t="shared" si="24"/>
        <v>#VALUE!</v>
      </c>
      <c r="W103" s="548" t="e">
        <f t="shared" si="18"/>
        <v>#N/A</v>
      </c>
      <c r="X103" s="549" t="e">
        <f t="shared" si="18"/>
        <v>#N/A</v>
      </c>
      <c r="Y103" s="550" t="e">
        <f t="shared" si="25"/>
        <v>#VALUE!</v>
      </c>
      <c r="Z103" s="549" t="e">
        <f t="shared" si="19"/>
        <v>#N/A</v>
      </c>
      <c r="AA103" s="549" t="e">
        <f t="shared" si="19"/>
        <v>#N/A</v>
      </c>
      <c r="AB103" s="550" t="e">
        <f t="shared" si="26"/>
        <v>#VALUE!</v>
      </c>
    </row>
    <row r="104" spans="1:28" s="237" customFormat="1" ht="15" customHeight="1" outlineLevel="1" x14ac:dyDescent="0.25">
      <c r="A104" s="363"/>
      <c r="B104" s="543"/>
      <c r="C104" s="544" t="str">
        <f t="shared" si="14"/>
        <v/>
      </c>
      <c r="D104" s="574"/>
      <c r="E104" s="574"/>
      <c r="F104" s="574"/>
      <c r="G104" s="575" t="str">
        <f t="shared" si="20"/>
        <v/>
      </c>
      <c r="H104" s="449"/>
      <c r="I104" s="363"/>
      <c r="J104" s="363"/>
      <c r="K104" s="363"/>
      <c r="L104" s="363"/>
      <c r="M104" s="547" t="e">
        <f t="shared" si="21"/>
        <v>#VALUE!</v>
      </c>
      <c r="N104" s="548" t="e">
        <f t="shared" si="15"/>
        <v>#N/A</v>
      </c>
      <c r="O104" s="549" t="e">
        <f t="shared" si="15"/>
        <v>#N/A</v>
      </c>
      <c r="P104" s="550" t="e">
        <f t="shared" si="22"/>
        <v>#VALUE!</v>
      </c>
      <c r="Q104" s="549" t="e">
        <f t="shared" si="16"/>
        <v>#N/A</v>
      </c>
      <c r="R104" s="549" t="e">
        <f t="shared" si="16"/>
        <v>#N/A</v>
      </c>
      <c r="S104" s="550" t="e">
        <f t="shared" si="23"/>
        <v>#VALUE!</v>
      </c>
      <c r="T104" s="548" t="e">
        <f t="shared" si="17"/>
        <v>#N/A</v>
      </c>
      <c r="U104" s="549" t="e">
        <f t="shared" si="17"/>
        <v>#N/A</v>
      </c>
      <c r="V104" s="550" t="e">
        <f t="shared" si="24"/>
        <v>#VALUE!</v>
      </c>
      <c r="W104" s="548" t="e">
        <f t="shared" si="18"/>
        <v>#N/A</v>
      </c>
      <c r="X104" s="549" t="e">
        <f t="shared" si="18"/>
        <v>#N/A</v>
      </c>
      <c r="Y104" s="550" t="e">
        <f t="shared" si="25"/>
        <v>#VALUE!</v>
      </c>
      <c r="Z104" s="549" t="e">
        <f t="shared" si="19"/>
        <v>#N/A</v>
      </c>
      <c r="AA104" s="549" t="e">
        <f t="shared" si="19"/>
        <v>#N/A</v>
      </c>
      <c r="AB104" s="550" t="e">
        <f t="shared" si="26"/>
        <v>#VALUE!</v>
      </c>
    </row>
    <row r="105" spans="1:28" s="237" customFormat="1" ht="15" customHeight="1" outlineLevel="1" x14ac:dyDescent="0.25">
      <c r="A105" s="363"/>
      <c r="B105" s="543"/>
      <c r="C105" s="544" t="str">
        <f t="shared" si="14"/>
        <v/>
      </c>
      <c r="D105" s="574"/>
      <c r="E105" s="574"/>
      <c r="F105" s="574"/>
      <c r="G105" s="575" t="str">
        <f t="shared" si="20"/>
        <v/>
      </c>
      <c r="H105" s="449"/>
      <c r="I105" s="363"/>
      <c r="J105" s="363"/>
      <c r="K105" s="363"/>
      <c r="L105" s="363"/>
      <c r="M105" s="547" t="e">
        <f t="shared" si="21"/>
        <v>#VALUE!</v>
      </c>
      <c r="N105" s="548" t="e">
        <f t="shared" si="15"/>
        <v>#N/A</v>
      </c>
      <c r="O105" s="549" t="e">
        <f t="shared" si="15"/>
        <v>#N/A</v>
      </c>
      <c r="P105" s="550" t="e">
        <f t="shared" si="22"/>
        <v>#VALUE!</v>
      </c>
      <c r="Q105" s="549" t="e">
        <f t="shared" si="16"/>
        <v>#N/A</v>
      </c>
      <c r="R105" s="549" t="e">
        <f t="shared" si="16"/>
        <v>#N/A</v>
      </c>
      <c r="S105" s="550" t="e">
        <f t="shared" si="23"/>
        <v>#VALUE!</v>
      </c>
      <c r="T105" s="548" t="e">
        <f t="shared" si="17"/>
        <v>#N/A</v>
      </c>
      <c r="U105" s="549" t="e">
        <f t="shared" si="17"/>
        <v>#N/A</v>
      </c>
      <c r="V105" s="550" t="e">
        <f t="shared" si="24"/>
        <v>#VALUE!</v>
      </c>
      <c r="W105" s="548" t="e">
        <f t="shared" si="18"/>
        <v>#N/A</v>
      </c>
      <c r="X105" s="549" t="e">
        <f t="shared" si="18"/>
        <v>#N/A</v>
      </c>
      <c r="Y105" s="550" t="e">
        <f t="shared" si="25"/>
        <v>#VALUE!</v>
      </c>
      <c r="Z105" s="549" t="e">
        <f t="shared" si="19"/>
        <v>#N/A</v>
      </c>
      <c r="AA105" s="549" t="e">
        <f t="shared" si="19"/>
        <v>#N/A</v>
      </c>
      <c r="AB105" s="550" t="e">
        <f t="shared" si="26"/>
        <v>#VALUE!</v>
      </c>
    </row>
    <row r="106" spans="1:28" s="237" customFormat="1" ht="15" customHeight="1" outlineLevel="1" x14ac:dyDescent="0.25">
      <c r="A106" s="363"/>
      <c r="B106" s="543"/>
      <c r="C106" s="544" t="str">
        <f t="shared" si="14"/>
        <v/>
      </c>
      <c r="D106" s="574"/>
      <c r="E106" s="574"/>
      <c r="F106" s="574"/>
      <c r="G106" s="575" t="str">
        <f t="shared" si="20"/>
        <v/>
      </c>
      <c r="H106" s="449"/>
      <c r="I106" s="363"/>
      <c r="J106" s="363"/>
      <c r="K106" s="363"/>
      <c r="L106" s="363"/>
      <c r="M106" s="547" t="e">
        <f t="shared" si="21"/>
        <v>#VALUE!</v>
      </c>
      <c r="N106" s="548" t="e">
        <f t="shared" si="15"/>
        <v>#N/A</v>
      </c>
      <c r="O106" s="549" t="e">
        <f t="shared" si="15"/>
        <v>#N/A</v>
      </c>
      <c r="P106" s="550" t="e">
        <f t="shared" si="22"/>
        <v>#VALUE!</v>
      </c>
      <c r="Q106" s="549" t="e">
        <f t="shared" si="16"/>
        <v>#N/A</v>
      </c>
      <c r="R106" s="549" t="e">
        <f t="shared" si="16"/>
        <v>#N/A</v>
      </c>
      <c r="S106" s="550" t="e">
        <f t="shared" si="23"/>
        <v>#VALUE!</v>
      </c>
      <c r="T106" s="548" t="e">
        <f t="shared" si="17"/>
        <v>#N/A</v>
      </c>
      <c r="U106" s="549" t="e">
        <f t="shared" si="17"/>
        <v>#N/A</v>
      </c>
      <c r="V106" s="550" t="e">
        <f t="shared" si="24"/>
        <v>#VALUE!</v>
      </c>
      <c r="W106" s="548" t="e">
        <f t="shared" si="18"/>
        <v>#N/A</v>
      </c>
      <c r="X106" s="549" t="e">
        <f t="shared" si="18"/>
        <v>#N/A</v>
      </c>
      <c r="Y106" s="550" t="e">
        <f t="shared" si="25"/>
        <v>#VALUE!</v>
      </c>
      <c r="Z106" s="549" t="e">
        <f t="shared" si="19"/>
        <v>#N/A</v>
      </c>
      <c r="AA106" s="549" t="e">
        <f t="shared" si="19"/>
        <v>#N/A</v>
      </c>
      <c r="AB106" s="550" t="e">
        <f t="shared" si="26"/>
        <v>#VALUE!</v>
      </c>
    </row>
    <row r="107" spans="1:28" s="237" customFormat="1" ht="15" customHeight="1" outlineLevel="1" x14ac:dyDescent="0.25">
      <c r="A107" s="363"/>
      <c r="B107" s="543"/>
      <c r="C107" s="544" t="str">
        <f t="shared" si="14"/>
        <v/>
      </c>
      <c r="D107" s="574"/>
      <c r="E107" s="574"/>
      <c r="F107" s="574"/>
      <c r="G107" s="575" t="str">
        <f t="shared" si="20"/>
        <v/>
      </c>
      <c r="H107" s="449"/>
      <c r="I107" s="363"/>
      <c r="J107" s="363"/>
      <c r="K107" s="363"/>
      <c r="L107" s="363"/>
      <c r="M107" s="547" t="e">
        <f t="shared" si="21"/>
        <v>#VALUE!</v>
      </c>
      <c r="N107" s="548" t="e">
        <f t="shared" si="15"/>
        <v>#N/A</v>
      </c>
      <c r="O107" s="549" t="e">
        <f t="shared" si="15"/>
        <v>#N/A</v>
      </c>
      <c r="P107" s="550" t="e">
        <f t="shared" si="22"/>
        <v>#VALUE!</v>
      </c>
      <c r="Q107" s="549" t="e">
        <f t="shared" si="16"/>
        <v>#N/A</v>
      </c>
      <c r="R107" s="549" t="e">
        <f t="shared" si="16"/>
        <v>#N/A</v>
      </c>
      <c r="S107" s="550" t="e">
        <f t="shared" si="23"/>
        <v>#VALUE!</v>
      </c>
      <c r="T107" s="548" t="e">
        <f t="shared" si="17"/>
        <v>#N/A</v>
      </c>
      <c r="U107" s="549" t="e">
        <f t="shared" si="17"/>
        <v>#N/A</v>
      </c>
      <c r="V107" s="550" t="e">
        <f t="shared" si="24"/>
        <v>#VALUE!</v>
      </c>
      <c r="W107" s="548" t="e">
        <f t="shared" si="18"/>
        <v>#N/A</v>
      </c>
      <c r="X107" s="549" t="e">
        <f t="shared" si="18"/>
        <v>#N/A</v>
      </c>
      <c r="Y107" s="550" t="e">
        <f t="shared" si="25"/>
        <v>#VALUE!</v>
      </c>
      <c r="Z107" s="549" t="e">
        <f t="shared" si="19"/>
        <v>#N/A</v>
      </c>
      <c r="AA107" s="549" t="e">
        <f t="shared" si="19"/>
        <v>#N/A</v>
      </c>
      <c r="AB107" s="550" t="e">
        <f t="shared" si="26"/>
        <v>#VALUE!</v>
      </c>
    </row>
    <row r="108" spans="1:28" s="237" customFormat="1" ht="15" customHeight="1" outlineLevel="1" x14ac:dyDescent="0.25">
      <c r="A108" s="363"/>
      <c r="B108" s="543"/>
      <c r="C108" s="544" t="str">
        <f t="shared" si="14"/>
        <v/>
      </c>
      <c r="D108" s="574"/>
      <c r="E108" s="574"/>
      <c r="F108" s="574"/>
      <c r="G108" s="575" t="str">
        <f t="shared" si="20"/>
        <v/>
      </c>
      <c r="H108" s="449"/>
      <c r="I108" s="363"/>
      <c r="J108" s="363"/>
      <c r="K108" s="363"/>
      <c r="L108" s="363"/>
      <c r="M108" s="547" t="e">
        <f t="shared" si="21"/>
        <v>#VALUE!</v>
      </c>
      <c r="N108" s="548" t="e">
        <f t="shared" si="15"/>
        <v>#N/A</v>
      </c>
      <c r="O108" s="549" t="e">
        <f t="shared" si="15"/>
        <v>#N/A</v>
      </c>
      <c r="P108" s="550" t="e">
        <f t="shared" si="22"/>
        <v>#VALUE!</v>
      </c>
      <c r="Q108" s="549" t="e">
        <f t="shared" si="16"/>
        <v>#N/A</v>
      </c>
      <c r="R108" s="549" t="e">
        <f t="shared" si="16"/>
        <v>#N/A</v>
      </c>
      <c r="S108" s="550" t="e">
        <f t="shared" si="23"/>
        <v>#VALUE!</v>
      </c>
      <c r="T108" s="548" t="e">
        <f t="shared" si="17"/>
        <v>#N/A</v>
      </c>
      <c r="U108" s="549" t="e">
        <f t="shared" si="17"/>
        <v>#N/A</v>
      </c>
      <c r="V108" s="550" t="e">
        <f t="shared" si="24"/>
        <v>#VALUE!</v>
      </c>
      <c r="W108" s="548" t="e">
        <f t="shared" si="18"/>
        <v>#N/A</v>
      </c>
      <c r="X108" s="549" t="e">
        <f t="shared" si="18"/>
        <v>#N/A</v>
      </c>
      <c r="Y108" s="550" t="e">
        <f t="shared" si="25"/>
        <v>#VALUE!</v>
      </c>
      <c r="Z108" s="549" t="e">
        <f t="shared" si="19"/>
        <v>#N/A</v>
      </c>
      <c r="AA108" s="549" t="e">
        <f t="shared" si="19"/>
        <v>#N/A</v>
      </c>
      <c r="AB108" s="550" t="e">
        <f t="shared" si="26"/>
        <v>#VALUE!</v>
      </c>
    </row>
    <row r="109" spans="1:28" s="237" customFormat="1" ht="15" customHeight="1" outlineLevel="1" x14ac:dyDescent="0.25">
      <c r="A109" s="363"/>
      <c r="B109" s="543"/>
      <c r="C109" s="544" t="str">
        <f t="shared" si="14"/>
        <v/>
      </c>
      <c r="D109" s="574"/>
      <c r="E109" s="574"/>
      <c r="F109" s="574"/>
      <c r="G109" s="575" t="str">
        <f t="shared" si="20"/>
        <v/>
      </c>
      <c r="H109" s="449"/>
      <c r="I109" s="363"/>
      <c r="J109" s="363"/>
      <c r="K109" s="363"/>
      <c r="L109" s="363"/>
      <c r="M109" s="547" t="e">
        <f t="shared" si="21"/>
        <v>#VALUE!</v>
      </c>
      <c r="N109" s="548" t="e">
        <f t="shared" si="15"/>
        <v>#N/A</v>
      </c>
      <c r="O109" s="549" t="e">
        <f t="shared" si="15"/>
        <v>#N/A</v>
      </c>
      <c r="P109" s="550" t="e">
        <f t="shared" si="22"/>
        <v>#VALUE!</v>
      </c>
      <c r="Q109" s="549" t="e">
        <f t="shared" si="16"/>
        <v>#N/A</v>
      </c>
      <c r="R109" s="549" t="e">
        <f t="shared" si="16"/>
        <v>#N/A</v>
      </c>
      <c r="S109" s="550" t="e">
        <f t="shared" si="23"/>
        <v>#VALUE!</v>
      </c>
      <c r="T109" s="548" t="e">
        <f t="shared" si="17"/>
        <v>#N/A</v>
      </c>
      <c r="U109" s="549" t="e">
        <f t="shared" si="17"/>
        <v>#N/A</v>
      </c>
      <c r="V109" s="550" t="e">
        <f t="shared" si="24"/>
        <v>#VALUE!</v>
      </c>
      <c r="W109" s="548" t="e">
        <f t="shared" si="18"/>
        <v>#N/A</v>
      </c>
      <c r="X109" s="549" t="e">
        <f t="shared" si="18"/>
        <v>#N/A</v>
      </c>
      <c r="Y109" s="550" t="e">
        <f t="shared" si="25"/>
        <v>#VALUE!</v>
      </c>
      <c r="Z109" s="549" t="e">
        <f t="shared" si="19"/>
        <v>#N/A</v>
      </c>
      <c r="AA109" s="549" t="e">
        <f t="shared" si="19"/>
        <v>#N/A</v>
      </c>
      <c r="AB109" s="550" t="e">
        <f t="shared" si="26"/>
        <v>#VALUE!</v>
      </c>
    </row>
    <row r="110" spans="1:28" s="237" customFormat="1" ht="15" customHeight="1" outlineLevel="1" x14ac:dyDescent="0.25">
      <c r="A110" s="363"/>
      <c r="B110" s="543"/>
      <c r="C110" s="544" t="str">
        <f t="shared" si="14"/>
        <v/>
      </c>
      <c r="D110" s="574"/>
      <c r="E110" s="574"/>
      <c r="F110" s="574"/>
      <c r="G110" s="575" t="str">
        <f t="shared" si="20"/>
        <v/>
      </c>
      <c r="H110" s="449"/>
      <c r="I110" s="363"/>
      <c r="J110" s="363"/>
      <c r="K110" s="363"/>
      <c r="L110" s="363"/>
      <c r="M110" s="547" t="e">
        <f t="shared" si="21"/>
        <v>#VALUE!</v>
      </c>
      <c r="N110" s="548" t="e">
        <f t="shared" si="15"/>
        <v>#N/A</v>
      </c>
      <c r="O110" s="549" t="e">
        <f t="shared" si="15"/>
        <v>#N/A</v>
      </c>
      <c r="P110" s="550" t="e">
        <f t="shared" si="22"/>
        <v>#VALUE!</v>
      </c>
      <c r="Q110" s="549" t="e">
        <f t="shared" si="16"/>
        <v>#N/A</v>
      </c>
      <c r="R110" s="549" t="e">
        <f t="shared" si="16"/>
        <v>#N/A</v>
      </c>
      <c r="S110" s="550" t="e">
        <f t="shared" si="23"/>
        <v>#VALUE!</v>
      </c>
      <c r="T110" s="548" t="e">
        <f t="shared" si="17"/>
        <v>#N/A</v>
      </c>
      <c r="U110" s="549" t="e">
        <f t="shared" si="17"/>
        <v>#N/A</v>
      </c>
      <c r="V110" s="550" t="e">
        <f t="shared" si="24"/>
        <v>#VALUE!</v>
      </c>
      <c r="W110" s="548" t="e">
        <f t="shared" si="18"/>
        <v>#N/A</v>
      </c>
      <c r="X110" s="549" t="e">
        <f t="shared" si="18"/>
        <v>#N/A</v>
      </c>
      <c r="Y110" s="550" t="e">
        <f t="shared" si="25"/>
        <v>#VALUE!</v>
      </c>
      <c r="Z110" s="549" t="e">
        <f t="shared" si="19"/>
        <v>#N/A</v>
      </c>
      <c r="AA110" s="549" t="e">
        <f t="shared" si="19"/>
        <v>#N/A</v>
      </c>
      <c r="AB110" s="550" t="e">
        <f t="shared" si="26"/>
        <v>#VALUE!</v>
      </c>
    </row>
    <row r="111" spans="1:28" s="237" customFormat="1" ht="15" customHeight="1" outlineLevel="1" x14ac:dyDescent="0.25">
      <c r="A111" s="363"/>
      <c r="B111" s="543"/>
      <c r="C111" s="544" t="str">
        <f t="shared" si="14"/>
        <v/>
      </c>
      <c r="D111" s="574"/>
      <c r="E111" s="574"/>
      <c r="F111" s="574"/>
      <c r="G111" s="575" t="str">
        <f t="shared" si="20"/>
        <v/>
      </c>
      <c r="H111" s="449"/>
      <c r="I111" s="363"/>
      <c r="J111" s="363"/>
      <c r="K111" s="363"/>
      <c r="L111" s="363"/>
      <c r="M111" s="547" t="e">
        <f t="shared" si="21"/>
        <v>#VALUE!</v>
      </c>
      <c r="N111" s="548" t="e">
        <f t="shared" si="15"/>
        <v>#N/A</v>
      </c>
      <c r="O111" s="549" t="e">
        <f t="shared" si="15"/>
        <v>#N/A</v>
      </c>
      <c r="P111" s="550" t="e">
        <f t="shared" si="22"/>
        <v>#VALUE!</v>
      </c>
      <c r="Q111" s="549" t="e">
        <f t="shared" si="16"/>
        <v>#N/A</v>
      </c>
      <c r="R111" s="549" t="e">
        <f t="shared" si="16"/>
        <v>#N/A</v>
      </c>
      <c r="S111" s="550" t="e">
        <f t="shared" si="23"/>
        <v>#VALUE!</v>
      </c>
      <c r="T111" s="548" t="e">
        <f t="shared" si="17"/>
        <v>#N/A</v>
      </c>
      <c r="U111" s="549" t="e">
        <f t="shared" si="17"/>
        <v>#N/A</v>
      </c>
      <c r="V111" s="550" t="e">
        <f t="shared" si="24"/>
        <v>#VALUE!</v>
      </c>
      <c r="W111" s="548" t="e">
        <f t="shared" si="18"/>
        <v>#N/A</v>
      </c>
      <c r="X111" s="549" t="e">
        <f t="shared" si="18"/>
        <v>#N/A</v>
      </c>
      <c r="Y111" s="550" t="e">
        <f t="shared" si="25"/>
        <v>#VALUE!</v>
      </c>
      <c r="Z111" s="549" t="e">
        <f t="shared" si="19"/>
        <v>#N/A</v>
      </c>
      <c r="AA111" s="549" t="e">
        <f t="shared" si="19"/>
        <v>#N/A</v>
      </c>
      <c r="AB111" s="550" t="e">
        <f t="shared" si="26"/>
        <v>#VALUE!</v>
      </c>
    </row>
    <row r="112" spans="1:28" s="237" customFormat="1" ht="15" customHeight="1" outlineLevel="1" x14ac:dyDescent="0.25">
      <c r="A112" s="363"/>
      <c r="B112" s="543"/>
      <c r="C112" s="544" t="str">
        <f t="shared" si="14"/>
        <v/>
      </c>
      <c r="D112" s="574"/>
      <c r="E112" s="574"/>
      <c r="F112" s="574"/>
      <c r="G112" s="575" t="str">
        <f t="shared" si="20"/>
        <v/>
      </c>
      <c r="H112" s="449"/>
      <c r="I112" s="363"/>
      <c r="J112" s="363"/>
      <c r="K112" s="363"/>
      <c r="L112" s="363"/>
      <c r="M112" s="551" t="e">
        <f t="shared" si="21"/>
        <v>#VALUE!</v>
      </c>
      <c r="N112" s="552" t="e">
        <f t="shared" si="15"/>
        <v>#N/A</v>
      </c>
      <c r="O112" s="553" t="e">
        <f t="shared" si="15"/>
        <v>#N/A</v>
      </c>
      <c r="P112" s="554" t="e">
        <f t="shared" si="22"/>
        <v>#VALUE!</v>
      </c>
      <c r="Q112" s="553" t="e">
        <f t="shared" si="16"/>
        <v>#N/A</v>
      </c>
      <c r="R112" s="553" t="e">
        <f t="shared" si="16"/>
        <v>#N/A</v>
      </c>
      <c r="S112" s="554" t="e">
        <f t="shared" si="23"/>
        <v>#VALUE!</v>
      </c>
      <c r="T112" s="552" t="e">
        <f t="shared" si="17"/>
        <v>#N/A</v>
      </c>
      <c r="U112" s="553" t="e">
        <f t="shared" si="17"/>
        <v>#N/A</v>
      </c>
      <c r="V112" s="554" t="e">
        <f t="shared" si="24"/>
        <v>#VALUE!</v>
      </c>
      <c r="W112" s="552" t="e">
        <f t="shared" si="18"/>
        <v>#N/A</v>
      </c>
      <c r="X112" s="553" t="e">
        <f t="shared" si="18"/>
        <v>#N/A</v>
      </c>
      <c r="Y112" s="554" t="e">
        <f t="shared" si="25"/>
        <v>#VALUE!</v>
      </c>
      <c r="Z112" s="553" t="e">
        <f t="shared" si="19"/>
        <v>#N/A</v>
      </c>
      <c r="AA112" s="553" t="e">
        <f t="shared" si="19"/>
        <v>#N/A</v>
      </c>
      <c r="AB112" s="554" t="e">
        <f t="shared" si="26"/>
        <v>#VALUE!</v>
      </c>
    </row>
    <row r="113" spans="1:13" s="237" customFormat="1" ht="15" customHeight="1" outlineLevel="1" x14ac:dyDescent="0.25">
      <c r="A113" s="524"/>
      <c r="B113" s="577" t="s">
        <v>78</v>
      </c>
      <c r="C113" s="514"/>
      <c r="D113" s="578"/>
      <c r="E113" s="578"/>
      <c r="F113" s="579"/>
      <c r="G113" s="557">
        <f>SUM(G98:G112)</f>
        <v>0</v>
      </c>
      <c r="H113" s="449"/>
      <c r="I113" s="363"/>
      <c r="J113" s="363"/>
      <c r="K113" s="363"/>
      <c r="L113" s="363"/>
      <c r="M113" s="363"/>
    </row>
    <row r="114" spans="1:13" s="237" customFormat="1" ht="20.100000000000001" customHeight="1" outlineLevel="1" x14ac:dyDescent="0.25">
      <c r="A114" s="363"/>
      <c r="B114" s="363"/>
      <c r="C114" s="363"/>
      <c r="D114" s="363"/>
      <c r="E114" s="363"/>
      <c r="F114" s="363"/>
      <c r="G114" s="363"/>
      <c r="H114" s="363"/>
      <c r="I114" s="363"/>
      <c r="J114" s="363"/>
      <c r="K114" s="363"/>
      <c r="L114" s="363"/>
      <c r="M114" s="363"/>
    </row>
    <row r="115" spans="1:13" s="237" customFormat="1" ht="15" customHeight="1" outlineLevel="1" x14ac:dyDescent="0.25">
      <c r="A115" s="363"/>
      <c r="B115" s="468" t="s">
        <v>1342</v>
      </c>
      <c r="C115" s="363"/>
      <c r="D115" s="363"/>
      <c r="E115" s="363"/>
      <c r="F115" s="363"/>
      <c r="G115" s="363"/>
      <c r="H115" s="363"/>
      <c r="I115" s="363"/>
      <c r="J115" s="363"/>
      <c r="K115" s="363"/>
      <c r="L115" s="363"/>
      <c r="M115" s="363"/>
    </row>
    <row r="116" spans="1:13" s="237" customFormat="1" ht="15" customHeight="1" outlineLevel="1" x14ac:dyDescent="0.25">
      <c r="A116" s="363"/>
      <c r="B116" s="528" t="s">
        <v>1923</v>
      </c>
      <c r="C116" s="513"/>
      <c r="D116" s="363"/>
      <c r="E116" s="363"/>
      <c r="F116" s="363"/>
      <c r="G116" s="363"/>
      <c r="H116" s="363"/>
      <c r="I116" s="363"/>
      <c r="J116" s="363"/>
      <c r="K116" s="363"/>
      <c r="L116" s="363"/>
      <c r="M116" s="363"/>
    </row>
    <row r="117" spans="1:13" s="237" customFormat="1" ht="15" customHeight="1" outlineLevel="1" x14ac:dyDescent="0.25">
      <c r="A117" s="363"/>
      <c r="B117" s="529" t="s">
        <v>1924</v>
      </c>
      <c r="C117" s="205"/>
      <c r="D117" s="205"/>
      <c r="E117" s="205"/>
      <c r="F117" s="205"/>
      <c r="G117" s="205"/>
      <c r="H117" s="363"/>
      <c r="I117" s="363"/>
      <c r="J117" s="363"/>
      <c r="K117" s="363"/>
      <c r="L117" s="363"/>
      <c r="M117" s="363"/>
    </row>
    <row r="118" spans="1:13" s="237" customFormat="1" ht="15" customHeight="1" outlineLevel="1" x14ac:dyDescent="0.25">
      <c r="A118" s="363"/>
      <c r="B118" s="529" t="s">
        <v>1925</v>
      </c>
      <c r="C118" s="205"/>
      <c r="D118" s="205"/>
      <c r="E118" s="205"/>
      <c r="F118" s="205"/>
      <c r="G118" s="205"/>
      <c r="H118" s="363"/>
      <c r="I118" s="363"/>
      <c r="J118" s="363"/>
      <c r="K118" s="363"/>
      <c r="L118" s="363"/>
      <c r="M118" s="363"/>
    </row>
    <row r="119" spans="1:13" s="237" customFormat="1" ht="15" customHeight="1" outlineLevel="1" x14ac:dyDescent="0.25">
      <c r="A119" s="363"/>
      <c r="B119" s="529" t="s">
        <v>1948</v>
      </c>
      <c r="C119" s="205"/>
      <c r="D119" s="205"/>
      <c r="E119" s="205"/>
      <c r="F119" s="205"/>
      <c r="G119" s="205"/>
      <c r="H119" s="363"/>
      <c r="I119" s="363"/>
      <c r="J119" s="363"/>
      <c r="K119" s="363"/>
      <c r="L119" s="363"/>
      <c r="M119" s="363"/>
    </row>
    <row r="120" spans="1:13" s="237" customFormat="1" ht="15" customHeight="1" outlineLevel="1" x14ac:dyDescent="0.25">
      <c r="A120" s="363"/>
      <c r="B120" s="580" t="s">
        <v>528</v>
      </c>
      <c r="C120" s="205"/>
      <c r="D120" s="205"/>
      <c r="E120" s="205"/>
      <c r="F120" s="205"/>
      <c r="G120" s="205"/>
      <c r="H120" s="363"/>
      <c r="I120" s="363"/>
      <c r="J120" s="363"/>
      <c r="K120" s="363"/>
      <c r="L120" s="363"/>
      <c r="M120" s="363"/>
    </row>
    <row r="121" spans="1:13" s="237" customFormat="1" ht="15" customHeight="1" outlineLevel="1" x14ac:dyDescent="0.25">
      <c r="A121" s="363"/>
      <c r="B121" s="580" t="s">
        <v>1926</v>
      </c>
      <c r="C121" s="205"/>
      <c r="D121" s="205"/>
      <c r="E121" s="205"/>
      <c r="F121" s="205"/>
      <c r="G121" s="205"/>
      <c r="H121" s="363"/>
      <c r="I121" s="363"/>
      <c r="J121" s="363"/>
      <c r="K121" s="363"/>
      <c r="L121" s="363"/>
      <c r="M121" s="363"/>
    </row>
    <row r="122" spans="1:13" s="237" customFormat="1" ht="15" customHeight="1" outlineLevel="1" x14ac:dyDescent="0.25">
      <c r="A122" s="363"/>
      <c r="B122" s="580" t="s">
        <v>529</v>
      </c>
      <c r="C122" s="205"/>
      <c r="D122" s="205"/>
      <c r="E122" s="205"/>
      <c r="F122" s="205"/>
      <c r="G122" s="205"/>
      <c r="H122" s="363"/>
      <c r="I122" s="363"/>
      <c r="J122" s="363"/>
      <c r="K122" s="363"/>
      <c r="L122" s="363"/>
      <c r="M122" s="363"/>
    </row>
    <row r="123" spans="1:13" s="237" customFormat="1" ht="15" customHeight="1" outlineLevel="1" x14ac:dyDescent="0.25">
      <c r="A123" s="363"/>
      <c r="B123" s="580" t="s">
        <v>530</v>
      </c>
      <c r="C123" s="205"/>
      <c r="D123" s="205"/>
      <c r="E123" s="205"/>
      <c r="F123" s="205"/>
      <c r="G123" s="205"/>
      <c r="H123" s="363"/>
      <c r="I123" s="363"/>
      <c r="J123" s="363"/>
      <c r="K123" s="363"/>
      <c r="L123" s="363"/>
      <c r="M123" s="363"/>
    </row>
    <row r="124" spans="1:13" s="237" customFormat="1" ht="15" customHeight="1" outlineLevel="1" x14ac:dyDescent="0.25">
      <c r="A124" s="363"/>
      <c r="B124" s="530" t="s">
        <v>531</v>
      </c>
      <c r="C124" s="205"/>
      <c r="D124" s="205"/>
      <c r="E124" s="205"/>
      <c r="F124" s="205"/>
      <c r="G124" s="205"/>
      <c r="H124" s="363"/>
      <c r="I124" s="363"/>
      <c r="J124" s="363"/>
      <c r="K124" s="363"/>
      <c r="L124" s="363"/>
      <c r="M124" s="363"/>
    </row>
    <row r="125" spans="1:13" s="237" customFormat="1" ht="20.100000000000001" customHeight="1" outlineLevel="1" x14ac:dyDescent="0.25">
      <c r="A125" s="363"/>
      <c r="B125" s="373"/>
      <c r="C125" s="373"/>
      <c r="D125" s="363"/>
      <c r="E125" s="363"/>
      <c r="F125" s="363"/>
      <c r="G125" s="363"/>
      <c r="H125" s="363"/>
      <c r="I125" s="363"/>
      <c r="J125" s="363"/>
      <c r="K125" s="363"/>
      <c r="L125" s="363"/>
      <c r="M125" s="363"/>
    </row>
    <row r="126" spans="1:13" s="237" customFormat="1" ht="15" customHeight="1" outlineLevel="1" x14ac:dyDescent="0.25">
      <c r="A126" s="363"/>
      <c r="B126" s="468" t="s">
        <v>532</v>
      </c>
      <c r="C126" s="373"/>
      <c r="D126" s="363"/>
      <c r="E126" s="363"/>
      <c r="F126" s="363"/>
      <c r="G126" s="363"/>
      <c r="H126" s="363"/>
      <c r="I126" s="363"/>
      <c r="J126" s="363"/>
      <c r="K126" s="363"/>
      <c r="L126" s="363"/>
      <c r="M126" s="363"/>
    </row>
    <row r="127" spans="1:13" s="237" customFormat="1" ht="15" customHeight="1" outlineLevel="1" x14ac:dyDescent="0.25">
      <c r="A127" s="363"/>
      <c r="B127" s="581"/>
      <c r="C127" s="1269" t="s">
        <v>132</v>
      </c>
      <c r="D127" s="1249" t="s">
        <v>572</v>
      </c>
      <c r="E127" s="1269" t="s">
        <v>110</v>
      </c>
      <c r="F127" s="289"/>
      <c r="G127" s="1278" t="s">
        <v>100</v>
      </c>
      <c r="H127" s="1280"/>
      <c r="I127" s="582"/>
      <c r="J127" s="363"/>
      <c r="K127" s="363"/>
      <c r="L127" s="363"/>
      <c r="M127" s="363"/>
    </row>
    <row r="128" spans="1:13" s="237" customFormat="1" ht="15" customHeight="1" outlineLevel="1" x14ac:dyDescent="0.25">
      <c r="A128" s="363"/>
      <c r="B128" s="379" t="s">
        <v>1927</v>
      </c>
      <c r="C128" s="1270"/>
      <c r="D128" s="1266"/>
      <c r="E128" s="1270"/>
      <c r="F128" s="1266" t="s">
        <v>207</v>
      </c>
      <c r="G128" s="376" t="s">
        <v>117</v>
      </c>
      <c r="H128" s="377" t="s">
        <v>96</v>
      </c>
      <c r="I128" s="379" t="s">
        <v>101</v>
      </c>
      <c r="J128" s="363"/>
      <c r="K128" s="363"/>
      <c r="L128" s="363"/>
      <c r="M128" s="363"/>
    </row>
    <row r="129" spans="1:38" s="237" customFormat="1" ht="15" customHeight="1" outlineLevel="1" x14ac:dyDescent="0.25">
      <c r="A129" s="363"/>
      <c r="B129" s="379" t="s">
        <v>94</v>
      </c>
      <c r="C129" s="1270"/>
      <c r="D129" s="1266"/>
      <c r="E129" s="1270"/>
      <c r="F129" s="1266"/>
      <c r="G129" s="379" t="s">
        <v>118</v>
      </c>
      <c r="H129" s="378" t="s">
        <v>119</v>
      </c>
      <c r="I129" s="379" t="s">
        <v>1418</v>
      </c>
      <c r="J129" s="363"/>
      <c r="K129" s="363"/>
      <c r="L129" s="363"/>
      <c r="M129" s="363"/>
    </row>
    <row r="130" spans="1:38" s="237" customFormat="1" ht="15" customHeight="1" outlineLevel="1" x14ac:dyDescent="0.25">
      <c r="A130" s="363"/>
      <c r="B130" s="570"/>
      <c r="C130" s="1271"/>
      <c r="D130" s="1250"/>
      <c r="E130" s="1271"/>
      <c r="F130" s="570" t="s">
        <v>115</v>
      </c>
      <c r="G130" s="570" t="s">
        <v>115</v>
      </c>
      <c r="H130" s="425" t="s">
        <v>115</v>
      </c>
      <c r="I130" s="570" t="s">
        <v>115</v>
      </c>
      <c r="J130" s="363"/>
      <c r="K130" s="363"/>
      <c r="L130" s="363"/>
      <c r="M130" s="536"/>
      <c r="N130" s="537">
        <v>2</v>
      </c>
      <c r="O130" s="537">
        <v>3</v>
      </c>
      <c r="P130" s="537"/>
      <c r="Q130" s="537">
        <v>4</v>
      </c>
      <c r="R130" s="537">
        <v>5</v>
      </c>
      <c r="S130" s="537"/>
      <c r="T130" s="537">
        <v>6</v>
      </c>
      <c r="U130" s="537">
        <v>7</v>
      </c>
      <c r="V130" s="537"/>
      <c r="W130" s="537">
        <v>8</v>
      </c>
      <c r="X130" s="537">
        <v>9</v>
      </c>
      <c r="Y130" s="537"/>
      <c r="Z130" s="537">
        <v>10</v>
      </c>
      <c r="AA130" s="537">
        <v>11</v>
      </c>
    </row>
    <row r="131" spans="1:38" s="237" customFormat="1" ht="15" customHeight="1" outlineLevel="1" x14ac:dyDescent="0.25">
      <c r="A131" s="363"/>
      <c r="B131" s="584" t="s">
        <v>1928</v>
      </c>
      <c r="C131" s="584" t="s">
        <v>120</v>
      </c>
      <c r="D131" s="584" t="s">
        <v>88</v>
      </c>
      <c r="E131" s="539">
        <v>1430</v>
      </c>
      <c r="F131" s="585">
        <v>0</v>
      </c>
      <c r="G131" s="540">
        <v>5</v>
      </c>
      <c r="H131" s="540">
        <v>0.5</v>
      </c>
      <c r="I131" s="540">
        <v>207.35000000000002</v>
      </c>
      <c r="J131" s="542" t="s">
        <v>146</v>
      </c>
      <c r="K131" s="363"/>
      <c r="L131" s="363"/>
      <c r="M131" s="502" t="s">
        <v>550</v>
      </c>
      <c r="N131" s="503" t="s">
        <v>551</v>
      </c>
      <c r="O131" s="506" t="s">
        <v>552</v>
      </c>
      <c r="P131" s="505" t="s">
        <v>566</v>
      </c>
      <c r="Q131" s="504" t="s">
        <v>553</v>
      </c>
      <c r="R131" s="504" t="s">
        <v>554</v>
      </c>
      <c r="S131" s="504" t="s">
        <v>567</v>
      </c>
      <c r="T131" s="503" t="s">
        <v>555</v>
      </c>
      <c r="U131" s="504" t="s">
        <v>556</v>
      </c>
      <c r="V131" s="505" t="s">
        <v>568</v>
      </c>
      <c r="W131" s="503" t="s">
        <v>557</v>
      </c>
      <c r="X131" s="504" t="s">
        <v>558</v>
      </c>
      <c r="Y131" s="505" t="s">
        <v>569</v>
      </c>
      <c r="Z131" s="504" t="s">
        <v>559</v>
      </c>
      <c r="AA131" s="504" t="s">
        <v>560</v>
      </c>
      <c r="AB131" s="505" t="s">
        <v>570</v>
      </c>
      <c r="AD131" s="583" t="s">
        <v>120</v>
      </c>
      <c r="AE131" s="583" t="s">
        <v>121</v>
      </c>
      <c r="AF131" s="583" t="s">
        <v>534</v>
      </c>
      <c r="AG131" s="583" t="s">
        <v>1929</v>
      </c>
      <c r="AH131" s="583" t="s">
        <v>127</v>
      </c>
      <c r="AI131" s="583" t="s">
        <v>128</v>
      </c>
      <c r="AJ131" s="583" t="s">
        <v>571</v>
      </c>
      <c r="AK131" s="583" t="s">
        <v>129</v>
      </c>
      <c r="AL131" s="583" t="s">
        <v>1930</v>
      </c>
    </row>
    <row r="132" spans="1:38" s="237" customFormat="1" ht="15" customHeight="1" outlineLevel="1" x14ac:dyDescent="0.25">
      <c r="A132" s="363"/>
      <c r="B132" s="543"/>
      <c r="C132" s="543"/>
      <c r="D132" s="587"/>
      <c r="E132" s="544" t="str">
        <f t="shared" ref="E132:E146" si="27">IF(D132="","",VLOOKUP(D132,tabela_GWP,3,FALSE))</f>
        <v/>
      </c>
      <c r="F132" s="588"/>
      <c r="G132" s="574"/>
      <c r="H132" s="574"/>
      <c r="I132" s="589" t="str">
        <f>IF($E132="","",SUM($AD132:$AL132))</f>
        <v/>
      </c>
      <c r="J132" s="363"/>
      <c r="K132" s="363"/>
      <c r="L132" s="363"/>
      <c r="M132" s="547" t="e">
        <f>I132/E132</f>
        <v>#VALUE!</v>
      </c>
      <c r="N132" s="590" t="e">
        <f t="shared" ref="N132:O146" si="28">VLOOKUP($D132,$B$239:$L$320,N$58,FALSE)</f>
        <v>#N/A</v>
      </c>
      <c r="O132" s="591" t="e">
        <f t="shared" si="28"/>
        <v>#N/A</v>
      </c>
      <c r="P132" s="592" t="e">
        <f>$M132*O132</f>
        <v>#VALUE!</v>
      </c>
      <c r="Q132" s="590" t="e">
        <f t="shared" ref="Q132:R146" si="29">VLOOKUP($D132,$B$239:$L$320,Q$58,FALSE)</f>
        <v>#N/A</v>
      </c>
      <c r="R132" s="591" t="e">
        <f t="shared" si="29"/>
        <v>#N/A</v>
      </c>
      <c r="S132" s="592" t="e">
        <f>$M132*R132</f>
        <v>#VALUE!</v>
      </c>
      <c r="T132" s="590" t="e">
        <f t="shared" ref="T132:U146" si="30">VLOOKUP($D132,$B$239:$L$320,T$58,FALSE)</f>
        <v>#N/A</v>
      </c>
      <c r="U132" s="591" t="e">
        <f t="shared" si="30"/>
        <v>#N/A</v>
      </c>
      <c r="V132" s="592" t="e">
        <f>$M132*U132</f>
        <v>#VALUE!</v>
      </c>
      <c r="W132" s="590" t="e">
        <f t="shared" ref="W132:X146" si="31">VLOOKUP($D132,$B$239:$L$320,W$58,FALSE)</f>
        <v>#N/A</v>
      </c>
      <c r="X132" s="591" t="e">
        <f t="shared" si="31"/>
        <v>#N/A</v>
      </c>
      <c r="Y132" s="592" t="e">
        <f>$M132*X132</f>
        <v>#VALUE!</v>
      </c>
      <c r="Z132" s="590" t="e">
        <f t="shared" ref="Z132:AA146" si="32">VLOOKUP($D132,$B$239:$L$320,Z$58,FALSE)</f>
        <v>#N/A</v>
      </c>
      <c r="AA132" s="591" t="e">
        <f t="shared" si="32"/>
        <v>#N/A</v>
      </c>
      <c r="AB132" s="592" t="e">
        <f>$M132*AA132</f>
        <v>#VALUE!</v>
      </c>
      <c r="AD132" s="586">
        <f>IF($C132=Listas!$BV$2,(($F132*(1/100)+$G132*(0.5/100)+$H132*(80/100)*(1-70/100))*$E132),0)</f>
        <v>0</v>
      </c>
      <c r="AE132" s="586">
        <f>IF($C132=Listas!$BV$3,(($F132*(3/100)+$G132*(15/100)+$H132*(80/100)*(1-70/100))*$E132),0)</f>
        <v>0</v>
      </c>
      <c r="AF132" s="586">
        <f>IF($C132=Listas!$BV$4,(($F132*(3/100)+$G132*(35/100)+$H132*(100/100)*(1-70/100))*$E132),0)</f>
        <v>0</v>
      </c>
      <c r="AG132" s="586">
        <f>IF($C132=Listas!$BV$5,(($F132*(1/100)+$G132*(50/100)+$H132*(50/100)*(1-70/100))*$E132),0)</f>
        <v>0</v>
      </c>
      <c r="AH132" s="586">
        <f>IF($C132=Listas!$BV$6,(($F132*(3/100)+$G132*(25/100)+$H132*(100/100)*(1-90/100))*$E132),0)</f>
        <v>0</v>
      </c>
      <c r="AI132" s="586">
        <f>IF($C132=Listas!$BV$7,(($F132*(1/100)+$G132*(15/100)+$H132*(100/100)*(1-95/100))*$E132),0)</f>
        <v>0</v>
      </c>
      <c r="AJ132" s="586">
        <f>IF($C132=Listas!$BV$8,(($F132*(1/100)+$G132*(10/100)+$H132*(80/100)*(1-80/100))*$E132),0)</f>
        <v>0</v>
      </c>
      <c r="AK132" s="586">
        <f>IF($C132=Listas!$BV$9,(($F132*(0.5/100)+$G132*(20/100)+$H132*(50/100)*(1-50/100))*$E132),0)</f>
        <v>0</v>
      </c>
      <c r="AL132" s="586">
        <f>IF($C132=Listas!$BV$10,(($F132*(0.5/100)+$G132*(20/100)+$H132*(50/100)*(1-50/100))*$E132),0)</f>
        <v>0</v>
      </c>
    </row>
    <row r="133" spans="1:38" s="237" customFormat="1" ht="15" customHeight="1" outlineLevel="1" x14ac:dyDescent="0.25">
      <c r="A133" s="363"/>
      <c r="B133" s="543"/>
      <c r="C133" s="543"/>
      <c r="D133" s="587"/>
      <c r="E133" s="544" t="str">
        <f t="shared" si="27"/>
        <v/>
      </c>
      <c r="F133" s="588"/>
      <c r="G133" s="574"/>
      <c r="H133" s="574"/>
      <c r="I133" s="589" t="str">
        <f t="shared" ref="I133:I146" si="33">IF($E133="","",SUM($AD133:$AL133))</f>
        <v/>
      </c>
      <c r="J133" s="363"/>
      <c r="K133" s="363"/>
      <c r="L133" s="363"/>
      <c r="M133" s="547" t="e">
        <f t="shared" ref="M133:M146" si="34">I133/E133</f>
        <v>#VALUE!</v>
      </c>
      <c r="N133" s="548" t="e">
        <f t="shared" si="28"/>
        <v>#N/A</v>
      </c>
      <c r="O133" s="549" t="e">
        <f t="shared" si="28"/>
        <v>#N/A</v>
      </c>
      <c r="P133" s="550" t="e">
        <f t="shared" ref="P133:P146" si="35">$M133*O133</f>
        <v>#VALUE!</v>
      </c>
      <c r="Q133" s="548" t="e">
        <f t="shared" si="29"/>
        <v>#N/A</v>
      </c>
      <c r="R133" s="549" t="e">
        <f t="shared" si="29"/>
        <v>#N/A</v>
      </c>
      <c r="S133" s="550" t="e">
        <f t="shared" ref="S133:S146" si="36">$M133*R133</f>
        <v>#VALUE!</v>
      </c>
      <c r="T133" s="548" t="e">
        <f t="shared" si="30"/>
        <v>#N/A</v>
      </c>
      <c r="U133" s="549" t="e">
        <f t="shared" si="30"/>
        <v>#N/A</v>
      </c>
      <c r="V133" s="550" t="e">
        <f t="shared" ref="V133:V146" si="37">$M133*U133</f>
        <v>#VALUE!</v>
      </c>
      <c r="W133" s="548" t="e">
        <f t="shared" si="31"/>
        <v>#N/A</v>
      </c>
      <c r="X133" s="549" t="e">
        <f t="shared" si="31"/>
        <v>#N/A</v>
      </c>
      <c r="Y133" s="550" t="e">
        <f t="shared" ref="Y133:Y146" si="38">$M133*X133</f>
        <v>#VALUE!</v>
      </c>
      <c r="Z133" s="548" t="e">
        <f t="shared" si="32"/>
        <v>#N/A</v>
      </c>
      <c r="AA133" s="549" t="e">
        <f t="shared" si="32"/>
        <v>#N/A</v>
      </c>
      <c r="AB133" s="550" t="e">
        <f t="shared" ref="AB133:AB146" si="39">$M133*AA133</f>
        <v>#VALUE!</v>
      </c>
      <c r="AD133" s="586">
        <f>IF($C133=Listas!$BV$2,(($F133*(1/100)+$G133*(0.5/100)+$H133*(80/100)*(1-70/100))*$E133),0)</f>
        <v>0</v>
      </c>
      <c r="AE133" s="586">
        <f>IF($C133=Listas!$BV$3,(($F133*(3/100)+$G133*(15/100)+$H133*(80/100)*(1-70/100))*$E133),0)</f>
        <v>0</v>
      </c>
      <c r="AF133" s="586">
        <f>IF($C133=Listas!$BV$4,(($F133*(3/100)+$G133*(35/100)+$H133*(100/100)*(1-70/100))*$E133),0)</f>
        <v>0</v>
      </c>
      <c r="AG133" s="586">
        <f>IF($C133=Listas!$BV$5,(($F133*(1/100)+$G133*(50/100)+$H133*(50/100)*(1-70/100))*$E133),0)</f>
        <v>0</v>
      </c>
      <c r="AH133" s="586">
        <f>IF($C133=Listas!$BV$6,(($F133*(3/100)+$G133*(25/100)+$H133*(100/100)*(1-90/100))*$E133),0)</f>
        <v>0</v>
      </c>
      <c r="AI133" s="586">
        <f>IF($C133=Listas!$BV$7,(($F133*(1/100)+$G133*(15/100)+$H133*(100/100)*(1-95/100))*$E133),0)</f>
        <v>0</v>
      </c>
      <c r="AJ133" s="586">
        <f>IF($C133=Listas!$BV$8,(($F133*(1/100)+$G133*(10/100)+$H133*(80/100)*(1-80/100))*$E133),0)</f>
        <v>0</v>
      </c>
      <c r="AK133" s="586">
        <f>IF($C133=Listas!$BV$9,(($F133*(0.5/100)+$G133*(20/100)+$H133*(50/100)*(1-50/100))*$E133),0)</f>
        <v>0</v>
      </c>
      <c r="AL133" s="586">
        <f>IF($C133=Listas!$BV$10,(($F133*(0.5/100)+$G133*(20/100)+$H133*(50/100)*(1-50/100))*$E133),0)</f>
        <v>0</v>
      </c>
    </row>
    <row r="134" spans="1:38" s="237" customFormat="1" ht="15" customHeight="1" outlineLevel="1" x14ac:dyDescent="0.25">
      <c r="A134" s="363"/>
      <c r="B134" s="543"/>
      <c r="C134" s="543"/>
      <c r="D134" s="587"/>
      <c r="E134" s="544" t="str">
        <f t="shared" si="27"/>
        <v/>
      </c>
      <c r="F134" s="588"/>
      <c r="G134" s="574"/>
      <c r="H134" s="574"/>
      <c r="I134" s="589" t="str">
        <f>IF($E134="","",SUM($AD134:$AL134))</f>
        <v/>
      </c>
      <c r="J134" s="363"/>
      <c r="K134" s="363"/>
      <c r="L134" s="363"/>
      <c r="M134" s="547" t="e">
        <f t="shared" si="34"/>
        <v>#VALUE!</v>
      </c>
      <c r="N134" s="548" t="e">
        <f t="shared" si="28"/>
        <v>#N/A</v>
      </c>
      <c r="O134" s="549" t="e">
        <f t="shared" si="28"/>
        <v>#N/A</v>
      </c>
      <c r="P134" s="550" t="e">
        <f t="shared" si="35"/>
        <v>#VALUE!</v>
      </c>
      <c r="Q134" s="548" t="e">
        <f t="shared" si="29"/>
        <v>#N/A</v>
      </c>
      <c r="R134" s="549" t="e">
        <f t="shared" si="29"/>
        <v>#N/A</v>
      </c>
      <c r="S134" s="550" t="e">
        <f t="shared" si="36"/>
        <v>#VALUE!</v>
      </c>
      <c r="T134" s="548" t="e">
        <f t="shared" si="30"/>
        <v>#N/A</v>
      </c>
      <c r="U134" s="549" t="e">
        <f t="shared" si="30"/>
        <v>#N/A</v>
      </c>
      <c r="V134" s="550" t="e">
        <f t="shared" si="37"/>
        <v>#VALUE!</v>
      </c>
      <c r="W134" s="548" t="e">
        <f t="shared" si="31"/>
        <v>#N/A</v>
      </c>
      <c r="X134" s="549" t="e">
        <f t="shared" si="31"/>
        <v>#N/A</v>
      </c>
      <c r="Y134" s="550" t="e">
        <f t="shared" si="38"/>
        <v>#VALUE!</v>
      </c>
      <c r="Z134" s="548" t="e">
        <f t="shared" si="32"/>
        <v>#N/A</v>
      </c>
      <c r="AA134" s="549" t="e">
        <f t="shared" si="32"/>
        <v>#N/A</v>
      </c>
      <c r="AB134" s="550" t="e">
        <f t="shared" si="39"/>
        <v>#VALUE!</v>
      </c>
      <c r="AD134" s="586">
        <f>IF($C134=Listas!$BV$2,(($F134*(1/100)+$G134*(0.5/100)+$H134*(80/100)*(1-70/100))*$E134),0)</f>
        <v>0</v>
      </c>
      <c r="AE134" s="586">
        <f>IF($C134=Listas!$BV$3,(($F134*(3/100)+$G134*(15/100)+$H134*(80/100)*(1-70/100))*$E134),0)</f>
        <v>0</v>
      </c>
      <c r="AF134" s="586">
        <f>IF($C134=Listas!$BV$4,(($F134*(3/100)+$G134*(35/100)+$H134*(100/100)*(1-70/100))*$E134),0)</f>
        <v>0</v>
      </c>
      <c r="AG134" s="586">
        <f>IF($C134=Listas!$BV$5,(($F134*(1/100)+$G134*(50/100)+$H134*(50/100)*(1-70/100))*$E134),0)</f>
        <v>0</v>
      </c>
      <c r="AH134" s="586">
        <f>IF($C134=Listas!$BV$6,(($F134*(3/100)+$G134*(25/100)+$H134*(100/100)*(1-90/100))*$E134),0)</f>
        <v>0</v>
      </c>
      <c r="AI134" s="586">
        <f>IF($C134=Listas!$BV$7,(($F134*(1/100)+$G134*(15/100)+$H134*(100/100)*(1-95/100))*$E134),0)</f>
        <v>0</v>
      </c>
      <c r="AJ134" s="586">
        <f>IF($C134=Listas!$BV$8,(($F134*(1/100)+$G134*(10/100)+$H134*(80/100)*(1-80/100))*$E134),0)</f>
        <v>0</v>
      </c>
      <c r="AK134" s="586">
        <f>IF($C134=Listas!$BV$9,(($F134*(0.5/100)+$G134*(20/100)+$H134*(50/100)*(1-50/100))*$E134),0)</f>
        <v>0</v>
      </c>
      <c r="AL134" s="586">
        <f>IF($C134=Listas!$BV$10,(($F134*(0.5/100)+$G134*(20/100)+$H134*(50/100)*(1-50/100))*$E134),0)</f>
        <v>0</v>
      </c>
    </row>
    <row r="135" spans="1:38" s="237" customFormat="1" ht="15" customHeight="1" outlineLevel="1" x14ac:dyDescent="0.25">
      <c r="A135" s="363"/>
      <c r="B135" s="543"/>
      <c r="C135" s="543"/>
      <c r="D135" s="587"/>
      <c r="E135" s="544" t="str">
        <f t="shared" si="27"/>
        <v/>
      </c>
      <c r="F135" s="588"/>
      <c r="G135" s="574"/>
      <c r="H135" s="574"/>
      <c r="I135" s="589" t="str">
        <f t="shared" si="33"/>
        <v/>
      </c>
      <c r="J135" s="363"/>
      <c r="K135" s="363"/>
      <c r="L135" s="363"/>
      <c r="M135" s="547" t="e">
        <f t="shared" si="34"/>
        <v>#VALUE!</v>
      </c>
      <c r="N135" s="548" t="e">
        <f t="shared" si="28"/>
        <v>#N/A</v>
      </c>
      <c r="O135" s="549" t="e">
        <f t="shared" si="28"/>
        <v>#N/A</v>
      </c>
      <c r="P135" s="550" t="e">
        <f t="shared" si="35"/>
        <v>#VALUE!</v>
      </c>
      <c r="Q135" s="548" t="e">
        <f t="shared" si="29"/>
        <v>#N/A</v>
      </c>
      <c r="R135" s="549" t="e">
        <f t="shared" si="29"/>
        <v>#N/A</v>
      </c>
      <c r="S135" s="550" t="e">
        <f t="shared" si="36"/>
        <v>#VALUE!</v>
      </c>
      <c r="T135" s="548" t="e">
        <f t="shared" si="30"/>
        <v>#N/A</v>
      </c>
      <c r="U135" s="549" t="e">
        <f t="shared" si="30"/>
        <v>#N/A</v>
      </c>
      <c r="V135" s="550" t="e">
        <f t="shared" si="37"/>
        <v>#VALUE!</v>
      </c>
      <c r="W135" s="548" t="e">
        <f t="shared" si="31"/>
        <v>#N/A</v>
      </c>
      <c r="X135" s="549" t="e">
        <f t="shared" si="31"/>
        <v>#N/A</v>
      </c>
      <c r="Y135" s="550" t="e">
        <f t="shared" si="38"/>
        <v>#VALUE!</v>
      </c>
      <c r="Z135" s="548" t="e">
        <f t="shared" si="32"/>
        <v>#N/A</v>
      </c>
      <c r="AA135" s="549" t="e">
        <f t="shared" si="32"/>
        <v>#N/A</v>
      </c>
      <c r="AB135" s="550" t="e">
        <f t="shared" si="39"/>
        <v>#VALUE!</v>
      </c>
      <c r="AD135" s="586">
        <f>IF($C135=Listas!$BV$2,(($F135*(1/100)+$G135*(0.5/100)+$H135*(80/100)*(1-70/100))*$E135),0)</f>
        <v>0</v>
      </c>
      <c r="AE135" s="586">
        <f>IF($C135=Listas!$BV$3,(($F135*(3/100)+$G135*(15/100)+$H135*(80/100)*(1-70/100))*$E135),0)</f>
        <v>0</v>
      </c>
      <c r="AF135" s="586">
        <f>IF($C135=Listas!$BV$4,(($F135*(3/100)+$G135*(35/100)+$H135*(100/100)*(1-70/100))*$E135),0)</f>
        <v>0</v>
      </c>
      <c r="AG135" s="586">
        <f>IF($C135=Listas!$BV$5,(($F135*(1/100)+$G135*(50/100)+$H135*(50/100)*(1-70/100))*$E135),0)</f>
        <v>0</v>
      </c>
      <c r="AH135" s="586">
        <f>IF($C135=Listas!$BV$6,(($F135*(3/100)+$G135*(25/100)+$H135*(100/100)*(1-90/100))*$E135),0)</f>
        <v>0</v>
      </c>
      <c r="AI135" s="586">
        <f>IF($C135=Listas!$BV$7,(($F135*(1/100)+$G135*(15/100)+$H135*(100/100)*(1-95/100))*$E135),0)</f>
        <v>0</v>
      </c>
      <c r="AJ135" s="586">
        <f>IF($C135=Listas!$BV$8,(($F135*(1/100)+$G135*(10/100)+$H135*(80/100)*(1-80/100))*$E135),0)</f>
        <v>0</v>
      </c>
      <c r="AK135" s="586">
        <f>IF($C135=Listas!$BV$9,(($F135*(0.5/100)+$G135*(20/100)+$H135*(50/100)*(1-50/100))*$E135),0)</f>
        <v>0</v>
      </c>
      <c r="AL135" s="586">
        <f>IF($C135=Listas!$BV$10,(($F135*(0.5/100)+$G135*(20/100)+$H135*(50/100)*(1-50/100))*$E135),0)</f>
        <v>0</v>
      </c>
    </row>
    <row r="136" spans="1:38" s="237" customFormat="1" ht="15" customHeight="1" outlineLevel="1" x14ac:dyDescent="0.25">
      <c r="A136" s="363"/>
      <c r="B136" s="593"/>
      <c r="C136" s="543"/>
      <c r="D136" s="587"/>
      <c r="E136" s="544" t="str">
        <f t="shared" si="27"/>
        <v/>
      </c>
      <c r="F136" s="588"/>
      <c r="G136" s="574"/>
      <c r="H136" s="574"/>
      <c r="I136" s="589" t="str">
        <f t="shared" si="33"/>
        <v/>
      </c>
      <c r="J136" s="363"/>
      <c r="K136" s="363"/>
      <c r="L136" s="363"/>
      <c r="M136" s="547" t="e">
        <f t="shared" si="34"/>
        <v>#VALUE!</v>
      </c>
      <c r="N136" s="548" t="e">
        <f t="shared" si="28"/>
        <v>#N/A</v>
      </c>
      <c r="O136" s="549" t="e">
        <f t="shared" si="28"/>
        <v>#N/A</v>
      </c>
      <c r="P136" s="550" t="e">
        <f t="shared" si="35"/>
        <v>#VALUE!</v>
      </c>
      <c r="Q136" s="548" t="e">
        <f t="shared" si="29"/>
        <v>#N/A</v>
      </c>
      <c r="R136" s="549" t="e">
        <f t="shared" si="29"/>
        <v>#N/A</v>
      </c>
      <c r="S136" s="550" t="e">
        <f t="shared" si="36"/>
        <v>#VALUE!</v>
      </c>
      <c r="T136" s="548" t="e">
        <f t="shared" si="30"/>
        <v>#N/A</v>
      </c>
      <c r="U136" s="549" t="e">
        <f t="shared" si="30"/>
        <v>#N/A</v>
      </c>
      <c r="V136" s="550" t="e">
        <f t="shared" si="37"/>
        <v>#VALUE!</v>
      </c>
      <c r="W136" s="548" t="e">
        <f t="shared" si="31"/>
        <v>#N/A</v>
      </c>
      <c r="X136" s="549" t="e">
        <f t="shared" si="31"/>
        <v>#N/A</v>
      </c>
      <c r="Y136" s="550" t="e">
        <f t="shared" si="38"/>
        <v>#VALUE!</v>
      </c>
      <c r="Z136" s="548" t="e">
        <f t="shared" si="32"/>
        <v>#N/A</v>
      </c>
      <c r="AA136" s="549" t="e">
        <f t="shared" si="32"/>
        <v>#N/A</v>
      </c>
      <c r="AB136" s="550" t="e">
        <f t="shared" si="39"/>
        <v>#VALUE!</v>
      </c>
      <c r="AD136" s="586">
        <f>IF($C136=Listas!$BV$2,(($F136*(1/100)+$G136*(0.5/100)+$H136*(80/100)*(1-70/100))*$E136),0)</f>
        <v>0</v>
      </c>
      <c r="AE136" s="586">
        <f>IF($C136=Listas!$BV$3,(($F136*(3/100)+$G136*(15/100)+$H136*(80/100)*(1-70/100))*$E136),0)</f>
        <v>0</v>
      </c>
      <c r="AF136" s="586">
        <f>IF($C136=Listas!$BV$4,(($F136*(3/100)+$G136*(35/100)+$H136*(100/100)*(1-70/100))*$E136),0)</f>
        <v>0</v>
      </c>
      <c r="AG136" s="586">
        <f>IF($C136=Listas!$BV$5,(($F136*(1/100)+$G136*(50/100)+$H136*(50/100)*(1-70/100))*$E136),0)</f>
        <v>0</v>
      </c>
      <c r="AH136" s="586">
        <f>IF($C136=Listas!$BV$6,(($F136*(3/100)+$G136*(25/100)+$H136*(100/100)*(1-90/100))*$E136),0)</f>
        <v>0</v>
      </c>
      <c r="AI136" s="586">
        <f>IF($C136=Listas!$BV$7,(($F136*(1/100)+$G136*(15/100)+$H136*(100/100)*(1-95/100))*$E136),0)</f>
        <v>0</v>
      </c>
      <c r="AJ136" s="586">
        <f>IF($C136=Listas!$BV$8,(($F136*(1/100)+$G136*(10/100)+$H136*(80/100)*(1-80/100))*$E136),0)</f>
        <v>0</v>
      </c>
      <c r="AK136" s="586">
        <f>IF($C136=Listas!$BV$9,(($F136*(0.5/100)+$G136*(20/100)+$H136*(50/100)*(1-50/100))*$E136),0)</f>
        <v>0</v>
      </c>
      <c r="AL136" s="586">
        <f>IF($C136=Listas!$BV$10,(($F136*(0.5/100)+$G136*(20/100)+$H136*(50/100)*(1-50/100))*$E136),0)</f>
        <v>0</v>
      </c>
    </row>
    <row r="137" spans="1:38" s="237" customFormat="1" ht="15" customHeight="1" outlineLevel="1" x14ac:dyDescent="0.25">
      <c r="A137" s="363"/>
      <c r="B137" s="543"/>
      <c r="C137" s="543"/>
      <c r="D137" s="587"/>
      <c r="E137" s="544" t="str">
        <f t="shared" si="27"/>
        <v/>
      </c>
      <c r="F137" s="588"/>
      <c r="G137" s="574"/>
      <c r="H137" s="574"/>
      <c r="I137" s="589" t="str">
        <f t="shared" si="33"/>
        <v/>
      </c>
      <c r="J137" s="363"/>
      <c r="K137" s="363"/>
      <c r="L137" s="363"/>
      <c r="M137" s="547" t="e">
        <f t="shared" si="34"/>
        <v>#VALUE!</v>
      </c>
      <c r="N137" s="548" t="e">
        <f t="shared" si="28"/>
        <v>#N/A</v>
      </c>
      <c r="O137" s="549" t="e">
        <f t="shared" si="28"/>
        <v>#N/A</v>
      </c>
      <c r="P137" s="550" t="e">
        <f t="shared" si="35"/>
        <v>#VALUE!</v>
      </c>
      <c r="Q137" s="548" t="e">
        <f t="shared" si="29"/>
        <v>#N/A</v>
      </c>
      <c r="R137" s="549" t="e">
        <f t="shared" si="29"/>
        <v>#N/A</v>
      </c>
      <c r="S137" s="550" t="e">
        <f t="shared" si="36"/>
        <v>#VALUE!</v>
      </c>
      <c r="T137" s="548" t="e">
        <f t="shared" si="30"/>
        <v>#N/A</v>
      </c>
      <c r="U137" s="549" t="e">
        <f t="shared" si="30"/>
        <v>#N/A</v>
      </c>
      <c r="V137" s="550" t="e">
        <f t="shared" si="37"/>
        <v>#VALUE!</v>
      </c>
      <c r="W137" s="548" t="e">
        <f t="shared" si="31"/>
        <v>#N/A</v>
      </c>
      <c r="X137" s="549" t="e">
        <f t="shared" si="31"/>
        <v>#N/A</v>
      </c>
      <c r="Y137" s="550" t="e">
        <f t="shared" si="38"/>
        <v>#VALUE!</v>
      </c>
      <c r="Z137" s="548" t="e">
        <f t="shared" si="32"/>
        <v>#N/A</v>
      </c>
      <c r="AA137" s="549" t="e">
        <f t="shared" si="32"/>
        <v>#N/A</v>
      </c>
      <c r="AB137" s="550" t="e">
        <f t="shared" si="39"/>
        <v>#VALUE!</v>
      </c>
      <c r="AD137" s="586">
        <f>IF($C137=Listas!$BV$2,(($F137*(1/100)+$G137*(0.5/100)+$H137*(80/100)*(1-70/100))*$E137),0)</f>
        <v>0</v>
      </c>
      <c r="AE137" s="586">
        <f>IF($C137=Listas!$BV$3,(($F137*(3/100)+$G137*(15/100)+$H137*(80/100)*(1-70/100))*$E137),0)</f>
        <v>0</v>
      </c>
      <c r="AF137" s="586">
        <f>IF($C137=Listas!$BV$4,(($F137*(3/100)+$G137*(35/100)+$H137*(100/100)*(1-70/100))*$E137),0)</f>
        <v>0</v>
      </c>
      <c r="AG137" s="586">
        <f>IF($C137=Listas!$BV$5,(($F137*(1/100)+$G137*(50/100)+$H137*(50/100)*(1-70/100))*$E137),0)</f>
        <v>0</v>
      </c>
      <c r="AH137" s="586">
        <f>IF($C137=Listas!$BV$6,(($F137*(3/100)+$G137*(25/100)+$H137*(100/100)*(1-90/100))*$E137),0)</f>
        <v>0</v>
      </c>
      <c r="AI137" s="586">
        <f>IF($C137=Listas!$BV$7,(($F137*(1/100)+$G137*(15/100)+$H137*(100/100)*(1-95/100))*$E137),0)</f>
        <v>0</v>
      </c>
      <c r="AJ137" s="586">
        <f>IF($C137=Listas!$BV$8,(($F137*(1/100)+$G137*(10/100)+$H137*(80/100)*(1-80/100))*$E137),0)</f>
        <v>0</v>
      </c>
      <c r="AK137" s="586">
        <f>IF($C137=Listas!$BV$9,(($F137*(0.5/100)+$G137*(20/100)+$H137*(50/100)*(1-50/100))*$E137),0)</f>
        <v>0</v>
      </c>
      <c r="AL137" s="586">
        <f>IF($C137=Listas!$BV$10,(($F137*(0.5/100)+$G137*(20/100)+$H137*(50/100)*(1-50/100))*$E137),0)</f>
        <v>0</v>
      </c>
    </row>
    <row r="138" spans="1:38" s="237" customFormat="1" ht="15" customHeight="1" outlineLevel="1" x14ac:dyDescent="0.25">
      <c r="A138" s="363"/>
      <c r="B138" s="543"/>
      <c r="C138" s="543"/>
      <c r="D138" s="587"/>
      <c r="E138" s="544" t="str">
        <f t="shared" si="27"/>
        <v/>
      </c>
      <c r="F138" s="588"/>
      <c r="G138" s="574"/>
      <c r="H138" s="574"/>
      <c r="I138" s="589" t="str">
        <f t="shared" si="33"/>
        <v/>
      </c>
      <c r="J138" s="363"/>
      <c r="K138" s="363"/>
      <c r="L138" s="363"/>
      <c r="M138" s="547" t="e">
        <f t="shared" si="34"/>
        <v>#VALUE!</v>
      </c>
      <c r="N138" s="548" t="e">
        <f t="shared" si="28"/>
        <v>#N/A</v>
      </c>
      <c r="O138" s="549" t="e">
        <f t="shared" si="28"/>
        <v>#N/A</v>
      </c>
      <c r="P138" s="550" t="e">
        <f t="shared" si="35"/>
        <v>#VALUE!</v>
      </c>
      <c r="Q138" s="548" t="e">
        <f t="shared" si="29"/>
        <v>#N/A</v>
      </c>
      <c r="R138" s="549" t="e">
        <f t="shared" si="29"/>
        <v>#N/A</v>
      </c>
      <c r="S138" s="550" t="e">
        <f t="shared" si="36"/>
        <v>#VALUE!</v>
      </c>
      <c r="T138" s="548" t="e">
        <f t="shared" si="30"/>
        <v>#N/A</v>
      </c>
      <c r="U138" s="549" t="e">
        <f t="shared" si="30"/>
        <v>#N/A</v>
      </c>
      <c r="V138" s="550" t="e">
        <f t="shared" si="37"/>
        <v>#VALUE!</v>
      </c>
      <c r="W138" s="548" t="e">
        <f t="shared" si="31"/>
        <v>#N/A</v>
      </c>
      <c r="X138" s="549" t="e">
        <f t="shared" si="31"/>
        <v>#N/A</v>
      </c>
      <c r="Y138" s="550" t="e">
        <f t="shared" si="38"/>
        <v>#VALUE!</v>
      </c>
      <c r="Z138" s="548" t="e">
        <f t="shared" si="32"/>
        <v>#N/A</v>
      </c>
      <c r="AA138" s="549" t="e">
        <f t="shared" si="32"/>
        <v>#N/A</v>
      </c>
      <c r="AB138" s="550" t="e">
        <f t="shared" si="39"/>
        <v>#VALUE!</v>
      </c>
      <c r="AD138" s="586">
        <f>IF($C138=Listas!$BV$2,(($F138*(1/100)+$G138*(0.5/100)+$H138*(80/100)*(1-70/100))*$E138),0)</f>
        <v>0</v>
      </c>
      <c r="AE138" s="586">
        <f>IF($C138=Listas!$BV$3,(($F138*(3/100)+$G138*(15/100)+$H138*(80/100)*(1-70/100))*$E138),0)</f>
        <v>0</v>
      </c>
      <c r="AF138" s="586">
        <f>IF($C138=Listas!$BV$4,(($F138*(3/100)+$G138*(35/100)+$H138*(100/100)*(1-70/100))*$E138),0)</f>
        <v>0</v>
      </c>
      <c r="AG138" s="586">
        <f>IF($C138=Listas!$BV$5,(($F138*(1/100)+$G138*(50/100)+$H138*(50/100)*(1-70/100))*$E138),0)</f>
        <v>0</v>
      </c>
      <c r="AH138" s="586">
        <f>IF($C138=Listas!$BV$6,(($F138*(3/100)+$G138*(25/100)+$H138*(100/100)*(1-90/100))*$E138),0)</f>
        <v>0</v>
      </c>
      <c r="AI138" s="586">
        <f>IF($C138=Listas!$BV$7,(($F138*(1/100)+$G138*(15/100)+$H138*(100/100)*(1-95/100))*$E138),0)</f>
        <v>0</v>
      </c>
      <c r="AJ138" s="586">
        <f>IF($C138=Listas!$BV$8,(($F138*(1/100)+$G138*(10/100)+$H138*(80/100)*(1-80/100))*$E138),0)</f>
        <v>0</v>
      </c>
      <c r="AK138" s="586">
        <f>IF($C138=Listas!$BV$9,(($F138*(0.5/100)+$G138*(20/100)+$H138*(50/100)*(1-50/100))*$E138),0)</f>
        <v>0</v>
      </c>
      <c r="AL138" s="586">
        <f>IF($C138=Listas!$BV$10,(($F138*(0.5/100)+$G138*(20/100)+$H138*(50/100)*(1-50/100))*$E138),0)</f>
        <v>0</v>
      </c>
    </row>
    <row r="139" spans="1:38" s="237" customFormat="1" ht="15" customHeight="1" outlineLevel="1" x14ac:dyDescent="0.25">
      <c r="A139" s="363"/>
      <c r="B139" s="543"/>
      <c r="C139" s="543"/>
      <c r="D139" s="587"/>
      <c r="E139" s="544" t="str">
        <f t="shared" si="27"/>
        <v/>
      </c>
      <c r="F139" s="588"/>
      <c r="G139" s="574"/>
      <c r="H139" s="574"/>
      <c r="I139" s="589" t="str">
        <f t="shared" si="33"/>
        <v/>
      </c>
      <c r="J139" s="363"/>
      <c r="K139" s="363"/>
      <c r="L139" s="363"/>
      <c r="M139" s="547" t="e">
        <f t="shared" si="34"/>
        <v>#VALUE!</v>
      </c>
      <c r="N139" s="548" t="e">
        <f t="shared" si="28"/>
        <v>#N/A</v>
      </c>
      <c r="O139" s="549" t="e">
        <f t="shared" si="28"/>
        <v>#N/A</v>
      </c>
      <c r="P139" s="550" t="e">
        <f t="shared" si="35"/>
        <v>#VALUE!</v>
      </c>
      <c r="Q139" s="548" t="e">
        <f t="shared" si="29"/>
        <v>#N/A</v>
      </c>
      <c r="R139" s="549" t="e">
        <f t="shared" si="29"/>
        <v>#N/A</v>
      </c>
      <c r="S139" s="550" t="e">
        <f t="shared" si="36"/>
        <v>#VALUE!</v>
      </c>
      <c r="T139" s="548" t="e">
        <f t="shared" si="30"/>
        <v>#N/A</v>
      </c>
      <c r="U139" s="549" t="e">
        <f t="shared" si="30"/>
        <v>#N/A</v>
      </c>
      <c r="V139" s="550" t="e">
        <f t="shared" si="37"/>
        <v>#VALUE!</v>
      </c>
      <c r="W139" s="548" t="e">
        <f t="shared" si="31"/>
        <v>#N/A</v>
      </c>
      <c r="X139" s="549" t="e">
        <f t="shared" si="31"/>
        <v>#N/A</v>
      </c>
      <c r="Y139" s="550" t="e">
        <f t="shared" si="38"/>
        <v>#VALUE!</v>
      </c>
      <c r="Z139" s="548" t="e">
        <f t="shared" si="32"/>
        <v>#N/A</v>
      </c>
      <c r="AA139" s="549" t="e">
        <f t="shared" si="32"/>
        <v>#N/A</v>
      </c>
      <c r="AB139" s="550" t="e">
        <f t="shared" si="39"/>
        <v>#VALUE!</v>
      </c>
      <c r="AD139" s="586">
        <f>IF($C139=Listas!$BV$2,(($F139*(1/100)+$G139*(0.5/100)+$H139*(80/100)*(1-70/100))*$E139),0)</f>
        <v>0</v>
      </c>
      <c r="AE139" s="586">
        <f>IF($C139=Listas!$BV$3,(($F139*(3/100)+$G139*(15/100)+$H139*(80/100)*(1-70/100))*$E139),0)</f>
        <v>0</v>
      </c>
      <c r="AF139" s="586">
        <f>IF($C139=Listas!$BV$4,(($F139*(3/100)+$G139*(35/100)+$H139*(100/100)*(1-70/100))*$E139),0)</f>
        <v>0</v>
      </c>
      <c r="AG139" s="586">
        <f>IF($C139=Listas!$BV$5,(($F139*(1/100)+$G139*(50/100)+$H139*(50/100)*(1-70/100))*$E139),0)</f>
        <v>0</v>
      </c>
      <c r="AH139" s="586">
        <f>IF($C139=Listas!$BV$6,(($F139*(3/100)+$G139*(25/100)+$H139*(100/100)*(1-90/100))*$E139),0)</f>
        <v>0</v>
      </c>
      <c r="AI139" s="586">
        <f>IF($C139=Listas!$BV$7,(($F139*(1/100)+$G139*(15/100)+$H139*(100/100)*(1-95/100))*$E139),0)</f>
        <v>0</v>
      </c>
      <c r="AJ139" s="586">
        <f>IF($C139=Listas!$BV$8,(($F139*(1/100)+$G139*(10/100)+$H139*(80/100)*(1-80/100))*$E139),0)</f>
        <v>0</v>
      </c>
      <c r="AK139" s="586">
        <f>IF($C139=Listas!$BV$9,(($F139*(0.5/100)+$G139*(20/100)+$H139*(50/100)*(1-50/100))*$E139),0)</f>
        <v>0</v>
      </c>
      <c r="AL139" s="586">
        <f>IF($C139=Listas!$BV$10,(($F139*(0.5/100)+$G139*(20/100)+$H139*(50/100)*(1-50/100))*$E139),0)</f>
        <v>0</v>
      </c>
    </row>
    <row r="140" spans="1:38" s="237" customFormat="1" ht="15" customHeight="1" outlineLevel="1" x14ac:dyDescent="0.25">
      <c r="A140" s="363"/>
      <c r="B140" s="543"/>
      <c r="C140" s="543"/>
      <c r="D140" s="587"/>
      <c r="E140" s="544" t="str">
        <f t="shared" si="27"/>
        <v/>
      </c>
      <c r="F140" s="588"/>
      <c r="G140" s="574"/>
      <c r="H140" s="574"/>
      <c r="I140" s="589" t="str">
        <f t="shared" si="33"/>
        <v/>
      </c>
      <c r="J140" s="363"/>
      <c r="K140" s="363"/>
      <c r="L140" s="363"/>
      <c r="M140" s="547" t="e">
        <f t="shared" si="34"/>
        <v>#VALUE!</v>
      </c>
      <c r="N140" s="548" t="e">
        <f t="shared" si="28"/>
        <v>#N/A</v>
      </c>
      <c r="O140" s="549" t="e">
        <f t="shared" si="28"/>
        <v>#N/A</v>
      </c>
      <c r="P140" s="550" t="e">
        <f t="shared" si="35"/>
        <v>#VALUE!</v>
      </c>
      <c r="Q140" s="548" t="e">
        <f t="shared" si="29"/>
        <v>#N/A</v>
      </c>
      <c r="R140" s="549" t="e">
        <f t="shared" si="29"/>
        <v>#N/A</v>
      </c>
      <c r="S140" s="550" t="e">
        <f t="shared" si="36"/>
        <v>#VALUE!</v>
      </c>
      <c r="T140" s="548" t="e">
        <f t="shared" si="30"/>
        <v>#N/A</v>
      </c>
      <c r="U140" s="549" t="e">
        <f t="shared" si="30"/>
        <v>#N/A</v>
      </c>
      <c r="V140" s="550" t="e">
        <f t="shared" si="37"/>
        <v>#VALUE!</v>
      </c>
      <c r="W140" s="548" t="e">
        <f t="shared" si="31"/>
        <v>#N/A</v>
      </c>
      <c r="X140" s="549" t="e">
        <f t="shared" si="31"/>
        <v>#N/A</v>
      </c>
      <c r="Y140" s="550" t="e">
        <f t="shared" si="38"/>
        <v>#VALUE!</v>
      </c>
      <c r="Z140" s="548" t="e">
        <f t="shared" si="32"/>
        <v>#N/A</v>
      </c>
      <c r="AA140" s="549" t="e">
        <f t="shared" si="32"/>
        <v>#N/A</v>
      </c>
      <c r="AB140" s="550" t="e">
        <f t="shared" si="39"/>
        <v>#VALUE!</v>
      </c>
      <c r="AD140" s="586">
        <f>IF($C140=Listas!$BV$2,(($F140*(1/100)+$G140*(0.5/100)+$H140*(80/100)*(1-70/100))*$E140),0)</f>
        <v>0</v>
      </c>
      <c r="AE140" s="586">
        <f>IF($C140=Listas!$BV$3,(($F140*(3/100)+$G140*(15/100)+$H140*(80/100)*(1-70/100))*$E140),0)</f>
        <v>0</v>
      </c>
      <c r="AF140" s="586">
        <f>IF($C140=Listas!$BV$4,(($F140*(3/100)+$G140*(35/100)+$H140*(100/100)*(1-70/100))*$E140),0)</f>
        <v>0</v>
      </c>
      <c r="AG140" s="586">
        <f>IF($C140=Listas!$BV$5,(($F140*(1/100)+$G140*(50/100)+$H140*(50/100)*(1-70/100))*$E140),0)</f>
        <v>0</v>
      </c>
      <c r="AH140" s="586">
        <f>IF($C140=Listas!$BV$6,(($F140*(3/100)+$G140*(25/100)+$H140*(100/100)*(1-90/100))*$E140),0)</f>
        <v>0</v>
      </c>
      <c r="AI140" s="586">
        <f>IF($C140=Listas!$BV$7,(($F140*(1/100)+$G140*(15/100)+$H140*(100/100)*(1-95/100))*$E140),0)</f>
        <v>0</v>
      </c>
      <c r="AJ140" s="586">
        <f>IF($C140=Listas!$BV$8,(($F140*(1/100)+$G140*(10/100)+$H140*(80/100)*(1-80/100))*$E140),0)</f>
        <v>0</v>
      </c>
      <c r="AK140" s="586">
        <f>IF($C140=Listas!$BV$9,(($F140*(0.5/100)+$G140*(20/100)+$H140*(50/100)*(1-50/100))*$E140),0)</f>
        <v>0</v>
      </c>
      <c r="AL140" s="586">
        <f>IF($C140=Listas!$BV$10,(($F140*(0.5/100)+$G140*(20/100)+$H140*(50/100)*(1-50/100))*$E140),0)</f>
        <v>0</v>
      </c>
    </row>
    <row r="141" spans="1:38" s="237" customFormat="1" ht="15" customHeight="1" outlineLevel="1" x14ac:dyDescent="0.25">
      <c r="A141" s="363"/>
      <c r="B141" s="543"/>
      <c r="C141" s="543"/>
      <c r="D141" s="587"/>
      <c r="E141" s="544" t="str">
        <f t="shared" si="27"/>
        <v/>
      </c>
      <c r="F141" s="588"/>
      <c r="G141" s="574"/>
      <c r="H141" s="574"/>
      <c r="I141" s="589" t="str">
        <f t="shared" si="33"/>
        <v/>
      </c>
      <c r="J141" s="363"/>
      <c r="K141" s="363"/>
      <c r="L141" s="363"/>
      <c r="M141" s="547" t="e">
        <f t="shared" si="34"/>
        <v>#VALUE!</v>
      </c>
      <c r="N141" s="548" t="e">
        <f t="shared" si="28"/>
        <v>#N/A</v>
      </c>
      <c r="O141" s="549" t="e">
        <f t="shared" si="28"/>
        <v>#N/A</v>
      </c>
      <c r="P141" s="550" t="e">
        <f t="shared" si="35"/>
        <v>#VALUE!</v>
      </c>
      <c r="Q141" s="548" t="e">
        <f t="shared" si="29"/>
        <v>#N/A</v>
      </c>
      <c r="R141" s="549" t="e">
        <f t="shared" si="29"/>
        <v>#N/A</v>
      </c>
      <c r="S141" s="550" t="e">
        <f t="shared" si="36"/>
        <v>#VALUE!</v>
      </c>
      <c r="T141" s="548" t="e">
        <f t="shared" si="30"/>
        <v>#N/A</v>
      </c>
      <c r="U141" s="549" t="e">
        <f t="shared" si="30"/>
        <v>#N/A</v>
      </c>
      <c r="V141" s="550" t="e">
        <f t="shared" si="37"/>
        <v>#VALUE!</v>
      </c>
      <c r="W141" s="548" t="e">
        <f t="shared" si="31"/>
        <v>#N/A</v>
      </c>
      <c r="X141" s="549" t="e">
        <f t="shared" si="31"/>
        <v>#N/A</v>
      </c>
      <c r="Y141" s="550" t="e">
        <f t="shared" si="38"/>
        <v>#VALUE!</v>
      </c>
      <c r="Z141" s="548" t="e">
        <f t="shared" si="32"/>
        <v>#N/A</v>
      </c>
      <c r="AA141" s="549" t="e">
        <f t="shared" si="32"/>
        <v>#N/A</v>
      </c>
      <c r="AB141" s="550" t="e">
        <f t="shared" si="39"/>
        <v>#VALUE!</v>
      </c>
      <c r="AD141" s="586">
        <f>IF($C141=Listas!$BV$2,(($F141*(1/100)+$G141*(0.5/100)+$H141*(80/100)*(1-70/100))*$E141),0)</f>
        <v>0</v>
      </c>
      <c r="AE141" s="586">
        <f>IF($C141=Listas!$BV$3,(($F141*(3/100)+$G141*(15/100)+$H141*(80/100)*(1-70/100))*$E141),0)</f>
        <v>0</v>
      </c>
      <c r="AF141" s="586">
        <f>IF($C141=Listas!$BV$4,(($F141*(3/100)+$G141*(35/100)+$H141*(100/100)*(1-70/100))*$E141),0)</f>
        <v>0</v>
      </c>
      <c r="AG141" s="586">
        <f>IF($C141=Listas!$BV$5,(($F141*(1/100)+$G141*(50/100)+$H141*(50/100)*(1-70/100))*$E141),0)</f>
        <v>0</v>
      </c>
      <c r="AH141" s="586">
        <f>IF($C141=Listas!$BV$6,(($F141*(3/100)+$G141*(25/100)+$H141*(100/100)*(1-90/100))*$E141),0)</f>
        <v>0</v>
      </c>
      <c r="AI141" s="586">
        <f>IF($C141=Listas!$BV$7,(($F141*(1/100)+$G141*(15/100)+$H141*(100/100)*(1-95/100))*$E141),0)</f>
        <v>0</v>
      </c>
      <c r="AJ141" s="586">
        <f>IF($C141=Listas!$BV$8,(($F141*(1/100)+$G141*(10/100)+$H141*(80/100)*(1-80/100))*$E141),0)</f>
        <v>0</v>
      </c>
      <c r="AK141" s="586">
        <f>IF($C141=Listas!$BV$9,(($F141*(0.5/100)+$G141*(20/100)+$H141*(50/100)*(1-50/100))*$E141),0)</f>
        <v>0</v>
      </c>
      <c r="AL141" s="586">
        <f>IF($C141=Listas!$BV$10,(($F141*(0.5/100)+$G141*(20/100)+$H141*(50/100)*(1-50/100))*$E141),0)</f>
        <v>0</v>
      </c>
    </row>
    <row r="142" spans="1:38" s="237" customFormat="1" ht="15" customHeight="1" outlineLevel="1" x14ac:dyDescent="0.25">
      <c r="A142" s="363"/>
      <c r="B142" s="543"/>
      <c r="C142" s="543"/>
      <c r="D142" s="587"/>
      <c r="E142" s="544" t="str">
        <f t="shared" si="27"/>
        <v/>
      </c>
      <c r="F142" s="588"/>
      <c r="G142" s="574"/>
      <c r="H142" s="574"/>
      <c r="I142" s="589" t="str">
        <f t="shared" si="33"/>
        <v/>
      </c>
      <c r="J142" s="363"/>
      <c r="K142" s="363"/>
      <c r="L142" s="363"/>
      <c r="M142" s="547" t="e">
        <f t="shared" si="34"/>
        <v>#VALUE!</v>
      </c>
      <c r="N142" s="548" t="e">
        <f t="shared" si="28"/>
        <v>#N/A</v>
      </c>
      <c r="O142" s="549" t="e">
        <f t="shared" si="28"/>
        <v>#N/A</v>
      </c>
      <c r="P142" s="550" t="e">
        <f t="shared" si="35"/>
        <v>#VALUE!</v>
      </c>
      <c r="Q142" s="548" t="e">
        <f t="shared" si="29"/>
        <v>#N/A</v>
      </c>
      <c r="R142" s="549" t="e">
        <f t="shared" si="29"/>
        <v>#N/A</v>
      </c>
      <c r="S142" s="550" t="e">
        <f t="shared" si="36"/>
        <v>#VALUE!</v>
      </c>
      <c r="T142" s="548" t="e">
        <f t="shared" si="30"/>
        <v>#N/A</v>
      </c>
      <c r="U142" s="549" t="e">
        <f t="shared" si="30"/>
        <v>#N/A</v>
      </c>
      <c r="V142" s="550" t="e">
        <f t="shared" si="37"/>
        <v>#VALUE!</v>
      </c>
      <c r="W142" s="548" t="e">
        <f t="shared" si="31"/>
        <v>#N/A</v>
      </c>
      <c r="X142" s="549" t="e">
        <f t="shared" si="31"/>
        <v>#N/A</v>
      </c>
      <c r="Y142" s="550" t="e">
        <f t="shared" si="38"/>
        <v>#VALUE!</v>
      </c>
      <c r="Z142" s="548" t="e">
        <f t="shared" si="32"/>
        <v>#N/A</v>
      </c>
      <c r="AA142" s="549" t="e">
        <f t="shared" si="32"/>
        <v>#N/A</v>
      </c>
      <c r="AB142" s="550" t="e">
        <f t="shared" si="39"/>
        <v>#VALUE!</v>
      </c>
      <c r="AD142" s="586">
        <f>IF($C142=Listas!$BV$2,(($F142*(1/100)+$G142*(0.5/100)+$H142*(80/100)*(1-70/100))*$E142),0)</f>
        <v>0</v>
      </c>
      <c r="AE142" s="586">
        <f>IF($C142=Listas!$BV$3,(($F142*(3/100)+$G142*(15/100)+$H142*(80/100)*(1-70/100))*$E142),0)</f>
        <v>0</v>
      </c>
      <c r="AF142" s="586">
        <f>IF($C142=Listas!$BV$4,(($F142*(3/100)+$G142*(35/100)+$H142*(100/100)*(1-70/100))*$E142),0)</f>
        <v>0</v>
      </c>
      <c r="AG142" s="586">
        <f>IF($C142=Listas!$BV$5,(($F142*(1/100)+$G142*(50/100)+$H142*(50/100)*(1-70/100))*$E142),0)</f>
        <v>0</v>
      </c>
      <c r="AH142" s="586">
        <f>IF($C142=Listas!$BV$6,(($F142*(3/100)+$G142*(25/100)+$H142*(100/100)*(1-90/100))*$E142),0)</f>
        <v>0</v>
      </c>
      <c r="AI142" s="586">
        <f>IF($C142=Listas!$BV$7,(($F142*(1/100)+$G142*(15/100)+$H142*(100/100)*(1-95/100))*$E142),0)</f>
        <v>0</v>
      </c>
      <c r="AJ142" s="586">
        <f>IF($C142=Listas!$BV$8,(($F142*(1/100)+$G142*(10/100)+$H142*(80/100)*(1-80/100))*$E142),0)</f>
        <v>0</v>
      </c>
      <c r="AK142" s="586">
        <f>IF($C142=Listas!$BV$9,(($F142*(0.5/100)+$G142*(20/100)+$H142*(50/100)*(1-50/100))*$E142),0)</f>
        <v>0</v>
      </c>
      <c r="AL142" s="586">
        <f>IF($C142=Listas!$BV$10,(($F142*(0.5/100)+$G142*(20/100)+$H142*(50/100)*(1-50/100))*$E142),0)</f>
        <v>0</v>
      </c>
    </row>
    <row r="143" spans="1:38" s="237" customFormat="1" ht="15" customHeight="1" outlineLevel="1" x14ac:dyDescent="0.25">
      <c r="A143" s="363"/>
      <c r="B143" s="543"/>
      <c r="C143" s="543"/>
      <c r="D143" s="587"/>
      <c r="E143" s="544" t="str">
        <f t="shared" si="27"/>
        <v/>
      </c>
      <c r="F143" s="588"/>
      <c r="G143" s="574"/>
      <c r="H143" s="574"/>
      <c r="I143" s="589" t="str">
        <f t="shared" si="33"/>
        <v/>
      </c>
      <c r="J143" s="363"/>
      <c r="K143" s="363"/>
      <c r="L143" s="363"/>
      <c r="M143" s="547" t="e">
        <f t="shared" si="34"/>
        <v>#VALUE!</v>
      </c>
      <c r="N143" s="548" t="e">
        <f t="shared" si="28"/>
        <v>#N/A</v>
      </c>
      <c r="O143" s="549" t="e">
        <f t="shared" si="28"/>
        <v>#N/A</v>
      </c>
      <c r="P143" s="550" t="e">
        <f t="shared" si="35"/>
        <v>#VALUE!</v>
      </c>
      <c r="Q143" s="548" t="e">
        <f t="shared" si="29"/>
        <v>#N/A</v>
      </c>
      <c r="R143" s="549" t="e">
        <f t="shared" si="29"/>
        <v>#N/A</v>
      </c>
      <c r="S143" s="550" t="e">
        <f t="shared" si="36"/>
        <v>#VALUE!</v>
      </c>
      <c r="T143" s="548" t="e">
        <f t="shared" si="30"/>
        <v>#N/A</v>
      </c>
      <c r="U143" s="549" t="e">
        <f t="shared" si="30"/>
        <v>#N/A</v>
      </c>
      <c r="V143" s="550" t="e">
        <f t="shared" si="37"/>
        <v>#VALUE!</v>
      </c>
      <c r="W143" s="548" t="e">
        <f t="shared" si="31"/>
        <v>#N/A</v>
      </c>
      <c r="X143" s="549" t="e">
        <f t="shared" si="31"/>
        <v>#N/A</v>
      </c>
      <c r="Y143" s="550" t="e">
        <f t="shared" si="38"/>
        <v>#VALUE!</v>
      </c>
      <c r="Z143" s="548" t="e">
        <f t="shared" si="32"/>
        <v>#N/A</v>
      </c>
      <c r="AA143" s="549" t="e">
        <f t="shared" si="32"/>
        <v>#N/A</v>
      </c>
      <c r="AB143" s="550" t="e">
        <f t="shared" si="39"/>
        <v>#VALUE!</v>
      </c>
      <c r="AD143" s="586">
        <f>IF($C143=Listas!$BV$2,(($F143*(1/100)+$G143*(0.5/100)+$H143*(80/100)*(1-70/100))*$E143),0)</f>
        <v>0</v>
      </c>
      <c r="AE143" s="586">
        <f>IF($C143=Listas!$BV$3,(($F143*(3/100)+$G143*(15/100)+$H143*(80/100)*(1-70/100))*$E143),0)</f>
        <v>0</v>
      </c>
      <c r="AF143" s="586">
        <f>IF($C143=Listas!$BV$4,(($F143*(3/100)+$G143*(35/100)+$H143*(100/100)*(1-70/100))*$E143),0)</f>
        <v>0</v>
      </c>
      <c r="AG143" s="586">
        <f>IF($C143=Listas!$BV$5,(($F143*(1/100)+$G143*(50/100)+$H143*(50/100)*(1-70/100))*$E143),0)</f>
        <v>0</v>
      </c>
      <c r="AH143" s="586">
        <f>IF($C143=Listas!$BV$6,(($F143*(3/100)+$G143*(25/100)+$H143*(100/100)*(1-90/100))*$E143),0)</f>
        <v>0</v>
      </c>
      <c r="AI143" s="586">
        <f>IF($C143=Listas!$BV$7,(($F143*(1/100)+$G143*(15/100)+$H143*(100/100)*(1-95/100))*$E143),0)</f>
        <v>0</v>
      </c>
      <c r="AJ143" s="586">
        <f>IF($C143=Listas!$BV$8,(($F143*(1/100)+$G143*(10/100)+$H143*(80/100)*(1-80/100))*$E143),0)</f>
        <v>0</v>
      </c>
      <c r="AK143" s="586">
        <f>IF($C143=Listas!$BV$9,(($F143*(0.5/100)+$G143*(20/100)+$H143*(50/100)*(1-50/100))*$E143),0)</f>
        <v>0</v>
      </c>
      <c r="AL143" s="586">
        <f>IF($C143=Listas!$BV$10,(($F143*(0.5/100)+$G143*(20/100)+$H143*(50/100)*(1-50/100))*$E143),0)</f>
        <v>0</v>
      </c>
    </row>
    <row r="144" spans="1:38" s="237" customFormat="1" ht="15" customHeight="1" outlineLevel="1" x14ac:dyDescent="0.25">
      <c r="A144" s="363"/>
      <c r="B144" s="543"/>
      <c r="C144" s="543"/>
      <c r="D144" s="587"/>
      <c r="E144" s="544" t="str">
        <f t="shared" si="27"/>
        <v/>
      </c>
      <c r="F144" s="588"/>
      <c r="G144" s="574"/>
      <c r="H144" s="574"/>
      <c r="I144" s="589" t="str">
        <f t="shared" si="33"/>
        <v/>
      </c>
      <c r="J144" s="363"/>
      <c r="K144" s="363"/>
      <c r="L144" s="363"/>
      <c r="M144" s="547" t="e">
        <f t="shared" si="34"/>
        <v>#VALUE!</v>
      </c>
      <c r="N144" s="548" t="e">
        <f t="shared" si="28"/>
        <v>#N/A</v>
      </c>
      <c r="O144" s="549" t="e">
        <f t="shared" si="28"/>
        <v>#N/A</v>
      </c>
      <c r="P144" s="550" t="e">
        <f t="shared" si="35"/>
        <v>#VALUE!</v>
      </c>
      <c r="Q144" s="548" t="e">
        <f t="shared" si="29"/>
        <v>#N/A</v>
      </c>
      <c r="R144" s="549" t="e">
        <f t="shared" si="29"/>
        <v>#N/A</v>
      </c>
      <c r="S144" s="550" t="e">
        <f t="shared" si="36"/>
        <v>#VALUE!</v>
      </c>
      <c r="T144" s="548" t="e">
        <f t="shared" si="30"/>
        <v>#N/A</v>
      </c>
      <c r="U144" s="549" t="e">
        <f t="shared" si="30"/>
        <v>#N/A</v>
      </c>
      <c r="V144" s="550" t="e">
        <f t="shared" si="37"/>
        <v>#VALUE!</v>
      </c>
      <c r="W144" s="548" t="e">
        <f t="shared" si="31"/>
        <v>#N/A</v>
      </c>
      <c r="X144" s="549" t="e">
        <f t="shared" si="31"/>
        <v>#N/A</v>
      </c>
      <c r="Y144" s="550" t="e">
        <f t="shared" si="38"/>
        <v>#VALUE!</v>
      </c>
      <c r="Z144" s="548" t="e">
        <f t="shared" si="32"/>
        <v>#N/A</v>
      </c>
      <c r="AA144" s="549" t="e">
        <f t="shared" si="32"/>
        <v>#N/A</v>
      </c>
      <c r="AB144" s="550" t="e">
        <f t="shared" si="39"/>
        <v>#VALUE!</v>
      </c>
      <c r="AD144" s="586">
        <f>IF($C144=Listas!$BV$2,(($F144*(1/100)+$G144*(0.5/100)+$H144*(80/100)*(1-70/100))*$E144),0)</f>
        <v>0</v>
      </c>
      <c r="AE144" s="586">
        <f>IF($C144=Listas!$BV$3,(($F144*(3/100)+$G144*(15/100)+$H144*(80/100)*(1-70/100))*$E144),0)</f>
        <v>0</v>
      </c>
      <c r="AF144" s="586">
        <f>IF($C144=Listas!$BV$4,(($F144*(3/100)+$G144*(35/100)+$H144*(100/100)*(1-70/100))*$E144),0)</f>
        <v>0</v>
      </c>
      <c r="AG144" s="586">
        <f>IF($C144=Listas!$BV$5,(($F144*(1/100)+$G144*(50/100)+$H144*(50/100)*(1-70/100))*$E144),0)</f>
        <v>0</v>
      </c>
      <c r="AH144" s="586">
        <f>IF($C144=Listas!$BV$6,(($F144*(3/100)+$G144*(25/100)+$H144*(100/100)*(1-90/100))*$E144),0)</f>
        <v>0</v>
      </c>
      <c r="AI144" s="586">
        <f>IF($C144=Listas!$BV$7,(($F144*(1/100)+$G144*(15/100)+$H144*(100/100)*(1-95/100))*$E144),0)</f>
        <v>0</v>
      </c>
      <c r="AJ144" s="586">
        <f>IF($C144=Listas!$BV$8,(($F144*(1/100)+$G144*(10/100)+$H144*(80/100)*(1-80/100))*$E144),0)</f>
        <v>0</v>
      </c>
      <c r="AK144" s="586">
        <f>IF($C144=Listas!$BV$9,(($F144*(0.5/100)+$G144*(20/100)+$H144*(50/100)*(1-50/100))*$E144),0)</f>
        <v>0</v>
      </c>
      <c r="AL144" s="586">
        <f>IF($C144=Listas!$BV$10,(($F144*(0.5/100)+$G144*(20/100)+$H144*(50/100)*(1-50/100))*$E144),0)</f>
        <v>0</v>
      </c>
    </row>
    <row r="145" spans="1:38" s="237" customFormat="1" ht="15" customHeight="1" outlineLevel="1" x14ac:dyDescent="0.25">
      <c r="A145" s="363"/>
      <c r="B145" s="543"/>
      <c r="C145" s="543"/>
      <c r="D145" s="587"/>
      <c r="E145" s="544" t="str">
        <f t="shared" si="27"/>
        <v/>
      </c>
      <c r="F145" s="588"/>
      <c r="G145" s="574"/>
      <c r="H145" s="574"/>
      <c r="I145" s="589" t="str">
        <f t="shared" si="33"/>
        <v/>
      </c>
      <c r="J145" s="363"/>
      <c r="K145" s="363"/>
      <c r="L145" s="363"/>
      <c r="M145" s="547" t="e">
        <f t="shared" si="34"/>
        <v>#VALUE!</v>
      </c>
      <c r="N145" s="548" t="e">
        <f t="shared" si="28"/>
        <v>#N/A</v>
      </c>
      <c r="O145" s="549" t="e">
        <f t="shared" si="28"/>
        <v>#N/A</v>
      </c>
      <c r="P145" s="550" t="e">
        <f t="shared" si="35"/>
        <v>#VALUE!</v>
      </c>
      <c r="Q145" s="548" t="e">
        <f t="shared" si="29"/>
        <v>#N/A</v>
      </c>
      <c r="R145" s="549" t="e">
        <f t="shared" si="29"/>
        <v>#N/A</v>
      </c>
      <c r="S145" s="550" t="e">
        <f t="shared" si="36"/>
        <v>#VALUE!</v>
      </c>
      <c r="T145" s="548" t="e">
        <f t="shared" si="30"/>
        <v>#N/A</v>
      </c>
      <c r="U145" s="549" t="e">
        <f t="shared" si="30"/>
        <v>#N/A</v>
      </c>
      <c r="V145" s="550" t="e">
        <f t="shared" si="37"/>
        <v>#VALUE!</v>
      </c>
      <c r="W145" s="548" t="e">
        <f t="shared" si="31"/>
        <v>#N/A</v>
      </c>
      <c r="X145" s="549" t="e">
        <f t="shared" si="31"/>
        <v>#N/A</v>
      </c>
      <c r="Y145" s="550" t="e">
        <f t="shared" si="38"/>
        <v>#VALUE!</v>
      </c>
      <c r="Z145" s="548" t="e">
        <f t="shared" si="32"/>
        <v>#N/A</v>
      </c>
      <c r="AA145" s="549" t="e">
        <f t="shared" si="32"/>
        <v>#N/A</v>
      </c>
      <c r="AB145" s="550" t="e">
        <f t="shared" si="39"/>
        <v>#VALUE!</v>
      </c>
      <c r="AD145" s="586">
        <f>IF($C145=Listas!$BV$2,(($F145*(1/100)+$G145*(0.5/100)+$H145*(80/100)*(1-70/100))*$E145),0)</f>
        <v>0</v>
      </c>
      <c r="AE145" s="586">
        <f>IF($C145=Listas!$BV$3,(($F145*(3/100)+$G145*(15/100)+$H145*(80/100)*(1-70/100))*$E145),0)</f>
        <v>0</v>
      </c>
      <c r="AF145" s="586">
        <f>IF($C145=Listas!$BV$4,(($F145*(3/100)+$G145*(35/100)+$H145*(100/100)*(1-70/100))*$E145),0)</f>
        <v>0</v>
      </c>
      <c r="AG145" s="586">
        <f>IF($C145=Listas!$BV$5,(($F145*(1/100)+$G145*(50/100)+$H145*(50/100)*(1-70/100))*$E145),0)</f>
        <v>0</v>
      </c>
      <c r="AH145" s="586">
        <f>IF($C145=Listas!$BV$6,(($F145*(3/100)+$G145*(25/100)+$H145*(100/100)*(1-90/100))*$E145),0)</f>
        <v>0</v>
      </c>
      <c r="AI145" s="586">
        <f>IF($C145=Listas!$BV$7,(($F145*(1/100)+$G145*(15/100)+$H145*(100/100)*(1-95/100))*$E145),0)</f>
        <v>0</v>
      </c>
      <c r="AJ145" s="586">
        <f>IF($C145=Listas!$BV$8,(($F145*(1/100)+$G145*(10/100)+$H145*(80/100)*(1-80/100))*$E145),0)</f>
        <v>0</v>
      </c>
      <c r="AK145" s="586">
        <f>IF($C145=Listas!$BV$9,(($F145*(0.5/100)+$G145*(20/100)+$H145*(50/100)*(1-50/100))*$E145),0)</f>
        <v>0</v>
      </c>
      <c r="AL145" s="586">
        <f>IF($C145=Listas!$BV$10,(($F145*(0.5/100)+$G145*(20/100)+$H145*(50/100)*(1-50/100))*$E145),0)</f>
        <v>0</v>
      </c>
    </row>
    <row r="146" spans="1:38" s="237" customFormat="1" ht="15" customHeight="1" outlineLevel="1" x14ac:dyDescent="0.25">
      <c r="A146" s="363"/>
      <c r="B146" s="543"/>
      <c r="C146" s="543"/>
      <c r="D146" s="594"/>
      <c r="E146" s="544" t="str">
        <f t="shared" si="27"/>
        <v/>
      </c>
      <c r="F146" s="588"/>
      <c r="G146" s="574"/>
      <c r="H146" s="574"/>
      <c r="I146" s="589" t="str">
        <f t="shared" si="33"/>
        <v/>
      </c>
      <c r="J146" s="363"/>
      <c r="K146" s="363"/>
      <c r="L146" s="363"/>
      <c r="M146" s="551" t="e">
        <f t="shared" si="34"/>
        <v>#VALUE!</v>
      </c>
      <c r="N146" s="552" t="e">
        <f t="shared" si="28"/>
        <v>#N/A</v>
      </c>
      <c r="O146" s="553" t="e">
        <f t="shared" si="28"/>
        <v>#N/A</v>
      </c>
      <c r="P146" s="554" t="e">
        <f t="shared" si="35"/>
        <v>#VALUE!</v>
      </c>
      <c r="Q146" s="552" t="e">
        <f t="shared" si="29"/>
        <v>#N/A</v>
      </c>
      <c r="R146" s="553" t="e">
        <f t="shared" si="29"/>
        <v>#N/A</v>
      </c>
      <c r="S146" s="554" t="e">
        <f t="shared" si="36"/>
        <v>#VALUE!</v>
      </c>
      <c r="T146" s="552" t="e">
        <f t="shared" si="30"/>
        <v>#N/A</v>
      </c>
      <c r="U146" s="553" t="e">
        <f t="shared" si="30"/>
        <v>#N/A</v>
      </c>
      <c r="V146" s="554" t="e">
        <f t="shared" si="37"/>
        <v>#VALUE!</v>
      </c>
      <c r="W146" s="552" t="e">
        <f t="shared" si="31"/>
        <v>#N/A</v>
      </c>
      <c r="X146" s="553" t="e">
        <f t="shared" si="31"/>
        <v>#N/A</v>
      </c>
      <c r="Y146" s="554" t="e">
        <f t="shared" si="38"/>
        <v>#VALUE!</v>
      </c>
      <c r="Z146" s="552" t="e">
        <f t="shared" si="32"/>
        <v>#N/A</v>
      </c>
      <c r="AA146" s="553" t="e">
        <f t="shared" si="32"/>
        <v>#N/A</v>
      </c>
      <c r="AB146" s="554" t="e">
        <f t="shared" si="39"/>
        <v>#VALUE!</v>
      </c>
      <c r="AD146" s="586">
        <f>IF($C146=Listas!$BV$2,(($F146*(1/100)+$G146*(0.5/100)+$H146*(80/100)*(1-70/100))*$E146),0)</f>
        <v>0</v>
      </c>
      <c r="AE146" s="586">
        <f>IF($C146=Listas!$BV$3,(($F146*(3/100)+$G146*(15/100)+$H146*(80/100)*(1-70/100))*$E146),0)</f>
        <v>0</v>
      </c>
      <c r="AF146" s="586">
        <f>IF($C146=Listas!$BV$4,(($F146*(3/100)+$G146*(35/100)+$H146*(100/100)*(1-70/100))*$E146),0)</f>
        <v>0</v>
      </c>
      <c r="AG146" s="586">
        <f>IF($C146=Listas!$BV$5,(($F146*(1/100)+$G146*(50/100)+$H146*(50/100)*(1-70/100))*$E146),0)</f>
        <v>0</v>
      </c>
      <c r="AH146" s="586">
        <f>IF($C146=Listas!$BV$6,(($F146*(3/100)+$G146*(25/100)+$H146*(100/100)*(1-90/100))*$E146),0)</f>
        <v>0</v>
      </c>
      <c r="AI146" s="586">
        <f>IF($C146=Listas!$BV$7,(($F146*(1/100)+$G146*(15/100)+$H146*(100/100)*(1-95/100))*$E146),0)</f>
        <v>0</v>
      </c>
      <c r="AJ146" s="586">
        <f>IF($C146=Listas!$BV$8,(($F146*(1/100)+$G146*(10/100)+$H146*(80/100)*(1-80/100))*$E146),0)</f>
        <v>0</v>
      </c>
      <c r="AK146" s="586">
        <f>IF($C146=Listas!$BV$9,(($F146*(0.5/100)+$G146*(20/100)+$H146*(50/100)*(1-50/100))*$E146),0)</f>
        <v>0</v>
      </c>
      <c r="AL146" s="586">
        <f>IF($C146=Listas!$BV$10,(($F146*(0.5/100)+$G146*(20/100)+$H146*(50/100)*(1-50/100))*$E146),0)</f>
        <v>0</v>
      </c>
    </row>
    <row r="147" spans="1:38" s="237" customFormat="1" ht="15" customHeight="1" outlineLevel="1" x14ac:dyDescent="0.25">
      <c r="A147" s="363"/>
      <c r="B147" s="595" t="s">
        <v>78</v>
      </c>
      <c r="C147" s="515"/>
      <c r="D147" s="578"/>
      <c r="E147" s="578"/>
      <c r="F147" s="578"/>
      <c r="G147" s="578"/>
      <c r="H147" s="579"/>
      <c r="I147" s="557">
        <f>SUM(I132:I146)</f>
        <v>0</v>
      </c>
      <c r="J147" s="363"/>
      <c r="K147" s="363"/>
      <c r="L147" s="363"/>
      <c r="M147" s="373"/>
    </row>
    <row r="148" spans="1:38" s="237" customFormat="1" ht="15" customHeight="1" outlineLevel="1" x14ac:dyDescent="0.25">
      <c r="A148" s="569"/>
      <c r="B148" s="569"/>
      <c r="C148" s="569"/>
      <c r="D148" s="569"/>
      <c r="E148" s="569"/>
      <c r="F148" s="569"/>
      <c r="G148" s="569"/>
      <c r="H148" s="569"/>
      <c r="I148" s="569"/>
      <c r="J148" s="363"/>
      <c r="K148" s="363"/>
      <c r="L148" s="363"/>
      <c r="M148" s="373"/>
    </row>
    <row r="149" spans="1:38" s="237" customFormat="1" ht="15" customHeight="1" outlineLevel="1" x14ac:dyDescent="0.25">
      <c r="A149" s="363"/>
      <c r="B149" s="468" t="s">
        <v>533</v>
      </c>
      <c r="C149" s="363"/>
      <c r="D149" s="373"/>
      <c r="E149" s="373"/>
      <c r="F149" s="373"/>
      <c r="G149" s="373"/>
      <c r="H149" s="373"/>
      <c r="I149" s="363"/>
      <c r="J149" s="363"/>
      <c r="K149" s="363"/>
      <c r="L149" s="363"/>
      <c r="M149" s="373"/>
    </row>
    <row r="150" spans="1:38" s="237" customFormat="1" ht="15" customHeight="1" outlineLevel="1" x14ac:dyDescent="0.25">
      <c r="A150" s="363"/>
      <c r="B150" s="596" t="s">
        <v>120</v>
      </c>
      <c r="C150" s="597"/>
      <c r="D150" s="1292" t="s">
        <v>535</v>
      </c>
      <c r="E150" s="1293"/>
      <c r="F150" s="1293"/>
      <c r="G150" s="1293"/>
      <c r="H150" s="1294"/>
      <c r="I150" s="363"/>
      <c r="J150" s="363"/>
      <c r="K150" s="363"/>
      <c r="L150" s="363"/>
      <c r="M150" s="373"/>
    </row>
    <row r="151" spans="1:38" s="237" customFormat="1" ht="15" customHeight="1" outlineLevel="1" x14ac:dyDescent="0.25">
      <c r="A151" s="363"/>
      <c r="B151" s="596" t="s">
        <v>121</v>
      </c>
      <c r="C151" s="597"/>
      <c r="D151" s="1292" t="s">
        <v>536</v>
      </c>
      <c r="E151" s="1293"/>
      <c r="F151" s="1293"/>
      <c r="G151" s="1293"/>
      <c r="H151" s="1294"/>
      <c r="I151" s="363"/>
      <c r="J151" s="363"/>
      <c r="K151" s="363"/>
      <c r="L151" s="363"/>
      <c r="M151" s="373"/>
    </row>
    <row r="152" spans="1:38" s="237" customFormat="1" ht="15" customHeight="1" outlineLevel="1" x14ac:dyDescent="0.25">
      <c r="A152" s="363"/>
      <c r="B152" s="596" t="s">
        <v>534</v>
      </c>
      <c r="C152" s="597"/>
      <c r="D152" s="1292" t="s">
        <v>537</v>
      </c>
      <c r="E152" s="1293"/>
      <c r="F152" s="1293"/>
      <c r="G152" s="1293"/>
      <c r="H152" s="1294"/>
      <c r="I152" s="363"/>
      <c r="J152" s="363"/>
      <c r="K152" s="363"/>
      <c r="L152" s="363"/>
      <c r="M152" s="373"/>
    </row>
    <row r="153" spans="1:38" s="237" customFormat="1" ht="15" customHeight="1" outlineLevel="1" x14ac:dyDescent="0.25">
      <c r="A153" s="363"/>
      <c r="B153" s="596" t="s">
        <v>1929</v>
      </c>
      <c r="C153" s="597"/>
      <c r="D153" s="1292" t="s">
        <v>130</v>
      </c>
      <c r="E153" s="1293"/>
      <c r="F153" s="1293"/>
      <c r="G153" s="1293"/>
      <c r="H153" s="1294"/>
      <c r="I153" s="363"/>
      <c r="J153" s="363"/>
      <c r="K153" s="363"/>
      <c r="L153" s="363"/>
      <c r="M153" s="373"/>
    </row>
    <row r="154" spans="1:38" s="237" customFormat="1" ht="15" customHeight="1" outlineLevel="1" x14ac:dyDescent="0.25">
      <c r="A154" s="363"/>
      <c r="B154" s="596" t="s">
        <v>127</v>
      </c>
      <c r="C154" s="597"/>
      <c r="D154" s="1292" t="s">
        <v>538</v>
      </c>
      <c r="E154" s="1293"/>
      <c r="F154" s="1293"/>
      <c r="G154" s="1293"/>
      <c r="H154" s="1294"/>
      <c r="I154" s="363"/>
      <c r="J154" s="363"/>
      <c r="K154" s="363"/>
      <c r="L154" s="363"/>
      <c r="M154" s="373"/>
    </row>
    <row r="155" spans="1:38" s="237" customFormat="1" ht="15" customHeight="1" outlineLevel="1" x14ac:dyDescent="0.25">
      <c r="A155" s="363"/>
      <c r="B155" s="596" t="s">
        <v>128</v>
      </c>
      <c r="C155" s="597"/>
      <c r="D155" s="1292" t="s">
        <v>539</v>
      </c>
      <c r="E155" s="1293"/>
      <c r="F155" s="1293"/>
      <c r="G155" s="1293"/>
      <c r="H155" s="1294"/>
      <c r="I155" s="363"/>
      <c r="J155" s="363"/>
      <c r="K155" s="363"/>
      <c r="L155" s="363"/>
      <c r="M155" s="373"/>
    </row>
    <row r="156" spans="1:38" s="237" customFormat="1" ht="15" customHeight="1" outlineLevel="1" x14ac:dyDescent="0.25">
      <c r="A156" s="363"/>
      <c r="B156" s="596" t="s">
        <v>571</v>
      </c>
      <c r="C156" s="597"/>
      <c r="D156" s="1292" t="s">
        <v>540</v>
      </c>
      <c r="E156" s="1293"/>
      <c r="F156" s="1293"/>
      <c r="G156" s="1293"/>
      <c r="H156" s="1294"/>
      <c r="I156" s="363"/>
      <c r="J156" s="363"/>
      <c r="K156" s="363"/>
      <c r="L156" s="363"/>
      <c r="M156" s="373"/>
    </row>
    <row r="157" spans="1:38" s="237" customFormat="1" ht="15" customHeight="1" outlineLevel="1" x14ac:dyDescent="0.25">
      <c r="A157" s="363"/>
      <c r="B157" s="596" t="s">
        <v>129</v>
      </c>
      <c r="C157" s="597"/>
      <c r="D157" s="1292" t="s">
        <v>1931</v>
      </c>
      <c r="E157" s="1293"/>
      <c r="F157" s="1293"/>
      <c r="G157" s="1293"/>
      <c r="H157" s="1294"/>
      <c r="I157" s="363"/>
      <c r="J157" s="363"/>
      <c r="K157" s="363"/>
      <c r="L157" s="363"/>
      <c r="M157" s="373"/>
    </row>
    <row r="158" spans="1:38" s="237" customFormat="1" ht="15" customHeight="1" outlineLevel="1" x14ac:dyDescent="0.25">
      <c r="A158" s="363"/>
      <c r="B158" s="596" t="s">
        <v>1930</v>
      </c>
      <c r="C158" s="597"/>
      <c r="D158" s="1292" t="s">
        <v>1932</v>
      </c>
      <c r="E158" s="1293"/>
      <c r="F158" s="1293"/>
      <c r="G158" s="1293"/>
      <c r="H158" s="1294"/>
      <c r="I158" s="363"/>
      <c r="J158" s="363"/>
      <c r="K158" s="363"/>
      <c r="L158" s="363"/>
      <c r="M158" s="373"/>
    </row>
    <row r="159" spans="1:38" s="237" customFormat="1" ht="15" customHeight="1" outlineLevel="1" x14ac:dyDescent="0.25">
      <c r="A159" s="363"/>
      <c r="B159" s="598"/>
      <c r="C159" s="598"/>
      <c r="D159" s="598"/>
      <c r="E159" s="373"/>
      <c r="F159" s="373"/>
      <c r="G159" s="373"/>
      <c r="H159" s="373"/>
      <c r="I159" s="363"/>
      <c r="J159" s="363"/>
      <c r="K159" s="363"/>
      <c r="M159" s="373"/>
    </row>
    <row r="160" spans="1:38" s="237" customFormat="1" ht="15" customHeight="1" collapsed="1" x14ac:dyDescent="0.25">
      <c r="A160" s="363"/>
      <c r="B160" s="569"/>
      <c r="C160" s="569"/>
      <c r="D160" s="569"/>
      <c r="E160" s="569"/>
      <c r="F160" s="569"/>
      <c r="G160" s="569"/>
      <c r="H160" s="569"/>
      <c r="I160" s="569"/>
      <c r="J160" s="363"/>
      <c r="K160" s="363"/>
    </row>
    <row r="161" spans="1:13" s="415" customFormat="1" ht="18" customHeight="1" x14ac:dyDescent="0.2">
      <c r="A161" s="498"/>
      <c r="B161" s="1299" t="s">
        <v>2200</v>
      </c>
      <c r="C161" s="1299"/>
      <c r="D161" s="1299"/>
      <c r="E161" s="1299"/>
      <c r="F161" s="1299"/>
      <c r="G161" s="499"/>
      <c r="H161" s="499"/>
      <c r="I161" s="499"/>
      <c r="J161" s="499"/>
      <c r="K161" s="343"/>
      <c r="L161" s="195"/>
      <c r="M161" s="195"/>
    </row>
    <row r="162" spans="1:13" ht="15" customHeight="1" outlineLevel="1" x14ac:dyDescent="0.2">
      <c r="A162" s="417"/>
      <c r="B162" s="417"/>
      <c r="C162" s="417"/>
      <c r="D162" s="417"/>
      <c r="E162" s="417"/>
      <c r="F162" s="417"/>
      <c r="G162" s="417"/>
      <c r="H162" s="417"/>
      <c r="I162" s="417"/>
      <c r="J162" s="417"/>
      <c r="K162" s="417"/>
      <c r="L162" s="195"/>
      <c r="M162" s="195"/>
    </row>
    <row r="163" spans="1:13" ht="15" customHeight="1" outlineLevel="1" x14ac:dyDescent="0.2">
      <c r="A163" s="417"/>
      <c r="B163" s="599" t="s">
        <v>124</v>
      </c>
      <c r="C163" s="417"/>
      <c r="D163" s="417"/>
      <c r="E163" s="417"/>
      <c r="F163" s="417"/>
      <c r="G163" s="417"/>
      <c r="H163" s="417"/>
      <c r="I163" s="417"/>
      <c r="J163" s="417"/>
      <c r="K163" s="417"/>
      <c r="L163" s="195"/>
      <c r="M163" s="195"/>
    </row>
    <row r="164" spans="1:13" s="237" customFormat="1" ht="15" customHeight="1" outlineLevel="1" x14ac:dyDescent="0.25">
      <c r="A164" s="449"/>
      <c r="B164" s="449" t="s">
        <v>1949</v>
      </c>
      <c r="C164" s="449"/>
      <c r="D164" s="449"/>
      <c r="E164" s="449"/>
      <c r="F164" s="449"/>
      <c r="G164" s="449"/>
      <c r="H164" s="449"/>
      <c r="I164" s="449"/>
      <c r="J164" s="449"/>
      <c r="K164" s="449"/>
    </row>
    <row r="165" spans="1:13" s="237" customFormat="1" ht="15" customHeight="1" outlineLevel="1" x14ac:dyDescent="0.25">
      <c r="A165" s="449"/>
      <c r="B165" s="449" t="s">
        <v>1904</v>
      </c>
      <c r="C165" s="449"/>
      <c r="D165" s="449"/>
      <c r="E165" s="449"/>
      <c r="F165" s="449"/>
      <c r="G165" s="449"/>
      <c r="H165" s="449"/>
      <c r="I165" s="449"/>
      <c r="J165" s="449"/>
      <c r="K165" s="449"/>
    </row>
    <row r="166" spans="1:13" s="237" customFormat="1" ht="20.100000000000001" customHeight="1" outlineLevel="1" x14ac:dyDescent="0.25">
      <c r="A166" s="449"/>
      <c r="B166" s="449"/>
      <c r="C166" s="449"/>
      <c r="D166" s="449"/>
      <c r="E166" s="449"/>
      <c r="F166" s="449"/>
      <c r="G166" s="449"/>
      <c r="H166" s="449"/>
      <c r="I166" s="449"/>
      <c r="J166" s="449"/>
      <c r="K166" s="449"/>
    </row>
    <row r="167" spans="1:13" s="237" customFormat="1" ht="15" customHeight="1" outlineLevel="1" x14ac:dyDescent="0.25">
      <c r="A167" s="449"/>
      <c r="B167" s="468" t="s">
        <v>1901</v>
      </c>
      <c r="C167" s="449"/>
      <c r="D167" s="449"/>
      <c r="E167" s="449"/>
      <c r="F167" s="449"/>
      <c r="G167" s="449"/>
      <c r="H167" s="449"/>
      <c r="I167" s="449"/>
      <c r="J167" s="449"/>
      <c r="K167" s="449"/>
    </row>
    <row r="168" spans="1:13" s="237" customFormat="1" ht="15" customHeight="1" outlineLevel="1" x14ac:dyDescent="0.25">
      <c r="A168" s="449"/>
      <c r="B168" s="1269" t="s">
        <v>1842</v>
      </c>
      <c r="C168" s="1269" t="s">
        <v>98</v>
      </c>
      <c r="D168" s="1249" t="s">
        <v>1902</v>
      </c>
      <c r="E168" s="1249" t="s">
        <v>1903</v>
      </c>
      <c r="F168" s="1284" t="s">
        <v>541</v>
      </c>
      <c r="G168" s="1249" t="s">
        <v>542</v>
      </c>
      <c r="H168" s="1269" t="s">
        <v>110</v>
      </c>
      <c r="I168" s="1249" t="s">
        <v>1422</v>
      </c>
      <c r="J168" s="600"/>
      <c r="K168" s="449"/>
    </row>
    <row r="169" spans="1:13" s="237" customFormat="1" ht="15" customHeight="1" outlineLevel="1" x14ac:dyDescent="0.25">
      <c r="A169" s="449"/>
      <c r="B169" s="1270"/>
      <c r="C169" s="1270"/>
      <c r="D169" s="1266"/>
      <c r="E169" s="1266"/>
      <c r="F169" s="1301"/>
      <c r="G169" s="1266"/>
      <c r="H169" s="1270"/>
      <c r="I169" s="1266"/>
      <c r="J169" s="600"/>
      <c r="K169" s="449"/>
    </row>
    <row r="170" spans="1:13" s="237" customFormat="1" ht="15" customHeight="1" outlineLevel="1" x14ac:dyDescent="0.25">
      <c r="A170" s="449"/>
      <c r="B170" s="1271"/>
      <c r="C170" s="1271"/>
      <c r="D170" s="570" t="s">
        <v>115</v>
      </c>
      <c r="E170" s="570" t="s">
        <v>115</v>
      </c>
      <c r="F170" s="425" t="s">
        <v>115</v>
      </c>
      <c r="G170" s="425" t="s">
        <v>115</v>
      </c>
      <c r="H170" s="570"/>
      <c r="I170" s="570" t="s">
        <v>115</v>
      </c>
      <c r="J170" s="600"/>
      <c r="K170" s="449"/>
    </row>
    <row r="171" spans="1:13" s="237" customFormat="1" ht="15" customHeight="1" outlineLevel="1" x14ac:dyDescent="0.25">
      <c r="A171" s="449"/>
      <c r="B171" s="601" t="s">
        <v>543</v>
      </c>
      <c r="C171" s="601" t="str">
        <f>B223</f>
        <v>Hexafluoreto de enxofre (SF6)</v>
      </c>
      <c r="D171" s="602">
        <v>30</v>
      </c>
      <c r="E171" s="603">
        <v>25</v>
      </c>
      <c r="F171" s="602">
        <v>10</v>
      </c>
      <c r="G171" s="604">
        <f>$D171-$E171+$F171</f>
        <v>15</v>
      </c>
      <c r="H171" s="605">
        <f>gwp_SF6</f>
        <v>22800</v>
      </c>
      <c r="I171" s="606">
        <f>H171*G171</f>
        <v>342000</v>
      </c>
      <c r="J171" s="600"/>
      <c r="K171" s="449"/>
    </row>
    <row r="172" spans="1:13" s="237" customFormat="1" ht="15" customHeight="1" outlineLevel="1" x14ac:dyDescent="0.25">
      <c r="A172" s="449"/>
      <c r="B172" s="607"/>
      <c r="C172" s="608"/>
      <c r="D172" s="588"/>
      <c r="E172" s="588"/>
      <c r="F172" s="588"/>
      <c r="G172" s="609" t="str">
        <f>IF($H172="",IF($E172="", "",$D172-$E172+$F172),$D172-$E172+$F172)</f>
        <v/>
      </c>
      <c r="H172" s="610" t="str">
        <f>IF(C172="", "",IF(C172=$B$223,gwp_SF6,gwp_NF3))</f>
        <v/>
      </c>
      <c r="I172" s="611" t="str">
        <f>IF($H172="","", $H172*$G172)</f>
        <v/>
      </c>
      <c r="J172" s="600"/>
      <c r="K172" s="449"/>
    </row>
    <row r="173" spans="1:13" s="237" customFormat="1" ht="15" customHeight="1" outlineLevel="1" x14ac:dyDescent="0.25">
      <c r="A173" s="449"/>
      <c r="B173" s="607"/>
      <c r="C173" s="608"/>
      <c r="D173" s="588"/>
      <c r="E173" s="588"/>
      <c r="F173" s="588"/>
      <c r="G173" s="609" t="str">
        <f t="shared" ref="G173:G186" si="40">IF($H173="",IF($E173="", "",$D173-$E173+$F173),$D173-$E173+$F173)</f>
        <v/>
      </c>
      <c r="H173" s="610" t="str">
        <f t="shared" ref="H173:H186" si="41">IF(C173="", "",IF(C173=$B$223,gwp_SF6,gwp_NF3))</f>
        <v/>
      </c>
      <c r="I173" s="611" t="str">
        <f t="shared" ref="I173:I186" si="42">IF($H173="","", $H173*$G173)</f>
        <v/>
      </c>
      <c r="J173" s="600"/>
      <c r="K173" s="449"/>
    </row>
    <row r="174" spans="1:13" s="237" customFormat="1" ht="15" customHeight="1" outlineLevel="1" x14ac:dyDescent="0.25">
      <c r="A174" s="449"/>
      <c r="B174" s="607"/>
      <c r="C174" s="608"/>
      <c r="D174" s="588"/>
      <c r="E174" s="588"/>
      <c r="F174" s="588"/>
      <c r="G174" s="609" t="str">
        <f t="shared" si="40"/>
        <v/>
      </c>
      <c r="H174" s="610" t="str">
        <f t="shared" si="41"/>
        <v/>
      </c>
      <c r="I174" s="611" t="str">
        <f t="shared" si="42"/>
        <v/>
      </c>
      <c r="J174" s="600"/>
      <c r="K174" s="449"/>
    </row>
    <row r="175" spans="1:13" s="237" customFormat="1" ht="15" customHeight="1" outlineLevel="1" x14ac:dyDescent="0.25">
      <c r="A175" s="449"/>
      <c r="B175" s="607"/>
      <c r="C175" s="608"/>
      <c r="D175" s="588"/>
      <c r="E175" s="588"/>
      <c r="F175" s="588"/>
      <c r="G175" s="609" t="str">
        <f t="shared" si="40"/>
        <v/>
      </c>
      <c r="H175" s="610" t="str">
        <f t="shared" si="41"/>
        <v/>
      </c>
      <c r="I175" s="611" t="str">
        <f t="shared" si="42"/>
        <v/>
      </c>
      <c r="J175" s="600"/>
      <c r="K175" s="449"/>
    </row>
    <row r="176" spans="1:13" s="237" customFormat="1" ht="15" customHeight="1" outlineLevel="1" x14ac:dyDescent="0.25">
      <c r="A176" s="449"/>
      <c r="B176" s="607"/>
      <c r="C176" s="608"/>
      <c r="D176" s="588"/>
      <c r="E176" s="588"/>
      <c r="F176" s="588"/>
      <c r="G176" s="609" t="str">
        <f t="shared" si="40"/>
        <v/>
      </c>
      <c r="H176" s="610" t="str">
        <f t="shared" si="41"/>
        <v/>
      </c>
      <c r="I176" s="611" t="str">
        <f t="shared" si="42"/>
        <v/>
      </c>
      <c r="J176" s="600"/>
      <c r="K176" s="449"/>
    </row>
    <row r="177" spans="1:13" s="237" customFormat="1" ht="15" customHeight="1" outlineLevel="1" x14ac:dyDescent="0.25">
      <c r="A177" s="449"/>
      <c r="B177" s="607"/>
      <c r="C177" s="608"/>
      <c r="D177" s="588"/>
      <c r="E177" s="588"/>
      <c r="F177" s="588"/>
      <c r="G177" s="609" t="str">
        <f t="shared" si="40"/>
        <v/>
      </c>
      <c r="H177" s="610" t="str">
        <f t="shared" si="41"/>
        <v/>
      </c>
      <c r="I177" s="611" t="str">
        <f t="shared" si="42"/>
        <v/>
      </c>
      <c r="J177" s="600"/>
      <c r="K177" s="449"/>
    </row>
    <row r="178" spans="1:13" s="237" customFormat="1" ht="15" customHeight="1" outlineLevel="1" x14ac:dyDescent="0.25">
      <c r="A178" s="449"/>
      <c r="B178" s="607"/>
      <c r="C178" s="608"/>
      <c r="D178" s="588"/>
      <c r="E178" s="588"/>
      <c r="F178" s="588"/>
      <c r="G178" s="609" t="str">
        <f t="shared" si="40"/>
        <v/>
      </c>
      <c r="H178" s="610" t="str">
        <f t="shared" si="41"/>
        <v/>
      </c>
      <c r="I178" s="611" t="str">
        <f t="shared" si="42"/>
        <v/>
      </c>
      <c r="J178" s="600"/>
      <c r="K178" s="449"/>
    </row>
    <row r="179" spans="1:13" s="237" customFormat="1" ht="15" customHeight="1" outlineLevel="1" x14ac:dyDescent="0.25">
      <c r="A179" s="449"/>
      <c r="B179" s="607"/>
      <c r="C179" s="608"/>
      <c r="D179" s="588"/>
      <c r="E179" s="588"/>
      <c r="F179" s="588"/>
      <c r="G179" s="609" t="str">
        <f t="shared" si="40"/>
        <v/>
      </c>
      <c r="H179" s="610" t="str">
        <f t="shared" si="41"/>
        <v/>
      </c>
      <c r="I179" s="611" t="str">
        <f t="shared" si="42"/>
        <v/>
      </c>
      <c r="J179" s="600"/>
      <c r="K179" s="449"/>
    </row>
    <row r="180" spans="1:13" s="237" customFormat="1" ht="15" customHeight="1" outlineLevel="1" x14ac:dyDescent="0.25">
      <c r="A180" s="449"/>
      <c r="B180" s="607"/>
      <c r="C180" s="608"/>
      <c r="D180" s="588"/>
      <c r="E180" s="588"/>
      <c r="F180" s="588"/>
      <c r="G180" s="609" t="str">
        <f t="shared" si="40"/>
        <v/>
      </c>
      <c r="H180" s="610" t="str">
        <f t="shared" si="41"/>
        <v/>
      </c>
      <c r="I180" s="611" t="str">
        <f t="shared" si="42"/>
        <v/>
      </c>
      <c r="J180" s="600"/>
      <c r="K180" s="449"/>
    </row>
    <row r="181" spans="1:13" s="237" customFormat="1" ht="15" customHeight="1" outlineLevel="1" x14ac:dyDescent="0.25">
      <c r="A181" s="449"/>
      <c r="B181" s="607"/>
      <c r="C181" s="608"/>
      <c r="D181" s="588"/>
      <c r="E181" s="588"/>
      <c r="F181" s="588"/>
      <c r="G181" s="609" t="str">
        <f t="shared" si="40"/>
        <v/>
      </c>
      <c r="H181" s="610" t="str">
        <f t="shared" si="41"/>
        <v/>
      </c>
      <c r="I181" s="611" t="str">
        <f t="shared" si="42"/>
        <v/>
      </c>
      <c r="J181" s="600"/>
      <c r="K181" s="449"/>
    </row>
    <row r="182" spans="1:13" s="237" customFormat="1" ht="15" customHeight="1" outlineLevel="1" x14ac:dyDescent="0.25">
      <c r="A182" s="449"/>
      <c r="B182" s="607"/>
      <c r="C182" s="608"/>
      <c r="D182" s="588"/>
      <c r="E182" s="588"/>
      <c r="F182" s="588"/>
      <c r="G182" s="609" t="str">
        <f t="shared" si="40"/>
        <v/>
      </c>
      <c r="H182" s="610" t="str">
        <f t="shared" si="41"/>
        <v/>
      </c>
      <c r="I182" s="611" t="str">
        <f t="shared" si="42"/>
        <v/>
      </c>
      <c r="J182" s="600"/>
      <c r="K182" s="449"/>
    </row>
    <row r="183" spans="1:13" s="237" customFormat="1" ht="15" customHeight="1" outlineLevel="1" x14ac:dyDescent="0.25">
      <c r="A183" s="449"/>
      <c r="B183" s="607"/>
      <c r="C183" s="608"/>
      <c r="D183" s="588"/>
      <c r="E183" s="588"/>
      <c r="F183" s="588"/>
      <c r="G183" s="609" t="str">
        <f t="shared" si="40"/>
        <v/>
      </c>
      <c r="H183" s="610" t="str">
        <f t="shared" si="41"/>
        <v/>
      </c>
      <c r="I183" s="611" t="str">
        <f t="shared" si="42"/>
        <v/>
      </c>
      <c r="J183" s="600"/>
      <c r="K183" s="449"/>
    </row>
    <row r="184" spans="1:13" s="237" customFormat="1" ht="15" customHeight="1" outlineLevel="1" x14ac:dyDescent="0.25">
      <c r="A184" s="449"/>
      <c r="B184" s="607"/>
      <c r="C184" s="608"/>
      <c r="D184" s="588"/>
      <c r="E184" s="588"/>
      <c r="F184" s="588"/>
      <c r="G184" s="609" t="str">
        <f t="shared" si="40"/>
        <v/>
      </c>
      <c r="H184" s="610" t="str">
        <f t="shared" si="41"/>
        <v/>
      </c>
      <c r="I184" s="611" t="str">
        <f t="shared" si="42"/>
        <v/>
      </c>
      <c r="J184" s="600"/>
      <c r="K184" s="449"/>
    </row>
    <row r="185" spans="1:13" s="237" customFormat="1" ht="15" customHeight="1" outlineLevel="1" x14ac:dyDescent="0.25">
      <c r="A185" s="449"/>
      <c r="B185" s="607"/>
      <c r="C185" s="608"/>
      <c r="D185" s="588"/>
      <c r="E185" s="588"/>
      <c r="F185" s="588"/>
      <c r="G185" s="609" t="str">
        <f t="shared" si="40"/>
        <v/>
      </c>
      <c r="H185" s="610" t="str">
        <f t="shared" si="41"/>
        <v/>
      </c>
      <c r="I185" s="611" t="str">
        <f t="shared" si="42"/>
        <v/>
      </c>
      <c r="J185" s="600"/>
      <c r="K185" s="449"/>
    </row>
    <row r="186" spans="1:13" s="237" customFormat="1" ht="15" customHeight="1" outlineLevel="1" x14ac:dyDescent="0.25">
      <c r="A186" s="449"/>
      <c r="B186" s="612"/>
      <c r="C186" s="613"/>
      <c r="D186" s="614"/>
      <c r="E186" s="614"/>
      <c r="F186" s="614"/>
      <c r="G186" s="609" t="str">
        <f t="shared" si="40"/>
        <v/>
      </c>
      <c r="H186" s="610" t="str">
        <f t="shared" si="41"/>
        <v/>
      </c>
      <c r="I186" s="611" t="str">
        <f t="shared" si="42"/>
        <v/>
      </c>
      <c r="J186" s="600"/>
      <c r="K186" s="449"/>
    </row>
    <row r="187" spans="1:13" s="237" customFormat="1" ht="15" customHeight="1" outlineLevel="1" x14ac:dyDescent="0.25">
      <c r="A187" s="449"/>
      <c r="B187" s="615" t="s">
        <v>78</v>
      </c>
      <c r="C187" s="616"/>
      <c r="D187" s="616"/>
      <c r="E187" s="616"/>
      <c r="F187" s="617"/>
      <c r="G187" s="618">
        <f>SUM($G$172:$G$186)</f>
        <v>0</v>
      </c>
      <c r="H187" s="618"/>
      <c r="I187" s="619">
        <f>SUM($I$172:$I$186)</f>
        <v>0</v>
      </c>
      <c r="J187" s="449"/>
      <c r="K187" s="449"/>
    </row>
    <row r="188" spans="1:13" s="237" customFormat="1" ht="20.100000000000001" customHeight="1" collapsed="1" x14ac:dyDescent="0.25">
      <c r="A188" s="449"/>
      <c r="B188" s="449"/>
      <c r="C188" s="449"/>
      <c r="D188" s="449"/>
      <c r="E188" s="449"/>
      <c r="F188" s="449"/>
      <c r="G188" s="449"/>
      <c r="H188" s="449"/>
      <c r="I188" s="449"/>
      <c r="J188" s="449"/>
      <c r="K188" s="449"/>
    </row>
    <row r="189" spans="1:13" s="463" customFormat="1" ht="18" customHeight="1" x14ac:dyDescent="0.3">
      <c r="A189" s="464"/>
      <c r="B189" s="522" t="s">
        <v>278</v>
      </c>
      <c r="C189" s="466"/>
      <c r="D189" s="466"/>
      <c r="E189" s="466"/>
      <c r="F189" s="466"/>
      <c r="G189" s="466"/>
      <c r="H189" s="466"/>
      <c r="I189" s="466"/>
      <c r="J189" s="466"/>
      <c r="K189" s="467"/>
    </row>
    <row r="190" spans="1:13" s="237" customFormat="1" ht="15" customHeight="1" x14ac:dyDescent="0.25">
      <c r="A190" s="363"/>
      <c r="B190" s="513"/>
      <c r="C190" s="363"/>
      <c r="D190" s="363"/>
      <c r="E190" s="363"/>
      <c r="F190" s="363"/>
      <c r="G190" s="363"/>
      <c r="H190" s="363"/>
      <c r="I190" s="363"/>
      <c r="J190" s="363"/>
      <c r="K190" s="620"/>
      <c r="L190" s="363"/>
      <c r="M190" s="363"/>
    </row>
    <row r="191" spans="1:13" s="237" customFormat="1" ht="15" customHeight="1" thickBot="1" x14ac:dyDescent="0.3">
      <c r="A191" s="513"/>
      <c r="B191" s="523" t="s">
        <v>1898</v>
      </c>
      <c r="C191" s="621"/>
      <c r="D191" s="621"/>
      <c r="E191" s="526"/>
      <c r="F191" s="526"/>
      <c r="G191" s="507"/>
      <c r="H191" s="513"/>
      <c r="I191" s="513"/>
      <c r="J191" s="513"/>
      <c r="K191" s="513"/>
      <c r="L191" s="513"/>
      <c r="M191" s="513"/>
    </row>
    <row r="192" spans="1:13" s="237" customFormat="1" ht="30" customHeight="1" thickBot="1" x14ac:dyDescent="0.3">
      <c r="A192" s="363"/>
      <c r="B192" s="409" t="s">
        <v>1407</v>
      </c>
      <c r="C192" s="404"/>
      <c r="D192" s="404"/>
      <c r="E192" s="1253">
        <f>(I75+G113+I147)/1000+(I187/1000)</f>
        <v>0</v>
      </c>
      <c r="F192" s="1254"/>
      <c r="G192" s="622"/>
      <c r="H192" s="363"/>
      <c r="I192" s="363"/>
      <c r="J192" s="363"/>
      <c r="K192" s="363"/>
      <c r="L192" s="363"/>
    </row>
    <row r="193" spans="1:13" s="237" customFormat="1" ht="15" customHeight="1" x14ac:dyDescent="0.25">
      <c r="A193" s="513"/>
      <c r="B193" s="623"/>
      <c r="C193" s="621"/>
      <c r="D193" s="621"/>
      <c r="E193" s="526"/>
      <c r="F193" s="526"/>
      <c r="G193" s="507"/>
      <c r="I193" s="513"/>
      <c r="J193" s="513"/>
      <c r="K193" s="513"/>
      <c r="L193" s="513"/>
      <c r="M193" s="513"/>
    </row>
    <row r="194" spans="1:13" s="237" customFormat="1" ht="15" customHeight="1" x14ac:dyDescent="0.25">
      <c r="A194" s="363"/>
      <c r="B194" s="468" t="s">
        <v>473</v>
      </c>
      <c r="C194" s="363"/>
      <c r="D194" s="363"/>
      <c r="E194" s="363"/>
      <c r="F194" s="363"/>
      <c r="G194" s="363"/>
      <c r="H194" s="363"/>
      <c r="I194" s="363"/>
      <c r="J194" s="363"/>
      <c r="K194" s="363"/>
      <c r="L194" s="363"/>
      <c r="M194" s="363"/>
    </row>
    <row r="195" spans="1:13" s="237" customFormat="1" ht="15" customHeight="1" x14ac:dyDescent="0.25">
      <c r="A195" s="363"/>
      <c r="B195" s="449" t="s">
        <v>1368</v>
      </c>
      <c r="C195" s="449"/>
      <c r="D195" s="449"/>
      <c r="E195" s="449"/>
      <c r="F195" s="449"/>
      <c r="G195" s="449"/>
      <c r="H195" s="363"/>
      <c r="I195" s="363"/>
      <c r="J195" s="363"/>
      <c r="K195" s="363"/>
      <c r="L195" s="363"/>
      <c r="M195" s="363"/>
    </row>
    <row r="196" spans="1:13" s="237" customFormat="1" ht="15" customHeight="1" x14ac:dyDescent="0.25">
      <c r="A196" s="363"/>
      <c r="B196" s="448" t="s">
        <v>204</v>
      </c>
      <c r="C196" s="449"/>
      <c r="D196" s="449"/>
      <c r="E196" s="449"/>
      <c r="F196" s="449"/>
      <c r="G196" s="449"/>
      <c r="H196" s="363"/>
      <c r="I196" s="363"/>
      <c r="J196" s="363"/>
      <c r="K196" s="363"/>
      <c r="L196" s="363"/>
      <c r="M196" s="363"/>
    </row>
    <row r="197" spans="1:13" s="237" customFormat="1" ht="15" customHeight="1" x14ac:dyDescent="0.25">
      <c r="A197" s="363"/>
      <c r="B197" s="448" t="s">
        <v>205</v>
      </c>
      <c r="C197" s="449"/>
      <c r="D197" s="449"/>
      <c r="E197" s="449"/>
      <c r="F197" s="449"/>
      <c r="G197" s="449"/>
      <c r="H197" s="363"/>
      <c r="I197" s="363"/>
      <c r="J197" s="363"/>
      <c r="K197" s="363"/>
      <c r="L197" s="363"/>
      <c r="M197" s="363"/>
    </row>
    <row r="198" spans="1:13" s="237" customFormat="1" ht="15" customHeight="1" x14ac:dyDescent="0.25">
      <c r="A198" s="363"/>
      <c r="B198" s="363"/>
      <c r="C198" s="363"/>
      <c r="D198" s="363"/>
      <c r="E198" s="363"/>
      <c r="F198" s="363"/>
      <c r="G198" s="363"/>
      <c r="H198" s="363"/>
      <c r="I198" s="363"/>
      <c r="J198" s="363"/>
      <c r="K198" s="363"/>
      <c r="L198" s="363"/>
      <c r="M198" s="363"/>
    </row>
    <row r="199" spans="1:13" s="237" customFormat="1" ht="15" customHeight="1" x14ac:dyDescent="0.25">
      <c r="A199" s="363"/>
      <c r="B199" s="362" t="s">
        <v>471</v>
      </c>
      <c r="C199" s="363"/>
      <c r="D199" s="363"/>
      <c r="E199" s="363"/>
      <c r="F199" s="363"/>
      <c r="G199" s="363"/>
      <c r="H199" s="363"/>
      <c r="I199" s="363"/>
      <c r="J199" s="363"/>
      <c r="K199" s="363"/>
      <c r="L199" s="363"/>
      <c r="M199" s="363"/>
    </row>
    <row r="200" spans="1:13" s="237" customFormat="1" ht="89.1" customHeight="1" x14ac:dyDescent="0.25">
      <c r="A200" s="363"/>
      <c r="B200" s="426" t="str">
        <f>'Fatores de Emissão'!C234</f>
        <v>Gás</v>
      </c>
      <c r="C200" s="426" t="str">
        <f>'Fatores de Emissão'!D234</f>
        <v>Família / Tipo</v>
      </c>
      <c r="D200" s="624" t="str">
        <f>'Fatores de Emissão'!E234</f>
        <v>GWP</v>
      </c>
      <c r="E200" s="1002" t="s">
        <v>1899</v>
      </c>
      <c r="F200" s="1002" t="s">
        <v>1900</v>
      </c>
      <c r="G200" s="1002" t="s">
        <v>573</v>
      </c>
      <c r="H200" s="1002" t="s">
        <v>1423</v>
      </c>
      <c r="I200" s="1002" t="s">
        <v>574</v>
      </c>
      <c r="J200" s="1002" t="s">
        <v>1424</v>
      </c>
      <c r="K200" s="363"/>
      <c r="L200" s="363"/>
      <c r="M200" s="363"/>
    </row>
    <row r="201" spans="1:13" s="237" customFormat="1" ht="15.95" customHeight="1" x14ac:dyDescent="0.25">
      <c r="A201" s="363"/>
      <c r="B201" s="625" t="s">
        <v>1383</v>
      </c>
      <c r="C201" s="626" t="str">
        <f>'Fatores de Emissão'!D235</f>
        <v>-</v>
      </c>
      <c r="D201" s="627">
        <f>'Fatores de Emissão'!E235</f>
        <v>1</v>
      </c>
      <c r="E201" s="628">
        <f>F201/D201</f>
        <v>0</v>
      </c>
      <c r="F201" s="629">
        <f>SUMIF($B$60:$B$74,B201,$I$60:$I$74)+SUMIF($B$98:$B$112,B201,$G$98:$G$112)+SUMIF($D$132:$D$146,B201,$I$132:$I$146)</f>
        <v>0</v>
      </c>
      <c r="G201" s="630">
        <f>SUMIFS($P$60:$P$74,$N$60:$N$74,B201)+SUMIFS($S$60:$S$74,$Q$60:$Q$74,B201)+SUMIFS($V$60:$V$74,$T$60:$T$74,B201)+SUMIFS($Y$60:$Y$74,$W$60:$W$74,B201)+SUMIFS($AB$60:$AB$74,$Z$60:$Z$74,B201)+SUMIFS($P$98:$P$112,$N$98:$N$112,B201)+SUMIFS($S$98:$S$112,$Q$98:$Q$112,B201)+SUMIFS($V$98:$V$112,$T$98:$T$112,B201)+SUMIFS($Y$98:$Y$112,$W$98:$W$112,B201)+SUMIFS($AB$98:$AB$112,$Z$98:$Z$112,B201)+SUMIFS($P$132:$P$146,$N$132:$N$146,B201)+SUMIFS($S$132:$S$146,$Q$132:$Q$146,B201)+SUMIFS($V$132:$V$146,$T$132:$T$146,B201)+SUMIFS($Y$132:$Y$146,$W$132:$W$146,B201)+SUMIFS($AB$132:$AB$146,$Z$132:$Z$146,B201)</f>
        <v>0</v>
      </c>
      <c r="H201" s="575">
        <f>G201*D201</f>
        <v>0</v>
      </c>
      <c r="I201" s="630">
        <f>E201+G201</f>
        <v>0</v>
      </c>
      <c r="J201" s="627">
        <f>F201+H201</f>
        <v>0</v>
      </c>
      <c r="K201" s="363"/>
      <c r="L201" s="513"/>
      <c r="M201" s="363"/>
    </row>
    <row r="202" spans="1:13" s="237" customFormat="1" ht="15.95" customHeight="1" x14ac:dyDescent="0.25">
      <c r="A202" s="363"/>
      <c r="B202" s="625" t="s">
        <v>1384</v>
      </c>
      <c r="C202" s="626" t="str">
        <f>'Fatores de Emissão'!D236</f>
        <v>-</v>
      </c>
      <c r="D202" s="627">
        <f>'Fatores de Emissão'!E236</f>
        <v>25</v>
      </c>
      <c r="E202" s="628">
        <f t="shared" ref="E202:E234" si="43">F202/D202</f>
        <v>0</v>
      </c>
      <c r="F202" s="629">
        <f>SUMIF($B$60:$B$74,B202,$I$60:$I$74)+SUMIF($B$98:$B$112,B202,$G$98:$G$112)+SUMIF($D$132:$D$146,B202,$I$132:$I$146)</f>
        <v>0</v>
      </c>
      <c r="G202" s="630">
        <f t="shared" ref="G202:G234" si="44">SUMIFS($P$60:$P$74,$N$60:$N$74,B202)+SUMIFS($S$60:$S$74,$Q$60:$Q$74,B202)+SUMIFS($V$60:$V$74,$T$60:$T$74,B202)+SUMIFS($Y$60:$Y$74,$W$60:$W$74,B202)+SUMIFS($AB$60:$AB$74,$Z$60:$Z$74,B202)+SUMIFS($P$98:$P$112,$N$98:$N$112,B202)+SUMIFS($S$98:$S$112,$Q$98:$Q$112,B202)+SUMIFS($V$98:$V$112,$T$98:$T$112,B202)+SUMIFS($Y$98:$Y$112,$W$98:$W$112,B202)+SUMIFS($AB$98:$AB$112,$Z$98:$Z$112,B202)+SUMIFS($P$132:$P$146,$N$132:$N$146,B202)+SUMIFS($S$132:$S$146,$Q$132:$Q$146,B202)+SUMIFS($V$132:$V$146,$T$132:$T$146,B202)+SUMIFS($Y$132:$Y$146,$W$132:$W$146,B202)+SUMIFS($AB$132:$AB$146,$Z$132:$Z$146,B202)</f>
        <v>0</v>
      </c>
      <c r="H202" s="575">
        <f t="shared" ref="H202:H234" si="45">G202*D202</f>
        <v>0</v>
      </c>
      <c r="I202" s="630">
        <f t="shared" ref="I202:I234" si="46">E202+G202</f>
        <v>0</v>
      </c>
      <c r="J202" s="627">
        <f t="shared" ref="J202:J234" si="47">F202+H202</f>
        <v>0</v>
      </c>
      <c r="K202" s="363"/>
      <c r="L202" s="513"/>
      <c r="M202" s="363"/>
    </row>
    <row r="203" spans="1:13" s="237" customFormat="1" ht="15.95" customHeight="1" x14ac:dyDescent="0.25">
      <c r="A203" s="363"/>
      <c r="B203" s="625" t="s">
        <v>1385</v>
      </c>
      <c r="C203" s="626" t="str">
        <f>'Fatores de Emissão'!D237</f>
        <v>-</v>
      </c>
      <c r="D203" s="627">
        <f>'Fatores de Emissão'!E237</f>
        <v>298</v>
      </c>
      <c r="E203" s="628">
        <f t="shared" si="43"/>
        <v>0</v>
      </c>
      <c r="F203" s="629">
        <f t="shared" ref="F203:F222" si="48">SUMIF($B$60:$B$74,B203,$I$60:$I$74)+SUMIF($B$98:$B$112,B203,$G$98:$G$112)+SUMIF($D$132:$D$146,B203,$I$132:$I$146)</f>
        <v>0</v>
      </c>
      <c r="G203" s="630">
        <f t="shared" si="44"/>
        <v>0</v>
      </c>
      <c r="H203" s="575">
        <f t="shared" si="45"/>
        <v>0</v>
      </c>
      <c r="I203" s="630">
        <f t="shared" si="46"/>
        <v>0</v>
      </c>
      <c r="J203" s="627">
        <f t="shared" si="47"/>
        <v>0</v>
      </c>
      <c r="K203" s="363"/>
      <c r="L203" s="513"/>
      <c r="M203" s="363"/>
    </row>
    <row r="204" spans="1:13" s="237" customFormat="1" ht="15.95" customHeight="1" x14ac:dyDescent="0.25">
      <c r="A204" s="363"/>
      <c r="B204" s="625" t="s">
        <v>85</v>
      </c>
      <c r="C204" s="1288" t="str">
        <f>'Fatores de Emissão'!D238</f>
        <v>HFC</v>
      </c>
      <c r="D204" s="627">
        <f>'Fatores de Emissão'!E238</f>
        <v>14800</v>
      </c>
      <c r="E204" s="628">
        <f t="shared" si="43"/>
        <v>0</v>
      </c>
      <c r="F204" s="629">
        <f t="shared" si="48"/>
        <v>0</v>
      </c>
      <c r="G204" s="630">
        <f t="shared" si="44"/>
        <v>0</v>
      </c>
      <c r="H204" s="575">
        <f t="shared" si="45"/>
        <v>0</v>
      </c>
      <c r="I204" s="630">
        <f t="shared" si="46"/>
        <v>0</v>
      </c>
      <c r="J204" s="627">
        <f t="shared" si="47"/>
        <v>0</v>
      </c>
      <c r="K204" s="363"/>
      <c r="L204" s="513"/>
      <c r="M204" s="363"/>
    </row>
    <row r="205" spans="1:13" s="237" customFormat="1" ht="15.95" customHeight="1" x14ac:dyDescent="0.25">
      <c r="A205" s="363"/>
      <c r="B205" s="625" t="s">
        <v>86</v>
      </c>
      <c r="C205" s="1289"/>
      <c r="D205" s="627">
        <f>'Fatores de Emissão'!E239</f>
        <v>675</v>
      </c>
      <c r="E205" s="628">
        <f t="shared" si="43"/>
        <v>0</v>
      </c>
      <c r="F205" s="629">
        <f t="shared" si="48"/>
        <v>0</v>
      </c>
      <c r="G205" s="630">
        <f t="shared" si="44"/>
        <v>0</v>
      </c>
      <c r="H205" s="575">
        <f t="shared" si="45"/>
        <v>0</v>
      </c>
      <c r="I205" s="630">
        <f t="shared" si="46"/>
        <v>0</v>
      </c>
      <c r="J205" s="627">
        <f t="shared" si="47"/>
        <v>0</v>
      </c>
      <c r="K205" s="363"/>
      <c r="L205" s="513"/>
      <c r="M205" s="363"/>
    </row>
    <row r="206" spans="1:13" s="237" customFormat="1" ht="15.95" customHeight="1" x14ac:dyDescent="0.25">
      <c r="A206" s="363"/>
      <c r="B206" s="625" t="s">
        <v>285</v>
      </c>
      <c r="C206" s="1289"/>
      <c r="D206" s="627">
        <f>'Fatores de Emissão'!E240</f>
        <v>92</v>
      </c>
      <c r="E206" s="628">
        <f t="shared" si="43"/>
        <v>0</v>
      </c>
      <c r="F206" s="629">
        <f t="shared" si="48"/>
        <v>0</v>
      </c>
      <c r="G206" s="630">
        <f t="shared" si="44"/>
        <v>0</v>
      </c>
      <c r="H206" s="575">
        <f t="shared" si="45"/>
        <v>0</v>
      </c>
      <c r="I206" s="630">
        <f t="shared" si="46"/>
        <v>0</v>
      </c>
      <c r="J206" s="627">
        <f t="shared" si="47"/>
        <v>0</v>
      </c>
      <c r="K206" s="363"/>
      <c r="L206" s="363"/>
      <c r="M206" s="363"/>
    </row>
    <row r="207" spans="1:13" s="237" customFormat="1" ht="15.95" customHeight="1" x14ac:dyDescent="0.25">
      <c r="A207" s="363"/>
      <c r="B207" s="625" t="s">
        <v>87</v>
      </c>
      <c r="C207" s="1289"/>
      <c r="D207" s="627">
        <f>'Fatores de Emissão'!E241</f>
        <v>3500</v>
      </c>
      <c r="E207" s="628">
        <f t="shared" si="43"/>
        <v>0</v>
      </c>
      <c r="F207" s="629">
        <f t="shared" si="48"/>
        <v>0</v>
      </c>
      <c r="G207" s="630">
        <f t="shared" si="44"/>
        <v>0</v>
      </c>
      <c r="H207" s="575">
        <f t="shared" si="45"/>
        <v>0</v>
      </c>
      <c r="I207" s="630">
        <f t="shared" si="46"/>
        <v>0</v>
      </c>
      <c r="J207" s="627">
        <f t="shared" si="47"/>
        <v>0</v>
      </c>
      <c r="K207" s="363"/>
      <c r="L207" s="363"/>
      <c r="M207" s="363"/>
    </row>
    <row r="208" spans="1:13" s="237" customFormat="1" ht="15.95" customHeight="1" x14ac:dyDescent="0.25">
      <c r="A208" s="363"/>
      <c r="B208" s="625" t="s">
        <v>287</v>
      </c>
      <c r="C208" s="1289"/>
      <c r="D208" s="627">
        <f>'Fatores de Emissão'!E242</f>
        <v>1100</v>
      </c>
      <c r="E208" s="628">
        <f t="shared" si="43"/>
        <v>0</v>
      </c>
      <c r="F208" s="629">
        <f t="shared" si="48"/>
        <v>0</v>
      </c>
      <c r="G208" s="630">
        <f t="shared" si="44"/>
        <v>0</v>
      </c>
      <c r="H208" s="575">
        <f t="shared" si="45"/>
        <v>0</v>
      </c>
      <c r="I208" s="630">
        <f t="shared" si="46"/>
        <v>0</v>
      </c>
      <c r="J208" s="627">
        <f t="shared" si="47"/>
        <v>0</v>
      </c>
      <c r="K208" s="363"/>
      <c r="L208" s="363"/>
      <c r="M208" s="363"/>
    </row>
    <row r="209" spans="1:13" s="237" customFormat="1" ht="15.95" customHeight="1" x14ac:dyDescent="0.25">
      <c r="A209" s="363"/>
      <c r="B209" s="625" t="s">
        <v>88</v>
      </c>
      <c r="C209" s="1289"/>
      <c r="D209" s="627">
        <f>'Fatores de Emissão'!E243</f>
        <v>1430</v>
      </c>
      <c r="E209" s="628">
        <f t="shared" si="43"/>
        <v>0</v>
      </c>
      <c r="F209" s="629">
        <f t="shared" si="48"/>
        <v>0</v>
      </c>
      <c r="G209" s="630">
        <f t="shared" si="44"/>
        <v>0</v>
      </c>
      <c r="H209" s="575">
        <f t="shared" si="45"/>
        <v>0</v>
      </c>
      <c r="I209" s="630">
        <f t="shared" si="46"/>
        <v>0</v>
      </c>
      <c r="J209" s="627">
        <f t="shared" si="47"/>
        <v>0</v>
      </c>
      <c r="K209" s="363"/>
      <c r="L209" s="363"/>
      <c r="M209" s="363"/>
    </row>
    <row r="210" spans="1:13" s="237" customFormat="1" ht="15.95" customHeight="1" x14ac:dyDescent="0.25">
      <c r="A210" s="363"/>
      <c r="B210" s="625" t="s">
        <v>288</v>
      </c>
      <c r="C210" s="1289"/>
      <c r="D210" s="627">
        <f>'Fatores de Emissão'!E244</f>
        <v>353</v>
      </c>
      <c r="E210" s="628">
        <f t="shared" si="43"/>
        <v>0</v>
      </c>
      <c r="F210" s="629">
        <f t="shared" si="48"/>
        <v>0</v>
      </c>
      <c r="G210" s="630">
        <f t="shared" si="44"/>
        <v>0</v>
      </c>
      <c r="H210" s="575">
        <f t="shared" si="45"/>
        <v>0</v>
      </c>
      <c r="I210" s="630">
        <f t="shared" si="46"/>
        <v>0</v>
      </c>
      <c r="J210" s="627">
        <f t="shared" si="47"/>
        <v>0</v>
      </c>
      <c r="K210" s="363"/>
      <c r="L210" s="363"/>
      <c r="M210" s="363"/>
    </row>
    <row r="211" spans="1:13" s="237" customFormat="1" ht="15.95" customHeight="1" x14ac:dyDescent="0.25">
      <c r="A211" s="363"/>
      <c r="B211" s="625" t="s">
        <v>107</v>
      </c>
      <c r="C211" s="1289"/>
      <c r="D211" s="627">
        <f>'Fatores de Emissão'!E245</f>
        <v>4470</v>
      </c>
      <c r="E211" s="628">
        <f t="shared" si="43"/>
        <v>0</v>
      </c>
      <c r="F211" s="629">
        <f t="shared" si="48"/>
        <v>0</v>
      </c>
      <c r="G211" s="630">
        <f t="shared" si="44"/>
        <v>0</v>
      </c>
      <c r="H211" s="575">
        <f t="shared" si="45"/>
        <v>0</v>
      </c>
      <c r="I211" s="630">
        <f t="shared" si="46"/>
        <v>0</v>
      </c>
      <c r="J211" s="627">
        <f t="shared" si="47"/>
        <v>0</v>
      </c>
      <c r="K211" s="513"/>
      <c r="L211" s="513"/>
      <c r="M211" s="513"/>
    </row>
    <row r="212" spans="1:13" s="237" customFormat="1" ht="15.95" customHeight="1" x14ac:dyDescent="0.25">
      <c r="A212" s="363"/>
      <c r="B212" s="625" t="s">
        <v>289</v>
      </c>
      <c r="C212" s="1289"/>
      <c r="D212" s="627">
        <f>'Fatores de Emissão'!E246</f>
        <v>53</v>
      </c>
      <c r="E212" s="628">
        <f t="shared" si="43"/>
        <v>0</v>
      </c>
      <c r="F212" s="629">
        <f t="shared" si="48"/>
        <v>0</v>
      </c>
      <c r="G212" s="630">
        <f t="shared" si="44"/>
        <v>0</v>
      </c>
      <c r="H212" s="575">
        <f t="shared" si="45"/>
        <v>0</v>
      </c>
      <c r="I212" s="630">
        <f t="shared" si="46"/>
        <v>0</v>
      </c>
      <c r="J212" s="627">
        <f t="shared" si="47"/>
        <v>0</v>
      </c>
      <c r="K212" s="513"/>
      <c r="L212" s="513"/>
      <c r="M212" s="513"/>
    </row>
    <row r="213" spans="1:13" s="237" customFormat="1" ht="15.95" customHeight="1" x14ac:dyDescent="0.25">
      <c r="A213" s="363"/>
      <c r="B213" s="625" t="s">
        <v>108</v>
      </c>
      <c r="C213" s="1289"/>
      <c r="D213" s="627">
        <f>'Fatores de Emissão'!E247</f>
        <v>124</v>
      </c>
      <c r="E213" s="628">
        <f t="shared" si="43"/>
        <v>0</v>
      </c>
      <c r="F213" s="629">
        <f t="shared" si="48"/>
        <v>0</v>
      </c>
      <c r="G213" s="630">
        <f t="shared" si="44"/>
        <v>0</v>
      </c>
      <c r="H213" s="575">
        <f t="shared" si="45"/>
        <v>0</v>
      </c>
      <c r="I213" s="630">
        <f t="shared" si="46"/>
        <v>0</v>
      </c>
      <c r="J213" s="627">
        <f t="shared" si="47"/>
        <v>0</v>
      </c>
      <c r="K213" s="513"/>
      <c r="L213" s="513"/>
      <c r="M213" s="513"/>
    </row>
    <row r="214" spans="1:13" s="237" customFormat="1" ht="15.95" customHeight="1" x14ac:dyDescent="0.25">
      <c r="A214" s="363"/>
      <c r="B214" s="625" t="s">
        <v>290</v>
      </c>
      <c r="C214" s="1289"/>
      <c r="D214" s="627">
        <f>'Fatores de Emissão'!E248</f>
        <v>12</v>
      </c>
      <c r="E214" s="628">
        <f t="shared" si="43"/>
        <v>0</v>
      </c>
      <c r="F214" s="629">
        <f t="shared" si="48"/>
        <v>0</v>
      </c>
      <c r="G214" s="630">
        <f t="shared" si="44"/>
        <v>0</v>
      </c>
      <c r="H214" s="575">
        <f t="shared" si="45"/>
        <v>0</v>
      </c>
      <c r="I214" s="630">
        <f t="shared" si="46"/>
        <v>0</v>
      </c>
      <c r="J214" s="627">
        <f t="shared" si="47"/>
        <v>0</v>
      </c>
      <c r="K214" s="513"/>
      <c r="L214" s="513"/>
      <c r="M214" s="513"/>
    </row>
    <row r="215" spans="1:13" s="237" customFormat="1" ht="15.95" customHeight="1" x14ac:dyDescent="0.25">
      <c r="A215" s="363"/>
      <c r="B215" s="625" t="s">
        <v>291</v>
      </c>
      <c r="C215" s="1289"/>
      <c r="D215" s="627">
        <f>'Fatores de Emissão'!E249</f>
        <v>3220</v>
      </c>
      <c r="E215" s="628">
        <f t="shared" si="43"/>
        <v>0</v>
      </c>
      <c r="F215" s="629">
        <f t="shared" si="48"/>
        <v>0</v>
      </c>
      <c r="G215" s="630">
        <f t="shared" si="44"/>
        <v>0</v>
      </c>
      <c r="H215" s="575">
        <f t="shared" si="45"/>
        <v>0</v>
      </c>
      <c r="I215" s="630">
        <f t="shared" si="46"/>
        <v>0</v>
      </c>
      <c r="J215" s="627">
        <f t="shared" si="47"/>
        <v>0</v>
      </c>
      <c r="K215" s="513"/>
      <c r="L215" s="513"/>
      <c r="M215" s="513"/>
    </row>
    <row r="216" spans="1:13" s="237" customFormat="1" ht="15.95" customHeight="1" x14ac:dyDescent="0.25">
      <c r="A216" s="363"/>
      <c r="B216" s="625" t="s">
        <v>292</v>
      </c>
      <c r="C216" s="1289"/>
      <c r="D216" s="627">
        <f>'Fatores de Emissão'!E250</f>
        <v>1340</v>
      </c>
      <c r="E216" s="628">
        <f t="shared" si="43"/>
        <v>0</v>
      </c>
      <c r="F216" s="629">
        <f t="shared" si="48"/>
        <v>0</v>
      </c>
      <c r="G216" s="630">
        <f t="shared" si="44"/>
        <v>0</v>
      </c>
      <c r="H216" s="575">
        <f t="shared" si="45"/>
        <v>0</v>
      </c>
      <c r="I216" s="630">
        <f t="shared" si="46"/>
        <v>0</v>
      </c>
      <c r="J216" s="627">
        <f t="shared" si="47"/>
        <v>0</v>
      </c>
      <c r="K216" s="513"/>
      <c r="L216" s="513"/>
      <c r="M216" s="513"/>
    </row>
    <row r="217" spans="1:13" s="237" customFormat="1" ht="15.95" customHeight="1" x14ac:dyDescent="0.25">
      <c r="A217" s="363"/>
      <c r="B217" s="625" t="s">
        <v>293</v>
      </c>
      <c r="C217" s="1289"/>
      <c r="D217" s="627">
        <f>'Fatores de Emissão'!E251</f>
        <v>1370</v>
      </c>
      <c r="E217" s="628">
        <f t="shared" si="43"/>
        <v>0</v>
      </c>
      <c r="F217" s="629">
        <f t="shared" si="48"/>
        <v>0</v>
      </c>
      <c r="G217" s="630">
        <f t="shared" si="44"/>
        <v>0</v>
      </c>
      <c r="H217" s="575">
        <f t="shared" si="45"/>
        <v>0</v>
      </c>
      <c r="I217" s="630">
        <f t="shared" si="46"/>
        <v>0</v>
      </c>
      <c r="J217" s="627">
        <f t="shared" si="47"/>
        <v>0</v>
      </c>
      <c r="K217" s="513"/>
      <c r="L217" s="513"/>
      <c r="M217" s="513"/>
    </row>
    <row r="218" spans="1:13" s="237" customFormat="1" ht="15.95" customHeight="1" x14ac:dyDescent="0.25">
      <c r="A218" s="363"/>
      <c r="B218" s="625" t="s">
        <v>109</v>
      </c>
      <c r="C218" s="1289"/>
      <c r="D218" s="627">
        <f>'Fatores de Emissão'!E252</f>
        <v>9810</v>
      </c>
      <c r="E218" s="628">
        <f t="shared" si="43"/>
        <v>0</v>
      </c>
      <c r="F218" s="629">
        <f t="shared" si="48"/>
        <v>0</v>
      </c>
      <c r="G218" s="630">
        <f t="shared" si="44"/>
        <v>0</v>
      </c>
      <c r="H218" s="575">
        <f t="shared" si="45"/>
        <v>0</v>
      </c>
      <c r="I218" s="630">
        <f t="shared" si="46"/>
        <v>0</v>
      </c>
      <c r="J218" s="627">
        <f t="shared" si="47"/>
        <v>0</v>
      </c>
      <c r="K218" s="513"/>
      <c r="L218" s="513"/>
      <c r="M218" s="513"/>
    </row>
    <row r="219" spans="1:13" s="237" customFormat="1" ht="15.95" customHeight="1" x14ac:dyDescent="0.25">
      <c r="A219" s="363"/>
      <c r="B219" s="625" t="s">
        <v>294</v>
      </c>
      <c r="C219" s="1289"/>
      <c r="D219" s="627">
        <f>'Fatores de Emissão'!E253</f>
        <v>693</v>
      </c>
      <c r="E219" s="628">
        <f t="shared" si="43"/>
        <v>0</v>
      </c>
      <c r="F219" s="629">
        <f t="shared" si="48"/>
        <v>0</v>
      </c>
      <c r="G219" s="630">
        <f t="shared" si="44"/>
        <v>0</v>
      </c>
      <c r="H219" s="575">
        <f t="shared" si="45"/>
        <v>0</v>
      </c>
      <c r="I219" s="630">
        <f t="shared" si="46"/>
        <v>0</v>
      </c>
      <c r="J219" s="627">
        <f t="shared" si="47"/>
        <v>0</v>
      </c>
      <c r="K219" s="513"/>
      <c r="L219" s="513"/>
      <c r="M219" s="513"/>
    </row>
    <row r="220" spans="1:13" s="237" customFormat="1" ht="15.95" customHeight="1" x14ac:dyDescent="0.25">
      <c r="A220" s="363"/>
      <c r="B220" s="625" t="s">
        <v>295</v>
      </c>
      <c r="C220" s="1289"/>
      <c r="D220" s="627">
        <f>'Fatores de Emissão'!E254</f>
        <v>1030</v>
      </c>
      <c r="E220" s="628">
        <f t="shared" si="43"/>
        <v>0</v>
      </c>
      <c r="F220" s="629">
        <f t="shared" si="48"/>
        <v>0</v>
      </c>
      <c r="G220" s="630">
        <f t="shared" si="44"/>
        <v>0</v>
      </c>
      <c r="H220" s="575">
        <f t="shared" si="45"/>
        <v>0</v>
      </c>
      <c r="I220" s="630">
        <f t="shared" si="46"/>
        <v>0</v>
      </c>
      <c r="J220" s="627">
        <f t="shared" si="47"/>
        <v>0</v>
      </c>
      <c r="K220" s="513"/>
      <c r="L220" s="513"/>
      <c r="M220" s="513"/>
    </row>
    <row r="221" spans="1:13" s="237" customFormat="1" ht="15.95" customHeight="1" x14ac:dyDescent="0.25">
      <c r="A221" s="363"/>
      <c r="B221" s="625" t="s">
        <v>296</v>
      </c>
      <c r="C221" s="1289"/>
      <c r="D221" s="627">
        <f>'Fatores de Emissão'!E255</f>
        <v>794</v>
      </c>
      <c r="E221" s="628">
        <f t="shared" si="43"/>
        <v>0</v>
      </c>
      <c r="F221" s="629">
        <f t="shared" si="48"/>
        <v>0</v>
      </c>
      <c r="G221" s="630">
        <f t="shared" si="44"/>
        <v>0</v>
      </c>
      <c r="H221" s="575">
        <f t="shared" si="45"/>
        <v>0</v>
      </c>
      <c r="I221" s="630">
        <f t="shared" si="46"/>
        <v>0</v>
      </c>
      <c r="J221" s="627">
        <f t="shared" si="47"/>
        <v>0</v>
      </c>
      <c r="K221" s="513"/>
      <c r="L221" s="513"/>
      <c r="M221" s="513"/>
    </row>
    <row r="222" spans="1:13" s="237" customFormat="1" ht="15.95" customHeight="1" x14ac:dyDescent="0.25">
      <c r="A222" s="363"/>
      <c r="B222" s="625" t="s">
        <v>286</v>
      </c>
      <c r="C222" s="1290"/>
      <c r="D222" s="627">
        <f>'Fatores de Emissão'!E256</f>
        <v>1640</v>
      </c>
      <c r="E222" s="628">
        <f t="shared" si="43"/>
        <v>0</v>
      </c>
      <c r="F222" s="629">
        <f t="shared" si="48"/>
        <v>0</v>
      </c>
      <c r="G222" s="630">
        <f t="shared" si="44"/>
        <v>0</v>
      </c>
      <c r="H222" s="575">
        <f t="shared" si="45"/>
        <v>0</v>
      </c>
      <c r="I222" s="630">
        <f t="shared" si="46"/>
        <v>0</v>
      </c>
      <c r="J222" s="627">
        <f t="shared" si="47"/>
        <v>0</v>
      </c>
      <c r="K222" s="513"/>
      <c r="L222" s="513"/>
      <c r="M222" s="513"/>
    </row>
    <row r="223" spans="1:13" s="237" customFormat="1" ht="15.95" customHeight="1" x14ac:dyDescent="0.25">
      <c r="A223" s="363"/>
      <c r="B223" s="625" t="s">
        <v>1386</v>
      </c>
      <c r="C223" s="626" t="str">
        <f>'Fatores de Emissão'!D257</f>
        <v>-</v>
      </c>
      <c r="D223" s="627">
        <f>'Fatores de Emissão'!E257</f>
        <v>22800</v>
      </c>
      <c r="E223" s="628">
        <f t="shared" si="43"/>
        <v>0</v>
      </c>
      <c r="F223" s="629">
        <f>SUMIF($B$60:$B$74,B223,$I$60:$I$74)+SUMIF($B$98:$B$112,B223,$G$98:$G$112)+SUMIF($D$132:$D$146,B223,$I$132:$I$146)+SUMIF(C172:C186,B223,I172:I186)</f>
        <v>0</v>
      </c>
      <c r="G223" s="630">
        <f t="shared" si="44"/>
        <v>0</v>
      </c>
      <c r="H223" s="575">
        <f t="shared" si="45"/>
        <v>0</v>
      </c>
      <c r="I223" s="630">
        <f t="shared" si="46"/>
        <v>0</v>
      </c>
      <c r="J223" s="627">
        <f t="shared" si="47"/>
        <v>0</v>
      </c>
      <c r="K223" s="513"/>
      <c r="L223" s="513"/>
      <c r="M223" s="513"/>
    </row>
    <row r="224" spans="1:13" s="237" customFormat="1" ht="15.95" customHeight="1" x14ac:dyDescent="0.25">
      <c r="A224" s="363"/>
      <c r="B224" s="625" t="s">
        <v>1505</v>
      </c>
      <c r="C224" s="626" t="str">
        <f>'Fatores de Emissão'!D258</f>
        <v>-</v>
      </c>
      <c r="D224" s="627">
        <f>'Fatores de Emissão'!E258</f>
        <v>17200</v>
      </c>
      <c r="E224" s="628">
        <f t="shared" si="43"/>
        <v>0</v>
      </c>
      <c r="F224" s="629">
        <f>SUMIF($B$60:$B$74,B224,$I$60:$I$74)+SUMIF($B$98:$B$112,B224,$G$98:$G$112)+SUMIF($D$132:$D$146,B224,$I$132:$I$146)+SUMIF(C172:C186,B224,I172:I186)</f>
        <v>0</v>
      </c>
      <c r="G224" s="630">
        <f t="shared" si="44"/>
        <v>0</v>
      </c>
      <c r="H224" s="575">
        <f t="shared" si="45"/>
        <v>0</v>
      </c>
      <c r="I224" s="630">
        <f t="shared" si="46"/>
        <v>0</v>
      </c>
      <c r="J224" s="627">
        <f t="shared" si="47"/>
        <v>0</v>
      </c>
      <c r="K224" s="513"/>
      <c r="L224" s="513"/>
      <c r="M224" s="513"/>
    </row>
    <row r="225" spans="1:13" s="237" customFormat="1" ht="15.95" customHeight="1" x14ac:dyDescent="0.25">
      <c r="A225" s="363"/>
      <c r="B225" s="625" t="s">
        <v>458</v>
      </c>
      <c r="C225" s="1288" t="str">
        <f>'Fatores de Emissão'!D259</f>
        <v>PFC</v>
      </c>
      <c r="D225" s="627">
        <f>'Fatores de Emissão'!E259</f>
        <v>7390</v>
      </c>
      <c r="E225" s="628">
        <f t="shared" si="43"/>
        <v>0</v>
      </c>
      <c r="F225" s="629">
        <f t="shared" ref="F225:F234" si="49">SUMIF($B$60:$B$74,B225,$I$60:$I$74)+SUMIF($B$98:$B$112,B225,$G$98:$G$112)+SUMIF($D$132:$D$146,B225,$I$132:$I$146)</f>
        <v>0</v>
      </c>
      <c r="G225" s="630">
        <f t="shared" si="44"/>
        <v>0</v>
      </c>
      <c r="H225" s="575">
        <f t="shared" si="45"/>
        <v>0</v>
      </c>
      <c r="I225" s="630">
        <f t="shared" si="46"/>
        <v>0</v>
      </c>
      <c r="J225" s="627">
        <f t="shared" si="47"/>
        <v>0</v>
      </c>
      <c r="K225" s="513"/>
      <c r="L225" s="513"/>
      <c r="M225" s="513"/>
    </row>
    <row r="226" spans="1:13" s="237" customFormat="1" ht="15.95" customHeight="1" x14ac:dyDescent="0.25">
      <c r="A226" s="363"/>
      <c r="B226" s="625" t="s">
        <v>459</v>
      </c>
      <c r="C226" s="1289"/>
      <c r="D226" s="627">
        <f>'Fatores de Emissão'!E260</f>
        <v>12200</v>
      </c>
      <c r="E226" s="628">
        <f t="shared" si="43"/>
        <v>0</v>
      </c>
      <c r="F226" s="629">
        <f t="shared" si="49"/>
        <v>0</v>
      </c>
      <c r="G226" s="630">
        <f t="shared" si="44"/>
        <v>0</v>
      </c>
      <c r="H226" s="575">
        <f t="shared" si="45"/>
        <v>0</v>
      </c>
      <c r="I226" s="630">
        <f t="shared" si="46"/>
        <v>0</v>
      </c>
      <c r="J226" s="627">
        <f t="shared" si="47"/>
        <v>0</v>
      </c>
      <c r="K226" s="513"/>
      <c r="L226" s="513"/>
      <c r="M226" s="513"/>
    </row>
    <row r="227" spans="1:13" s="237" customFormat="1" ht="15.95" customHeight="1" x14ac:dyDescent="0.25">
      <c r="A227" s="363"/>
      <c r="B227" s="625" t="s">
        <v>460</v>
      </c>
      <c r="C227" s="1289"/>
      <c r="D227" s="627">
        <f>'Fatores de Emissão'!E261</f>
        <v>8830</v>
      </c>
      <c r="E227" s="628">
        <f t="shared" si="43"/>
        <v>0</v>
      </c>
      <c r="F227" s="629">
        <f t="shared" si="49"/>
        <v>0</v>
      </c>
      <c r="G227" s="630">
        <f t="shared" si="44"/>
        <v>0</v>
      </c>
      <c r="H227" s="575">
        <f t="shared" si="45"/>
        <v>0</v>
      </c>
      <c r="I227" s="630">
        <f t="shared" si="46"/>
        <v>0</v>
      </c>
      <c r="J227" s="627">
        <f t="shared" si="47"/>
        <v>0</v>
      </c>
      <c r="K227" s="513"/>
      <c r="L227" s="513"/>
      <c r="M227" s="513"/>
    </row>
    <row r="228" spans="1:13" s="237" customFormat="1" ht="15.95" customHeight="1" x14ac:dyDescent="0.25">
      <c r="A228" s="363"/>
      <c r="B228" s="625" t="s">
        <v>461</v>
      </c>
      <c r="C228" s="1289"/>
      <c r="D228" s="627">
        <f>'Fatores de Emissão'!E262</f>
        <v>10300</v>
      </c>
      <c r="E228" s="628">
        <f t="shared" si="43"/>
        <v>0</v>
      </c>
      <c r="F228" s="629">
        <f t="shared" si="49"/>
        <v>0</v>
      </c>
      <c r="G228" s="630">
        <f t="shared" si="44"/>
        <v>0</v>
      </c>
      <c r="H228" s="575">
        <f t="shared" si="45"/>
        <v>0</v>
      </c>
      <c r="I228" s="630">
        <f t="shared" si="46"/>
        <v>0</v>
      </c>
      <c r="J228" s="627">
        <f t="shared" si="47"/>
        <v>0</v>
      </c>
      <c r="K228" s="513"/>
      <c r="L228" s="513"/>
      <c r="M228" s="513"/>
    </row>
    <row r="229" spans="1:13" s="237" customFormat="1" ht="15.95" customHeight="1" x14ac:dyDescent="0.25">
      <c r="A229" s="363"/>
      <c r="B229" s="625" t="s">
        <v>462</v>
      </c>
      <c r="C229" s="1289"/>
      <c r="D229" s="627">
        <f>'Fatores de Emissão'!E263</f>
        <v>8860</v>
      </c>
      <c r="E229" s="628">
        <f t="shared" si="43"/>
        <v>0</v>
      </c>
      <c r="F229" s="629">
        <f t="shared" si="49"/>
        <v>0</v>
      </c>
      <c r="G229" s="630">
        <f t="shared" si="44"/>
        <v>0</v>
      </c>
      <c r="H229" s="575">
        <f t="shared" si="45"/>
        <v>0</v>
      </c>
      <c r="I229" s="630">
        <f t="shared" si="46"/>
        <v>0</v>
      </c>
      <c r="J229" s="627">
        <f t="shared" si="47"/>
        <v>0</v>
      </c>
      <c r="K229" s="513"/>
      <c r="L229" s="513"/>
      <c r="M229" s="513"/>
    </row>
    <row r="230" spans="1:13" s="237" customFormat="1" ht="15.95" customHeight="1" x14ac:dyDescent="0.25">
      <c r="A230" s="363"/>
      <c r="B230" s="625" t="s">
        <v>463</v>
      </c>
      <c r="C230" s="1289"/>
      <c r="D230" s="627">
        <f>'Fatores de Emissão'!E264</f>
        <v>9160</v>
      </c>
      <c r="E230" s="628">
        <f t="shared" si="43"/>
        <v>0</v>
      </c>
      <c r="F230" s="629">
        <f t="shared" si="49"/>
        <v>0</v>
      </c>
      <c r="G230" s="630">
        <f t="shared" si="44"/>
        <v>0</v>
      </c>
      <c r="H230" s="575">
        <f t="shared" si="45"/>
        <v>0</v>
      </c>
      <c r="I230" s="630">
        <f t="shared" si="46"/>
        <v>0</v>
      </c>
      <c r="J230" s="627">
        <f t="shared" si="47"/>
        <v>0</v>
      </c>
      <c r="K230" s="513"/>
      <c r="L230" s="513"/>
      <c r="M230" s="513"/>
    </row>
    <row r="231" spans="1:13" s="237" customFormat="1" ht="15.95" customHeight="1" x14ac:dyDescent="0.25">
      <c r="A231" s="363"/>
      <c r="B231" s="625" t="s">
        <v>464</v>
      </c>
      <c r="C231" s="1289"/>
      <c r="D231" s="627">
        <f>'Fatores de Emissão'!E265</f>
        <v>9300</v>
      </c>
      <c r="E231" s="628">
        <f t="shared" si="43"/>
        <v>0</v>
      </c>
      <c r="F231" s="629">
        <f t="shared" si="49"/>
        <v>0</v>
      </c>
      <c r="G231" s="630">
        <f t="shared" si="44"/>
        <v>0</v>
      </c>
      <c r="H231" s="575">
        <f t="shared" si="45"/>
        <v>0</v>
      </c>
      <c r="I231" s="630">
        <f t="shared" si="46"/>
        <v>0</v>
      </c>
      <c r="J231" s="627">
        <f t="shared" si="47"/>
        <v>0</v>
      </c>
      <c r="K231" s="513"/>
      <c r="L231" s="513"/>
      <c r="M231" s="513"/>
    </row>
    <row r="232" spans="1:13" s="237" customFormat="1" ht="15.95" customHeight="1" x14ac:dyDescent="0.25">
      <c r="A232" s="363"/>
      <c r="B232" s="625" t="s">
        <v>465</v>
      </c>
      <c r="C232" s="1289"/>
      <c r="D232" s="627">
        <f>'Fatores de Emissão'!E266</f>
        <v>7500</v>
      </c>
      <c r="E232" s="628">
        <f t="shared" si="43"/>
        <v>0</v>
      </c>
      <c r="F232" s="629">
        <f t="shared" si="49"/>
        <v>0</v>
      </c>
      <c r="G232" s="630">
        <f t="shared" si="44"/>
        <v>0</v>
      </c>
      <c r="H232" s="575">
        <f t="shared" si="45"/>
        <v>0</v>
      </c>
      <c r="I232" s="630">
        <f t="shared" si="46"/>
        <v>0</v>
      </c>
      <c r="J232" s="627">
        <f t="shared" si="47"/>
        <v>0</v>
      </c>
      <c r="K232" s="513"/>
      <c r="L232" s="513"/>
      <c r="M232" s="513"/>
    </row>
    <row r="233" spans="1:13" s="237" customFormat="1" ht="15.95" customHeight="1" x14ac:dyDescent="0.25">
      <c r="A233" s="363"/>
      <c r="B233" s="625" t="s">
        <v>466</v>
      </c>
      <c r="C233" s="1289"/>
      <c r="D233" s="627">
        <f>'Fatores de Emissão'!E267</f>
        <v>17700</v>
      </c>
      <c r="E233" s="628">
        <f t="shared" si="43"/>
        <v>0</v>
      </c>
      <c r="F233" s="629">
        <f t="shared" si="49"/>
        <v>0</v>
      </c>
      <c r="G233" s="630">
        <f t="shared" si="44"/>
        <v>0</v>
      </c>
      <c r="H233" s="575">
        <f t="shared" si="45"/>
        <v>0</v>
      </c>
      <c r="I233" s="630">
        <f t="shared" si="46"/>
        <v>0</v>
      </c>
      <c r="J233" s="627">
        <f t="shared" si="47"/>
        <v>0</v>
      </c>
      <c r="K233" s="363"/>
      <c r="L233" s="363"/>
      <c r="M233" s="363"/>
    </row>
    <row r="234" spans="1:13" s="237" customFormat="1" ht="15.95" customHeight="1" x14ac:dyDescent="0.25">
      <c r="A234" s="363"/>
      <c r="B234" s="625" t="s">
        <v>467</v>
      </c>
      <c r="C234" s="1290"/>
      <c r="D234" s="627">
        <f>'Fatores de Emissão'!E268</f>
        <v>17340</v>
      </c>
      <c r="E234" s="628">
        <f t="shared" si="43"/>
        <v>0</v>
      </c>
      <c r="F234" s="629">
        <f t="shared" si="49"/>
        <v>0</v>
      </c>
      <c r="G234" s="630">
        <f t="shared" si="44"/>
        <v>0</v>
      </c>
      <c r="H234" s="575">
        <f t="shared" si="45"/>
        <v>0</v>
      </c>
      <c r="I234" s="630">
        <f t="shared" si="46"/>
        <v>0</v>
      </c>
      <c r="J234" s="627">
        <f t="shared" si="47"/>
        <v>0</v>
      </c>
      <c r="K234" s="513"/>
      <c r="L234" s="513"/>
      <c r="M234" s="513"/>
    </row>
    <row r="235" spans="1:13" s="237" customFormat="1" ht="24.95" customHeight="1" x14ac:dyDescent="0.25">
      <c r="A235" s="363"/>
      <c r="B235" s="513"/>
      <c r="C235" s="513"/>
      <c r="D235" s="513"/>
      <c r="E235" s="513"/>
      <c r="F235" s="513"/>
      <c r="G235" s="513"/>
      <c r="H235" s="513"/>
      <c r="I235" s="513"/>
      <c r="J235" s="513"/>
      <c r="K235" s="513"/>
      <c r="L235" s="513"/>
      <c r="M235" s="513"/>
    </row>
    <row r="236" spans="1:13" hidden="1" x14ac:dyDescent="0.2">
      <c r="B236" s="508" t="s">
        <v>549</v>
      </c>
    </row>
    <row r="237" spans="1:13" hidden="1" x14ac:dyDescent="0.2"/>
    <row r="238" spans="1:13" ht="30" hidden="1" x14ac:dyDescent="0.2">
      <c r="B238" s="509" t="s">
        <v>263</v>
      </c>
      <c r="C238" s="509" t="s">
        <v>544</v>
      </c>
      <c r="D238" s="509" t="s">
        <v>561</v>
      </c>
      <c r="E238" s="509" t="s">
        <v>545</v>
      </c>
      <c r="F238" s="509" t="s">
        <v>562</v>
      </c>
      <c r="G238" s="509" t="s">
        <v>546</v>
      </c>
      <c r="H238" s="509" t="s">
        <v>563</v>
      </c>
      <c r="I238" s="509" t="s">
        <v>547</v>
      </c>
      <c r="J238" s="509" t="s">
        <v>564</v>
      </c>
      <c r="K238" s="509" t="s">
        <v>548</v>
      </c>
      <c r="L238" s="509" t="s">
        <v>565</v>
      </c>
    </row>
    <row r="239" spans="1:13" hidden="1" x14ac:dyDescent="0.2">
      <c r="B239" s="336" t="s">
        <v>480</v>
      </c>
      <c r="C239" s="336"/>
      <c r="D239" s="336"/>
      <c r="E239" s="336"/>
      <c r="F239" s="336"/>
      <c r="G239" s="336"/>
      <c r="H239" s="336"/>
      <c r="I239" s="336"/>
      <c r="J239" s="336"/>
      <c r="K239" s="336"/>
      <c r="L239" s="336"/>
    </row>
    <row r="240" spans="1:13" hidden="1" x14ac:dyDescent="0.2">
      <c r="B240" s="336" t="s">
        <v>147</v>
      </c>
      <c r="C240" s="336" t="s">
        <v>108</v>
      </c>
      <c r="D240" s="336">
        <v>0.13</v>
      </c>
      <c r="E240" s="336"/>
      <c r="F240" s="336"/>
      <c r="G240" s="336"/>
      <c r="H240" s="336"/>
      <c r="I240" s="336"/>
      <c r="J240" s="336"/>
      <c r="K240" s="336"/>
      <c r="L240" s="336"/>
    </row>
    <row r="241" spans="2:12" hidden="1" x14ac:dyDescent="0.2">
      <c r="B241" s="336" t="s">
        <v>148</v>
      </c>
      <c r="C241" s="336" t="s">
        <v>108</v>
      </c>
      <c r="D241" s="336">
        <v>0.11</v>
      </c>
      <c r="E241" s="336"/>
      <c r="F241" s="336"/>
      <c r="G241" s="336"/>
      <c r="H241" s="336"/>
      <c r="I241" s="336"/>
      <c r="J241" s="336"/>
      <c r="K241" s="336"/>
      <c r="L241" s="336"/>
    </row>
    <row r="242" spans="2:12" hidden="1" x14ac:dyDescent="0.2">
      <c r="B242" s="336" t="s">
        <v>149</v>
      </c>
      <c r="C242" s="336" t="s">
        <v>108</v>
      </c>
      <c r="D242" s="336">
        <v>0.15</v>
      </c>
      <c r="E242" s="336"/>
      <c r="F242" s="336"/>
      <c r="G242" s="336"/>
      <c r="H242" s="336"/>
      <c r="I242" s="336"/>
      <c r="J242" s="336"/>
      <c r="K242" s="336"/>
      <c r="L242" s="336"/>
    </row>
    <row r="243" spans="2:12" hidden="1" x14ac:dyDescent="0.2">
      <c r="B243" s="336" t="s">
        <v>150</v>
      </c>
      <c r="C243" s="336" t="s">
        <v>87</v>
      </c>
      <c r="D243" s="336">
        <v>0.6</v>
      </c>
      <c r="E243" s="336"/>
      <c r="F243" s="336"/>
      <c r="G243" s="336"/>
      <c r="H243" s="336"/>
      <c r="I243" s="336"/>
      <c r="J243" s="336"/>
      <c r="K243" s="336"/>
      <c r="L243" s="336"/>
    </row>
    <row r="244" spans="2:12" hidden="1" x14ac:dyDescent="0.2">
      <c r="B244" s="336" t="s">
        <v>151</v>
      </c>
      <c r="C244" s="336" t="s">
        <v>87</v>
      </c>
      <c r="D244" s="336">
        <v>0.38</v>
      </c>
      <c r="E244" s="336"/>
      <c r="F244" s="336"/>
      <c r="G244" s="336"/>
      <c r="H244" s="336"/>
      <c r="I244" s="336"/>
      <c r="J244" s="336"/>
      <c r="K244" s="336"/>
      <c r="L244" s="336"/>
    </row>
    <row r="245" spans="2:12" hidden="1" x14ac:dyDescent="0.2">
      <c r="B245" s="336" t="s">
        <v>152</v>
      </c>
      <c r="C245" s="336" t="s">
        <v>460</v>
      </c>
      <c r="D245" s="336">
        <v>0.2</v>
      </c>
      <c r="E245" s="336"/>
      <c r="F245" s="336"/>
      <c r="G245" s="336"/>
      <c r="H245" s="336"/>
      <c r="I245" s="336"/>
      <c r="J245" s="336"/>
      <c r="K245" s="336"/>
      <c r="L245" s="336"/>
    </row>
    <row r="246" spans="2:12" hidden="1" x14ac:dyDescent="0.2">
      <c r="B246" s="336" t="s">
        <v>153</v>
      </c>
      <c r="C246" s="336" t="s">
        <v>460</v>
      </c>
      <c r="D246" s="336">
        <v>0.39</v>
      </c>
      <c r="E246" s="336"/>
      <c r="F246" s="336"/>
      <c r="G246" s="336"/>
      <c r="H246" s="336"/>
      <c r="I246" s="336"/>
      <c r="J246" s="336"/>
      <c r="K246" s="336"/>
      <c r="L246" s="336"/>
    </row>
    <row r="247" spans="2:12" hidden="1" x14ac:dyDescent="0.2">
      <c r="B247" s="336" t="s">
        <v>154</v>
      </c>
      <c r="C247" s="336" t="s">
        <v>87</v>
      </c>
      <c r="D247" s="336">
        <v>0.44</v>
      </c>
      <c r="E247" s="336" t="s">
        <v>107</v>
      </c>
      <c r="F247" s="336">
        <v>0.52</v>
      </c>
      <c r="G247" s="336" t="s">
        <v>88</v>
      </c>
      <c r="H247" s="336">
        <v>0.04</v>
      </c>
      <c r="I247" s="336"/>
      <c r="J247" s="336"/>
      <c r="K247" s="336"/>
      <c r="L247" s="336"/>
    </row>
    <row r="248" spans="2:12" hidden="1" x14ac:dyDescent="0.2">
      <c r="B248" s="336" t="s">
        <v>155</v>
      </c>
      <c r="C248" s="336"/>
      <c r="D248" s="336"/>
      <c r="E248" s="336"/>
      <c r="F248" s="336"/>
      <c r="G248" s="336"/>
      <c r="H248" s="336"/>
      <c r="I248" s="336"/>
      <c r="J248" s="336"/>
      <c r="K248" s="336"/>
      <c r="L248" s="336"/>
    </row>
    <row r="249" spans="2:12" hidden="1" x14ac:dyDescent="0.2">
      <c r="B249" s="336" t="s">
        <v>156</v>
      </c>
      <c r="C249" s="336" t="s">
        <v>86</v>
      </c>
      <c r="D249" s="336">
        <v>0.2</v>
      </c>
      <c r="E249" s="336" t="s">
        <v>87</v>
      </c>
      <c r="F249" s="336">
        <v>0.4</v>
      </c>
      <c r="G249" s="336" t="s">
        <v>88</v>
      </c>
      <c r="H249" s="336">
        <v>0.4</v>
      </c>
      <c r="I249" s="336"/>
      <c r="J249" s="336"/>
      <c r="K249" s="336"/>
      <c r="L249" s="336"/>
    </row>
    <row r="250" spans="2:12" hidden="1" x14ac:dyDescent="0.2">
      <c r="B250" s="336" t="s">
        <v>157</v>
      </c>
      <c r="C250" s="336" t="s">
        <v>86</v>
      </c>
      <c r="D250" s="336">
        <v>0.1</v>
      </c>
      <c r="E250" s="336" t="s">
        <v>87</v>
      </c>
      <c r="F250" s="336">
        <v>0.7</v>
      </c>
      <c r="G250" s="336" t="s">
        <v>88</v>
      </c>
      <c r="H250" s="336">
        <v>0.2</v>
      </c>
      <c r="I250" s="336"/>
      <c r="J250" s="336"/>
      <c r="K250" s="336"/>
      <c r="L250" s="336"/>
    </row>
    <row r="251" spans="2:12" hidden="1" x14ac:dyDescent="0.2">
      <c r="B251" s="336" t="s">
        <v>158</v>
      </c>
      <c r="C251" s="336" t="s">
        <v>86</v>
      </c>
      <c r="D251" s="336">
        <v>0.23</v>
      </c>
      <c r="E251" s="336" t="s">
        <v>87</v>
      </c>
      <c r="F251" s="336">
        <v>0.25</v>
      </c>
      <c r="G251" s="336" t="s">
        <v>88</v>
      </c>
      <c r="H251" s="336">
        <v>0.52</v>
      </c>
      <c r="I251" s="336"/>
      <c r="J251" s="336"/>
      <c r="K251" s="336"/>
      <c r="L251" s="336"/>
    </row>
    <row r="252" spans="2:12" hidden="1" x14ac:dyDescent="0.2">
      <c r="B252" s="336" t="s">
        <v>159</v>
      </c>
      <c r="C252" s="336" t="s">
        <v>86</v>
      </c>
      <c r="D252" s="336">
        <v>0.15</v>
      </c>
      <c r="E252" s="336" t="s">
        <v>87</v>
      </c>
      <c r="F252" s="336">
        <v>0.15</v>
      </c>
      <c r="G252" s="336" t="s">
        <v>88</v>
      </c>
      <c r="H252" s="336">
        <v>0.7</v>
      </c>
      <c r="I252" s="336"/>
      <c r="J252" s="336"/>
      <c r="K252" s="336"/>
      <c r="L252" s="336"/>
    </row>
    <row r="253" spans="2:12" hidden="1" x14ac:dyDescent="0.2">
      <c r="B253" s="336" t="s">
        <v>160</v>
      </c>
      <c r="C253" s="336" t="s">
        <v>86</v>
      </c>
      <c r="D253" s="336">
        <v>0.25</v>
      </c>
      <c r="E253" s="336" t="s">
        <v>87</v>
      </c>
      <c r="F253" s="336">
        <v>0.15</v>
      </c>
      <c r="G253" s="336" t="s">
        <v>88</v>
      </c>
      <c r="H253" s="336">
        <v>0.6</v>
      </c>
      <c r="I253" s="336"/>
      <c r="J253" s="336"/>
      <c r="K253" s="336"/>
      <c r="L253" s="336"/>
    </row>
    <row r="254" spans="2:12" hidden="1" x14ac:dyDescent="0.2">
      <c r="B254" s="336" t="s">
        <v>481</v>
      </c>
      <c r="C254" s="336" t="s">
        <v>86</v>
      </c>
      <c r="D254" s="336">
        <v>0.3</v>
      </c>
      <c r="E254" s="336" t="s">
        <v>87</v>
      </c>
      <c r="F254" s="336">
        <v>0.3</v>
      </c>
      <c r="G254" s="336" t="s">
        <v>88</v>
      </c>
      <c r="H254" s="336">
        <v>0.4</v>
      </c>
      <c r="I254" s="336"/>
      <c r="J254" s="336"/>
      <c r="K254" s="336"/>
      <c r="L254" s="336"/>
    </row>
    <row r="255" spans="2:12" hidden="1" x14ac:dyDescent="0.2">
      <c r="B255" s="336" t="s">
        <v>161</v>
      </c>
      <c r="C255" s="336" t="s">
        <v>87</v>
      </c>
      <c r="D255" s="336">
        <v>7.0000000000000007E-2</v>
      </c>
      <c r="E255" s="336" t="s">
        <v>107</v>
      </c>
      <c r="F255" s="336">
        <v>0.46</v>
      </c>
      <c r="G255" s="336"/>
      <c r="H255" s="336"/>
      <c r="I255" s="336"/>
      <c r="J255" s="336"/>
      <c r="K255" s="336"/>
      <c r="L255" s="336"/>
    </row>
    <row r="256" spans="2:12" hidden="1" x14ac:dyDescent="0.2">
      <c r="B256" s="336" t="s">
        <v>162</v>
      </c>
      <c r="C256" s="336"/>
      <c r="D256" s="336"/>
      <c r="E256" s="336"/>
      <c r="F256" s="336"/>
      <c r="G256" s="336"/>
      <c r="H256" s="336"/>
      <c r="I256" s="336"/>
      <c r="J256" s="336"/>
      <c r="K256" s="336"/>
      <c r="L256" s="336"/>
    </row>
    <row r="257" spans="2:12" hidden="1" x14ac:dyDescent="0.2">
      <c r="B257" s="336" t="s">
        <v>163</v>
      </c>
      <c r="C257" s="336"/>
      <c r="D257" s="336"/>
      <c r="E257" s="336"/>
      <c r="F257" s="336"/>
      <c r="G257" s="336"/>
      <c r="H257" s="336"/>
      <c r="I257" s="336"/>
      <c r="J257" s="336"/>
      <c r="K257" s="336"/>
      <c r="L257" s="336"/>
    </row>
    <row r="258" spans="2:12" hidden="1" x14ac:dyDescent="0.2">
      <c r="B258" s="336" t="s">
        <v>164</v>
      </c>
      <c r="C258" s="336" t="s">
        <v>86</v>
      </c>
      <c r="D258" s="336">
        <v>0.5</v>
      </c>
      <c r="E258" s="336" t="s">
        <v>87</v>
      </c>
      <c r="F258" s="336">
        <v>0.5</v>
      </c>
      <c r="G258" s="336"/>
      <c r="H258" s="336"/>
      <c r="I258" s="336"/>
      <c r="J258" s="336"/>
      <c r="K258" s="336"/>
      <c r="L258" s="336"/>
    </row>
    <row r="259" spans="2:12" hidden="1" x14ac:dyDescent="0.2">
      <c r="B259" s="336" t="s">
        <v>165</v>
      </c>
      <c r="C259" s="336" t="s">
        <v>86</v>
      </c>
      <c r="D259" s="336">
        <v>0.45</v>
      </c>
      <c r="E259" s="336" t="s">
        <v>87</v>
      </c>
      <c r="F259" s="336">
        <v>0.55000000000000004</v>
      </c>
      <c r="G259" s="336"/>
      <c r="H259" s="336"/>
      <c r="I259" s="336"/>
      <c r="J259" s="336"/>
      <c r="K259" s="336"/>
      <c r="L259" s="336"/>
    </row>
    <row r="260" spans="2:12" hidden="1" x14ac:dyDescent="0.2">
      <c r="B260" s="336" t="s">
        <v>166</v>
      </c>
      <c r="C260" s="336" t="s">
        <v>108</v>
      </c>
      <c r="D260" s="336">
        <v>0.11</v>
      </c>
      <c r="E260" s="336"/>
      <c r="F260" s="336"/>
      <c r="G260" s="336"/>
      <c r="H260" s="336"/>
      <c r="I260" s="336"/>
      <c r="J260" s="336"/>
      <c r="K260" s="336"/>
      <c r="L260" s="336"/>
    </row>
    <row r="261" spans="2:12" hidden="1" x14ac:dyDescent="0.2">
      <c r="B261" s="336" t="s">
        <v>167</v>
      </c>
      <c r="C261" s="336" t="s">
        <v>108</v>
      </c>
      <c r="D261" s="336">
        <v>0.03</v>
      </c>
      <c r="E261" s="336"/>
      <c r="F261" s="336"/>
      <c r="G261" s="336"/>
      <c r="H261" s="336"/>
      <c r="I261" s="336"/>
      <c r="J261" s="336"/>
      <c r="K261" s="336"/>
      <c r="L261" s="336"/>
    </row>
    <row r="262" spans="2:12" hidden="1" x14ac:dyDescent="0.2">
      <c r="B262" s="336" t="s">
        <v>168</v>
      </c>
      <c r="C262" s="336" t="s">
        <v>460</v>
      </c>
      <c r="D262" s="336">
        <v>0.05</v>
      </c>
      <c r="E262" s="336"/>
      <c r="F262" s="336"/>
      <c r="G262" s="336"/>
      <c r="H262" s="336"/>
      <c r="I262" s="336"/>
      <c r="J262" s="336"/>
      <c r="K262" s="336"/>
      <c r="L262" s="336"/>
    </row>
    <row r="263" spans="2:12" hidden="1" x14ac:dyDescent="0.2">
      <c r="B263" s="336" t="s">
        <v>169</v>
      </c>
      <c r="C263" s="336" t="s">
        <v>88</v>
      </c>
      <c r="D263" s="336">
        <v>0.88</v>
      </c>
      <c r="E263" s="336" t="s">
        <v>460</v>
      </c>
      <c r="F263" s="336">
        <v>0.09</v>
      </c>
      <c r="G263" s="336"/>
      <c r="H263" s="336"/>
      <c r="I263" s="336"/>
      <c r="J263" s="336"/>
      <c r="K263" s="336"/>
      <c r="L263" s="336"/>
    </row>
    <row r="264" spans="2:12" hidden="1" x14ac:dyDescent="0.2">
      <c r="B264" s="336" t="s">
        <v>170</v>
      </c>
      <c r="C264" s="336"/>
      <c r="D264" s="336"/>
      <c r="E264" s="336"/>
      <c r="F264" s="336"/>
      <c r="G264" s="336"/>
      <c r="H264" s="336"/>
      <c r="I264" s="336"/>
      <c r="J264" s="336"/>
      <c r="K264" s="336"/>
      <c r="L264" s="336"/>
    </row>
    <row r="265" spans="2:12" hidden="1" x14ac:dyDescent="0.2">
      <c r="B265" s="336" t="s">
        <v>171</v>
      </c>
      <c r="C265" s="336"/>
      <c r="D265" s="336"/>
      <c r="E265" s="336"/>
      <c r="F265" s="336"/>
      <c r="G265" s="336"/>
      <c r="H265" s="336"/>
      <c r="I265" s="336"/>
      <c r="J265" s="336"/>
      <c r="K265" s="336"/>
      <c r="L265" s="336"/>
    </row>
    <row r="266" spans="2:12" hidden="1" x14ac:dyDescent="0.2">
      <c r="B266" s="336" t="s">
        <v>172</v>
      </c>
      <c r="C266" s="336" t="s">
        <v>108</v>
      </c>
      <c r="D266" s="336">
        <v>0.18</v>
      </c>
      <c r="E266" s="336"/>
      <c r="F266" s="336"/>
      <c r="G266" s="336"/>
      <c r="H266" s="336"/>
      <c r="I266" s="336"/>
      <c r="J266" s="336"/>
      <c r="K266" s="336"/>
      <c r="L266" s="336"/>
    </row>
    <row r="267" spans="2:12" hidden="1" x14ac:dyDescent="0.2">
      <c r="B267" s="336" t="s">
        <v>173</v>
      </c>
      <c r="C267" s="336" t="s">
        <v>108</v>
      </c>
      <c r="D267" s="336">
        <v>0.75</v>
      </c>
      <c r="E267" s="336"/>
      <c r="F267" s="336"/>
      <c r="G267" s="336"/>
      <c r="H267" s="336"/>
      <c r="I267" s="336"/>
      <c r="J267" s="336"/>
      <c r="K267" s="336"/>
      <c r="L267" s="336"/>
    </row>
    <row r="268" spans="2:12" hidden="1" x14ac:dyDescent="0.2">
      <c r="B268" s="336" t="s">
        <v>174</v>
      </c>
      <c r="C268" s="336" t="s">
        <v>88</v>
      </c>
      <c r="D268" s="336">
        <v>0.59</v>
      </c>
      <c r="E268" s="336"/>
      <c r="F268" s="336"/>
      <c r="G268" s="336"/>
      <c r="H268" s="336"/>
      <c r="I268" s="336"/>
      <c r="J268" s="336"/>
      <c r="K268" s="336"/>
      <c r="L268" s="336"/>
    </row>
    <row r="269" spans="2:12" hidden="1" x14ac:dyDescent="0.2">
      <c r="B269" s="336" t="s">
        <v>175</v>
      </c>
      <c r="C269" s="336" t="s">
        <v>87</v>
      </c>
      <c r="D269" s="336">
        <v>0.46600000000000003</v>
      </c>
      <c r="E269" s="336" t="s">
        <v>88</v>
      </c>
      <c r="F269" s="336">
        <v>0.5</v>
      </c>
      <c r="G269" s="336"/>
      <c r="H269" s="336"/>
      <c r="I269" s="336"/>
      <c r="J269" s="336"/>
      <c r="K269" s="336"/>
      <c r="L269" s="336"/>
    </row>
    <row r="270" spans="2:12" hidden="1" x14ac:dyDescent="0.2">
      <c r="B270" s="336" t="s">
        <v>482</v>
      </c>
      <c r="C270" s="336" t="s">
        <v>87</v>
      </c>
      <c r="D270" s="336">
        <v>0.79</v>
      </c>
      <c r="E270" s="336" t="s">
        <v>88</v>
      </c>
      <c r="F270" s="336">
        <v>0.183</v>
      </c>
      <c r="G270" s="336"/>
      <c r="H270" s="336"/>
      <c r="I270" s="336"/>
      <c r="J270" s="336"/>
      <c r="K270" s="336"/>
      <c r="L270" s="336"/>
    </row>
    <row r="271" spans="2:12" hidden="1" x14ac:dyDescent="0.2">
      <c r="B271" s="336" t="s">
        <v>483</v>
      </c>
      <c r="C271" s="336" t="s">
        <v>87</v>
      </c>
      <c r="D271" s="336">
        <v>0.19500000000000001</v>
      </c>
      <c r="E271" s="336" t="s">
        <v>88</v>
      </c>
      <c r="F271" s="336">
        <v>0.78800000000000003</v>
      </c>
      <c r="G271" s="336"/>
      <c r="H271" s="336"/>
      <c r="I271" s="336"/>
      <c r="J271" s="336"/>
      <c r="K271" s="336"/>
      <c r="L271" s="336"/>
    </row>
    <row r="272" spans="2:12" hidden="1" x14ac:dyDescent="0.2">
      <c r="B272" s="336" t="s">
        <v>176</v>
      </c>
      <c r="C272" s="336" t="s">
        <v>108</v>
      </c>
      <c r="D272" s="336">
        <v>2.5000000000000001E-2</v>
      </c>
      <c r="E272" s="336"/>
      <c r="F272" s="336"/>
      <c r="G272" s="336"/>
      <c r="H272" s="336"/>
      <c r="I272" s="336"/>
      <c r="J272" s="336"/>
      <c r="K272" s="336"/>
      <c r="L272" s="336"/>
    </row>
    <row r="273" spans="2:12" hidden="1" x14ac:dyDescent="0.2">
      <c r="B273" s="336" t="s">
        <v>177</v>
      </c>
      <c r="C273" s="336" t="s">
        <v>87</v>
      </c>
      <c r="D273" s="336">
        <v>0.77</v>
      </c>
      <c r="E273" s="336" t="s">
        <v>88</v>
      </c>
      <c r="F273" s="336">
        <v>0.19</v>
      </c>
      <c r="G273" s="336"/>
      <c r="H273" s="336"/>
      <c r="I273" s="336"/>
      <c r="J273" s="336"/>
      <c r="K273" s="336"/>
      <c r="L273" s="336"/>
    </row>
    <row r="274" spans="2:12" hidden="1" x14ac:dyDescent="0.2">
      <c r="B274" s="336" t="s">
        <v>484</v>
      </c>
      <c r="C274" s="336" t="s">
        <v>87</v>
      </c>
      <c r="D274" s="336">
        <v>0.48499999999999999</v>
      </c>
      <c r="E274" s="336" t="s">
        <v>88</v>
      </c>
      <c r="F274" s="336">
        <v>0.48</v>
      </c>
      <c r="G274" s="336"/>
      <c r="H274" s="336"/>
      <c r="I274" s="336"/>
      <c r="J274" s="336"/>
      <c r="K274" s="336"/>
      <c r="L274" s="336"/>
    </row>
    <row r="275" spans="2:12" hidden="1" x14ac:dyDescent="0.2">
      <c r="B275" s="336" t="s">
        <v>178</v>
      </c>
      <c r="C275" s="336" t="s">
        <v>88</v>
      </c>
      <c r="D275" s="336">
        <v>0.88</v>
      </c>
      <c r="E275" s="336"/>
      <c r="F275" s="336"/>
      <c r="G275" s="336"/>
      <c r="H275" s="336"/>
      <c r="I275" s="336"/>
      <c r="J275" s="336"/>
      <c r="K275" s="336"/>
      <c r="L275" s="336"/>
    </row>
    <row r="276" spans="2:12" hidden="1" x14ac:dyDescent="0.2">
      <c r="B276" s="336" t="s">
        <v>485</v>
      </c>
      <c r="C276" s="336" t="s">
        <v>87</v>
      </c>
      <c r="D276" s="336">
        <v>0.57999999999999996</v>
      </c>
      <c r="E276" s="336" t="s">
        <v>88</v>
      </c>
      <c r="F276" s="336">
        <v>0.42</v>
      </c>
      <c r="G276" s="336"/>
      <c r="H276" s="336"/>
      <c r="I276" s="336"/>
      <c r="J276" s="336"/>
      <c r="K276" s="336"/>
      <c r="L276" s="336"/>
    </row>
    <row r="277" spans="2:12" hidden="1" x14ac:dyDescent="0.2">
      <c r="B277" s="336" t="s">
        <v>486</v>
      </c>
      <c r="C277" s="336" t="s">
        <v>87</v>
      </c>
      <c r="D277" s="336">
        <v>0.85</v>
      </c>
      <c r="E277" s="336" t="s">
        <v>88</v>
      </c>
      <c r="F277" s="336">
        <v>0.15</v>
      </c>
      <c r="G277" s="336"/>
      <c r="H277" s="336"/>
      <c r="I277" s="336"/>
      <c r="J277" s="336"/>
      <c r="K277" s="336"/>
      <c r="L277" s="336"/>
    </row>
    <row r="278" spans="2:12" hidden="1" x14ac:dyDescent="0.2">
      <c r="B278" s="336" t="s">
        <v>487</v>
      </c>
      <c r="C278" s="336" t="s">
        <v>87</v>
      </c>
      <c r="D278" s="336">
        <v>0.85099999999999998</v>
      </c>
      <c r="E278" s="336" t="s">
        <v>88</v>
      </c>
      <c r="F278" s="336">
        <v>0.115</v>
      </c>
      <c r="G278" s="336"/>
      <c r="H278" s="336"/>
      <c r="I278" s="336"/>
      <c r="J278" s="336"/>
      <c r="K278" s="336"/>
      <c r="L278" s="336"/>
    </row>
    <row r="279" spans="2:12" hidden="1" x14ac:dyDescent="0.2">
      <c r="B279" s="336" t="s">
        <v>488</v>
      </c>
      <c r="C279" s="336" t="s">
        <v>87</v>
      </c>
      <c r="D279" s="336">
        <v>0.55000000000000004</v>
      </c>
      <c r="E279" s="336" t="s">
        <v>88</v>
      </c>
      <c r="F279" s="336">
        <v>0.42</v>
      </c>
      <c r="G279" s="336"/>
      <c r="H279" s="336"/>
      <c r="I279" s="336"/>
      <c r="J279" s="336"/>
      <c r="K279" s="336"/>
      <c r="L279" s="336"/>
    </row>
    <row r="280" spans="2:12" hidden="1" x14ac:dyDescent="0.2">
      <c r="B280" s="336" t="s">
        <v>489</v>
      </c>
      <c r="C280" s="336" t="s">
        <v>87</v>
      </c>
      <c r="D280" s="336">
        <v>0.82</v>
      </c>
      <c r="E280" s="336" t="s">
        <v>88</v>
      </c>
      <c r="F280" s="336">
        <v>0.15</v>
      </c>
      <c r="G280" s="336"/>
      <c r="H280" s="336"/>
      <c r="I280" s="336"/>
      <c r="J280" s="336"/>
      <c r="K280" s="336"/>
      <c r="L280" s="336"/>
    </row>
    <row r="281" spans="2:12" hidden="1" x14ac:dyDescent="0.2">
      <c r="B281" s="336" t="s">
        <v>490</v>
      </c>
      <c r="C281" s="336" t="s">
        <v>87</v>
      </c>
      <c r="D281" s="336">
        <v>0.65</v>
      </c>
      <c r="E281" s="336" t="s">
        <v>88</v>
      </c>
      <c r="F281" s="336">
        <v>0.315</v>
      </c>
      <c r="G281" s="336"/>
      <c r="H281" s="336"/>
      <c r="I281" s="336"/>
      <c r="J281" s="336"/>
      <c r="K281" s="336"/>
      <c r="L281" s="336"/>
    </row>
    <row r="282" spans="2:12" hidden="1" x14ac:dyDescent="0.2">
      <c r="B282" s="336" t="s">
        <v>491</v>
      </c>
      <c r="C282" s="336" t="s">
        <v>87</v>
      </c>
      <c r="D282" s="336">
        <v>0.57999999999999996</v>
      </c>
      <c r="E282" s="336" t="s">
        <v>88</v>
      </c>
      <c r="F282" s="336">
        <v>0.39300000000000002</v>
      </c>
      <c r="G282" s="336"/>
      <c r="H282" s="336"/>
      <c r="I282" s="336"/>
      <c r="J282" s="336"/>
      <c r="K282" s="336"/>
      <c r="L282" s="336"/>
    </row>
    <row r="283" spans="2:12" hidden="1" x14ac:dyDescent="0.2">
      <c r="B283" s="336" t="s">
        <v>492</v>
      </c>
      <c r="C283" s="336" t="s">
        <v>88</v>
      </c>
      <c r="D283" s="336">
        <v>0.52500000000000002</v>
      </c>
      <c r="E283" s="336" t="s">
        <v>291</v>
      </c>
      <c r="F283" s="336">
        <v>0.47499999999999998</v>
      </c>
      <c r="G283" s="336"/>
      <c r="H283" s="336"/>
      <c r="I283" s="336"/>
      <c r="J283" s="336"/>
      <c r="K283" s="336"/>
      <c r="L283" s="336"/>
    </row>
    <row r="284" spans="2:12" hidden="1" x14ac:dyDescent="0.2">
      <c r="B284" s="336" t="s">
        <v>493</v>
      </c>
      <c r="C284" s="336" t="s">
        <v>87</v>
      </c>
      <c r="D284" s="336">
        <v>0.505</v>
      </c>
      <c r="E284" s="336" t="s">
        <v>88</v>
      </c>
      <c r="F284" s="336">
        <v>0.47</v>
      </c>
      <c r="G284" s="336"/>
      <c r="H284" s="336"/>
      <c r="I284" s="336"/>
      <c r="J284" s="336"/>
      <c r="K284" s="336"/>
      <c r="L284" s="336"/>
    </row>
    <row r="285" spans="2:12" hidden="1" x14ac:dyDescent="0.2">
      <c r="B285" s="336" t="s">
        <v>494</v>
      </c>
      <c r="C285" s="336" t="s">
        <v>86</v>
      </c>
      <c r="D285" s="336">
        <v>0.185</v>
      </c>
      <c r="E285" s="336" t="s">
        <v>88</v>
      </c>
      <c r="F285" s="336">
        <v>0.69499999999999995</v>
      </c>
      <c r="G285" s="336" t="s">
        <v>291</v>
      </c>
      <c r="H285" s="336">
        <v>0.12</v>
      </c>
      <c r="I285" s="336"/>
      <c r="J285" s="336"/>
      <c r="K285" s="336"/>
      <c r="L285" s="336"/>
    </row>
    <row r="286" spans="2:12" hidden="1" x14ac:dyDescent="0.2">
      <c r="B286" s="336" t="s">
        <v>495</v>
      </c>
      <c r="C286" s="336" t="s">
        <v>87</v>
      </c>
      <c r="D286" s="336">
        <v>5.0999999999999997E-2</v>
      </c>
      <c r="E286" s="336" t="s">
        <v>88</v>
      </c>
      <c r="F286" s="336">
        <v>0.93</v>
      </c>
      <c r="G286" s="336"/>
      <c r="H286" s="336"/>
      <c r="I286" s="336"/>
      <c r="J286" s="336"/>
      <c r="K286" s="336"/>
      <c r="L286" s="336"/>
    </row>
    <row r="287" spans="2:12" hidden="1" x14ac:dyDescent="0.2">
      <c r="B287" s="336" t="s">
        <v>496</v>
      </c>
      <c r="C287" s="336" t="s">
        <v>86</v>
      </c>
      <c r="D287" s="336">
        <v>0.15</v>
      </c>
      <c r="E287" s="336" t="s">
        <v>87</v>
      </c>
      <c r="F287" s="336">
        <v>0.25</v>
      </c>
      <c r="G287" s="336" t="s">
        <v>88</v>
      </c>
      <c r="H287" s="336">
        <v>0.5</v>
      </c>
      <c r="I287" s="336" t="s">
        <v>107</v>
      </c>
      <c r="J287" s="336">
        <v>0.1</v>
      </c>
      <c r="K287" s="336"/>
      <c r="L287" s="336"/>
    </row>
    <row r="288" spans="2:12" hidden="1" x14ac:dyDescent="0.2">
      <c r="B288" s="336" t="s">
        <v>497</v>
      </c>
      <c r="C288" s="336" t="s">
        <v>87</v>
      </c>
      <c r="D288" s="336">
        <v>0.77500000000000002</v>
      </c>
      <c r="E288" s="336" t="s">
        <v>107</v>
      </c>
      <c r="F288" s="336">
        <v>0.2</v>
      </c>
      <c r="G288" s="336"/>
      <c r="H288" s="336"/>
      <c r="I288" s="336"/>
      <c r="J288" s="336"/>
      <c r="K288" s="336"/>
      <c r="L288" s="336"/>
    </row>
    <row r="289" spans="2:12" hidden="1" x14ac:dyDescent="0.2">
      <c r="B289" s="336" t="s">
        <v>498</v>
      </c>
      <c r="C289" s="336" t="s">
        <v>108</v>
      </c>
      <c r="D289" s="336">
        <v>0.1</v>
      </c>
      <c r="E289" s="336"/>
      <c r="F289" s="336"/>
      <c r="G289" s="336"/>
      <c r="H289" s="336"/>
      <c r="I289" s="336"/>
      <c r="J289" s="336"/>
      <c r="K289" s="336"/>
      <c r="L289" s="336"/>
    </row>
    <row r="290" spans="2:12" hidden="1" x14ac:dyDescent="0.2">
      <c r="B290" s="336" t="s">
        <v>499</v>
      </c>
      <c r="C290" s="336" t="s">
        <v>108</v>
      </c>
      <c r="D290" s="336">
        <v>0.76</v>
      </c>
      <c r="E290" s="336"/>
      <c r="F290" s="336"/>
      <c r="G290" s="336"/>
      <c r="H290" s="336"/>
      <c r="I290" s="336"/>
      <c r="J290" s="336"/>
      <c r="K290" s="336"/>
      <c r="L290" s="336"/>
    </row>
    <row r="291" spans="2:12" hidden="1" x14ac:dyDescent="0.2">
      <c r="B291" s="336" t="s">
        <v>500</v>
      </c>
      <c r="C291" s="336" t="s">
        <v>108</v>
      </c>
      <c r="D291" s="336">
        <v>0.28999999999999998</v>
      </c>
      <c r="E291" s="336"/>
      <c r="F291" s="336"/>
      <c r="G291" s="336"/>
      <c r="H291" s="336"/>
      <c r="I291" s="336"/>
      <c r="J291" s="336"/>
      <c r="K291" s="336"/>
      <c r="L291" s="336"/>
    </row>
    <row r="292" spans="2:12" hidden="1" x14ac:dyDescent="0.2">
      <c r="B292" s="336" t="s">
        <v>501</v>
      </c>
      <c r="C292" s="336"/>
      <c r="D292" s="336"/>
      <c r="E292" s="336"/>
      <c r="F292" s="336"/>
      <c r="G292" s="336"/>
      <c r="H292" s="336"/>
      <c r="I292" s="336"/>
      <c r="J292" s="336"/>
      <c r="K292" s="336"/>
      <c r="L292" s="336"/>
    </row>
    <row r="293" spans="2:12" hidden="1" x14ac:dyDescent="0.2">
      <c r="B293" s="336" t="s">
        <v>502</v>
      </c>
      <c r="C293" s="336"/>
      <c r="D293" s="336"/>
      <c r="E293" s="336"/>
      <c r="F293" s="336"/>
      <c r="G293" s="336"/>
      <c r="H293" s="336"/>
      <c r="I293" s="336"/>
      <c r="J293" s="336"/>
      <c r="K293" s="336"/>
      <c r="L293" s="336"/>
    </row>
    <row r="294" spans="2:12" hidden="1" x14ac:dyDescent="0.2">
      <c r="B294" s="336" t="s">
        <v>503</v>
      </c>
      <c r="C294" s="336" t="s">
        <v>87</v>
      </c>
      <c r="D294" s="336">
        <v>0.63200000000000001</v>
      </c>
      <c r="E294" s="336" t="s">
        <v>88</v>
      </c>
      <c r="F294" s="336">
        <v>0.16</v>
      </c>
      <c r="G294" s="336" t="s">
        <v>107</v>
      </c>
      <c r="H294" s="336">
        <v>0.18</v>
      </c>
      <c r="I294" s="336"/>
      <c r="J294" s="336"/>
      <c r="K294" s="336"/>
      <c r="L294" s="336"/>
    </row>
    <row r="295" spans="2:12" hidden="1" x14ac:dyDescent="0.2">
      <c r="B295" s="336" t="s">
        <v>504</v>
      </c>
      <c r="C295" s="336" t="s">
        <v>108</v>
      </c>
      <c r="D295" s="336">
        <v>0.2</v>
      </c>
      <c r="E295" s="336"/>
      <c r="F295" s="336"/>
      <c r="G295" s="336"/>
      <c r="H295" s="336"/>
      <c r="I295" s="336"/>
      <c r="J295" s="336"/>
      <c r="K295" s="336"/>
      <c r="L295" s="336"/>
    </row>
    <row r="296" spans="2:12" hidden="1" x14ac:dyDescent="0.2">
      <c r="B296" s="336" t="s">
        <v>505</v>
      </c>
      <c r="C296" s="336"/>
      <c r="D296" s="336"/>
      <c r="E296" s="336"/>
      <c r="F296" s="336"/>
      <c r="G296" s="336"/>
      <c r="H296" s="336"/>
      <c r="I296" s="336"/>
      <c r="J296" s="336"/>
      <c r="K296" s="336"/>
      <c r="L296" s="336"/>
    </row>
    <row r="297" spans="2:12" hidden="1" x14ac:dyDescent="0.2">
      <c r="B297" s="336" t="s">
        <v>506</v>
      </c>
      <c r="C297" s="336"/>
      <c r="D297" s="336"/>
      <c r="E297" s="336"/>
      <c r="F297" s="336"/>
      <c r="G297" s="336"/>
      <c r="H297" s="336"/>
      <c r="I297" s="336"/>
      <c r="J297" s="336"/>
      <c r="K297" s="336"/>
      <c r="L297" s="336"/>
    </row>
    <row r="298" spans="2:12" hidden="1" x14ac:dyDescent="0.2">
      <c r="B298" s="336" t="s">
        <v>507</v>
      </c>
      <c r="C298" s="336" t="s">
        <v>87</v>
      </c>
      <c r="D298" s="336">
        <v>0.19500000000000001</v>
      </c>
      <c r="E298" s="336" t="s">
        <v>88</v>
      </c>
      <c r="F298" s="336">
        <v>0.78500000000000003</v>
      </c>
      <c r="G298" s="336"/>
      <c r="H298" s="336"/>
      <c r="I298" s="336"/>
      <c r="J298" s="336"/>
      <c r="K298" s="336"/>
      <c r="L298" s="336"/>
    </row>
    <row r="299" spans="2:12" hidden="1" x14ac:dyDescent="0.2">
      <c r="B299" s="336" t="s">
        <v>508</v>
      </c>
      <c r="C299" s="336" t="s">
        <v>86</v>
      </c>
      <c r="D299" s="336">
        <v>8.5000000000000006E-2</v>
      </c>
      <c r="E299" s="336" t="s">
        <v>87</v>
      </c>
      <c r="F299" s="336">
        <v>0.45</v>
      </c>
      <c r="G299" s="336" t="s">
        <v>88</v>
      </c>
      <c r="H299" s="336">
        <v>0.442</v>
      </c>
      <c r="I299" s="336"/>
      <c r="J299" s="336"/>
      <c r="K299" s="336"/>
      <c r="L299" s="336"/>
    </row>
    <row r="300" spans="2:12" hidden="1" x14ac:dyDescent="0.2">
      <c r="B300" s="336" t="s">
        <v>509</v>
      </c>
      <c r="C300" s="336" t="s">
        <v>86</v>
      </c>
      <c r="D300" s="336">
        <v>0.5</v>
      </c>
      <c r="E300" s="336" t="s">
        <v>87</v>
      </c>
      <c r="F300" s="336">
        <v>0.47</v>
      </c>
      <c r="G300" s="336"/>
      <c r="H300" s="336"/>
      <c r="I300" s="336"/>
      <c r="J300" s="336"/>
      <c r="K300" s="336"/>
      <c r="L300" s="336"/>
    </row>
    <row r="301" spans="2:12" hidden="1" x14ac:dyDescent="0.2">
      <c r="B301" s="336" t="s">
        <v>510</v>
      </c>
      <c r="C301" s="336" t="s">
        <v>108</v>
      </c>
      <c r="D301" s="336">
        <v>0.97799999999999998</v>
      </c>
      <c r="E301" s="336" t="s">
        <v>88</v>
      </c>
      <c r="F301" s="336">
        <v>1.6E-2</v>
      </c>
      <c r="G301" s="336"/>
      <c r="H301" s="336"/>
      <c r="I301" s="336"/>
      <c r="J301" s="336"/>
      <c r="K301" s="336"/>
      <c r="L301" s="336"/>
    </row>
    <row r="302" spans="2:12" hidden="1" x14ac:dyDescent="0.2">
      <c r="B302" s="336" t="s">
        <v>511</v>
      </c>
      <c r="C302" s="336"/>
      <c r="D302" s="336"/>
      <c r="E302" s="336"/>
      <c r="F302" s="336"/>
      <c r="G302" s="336"/>
      <c r="H302" s="336"/>
      <c r="I302" s="336"/>
      <c r="J302" s="336"/>
      <c r="K302" s="336"/>
      <c r="L302" s="336"/>
    </row>
    <row r="303" spans="2:12" hidden="1" x14ac:dyDescent="0.2">
      <c r="B303" s="336" t="s">
        <v>512</v>
      </c>
      <c r="C303" s="336" t="s">
        <v>86</v>
      </c>
      <c r="D303" s="336">
        <v>0.31</v>
      </c>
      <c r="E303" s="336" t="s">
        <v>87</v>
      </c>
      <c r="F303" s="336">
        <v>0.31</v>
      </c>
      <c r="G303" s="336" t="s">
        <v>88</v>
      </c>
      <c r="H303" s="336">
        <v>0.3</v>
      </c>
      <c r="I303" s="336" t="s">
        <v>108</v>
      </c>
      <c r="J303" s="336">
        <v>0.03</v>
      </c>
      <c r="K303" s="336" t="s">
        <v>291</v>
      </c>
      <c r="L303" s="336">
        <v>0.05</v>
      </c>
    </row>
    <row r="304" spans="2:12" hidden="1" x14ac:dyDescent="0.2">
      <c r="B304" s="336" t="s">
        <v>513</v>
      </c>
      <c r="C304" s="336"/>
      <c r="D304" s="336"/>
      <c r="E304" s="336"/>
      <c r="F304" s="336"/>
      <c r="G304" s="336"/>
      <c r="H304" s="336"/>
      <c r="I304" s="336"/>
      <c r="J304" s="336"/>
      <c r="K304" s="336"/>
      <c r="L304" s="336"/>
    </row>
    <row r="305" spans="2:12" hidden="1" x14ac:dyDescent="0.2">
      <c r="B305" s="336" t="s">
        <v>514</v>
      </c>
      <c r="C305" s="336" t="s">
        <v>86</v>
      </c>
      <c r="D305" s="336">
        <v>0.12</v>
      </c>
      <c r="E305" s="336" t="s">
        <v>108</v>
      </c>
      <c r="F305" s="336">
        <v>0.05</v>
      </c>
      <c r="G305" s="336"/>
      <c r="H305" s="336"/>
      <c r="I305" s="336"/>
      <c r="J305" s="336"/>
      <c r="K305" s="336"/>
      <c r="L305" s="336"/>
    </row>
    <row r="306" spans="2:12" hidden="1" x14ac:dyDescent="0.2">
      <c r="B306" s="336" t="s">
        <v>515</v>
      </c>
      <c r="C306" s="336" t="s">
        <v>88</v>
      </c>
      <c r="D306" s="336">
        <v>0.09</v>
      </c>
      <c r="E306" s="336"/>
      <c r="F306" s="336"/>
      <c r="G306" s="336"/>
      <c r="H306" s="336"/>
      <c r="I306" s="336"/>
      <c r="J306" s="336"/>
      <c r="K306" s="336"/>
      <c r="L306" s="336"/>
    </row>
    <row r="307" spans="2:12" hidden="1" x14ac:dyDescent="0.2">
      <c r="B307" s="336" t="s">
        <v>179</v>
      </c>
      <c r="C307" s="336" t="s">
        <v>108</v>
      </c>
      <c r="D307" s="336">
        <v>0.26200000000000001</v>
      </c>
      <c r="E307" s="336"/>
      <c r="F307" s="336"/>
      <c r="G307" s="336"/>
      <c r="H307" s="336"/>
      <c r="I307" s="336"/>
      <c r="J307" s="336"/>
      <c r="K307" s="336"/>
      <c r="L307" s="336"/>
    </row>
    <row r="308" spans="2:12" hidden="1" x14ac:dyDescent="0.2">
      <c r="B308" s="336" t="s">
        <v>180</v>
      </c>
      <c r="C308" s="336"/>
      <c r="D308" s="336"/>
      <c r="E308" s="336"/>
      <c r="F308" s="336"/>
      <c r="G308" s="336"/>
      <c r="H308" s="336"/>
      <c r="I308" s="336"/>
      <c r="J308" s="336"/>
      <c r="K308" s="336"/>
      <c r="L308" s="336"/>
    </row>
    <row r="309" spans="2:12" hidden="1" x14ac:dyDescent="0.2">
      <c r="B309" s="336" t="s">
        <v>181</v>
      </c>
      <c r="C309" s="336"/>
      <c r="D309" s="336"/>
      <c r="E309" s="336"/>
      <c r="F309" s="336"/>
      <c r="G309" s="336"/>
      <c r="H309" s="336"/>
      <c r="I309" s="336"/>
      <c r="J309" s="336"/>
      <c r="K309" s="336"/>
      <c r="L309" s="336"/>
    </row>
    <row r="310" spans="2:12" hidden="1" x14ac:dyDescent="0.2">
      <c r="B310" s="336" t="s">
        <v>182</v>
      </c>
      <c r="C310" s="336" t="s">
        <v>85</v>
      </c>
      <c r="D310" s="336">
        <v>0.40100000000000002</v>
      </c>
      <c r="E310" s="336"/>
      <c r="F310" s="336"/>
      <c r="G310" s="336"/>
      <c r="H310" s="336"/>
      <c r="I310" s="336"/>
      <c r="J310" s="336"/>
      <c r="K310" s="336"/>
      <c r="L310" s="336"/>
    </row>
    <row r="311" spans="2:12" hidden="1" x14ac:dyDescent="0.2">
      <c r="B311" s="336" t="s">
        <v>183</v>
      </c>
      <c r="C311" s="336" t="s">
        <v>86</v>
      </c>
      <c r="D311" s="336">
        <v>0.48199999999999998</v>
      </c>
      <c r="E311" s="336"/>
      <c r="F311" s="336"/>
      <c r="G311" s="336"/>
      <c r="H311" s="336"/>
      <c r="I311" s="336"/>
      <c r="J311" s="336"/>
      <c r="K311" s="336"/>
      <c r="L311" s="336"/>
    </row>
    <row r="312" spans="2:12" hidden="1" x14ac:dyDescent="0.2">
      <c r="B312" s="336" t="s">
        <v>184</v>
      </c>
      <c r="C312" s="336"/>
      <c r="D312" s="336"/>
      <c r="E312" s="336"/>
      <c r="F312" s="336"/>
      <c r="G312" s="336"/>
      <c r="H312" s="336"/>
      <c r="I312" s="336"/>
      <c r="J312" s="336"/>
      <c r="K312" s="336"/>
      <c r="L312" s="336"/>
    </row>
    <row r="313" spans="2:12" hidden="1" x14ac:dyDescent="0.2">
      <c r="B313" s="336" t="s">
        <v>185</v>
      </c>
      <c r="C313" s="336"/>
      <c r="D313" s="336"/>
      <c r="E313" s="336"/>
      <c r="F313" s="336"/>
      <c r="G313" s="336"/>
      <c r="H313" s="336"/>
      <c r="I313" s="336"/>
      <c r="J313" s="336"/>
      <c r="K313" s="336"/>
      <c r="L313" s="336"/>
    </row>
    <row r="314" spans="2:12" hidden="1" x14ac:dyDescent="0.2">
      <c r="B314" s="336" t="s">
        <v>298</v>
      </c>
      <c r="C314" s="336" t="s">
        <v>87</v>
      </c>
      <c r="D314" s="336">
        <v>0.5</v>
      </c>
      <c r="E314" s="336" t="s">
        <v>107</v>
      </c>
      <c r="F314" s="336">
        <v>0.5</v>
      </c>
      <c r="G314" s="336"/>
      <c r="H314" s="336"/>
      <c r="I314" s="336"/>
      <c r="J314" s="336"/>
      <c r="K314" s="336"/>
      <c r="L314" s="336"/>
    </row>
    <row r="315" spans="2:12" hidden="1" x14ac:dyDescent="0.2">
      <c r="B315" s="336" t="s">
        <v>186</v>
      </c>
      <c r="C315" s="336" t="s">
        <v>85</v>
      </c>
      <c r="D315" s="336">
        <v>0.39</v>
      </c>
      <c r="E315" s="336" t="s">
        <v>459</v>
      </c>
      <c r="F315" s="336">
        <v>0.61</v>
      </c>
      <c r="G315" s="336"/>
      <c r="H315" s="336"/>
      <c r="I315" s="336"/>
      <c r="J315" s="336"/>
      <c r="K315" s="336"/>
      <c r="L315" s="336"/>
    </row>
    <row r="316" spans="2:12" hidden="1" x14ac:dyDescent="0.2">
      <c r="B316" s="336" t="s">
        <v>187</v>
      </c>
      <c r="C316" s="336" t="s">
        <v>85</v>
      </c>
      <c r="D316" s="336">
        <v>0.46</v>
      </c>
      <c r="E316" s="336" t="s">
        <v>459</v>
      </c>
      <c r="F316" s="336">
        <v>0.54</v>
      </c>
      <c r="G316" s="336"/>
      <c r="H316" s="336"/>
      <c r="I316" s="336"/>
      <c r="J316" s="336"/>
      <c r="K316" s="336"/>
      <c r="L316" s="336"/>
    </row>
    <row r="317" spans="2:12" hidden="1" x14ac:dyDescent="0.2">
      <c r="B317" s="336" t="s">
        <v>297</v>
      </c>
      <c r="C317" s="336" t="s">
        <v>460</v>
      </c>
      <c r="D317" s="336">
        <v>0.56000000000000005</v>
      </c>
      <c r="E317" s="336"/>
      <c r="F317" s="336"/>
      <c r="G317" s="336"/>
      <c r="H317" s="336"/>
      <c r="I317" s="336"/>
      <c r="J317" s="336"/>
      <c r="K317" s="336"/>
      <c r="L317" s="336"/>
    </row>
    <row r="318" spans="2:12" hidden="1" x14ac:dyDescent="0.2">
      <c r="B318" s="336" t="s">
        <v>516</v>
      </c>
      <c r="C318" s="336"/>
      <c r="D318" s="336"/>
      <c r="E318" s="336"/>
      <c r="F318" s="336"/>
      <c r="G318" s="336"/>
      <c r="H318" s="336"/>
      <c r="I318" s="336"/>
      <c r="J318" s="336"/>
      <c r="K318" s="336"/>
      <c r="L318" s="336"/>
    </row>
    <row r="319" spans="2:12" hidden="1" x14ac:dyDescent="0.2">
      <c r="B319" s="336" t="s">
        <v>517</v>
      </c>
      <c r="C319" s="336"/>
      <c r="D319" s="336"/>
      <c r="E319" s="336"/>
      <c r="F319" s="336"/>
      <c r="G319" s="336"/>
      <c r="H319" s="336"/>
      <c r="I319" s="336"/>
      <c r="J319" s="336"/>
      <c r="K319" s="336"/>
      <c r="L319" s="336"/>
    </row>
    <row r="320" spans="2:12" hidden="1" x14ac:dyDescent="0.2">
      <c r="B320" s="336" t="s">
        <v>518</v>
      </c>
      <c r="C320" s="336" t="s">
        <v>88</v>
      </c>
      <c r="D320" s="336">
        <v>0.05</v>
      </c>
      <c r="E320" s="336" t="s">
        <v>108</v>
      </c>
      <c r="F320" s="336">
        <v>0.95</v>
      </c>
      <c r="G320" s="336"/>
      <c r="H320" s="336"/>
      <c r="I320" s="336"/>
      <c r="J320" s="336"/>
      <c r="K320" s="336"/>
      <c r="L320" s="336"/>
    </row>
    <row r="321" x14ac:dyDescent="0.2"/>
    <row r="322" x14ac:dyDescent="0.2"/>
    <row r="323" x14ac:dyDescent="0.2"/>
  </sheetData>
  <sheetProtection selectLockedCells="1"/>
  <mergeCells count="34">
    <mergeCell ref="I168:I169"/>
    <mergeCell ref="D168:D169"/>
    <mergeCell ref="F168:F169"/>
    <mergeCell ref="E168:E169"/>
    <mergeCell ref="H168:H169"/>
    <mergeCell ref="G168:G169"/>
    <mergeCell ref="B168:B170"/>
    <mergeCell ref="C168:C170"/>
    <mergeCell ref="D153:H153"/>
    <mergeCell ref="D152:H152"/>
    <mergeCell ref="D13:F13"/>
    <mergeCell ref="B28:F28"/>
    <mergeCell ref="B161:F161"/>
    <mergeCell ref="G56:H56"/>
    <mergeCell ref="G127:H127"/>
    <mergeCell ref="F128:F129"/>
    <mergeCell ref="B94:B96"/>
    <mergeCell ref="B16:H16"/>
    <mergeCell ref="C204:C222"/>
    <mergeCell ref="C225:C234"/>
    <mergeCell ref="B43:I43"/>
    <mergeCell ref="C94:C96"/>
    <mergeCell ref="C127:C130"/>
    <mergeCell ref="D127:D130"/>
    <mergeCell ref="E127:E130"/>
    <mergeCell ref="D150:H150"/>
    <mergeCell ref="D151:H151"/>
    <mergeCell ref="D158:H158"/>
    <mergeCell ref="D157:H157"/>
    <mergeCell ref="D156:H156"/>
    <mergeCell ref="D155:H155"/>
    <mergeCell ref="D154:H154"/>
    <mergeCell ref="D56:E56"/>
    <mergeCell ref="E192:F192"/>
  </mergeCells>
  <phoneticPr fontId="8" type="noConversion"/>
  <conditionalFormatting sqref="D13">
    <cfRule type="expression" dxfId="9398" priority="5" stopIfTrue="1">
      <formula>NOT(ISERROR(SEARCH("ESCOLHA",D13)))</formula>
    </cfRule>
  </conditionalFormatting>
  <conditionalFormatting sqref="D24:E24">
    <cfRule type="containsText" dxfId="9397" priority="3" stopIfTrue="1" operator="containsText" text="ESCOLHA">
      <formula>NOT(ISERROR(SEARCH("ESCOLHA",D24)))</formula>
    </cfRule>
  </conditionalFormatting>
  <dataValidations count="5">
    <dataValidation type="decimal" operator="greaterThanOrEqual" allowBlank="1" showInputMessage="1" showErrorMessage="1" errorTitle="Unidades Novas" error="A carga injetada em unidades novas deve ser maior que sua capacidade, para estimar as emissões do processo de recarga._x000a_Para unidades pré-carregadas pelo fabricante (já compradas com carga), não devem ser inclusos dados." sqref="D60:D74">
      <formula1>E60</formula1>
    </dataValidation>
    <dataValidation type="decimal" operator="lessThanOrEqual" allowBlank="1" showInputMessage="1" showErrorMessage="1" errorTitle="Unidades Novas" error="A carga injetada em unidades novas deve ser igual ou maior que sua capacidade, para estimar as emissões do processo de recarga._x000a_Unidades pré-carregadas pelo fabricante (já compradas com carga), não devem ser inclusas aqui." sqref="E60:E74">
      <formula1>D60</formula1>
    </dataValidation>
    <dataValidation type="list" allowBlank="1" showInputMessage="1" showErrorMessage="1" sqref="D132:D146 B60:B74 B98:B112">
      <formula1>lista_gases_completa</formula1>
    </dataValidation>
    <dataValidation type="list" allowBlank="1" showInputMessage="1" showErrorMessage="1" sqref="C172:C186">
      <formula1>$B$223:$B$224</formula1>
    </dataValidation>
    <dataValidation type="list" allowBlank="1" showInputMessage="1" showErrorMessage="1" sqref="C132:C146">
      <formula1>$B$150:$B$158</formula1>
    </dataValidation>
  </dataValidations>
  <hyperlinks>
    <hyperlink ref="B28" r:id="rId1" display="     Recomenda-se que fabricantes utilizem a ferramenta específica disponível em http://www.ghgprotocol.org/calculation-tools/all-tools"/>
  </hyperlinks>
  <pageMargins left="0.25" right="0.25" top="0.25" bottom="0.5" header="0.5" footer="0.25"/>
  <pageSetup orientation="portrait" r:id="rId2"/>
  <headerFooter alignWithMargins="0">
    <oddFooter>&amp;L&amp;"Arial,Italic"&amp;9EPA Climate Leaders Simplified GHG Emissions Calculator (Direct 3.0)&amp;R&amp;"Arial,Italic"&amp;9&amp;P of &amp;N</oddFooter>
  </headerFooter>
  <ignoredErrors>
    <ignoredError sqref="G171:H171 B97 G183:G186 C171 G173:G182 H173:H186 I133 I135:I146" unlockedFormula="1"/>
  </ignoredError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113"/>
  <sheetViews>
    <sheetView showGridLines="0" zoomScale="90" zoomScaleNormal="90" workbookViewId="0">
      <selection activeCell="F11" sqref="F11"/>
    </sheetView>
  </sheetViews>
  <sheetFormatPr defaultColWidth="0" defaultRowHeight="12.75" zeroHeight="1" x14ac:dyDescent="0.2"/>
  <cols>
    <col min="1" max="1" width="10.7109375" style="195" customWidth="1"/>
    <col min="2" max="2" width="17.7109375" style="195" customWidth="1"/>
    <col min="3" max="3" width="37.5703125" style="195" customWidth="1"/>
    <col min="4" max="4" width="34.140625" style="195" customWidth="1"/>
    <col min="5" max="5" width="26.7109375" style="195" customWidth="1"/>
    <col min="6" max="6" width="20.140625" style="195" customWidth="1"/>
    <col min="7" max="7" width="12.85546875" style="195" customWidth="1"/>
    <col min="8" max="8" width="19" style="195" customWidth="1"/>
    <col min="9" max="9" width="23.85546875" style="195" customWidth="1"/>
    <col min="10" max="10" width="9" style="195" customWidth="1"/>
    <col min="11" max="11" width="6.7109375" style="195" customWidth="1"/>
    <col min="12" max="12" width="32.85546875" style="632" hidden="1" customWidth="1"/>
    <col min="13" max="13" width="7.42578125" style="195" hidden="1" customWidth="1"/>
    <col min="14" max="14" width="27.28515625" style="195" hidden="1" customWidth="1"/>
    <col min="15" max="16384" width="9.140625" style="195" hidden="1"/>
  </cols>
  <sheetData>
    <row r="1" spans="1:14" ht="15" customHeight="1" x14ac:dyDescent="0.25">
      <c r="A1" s="631"/>
      <c r="B1" s="631"/>
      <c r="C1" s="631"/>
      <c r="D1" s="631"/>
      <c r="E1" s="631"/>
      <c r="F1" s="631"/>
      <c r="G1" s="631"/>
      <c r="H1" s="631"/>
    </row>
    <row r="2" spans="1:14" ht="15" customHeight="1" x14ac:dyDescent="0.25">
      <c r="A2" s="631"/>
      <c r="B2" s="631"/>
      <c r="C2" s="631"/>
      <c r="D2" s="631"/>
      <c r="E2" s="631"/>
      <c r="F2" s="631"/>
      <c r="G2" s="631"/>
      <c r="H2" s="631"/>
    </row>
    <row r="3" spans="1:14" ht="15" customHeight="1" x14ac:dyDescent="0.25">
      <c r="A3" s="631"/>
      <c r="B3" s="631"/>
      <c r="C3" s="631"/>
      <c r="D3" s="631"/>
      <c r="E3" s="631"/>
      <c r="F3" s="631"/>
      <c r="G3" s="631"/>
      <c r="H3" s="631"/>
    </row>
    <row r="4" spans="1:14" ht="15" customHeight="1" x14ac:dyDescent="0.25">
      <c r="A4" s="631"/>
      <c r="B4" s="631"/>
      <c r="C4" s="631"/>
      <c r="D4" s="631"/>
      <c r="E4" s="631"/>
      <c r="F4" s="631"/>
      <c r="G4" s="631"/>
      <c r="H4" s="631"/>
    </row>
    <row r="5" spans="1:14" ht="15" customHeight="1" x14ac:dyDescent="0.25">
      <c r="A5" s="631"/>
      <c r="B5" s="631"/>
      <c r="C5" s="631"/>
      <c r="D5" s="631"/>
      <c r="E5" s="631"/>
      <c r="F5" s="631"/>
      <c r="G5" s="631"/>
      <c r="H5" s="631"/>
    </row>
    <row r="6" spans="1:14" ht="15" customHeight="1" x14ac:dyDescent="0.25">
      <c r="A6" s="631"/>
      <c r="B6" s="631"/>
      <c r="C6" s="631"/>
      <c r="D6" s="631"/>
      <c r="E6" s="631"/>
      <c r="F6" s="631"/>
      <c r="G6" s="631"/>
      <c r="H6" s="631"/>
    </row>
    <row r="7" spans="1:14" ht="15" customHeight="1" x14ac:dyDescent="0.25">
      <c r="A7" s="631"/>
      <c r="C7" s="631"/>
      <c r="D7" s="631"/>
      <c r="E7" s="631"/>
      <c r="F7" s="631"/>
      <c r="G7" s="631"/>
      <c r="H7" s="631"/>
    </row>
    <row r="8" spans="1:14" ht="15" customHeight="1" x14ac:dyDescent="0.2">
      <c r="A8" s="633"/>
      <c r="B8" s="633"/>
      <c r="C8" s="415"/>
      <c r="D8" s="415"/>
      <c r="E8" s="415"/>
      <c r="F8" s="418"/>
      <c r="G8" s="418"/>
      <c r="H8" s="418"/>
      <c r="I8" s="415"/>
      <c r="J8" s="415"/>
      <c r="K8" s="415"/>
    </row>
    <row r="9" spans="1:14" ht="22.5" customHeight="1" x14ac:dyDescent="0.2">
      <c r="A9" s="633"/>
      <c r="B9" s="633"/>
      <c r="C9" s="415"/>
      <c r="D9" s="415"/>
      <c r="E9" s="415"/>
      <c r="F9" s="418"/>
      <c r="G9" s="418"/>
      <c r="H9" s="418"/>
      <c r="I9" s="415"/>
      <c r="J9" s="415"/>
      <c r="K9" s="415"/>
    </row>
    <row r="10" spans="1:14" ht="25.5" customHeight="1" x14ac:dyDescent="0.2">
      <c r="A10" s="415"/>
      <c r="B10" s="654" t="s">
        <v>256</v>
      </c>
      <c r="C10" s="415"/>
      <c r="D10" s="635"/>
      <c r="E10" s="415"/>
      <c r="F10" s="415"/>
      <c r="G10" s="415"/>
      <c r="H10" s="415"/>
      <c r="I10" s="415"/>
      <c r="J10" s="415"/>
      <c r="K10" s="415"/>
    </row>
    <row r="11" spans="1:14" ht="15" customHeight="1" x14ac:dyDescent="0.2">
      <c r="A11" s="415"/>
      <c r="B11" s="634"/>
      <c r="C11" s="415"/>
      <c r="D11" s="635"/>
      <c r="E11" s="636"/>
      <c r="M11" s="637"/>
    </row>
    <row r="12" spans="1:14" ht="15" customHeight="1" x14ac:dyDescent="0.2">
      <c r="A12" s="415"/>
      <c r="B12" s="415"/>
      <c r="C12" s="655" t="s">
        <v>142</v>
      </c>
      <c r="D12" s="1306">
        <f>IF(OR(Ano="Selecione",Ano=0),"Escolha o ano do inventário na aba 'Introdução'",Ano)</f>
        <v>2030</v>
      </c>
      <c r="E12" s="1306"/>
      <c r="F12" s="639"/>
      <c r="L12" s="640" t="str">
        <f>'Fatores de Emissão'!C234</f>
        <v>Gás</v>
      </c>
      <c r="M12" s="641" t="str">
        <f>'Fatores de Emissão'!E234</f>
        <v>GWP</v>
      </c>
      <c r="N12" s="641" t="s">
        <v>5</v>
      </c>
    </row>
    <row r="13" spans="1:14" ht="15" customHeight="1" x14ac:dyDescent="0.2">
      <c r="A13" s="415"/>
      <c r="B13" s="415"/>
      <c r="C13" s="638"/>
      <c r="D13" s="642"/>
      <c r="E13" s="636"/>
      <c r="F13" s="415"/>
      <c r="G13" s="415"/>
      <c r="L13" s="643" t="str">
        <f>'Fatores de Emissão'!C235</f>
        <v>Dióxido de carbono (CO2)</v>
      </c>
      <c r="M13" s="644">
        <f>'Fatores de Emissão'!E235</f>
        <v>1</v>
      </c>
      <c r="N13" s="645">
        <f t="shared" ref="N13:N24" si="0">SUMIF($E$31:$E$50,L13,$F$31:$F$50)</f>
        <v>0</v>
      </c>
    </row>
    <row r="14" spans="1:14" ht="15" customHeight="1" x14ac:dyDescent="0.2">
      <c r="A14" s="415"/>
      <c r="B14" s="469" t="s">
        <v>4</v>
      </c>
      <c r="C14" s="415"/>
      <c r="D14" s="415"/>
      <c r="E14" s="415"/>
      <c r="F14" s="415"/>
      <c r="G14" s="415"/>
      <c r="L14" s="643" t="str">
        <f>'Fatores de Emissão'!C236</f>
        <v>Metano (CH4)</v>
      </c>
      <c r="M14" s="644">
        <f>'Fatores de Emissão'!E236</f>
        <v>25</v>
      </c>
      <c r="N14" s="645">
        <f t="shared" si="0"/>
        <v>0</v>
      </c>
    </row>
    <row r="15" spans="1:14" s="237" customFormat="1" ht="15" customHeight="1" x14ac:dyDescent="0.25">
      <c r="A15" s="422"/>
      <c r="B15" s="1307" t="s">
        <v>1940</v>
      </c>
      <c r="C15" s="1307"/>
      <c r="D15" s="1307"/>
      <c r="E15" s="1307"/>
      <c r="F15" s="1307"/>
      <c r="G15" s="1307"/>
      <c r="H15" s="1307"/>
      <c r="I15" s="656"/>
      <c r="J15" s="422"/>
      <c r="K15" s="422"/>
      <c r="L15" s="657" t="str">
        <f>'Fatores de Emissão'!C237</f>
        <v>Óxido nitroso (N2O)</v>
      </c>
      <c r="M15" s="658">
        <f>'Fatores de Emissão'!E237</f>
        <v>298</v>
      </c>
      <c r="N15" s="659">
        <f t="shared" si="0"/>
        <v>0</v>
      </c>
    </row>
    <row r="16" spans="1:14" s="237" customFormat="1" ht="15" customHeight="1" x14ac:dyDescent="0.25">
      <c r="A16" s="422"/>
      <c r="B16" s="1312" t="s">
        <v>1941</v>
      </c>
      <c r="C16" s="1312"/>
      <c r="D16" s="1312"/>
      <c r="E16" s="1312"/>
      <c r="F16" s="1312"/>
      <c r="G16" s="1312"/>
      <c r="H16" s="1312"/>
      <c r="I16" s="660"/>
      <c r="J16" s="422"/>
      <c r="K16" s="422"/>
      <c r="L16" s="657" t="str">
        <f>'Fatores de Emissão'!C238</f>
        <v>HFC-23</v>
      </c>
      <c r="M16" s="658">
        <f>'Fatores de Emissão'!E238</f>
        <v>14800</v>
      </c>
      <c r="N16" s="659">
        <f t="shared" si="0"/>
        <v>0</v>
      </c>
    </row>
    <row r="17" spans="1:14" s="237" customFormat="1" ht="15" customHeight="1" x14ac:dyDescent="0.25">
      <c r="A17" s="422"/>
      <c r="B17" s="1312"/>
      <c r="C17" s="1312"/>
      <c r="D17" s="1312"/>
      <c r="E17" s="1312"/>
      <c r="F17" s="1312"/>
      <c r="G17" s="1312"/>
      <c r="H17" s="1312"/>
      <c r="I17" s="660"/>
      <c r="J17" s="422"/>
      <c r="K17" s="422"/>
      <c r="L17" s="657" t="str">
        <f>'Fatores de Emissão'!C239</f>
        <v>HFC-32</v>
      </c>
      <c r="M17" s="658">
        <f>'Fatores de Emissão'!E239</f>
        <v>675</v>
      </c>
      <c r="N17" s="659">
        <f t="shared" si="0"/>
        <v>0</v>
      </c>
    </row>
    <row r="18" spans="1:14" s="237" customFormat="1" ht="18" customHeight="1" x14ac:dyDescent="0.25">
      <c r="A18" s="422"/>
      <c r="B18" s="1312"/>
      <c r="C18" s="1312"/>
      <c r="D18" s="1312"/>
      <c r="E18" s="1312"/>
      <c r="F18" s="1312"/>
      <c r="G18" s="1312"/>
      <c r="H18" s="1312"/>
      <c r="I18" s="660"/>
      <c r="J18" s="422"/>
      <c r="K18" s="422"/>
      <c r="L18" s="657" t="str">
        <f>'Fatores de Emissão'!C240</f>
        <v>HFC-41</v>
      </c>
      <c r="M18" s="658">
        <f>'Fatores de Emissão'!E240</f>
        <v>92</v>
      </c>
      <c r="N18" s="659">
        <f t="shared" si="0"/>
        <v>0</v>
      </c>
    </row>
    <row r="19" spans="1:14" s="237" customFormat="1" ht="15" customHeight="1" x14ac:dyDescent="0.25">
      <c r="A19" s="422"/>
      <c r="B19" s="1312" t="s">
        <v>1942</v>
      </c>
      <c r="C19" s="1312"/>
      <c r="D19" s="1312"/>
      <c r="E19" s="1312"/>
      <c r="F19" s="1312"/>
      <c r="G19" s="1312"/>
      <c r="H19" s="1312"/>
      <c r="I19" s="660"/>
      <c r="J19" s="422"/>
      <c r="K19" s="422"/>
      <c r="L19" s="657" t="str">
        <f>'Fatores de Emissão'!C241</f>
        <v>HFC-125</v>
      </c>
      <c r="M19" s="658">
        <f>'Fatores de Emissão'!E241</f>
        <v>3500</v>
      </c>
      <c r="N19" s="659">
        <f t="shared" si="0"/>
        <v>0</v>
      </c>
    </row>
    <row r="20" spans="1:14" s="237" customFormat="1" ht="15" customHeight="1" x14ac:dyDescent="0.25">
      <c r="A20" s="422"/>
      <c r="B20" s="1312"/>
      <c r="C20" s="1312"/>
      <c r="D20" s="1312"/>
      <c r="E20" s="1312"/>
      <c r="F20" s="1312"/>
      <c r="G20" s="1312"/>
      <c r="H20" s="1312"/>
      <c r="I20" s="660"/>
      <c r="J20" s="422"/>
      <c r="K20" s="422"/>
      <c r="L20" s="657" t="str">
        <f>'Fatores de Emissão'!C242</f>
        <v>HFC-134</v>
      </c>
      <c r="M20" s="658">
        <f>'Fatores de Emissão'!E242</f>
        <v>1100</v>
      </c>
      <c r="N20" s="659">
        <f t="shared" si="0"/>
        <v>0</v>
      </c>
    </row>
    <row r="21" spans="1:14" s="237" customFormat="1" ht="15" customHeight="1" x14ac:dyDescent="0.25">
      <c r="A21" s="422"/>
      <c r="B21" s="1312" t="s">
        <v>1943</v>
      </c>
      <c r="C21" s="1312"/>
      <c r="D21" s="1312"/>
      <c r="E21" s="1312"/>
      <c r="F21" s="1312"/>
      <c r="G21" s="1312"/>
      <c r="H21" s="1312"/>
      <c r="I21" s="660"/>
      <c r="J21" s="422"/>
      <c r="K21" s="422"/>
      <c r="L21" s="657" t="str">
        <f>'Fatores de Emissão'!C243</f>
        <v>HFC-134a</v>
      </c>
      <c r="M21" s="658">
        <f>'Fatores de Emissão'!E243</f>
        <v>1430</v>
      </c>
      <c r="N21" s="659">
        <f t="shared" si="0"/>
        <v>0</v>
      </c>
    </row>
    <row r="22" spans="1:14" s="237" customFormat="1" ht="15" customHeight="1" x14ac:dyDescent="0.25">
      <c r="A22" s="449"/>
      <c r="B22" s="1312"/>
      <c r="C22" s="1312"/>
      <c r="D22" s="1312"/>
      <c r="E22" s="1312"/>
      <c r="F22" s="1312"/>
      <c r="G22" s="1312"/>
      <c r="H22" s="1312"/>
      <c r="I22" s="660"/>
      <c r="J22" s="449"/>
      <c r="K22" s="449"/>
      <c r="L22" s="657" t="str">
        <f>'Fatores de Emissão'!C244</f>
        <v>HFC-143</v>
      </c>
      <c r="M22" s="658">
        <f>'Fatores de Emissão'!E244</f>
        <v>353</v>
      </c>
      <c r="N22" s="659">
        <f t="shared" si="0"/>
        <v>0</v>
      </c>
    </row>
    <row r="23" spans="1:14" s="237" customFormat="1" ht="15" customHeight="1" x14ac:dyDescent="0.25">
      <c r="A23" s="449"/>
      <c r="B23" s="1312" t="s">
        <v>1944</v>
      </c>
      <c r="C23" s="1312"/>
      <c r="D23" s="1312"/>
      <c r="E23" s="1312"/>
      <c r="F23" s="1312"/>
      <c r="G23" s="1312"/>
      <c r="H23" s="1312"/>
      <c r="I23" s="660"/>
      <c r="J23" s="449"/>
      <c r="K23" s="449"/>
      <c r="L23" s="657" t="str">
        <f>'Fatores de Emissão'!C245</f>
        <v>HFC-143a</v>
      </c>
      <c r="M23" s="658">
        <f>'Fatores de Emissão'!E245</f>
        <v>4470</v>
      </c>
      <c r="N23" s="659">
        <f t="shared" si="0"/>
        <v>0</v>
      </c>
    </row>
    <row r="24" spans="1:14" s="237" customFormat="1" ht="15" customHeight="1" x14ac:dyDescent="0.25">
      <c r="A24" s="449"/>
      <c r="B24" s="1312"/>
      <c r="C24" s="1312"/>
      <c r="D24" s="1312"/>
      <c r="E24" s="1312"/>
      <c r="F24" s="1312"/>
      <c r="G24" s="1312"/>
      <c r="H24" s="1312"/>
      <c r="I24" s="660"/>
      <c r="J24" s="449"/>
      <c r="K24" s="449"/>
      <c r="L24" s="657" t="str">
        <f>'Fatores de Emissão'!C246</f>
        <v>HFC-152</v>
      </c>
      <c r="M24" s="658">
        <f>'Fatores de Emissão'!E246</f>
        <v>53</v>
      </c>
      <c r="N24" s="659">
        <f t="shared" si="0"/>
        <v>0</v>
      </c>
    </row>
    <row r="25" spans="1:14" s="237" customFormat="1" ht="15" customHeight="1" x14ac:dyDescent="0.25">
      <c r="A25" s="449"/>
      <c r="B25" s="449" t="s">
        <v>2201</v>
      </c>
      <c r="C25" s="661"/>
      <c r="D25" s="661"/>
      <c r="E25" s="661"/>
      <c r="F25" s="661"/>
      <c r="G25" s="661"/>
      <c r="H25" s="661"/>
      <c r="I25" s="660"/>
      <c r="J25" s="449"/>
      <c r="K25" s="449"/>
      <c r="L25" s="657"/>
      <c r="M25" s="658"/>
      <c r="N25" s="659"/>
    </row>
    <row r="26" spans="1:14" s="237" customFormat="1" ht="15" customHeight="1" x14ac:dyDescent="0.25">
      <c r="A26" s="449"/>
      <c r="B26" s="206" t="s">
        <v>1945</v>
      </c>
      <c r="C26" s="661"/>
      <c r="D26" s="661"/>
      <c r="E26" s="661"/>
      <c r="F26" s="661"/>
      <c r="G26" s="661"/>
      <c r="H26" s="661"/>
      <c r="I26" s="449"/>
      <c r="J26" s="449"/>
      <c r="L26" s="657" t="str">
        <f>'Fatores de Emissão'!C247</f>
        <v>HFC-152a</v>
      </c>
      <c r="M26" s="658">
        <f>'Fatores de Emissão'!E247</f>
        <v>124</v>
      </c>
      <c r="N26" s="659">
        <f>SUMIF($E$31:$E$50,L26,$F$31:$F$50)</f>
        <v>0</v>
      </c>
    </row>
    <row r="27" spans="1:14" s="237" customFormat="1" ht="15" customHeight="1" x14ac:dyDescent="0.25">
      <c r="A27" s="449"/>
      <c r="B27" s="206"/>
      <c r="C27" s="661"/>
      <c r="D27" s="661"/>
      <c r="E27" s="661"/>
      <c r="F27" s="661"/>
      <c r="G27" s="661"/>
      <c r="H27" s="661"/>
      <c r="I27" s="449"/>
      <c r="J27" s="449"/>
      <c r="L27" s="657"/>
      <c r="M27" s="658"/>
      <c r="N27" s="659"/>
    </row>
    <row r="28" spans="1:14" s="237" customFormat="1" ht="15" customHeight="1" x14ac:dyDescent="0.25">
      <c r="A28" s="449"/>
      <c r="B28" s="468" t="s">
        <v>209</v>
      </c>
      <c r="C28" s="449"/>
      <c r="D28" s="449"/>
      <c r="E28" s="449"/>
      <c r="F28" s="449"/>
      <c r="G28" s="449"/>
      <c r="H28" s="449"/>
      <c r="I28" s="449"/>
      <c r="J28" s="449"/>
      <c r="L28" s="657" t="str">
        <f>'Fatores de Emissão'!C248</f>
        <v>HFC-161</v>
      </c>
      <c r="M28" s="658">
        <f>'Fatores de Emissão'!E248</f>
        <v>12</v>
      </c>
      <c r="N28" s="659">
        <f t="shared" ref="N28:N48" si="1">SUMIF($E$31:$E$50,L28,$F$31:$F$50)</f>
        <v>0</v>
      </c>
    </row>
    <row r="29" spans="1:14" s="663" customFormat="1" ht="30" customHeight="1" x14ac:dyDescent="0.25">
      <c r="A29" s="536"/>
      <c r="B29" s="662" t="s">
        <v>1842</v>
      </c>
      <c r="C29" s="662" t="s">
        <v>133</v>
      </c>
      <c r="D29" s="662" t="s">
        <v>2</v>
      </c>
      <c r="E29" s="426" t="s">
        <v>206</v>
      </c>
      <c r="F29" s="426" t="s">
        <v>430</v>
      </c>
      <c r="G29" s="426" t="s">
        <v>110</v>
      </c>
      <c r="H29" s="426" t="s">
        <v>1425</v>
      </c>
      <c r="I29" s="426" t="s">
        <v>1939</v>
      </c>
      <c r="J29" s="536"/>
      <c r="L29" s="657" t="str">
        <f>'Fatores de Emissão'!C249</f>
        <v>HFC-227ea</v>
      </c>
      <c r="M29" s="658">
        <f>'Fatores de Emissão'!E249</f>
        <v>3220</v>
      </c>
      <c r="N29" s="659">
        <f t="shared" si="1"/>
        <v>0</v>
      </c>
    </row>
    <row r="30" spans="1:14" s="237" customFormat="1" ht="15" customHeight="1" x14ac:dyDescent="0.25">
      <c r="A30" s="664" t="s">
        <v>606</v>
      </c>
      <c r="B30" s="665" t="s">
        <v>1937</v>
      </c>
      <c r="C30" s="665" t="s">
        <v>1938</v>
      </c>
      <c r="D30" s="665" t="s">
        <v>208</v>
      </c>
      <c r="E30" s="666" t="s">
        <v>85</v>
      </c>
      <c r="F30" s="667">
        <v>7.5</v>
      </c>
      <c r="G30" s="668">
        <f>IF(E30="","",VLOOKUP(E30,'Fatores de Emissão'!$C$235:$E$268,3,FALSE))</f>
        <v>14800</v>
      </c>
      <c r="H30" s="669">
        <f>$F30*$G30</f>
        <v>111000</v>
      </c>
      <c r="I30" s="670"/>
      <c r="L30" s="657" t="str">
        <f>'Fatores de Emissão'!C250</f>
        <v>HFC-236cb</v>
      </c>
      <c r="M30" s="658">
        <f>'Fatores de Emissão'!E250</f>
        <v>1340</v>
      </c>
      <c r="N30" s="659">
        <f t="shared" si="1"/>
        <v>0</v>
      </c>
    </row>
    <row r="31" spans="1:14" s="237" customFormat="1" ht="15" customHeight="1" x14ac:dyDescent="0.25">
      <c r="A31" s="449"/>
      <c r="B31" s="607"/>
      <c r="C31" s="607"/>
      <c r="D31" s="607"/>
      <c r="E31" s="671"/>
      <c r="F31" s="672"/>
      <c r="G31" s="673" t="str">
        <f>IF(E31="","",VLOOKUP(E31,'Fatores de Emissão'!$C$235:$E$268,3,FALSE))</f>
        <v/>
      </c>
      <c r="H31" s="674">
        <f t="shared" ref="H31:H50" si="2">IF(ISERROR($F31*$G31),0,$F31*$G31)</f>
        <v>0</v>
      </c>
      <c r="I31" s="675"/>
      <c r="J31" s="449"/>
      <c r="L31" s="657" t="str">
        <f>'Fatores de Emissão'!C251</f>
        <v>HFC-236ea</v>
      </c>
      <c r="M31" s="658">
        <f>'Fatores de Emissão'!E251</f>
        <v>1370</v>
      </c>
      <c r="N31" s="659">
        <f t="shared" si="1"/>
        <v>0</v>
      </c>
    </row>
    <row r="32" spans="1:14" s="237" customFormat="1" ht="15" customHeight="1" x14ac:dyDescent="0.25">
      <c r="A32" s="422"/>
      <c r="B32" s="607"/>
      <c r="C32" s="607"/>
      <c r="D32" s="607"/>
      <c r="E32" s="671"/>
      <c r="F32" s="672"/>
      <c r="G32" s="673" t="str">
        <f>IF(E32="","",VLOOKUP(E32,'Fatores de Emissão'!$C$235:$E$268,3,FALSE))</f>
        <v/>
      </c>
      <c r="H32" s="674">
        <f t="shared" si="2"/>
        <v>0</v>
      </c>
      <c r="I32" s="675"/>
      <c r="L32" s="657" t="str">
        <f>'Fatores de Emissão'!C252</f>
        <v>HFC-236fa</v>
      </c>
      <c r="M32" s="658">
        <f>'Fatores de Emissão'!E252</f>
        <v>9810</v>
      </c>
      <c r="N32" s="659">
        <f t="shared" si="1"/>
        <v>0</v>
      </c>
    </row>
    <row r="33" spans="1:14" s="237" customFormat="1" ht="15" customHeight="1" x14ac:dyDescent="0.25">
      <c r="A33" s="422"/>
      <c r="B33" s="607"/>
      <c r="C33" s="607"/>
      <c r="D33" s="607"/>
      <c r="E33" s="671"/>
      <c r="F33" s="672"/>
      <c r="G33" s="673" t="str">
        <f>IF(E33="","",VLOOKUP(E33,'Fatores de Emissão'!$C$235:$E$268,3,FALSE))</f>
        <v/>
      </c>
      <c r="H33" s="674">
        <f t="shared" si="2"/>
        <v>0</v>
      </c>
      <c r="I33" s="675"/>
      <c r="L33" s="657" t="str">
        <f>'Fatores de Emissão'!C253</f>
        <v>HFC-245ca</v>
      </c>
      <c r="M33" s="658">
        <f>'Fatores de Emissão'!E253</f>
        <v>693</v>
      </c>
      <c r="N33" s="659">
        <f t="shared" si="1"/>
        <v>0</v>
      </c>
    </row>
    <row r="34" spans="1:14" s="237" customFormat="1" ht="15" customHeight="1" x14ac:dyDescent="0.25">
      <c r="A34" s="422"/>
      <c r="B34" s="607"/>
      <c r="C34" s="607"/>
      <c r="D34" s="607"/>
      <c r="E34" s="671"/>
      <c r="F34" s="672"/>
      <c r="G34" s="673" t="str">
        <f>IF(E34="","",VLOOKUP(E34,'Fatores de Emissão'!$C$235:$E$268,3,FALSE))</f>
        <v/>
      </c>
      <c r="H34" s="674">
        <f t="shared" si="2"/>
        <v>0</v>
      </c>
      <c r="I34" s="675"/>
      <c r="L34" s="657" t="str">
        <f>'Fatores de Emissão'!C254</f>
        <v>HFC-245fa</v>
      </c>
      <c r="M34" s="658">
        <f>'Fatores de Emissão'!E254</f>
        <v>1030</v>
      </c>
      <c r="N34" s="659">
        <f t="shared" si="1"/>
        <v>0</v>
      </c>
    </row>
    <row r="35" spans="1:14" s="237" customFormat="1" ht="15" customHeight="1" x14ac:dyDescent="0.25">
      <c r="A35" s="422"/>
      <c r="B35" s="607"/>
      <c r="C35" s="607"/>
      <c r="D35" s="607"/>
      <c r="E35" s="671"/>
      <c r="F35" s="672"/>
      <c r="G35" s="673" t="str">
        <f>IF(E35="","",VLOOKUP(E35,'Fatores de Emissão'!$C$235:$E$268,3,FALSE))</f>
        <v/>
      </c>
      <c r="H35" s="674">
        <f t="shared" si="2"/>
        <v>0</v>
      </c>
      <c r="I35" s="675"/>
      <c r="L35" s="657" t="str">
        <f>'Fatores de Emissão'!C255</f>
        <v>HFC-365mfc</v>
      </c>
      <c r="M35" s="658">
        <f>'Fatores de Emissão'!E255</f>
        <v>794</v>
      </c>
      <c r="N35" s="659">
        <f t="shared" si="1"/>
        <v>0</v>
      </c>
    </row>
    <row r="36" spans="1:14" s="237" customFormat="1" ht="15" customHeight="1" x14ac:dyDescent="0.25">
      <c r="A36" s="422"/>
      <c r="B36" s="607"/>
      <c r="C36" s="607"/>
      <c r="D36" s="607"/>
      <c r="E36" s="671"/>
      <c r="F36" s="672"/>
      <c r="G36" s="673" t="str">
        <f>IF(E36="","",VLOOKUP(E36,'Fatores de Emissão'!$C$235:$E$268,3,FALSE))</f>
        <v/>
      </c>
      <c r="H36" s="674">
        <f t="shared" si="2"/>
        <v>0</v>
      </c>
      <c r="I36" s="675"/>
      <c r="L36" s="657" t="str">
        <f>'Fatores de Emissão'!C256</f>
        <v>HFC-43-10mee</v>
      </c>
      <c r="M36" s="658">
        <f>'Fatores de Emissão'!E256</f>
        <v>1640</v>
      </c>
      <c r="N36" s="659">
        <f t="shared" si="1"/>
        <v>0</v>
      </c>
    </row>
    <row r="37" spans="1:14" s="237" customFormat="1" ht="15" customHeight="1" x14ac:dyDescent="0.25">
      <c r="A37" s="422"/>
      <c r="B37" s="607"/>
      <c r="C37" s="607"/>
      <c r="D37" s="607"/>
      <c r="E37" s="671"/>
      <c r="F37" s="672"/>
      <c r="G37" s="673" t="str">
        <f>IF(E37="","",VLOOKUP(E37,'Fatores de Emissão'!$C$235:$E$268,3,FALSE))</f>
        <v/>
      </c>
      <c r="H37" s="674">
        <f t="shared" si="2"/>
        <v>0</v>
      </c>
      <c r="I37" s="675"/>
      <c r="L37" s="657" t="str">
        <f>'Fatores de Emissão'!C257</f>
        <v>Hexafluoreto de enxofre (SF6)</v>
      </c>
      <c r="M37" s="658">
        <f>'Fatores de Emissão'!E257</f>
        <v>22800</v>
      </c>
      <c r="N37" s="659">
        <f t="shared" si="1"/>
        <v>0</v>
      </c>
    </row>
    <row r="38" spans="1:14" s="237" customFormat="1" ht="15" customHeight="1" x14ac:dyDescent="0.25">
      <c r="A38" s="422"/>
      <c r="B38" s="607"/>
      <c r="C38" s="607"/>
      <c r="D38" s="607"/>
      <c r="E38" s="671"/>
      <c r="F38" s="672"/>
      <c r="G38" s="673" t="str">
        <f>IF(E38="","",VLOOKUP(E38,'Fatores de Emissão'!$C$235:$E$268,3,FALSE))</f>
        <v/>
      </c>
      <c r="H38" s="674">
        <f t="shared" si="2"/>
        <v>0</v>
      </c>
      <c r="I38" s="675"/>
      <c r="L38" s="657" t="str">
        <f>'Fatores de Emissão'!C258</f>
        <v>Trifluoreto de azoto (NF3)</v>
      </c>
      <c r="M38" s="658">
        <f>'Fatores de Emissão'!E258</f>
        <v>17200</v>
      </c>
      <c r="N38" s="659">
        <f t="shared" si="1"/>
        <v>0</v>
      </c>
    </row>
    <row r="39" spans="1:14" s="237" customFormat="1" ht="15" customHeight="1" x14ac:dyDescent="0.25">
      <c r="A39" s="422"/>
      <c r="B39" s="607"/>
      <c r="C39" s="607"/>
      <c r="D39" s="607"/>
      <c r="E39" s="671"/>
      <c r="F39" s="672"/>
      <c r="G39" s="673" t="str">
        <f>IF(E39="","",VLOOKUP(E39,'Fatores de Emissão'!$C$235:$E$268,3,FALSE))</f>
        <v/>
      </c>
      <c r="H39" s="674">
        <f t="shared" si="2"/>
        <v>0</v>
      </c>
      <c r="I39" s="675"/>
      <c r="L39" s="657" t="str">
        <f>'Fatores de Emissão'!C259</f>
        <v>PFC-14</v>
      </c>
      <c r="M39" s="658">
        <f>'Fatores de Emissão'!E259</f>
        <v>7390</v>
      </c>
      <c r="N39" s="659">
        <f t="shared" si="1"/>
        <v>0</v>
      </c>
    </row>
    <row r="40" spans="1:14" s="237" customFormat="1" ht="15" customHeight="1" x14ac:dyDescent="0.25">
      <c r="A40" s="422"/>
      <c r="B40" s="607"/>
      <c r="C40" s="607"/>
      <c r="D40" s="607"/>
      <c r="E40" s="671"/>
      <c r="F40" s="672"/>
      <c r="G40" s="673" t="str">
        <f>IF(E40="","",VLOOKUP(E40,'Fatores de Emissão'!$C$235:$E$268,3,FALSE))</f>
        <v/>
      </c>
      <c r="H40" s="674">
        <f t="shared" si="2"/>
        <v>0</v>
      </c>
      <c r="I40" s="675"/>
      <c r="L40" s="657" t="str">
        <f>'Fatores de Emissão'!C260</f>
        <v>PFC-116</v>
      </c>
      <c r="M40" s="658">
        <f>'Fatores de Emissão'!E260</f>
        <v>12200</v>
      </c>
      <c r="N40" s="659">
        <f t="shared" si="1"/>
        <v>0</v>
      </c>
    </row>
    <row r="41" spans="1:14" s="237" customFormat="1" ht="15" customHeight="1" x14ac:dyDescent="0.25">
      <c r="A41" s="422"/>
      <c r="B41" s="607"/>
      <c r="C41" s="607"/>
      <c r="D41" s="607"/>
      <c r="E41" s="671"/>
      <c r="F41" s="672"/>
      <c r="G41" s="673" t="str">
        <f>IF(E41="","",VLOOKUP(E41,'Fatores de Emissão'!$C$235:$E$268,3,FALSE))</f>
        <v/>
      </c>
      <c r="H41" s="674">
        <f t="shared" si="2"/>
        <v>0</v>
      </c>
      <c r="I41" s="675"/>
      <c r="L41" s="657" t="str">
        <f>'Fatores de Emissão'!C261</f>
        <v>PFC-218</v>
      </c>
      <c r="M41" s="658">
        <f>'Fatores de Emissão'!E261</f>
        <v>8830</v>
      </c>
      <c r="N41" s="659">
        <f t="shared" si="1"/>
        <v>0</v>
      </c>
    </row>
    <row r="42" spans="1:14" s="237" customFormat="1" ht="15" customHeight="1" x14ac:dyDescent="0.25">
      <c r="A42" s="422"/>
      <c r="B42" s="607"/>
      <c r="C42" s="607"/>
      <c r="D42" s="607"/>
      <c r="E42" s="671"/>
      <c r="F42" s="672"/>
      <c r="G42" s="673" t="str">
        <f>IF(E42="","",VLOOKUP(E42,'Fatores de Emissão'!$C$235:$E$268,3,FALSE))</f>
        <v/>
      </c>
      <c r="H42" s="674">
        <f t="shared" si="2"/>
        <v>0</v>
      </c>
      <c r="I42" s="675"/>
      <c r="L42" s="657" t="str">
        <f>'Fatores de Emissão'!C262</f>
        <v>PFC-318</v>
      </c>
      <c r="M42" s="658">
        <f>'Fatores de Emissão'!E262</f>
        <v>10300</v>
      </c>
      <c r="N42" s="659">
        <f t="shared" si="1"/>
        <v>0</v>
      </c>
    </row>
    <row r="43" spans="1:14" s="237" customFormat="1" ht="15" customHeight="1" x14ac:dyDescent="0.25">
      <c r="A43" s="422"/>
      <c r="B43" s="607"/>
      <c r="C43" s="607"/>
      <c r="D43" s="607"/>
      <c r="E43" s="671"/>
      <c r="F43" s="672"/>
      <c r="G43" s="673" t="str">
        <f>IF(E43="","",VLOOKUP(E43,'Fatores de Emissão'!$C$235:$E$268,3,FALSE))</f>
        <v/>
      </c>
      <c r="H43" s="674">
        <f t="shared" si="2"/>
        <v>0</v>
      </c>
      <c r="I43" s="675"/>
      <c r="L43" s="657" t="str">
        <f>'Fatores de Emissão'!C263</f>
        <v>PFC-3-1-10</v>
      </c>
      <c r="M43" s="658">
        <f>'Fatores de Emissão'!E263</f>
        <v>8860</v>
      </c>
      <c r="N43" s="659">
        <f t="shared" si="1"/>
        <v>0</v>
      </c>
    </row>
    <row r="44" spans="1:14" s="237" customFormat="1" ht="15" customHeight="1" x14ac:dyDescent="0.25">
      <c r="A44" s="422"/>
      <c r="B44" s="607"/>
      <c r="C44" s="607"/>
      <c r="D44" s="607"/>
      <c r="E44" s="671"/>
      <c r="F44" s="672"/>
      <c r="G44" s="673" t="str">
        <f>IF(E44="","",VLOOKUP(E44,'Fatores de Emissão'!$C$235:$E$268,3,FALSE))</f>
        <v/>
      </c>
      <c r="H44" s="674">
        <f t="shared" si="2"/>
        <v>0</v>
      </c>
      <c r="I44" s="675"/>
      <c r="L44" s="657" t="str">
        <f>'Fatores de Emissão'!C264</f>
        <v>PFC-4-1-12</v>
      </c>
      <c r="M44" s="658">
        <f>'Fatores de Emissão'!E264</f>
        <v>9160</v>
      </c>
      <c r="N44" s="659">
        <f t="shared" si="1"/>
        <v>0</v>
      </c>
    </row>
    <row r="45" spans="1:14" s="237" customFormat="1" ht="15" customHeight="1" x14ac:dyDescent="0.25">
      <c r="A45" s="422"/>
      <c r="B45" s="607"/>
      <c r="C45" s="607"/>
      <c r="D45" s="607"/>
      <c r="E45" s="671"/>
      <c r="F45" s="672"/>
      <c r="G45" s="673" t="str">
        <f>IF(E45="","",VLOOKUP(E45,'Fatores de Emissão'!$C$235:$E$268,3,FALSE))</f>
        <v/>
      </c>
      <c r="H45" s="674">
        <f t="shared" si="2"/>
        <v>0</v>
      </c>
      <c r="I45" s="675"/>
      <c r="L45" s="657" t="str">
        <f>'Fatores de Emissão'!C265</f>
        <v>PFC-5-1-14</v>
      </c>
      <c r="M45" s="658">
        <f>'Fatores de Emissão'!E265</f>
        <v>9300</v>
      </c>
      <c r="N45" s="659">
        <f t="shared" si="1"/>
        <v>0</v>
      </c>
    </row>
    <row r="46" spans="1:14" s="237" customFormat="1" ht="15" customHeight="1" x14ac:dyDescent="0.25">
      <c r="A46" s="422"/>
      <c r="B46" s="607"/>
      <c r="C46" s="607"/>
      <c r="D46" s="607"/>
      <c r="E46" s="671"/>
      <c r="F46" s="672"/>
      <c r="G46" s="673" t="str">
        <f>IF(E46="","",VLOOKUP(E46,'Fatores de Emissão'!$C$235:$E$268,3,FALSE))</f>
        <v/>
      </c>
      <c r="H46" s="674">
        <f t="shared" si="2"/>
        <v>0</v>
      </c>
      <c r="I46" s="675"/>
      <c r="L46" s="657" t="str">
        <f>'Fatores de Emissão'!C266</f>
        <v>PFC-9-1-18</v>
      </c>
      <c r="M46" s="658">
        <f>'Fatores de Emissão'!E266</f>
        <v>7500</v>
      </c>
      <c r="N46" s="659">
        <f t="shared" si="1"/>
        <v>0</v>
      </c>
    </row>
    <row r="47" spans="1:14" s="237" customFormat="1" ht="15" customHeight="1" x14ac:dyDescent="0.25">
      <c r="A47" s="422"/>
      <c r="B47" s="607"/>
      <c r="C47" s="607"/>
      <c r="D47" s="607"/>
      <c r="E47" s="671"/>
      <c r="F47" s="672"/>
      <c r="G47" s="673" t="str">
        <f>IF(E47="","",VLOOKUP(E47,'Fatores de Emissão'!$C$235:$E$268,3,FALSE))</f>
        <v/>
      </c>
      <c r="H47" s="674">
        <f t="shared" si="2"/>
        <v>0</v>
      </c>
      <c r="I47" s="675"/>
      <c r="L47" s="657" t="str">
        <f>'Fatores de Emissão'!C267</f>
        <v>Trifluorometil pentafluoreto de enxofre</v>
      </c>
      <c r="M47" s="658">
        <f>'Fatores de Emissão'!E267</f>
        <v>17700</v>
      </c>
      <c r="N47" s="659">
        <f t="shared" si="1"/>
        <v>0</v>
      </c>
    </row>
    <row r="48" spans="1:14" s="237" customFormat="1" ht="15" customHeight="1" x14ac:dyDescent="0.25">
      <c r="A48" s="422"/>
      <c r="B48" s="607"/>
      <c r="C48" s="607"/>
      <c r="D48" s="607"/>
      <c r="E48" s="671"/>
      <c r="F48" s="672"/>
      <c r="G48" s="673" t="str">
        <f>IF(E48="","",VLOOKUP(E48,'Fatores de Emissão'!$C$235:$E$268,3,FALSE))</f>
        <v/>
      </c>
      <c r="H48" s="674">
        <f t="shared" si="2"/>
        <v>0</v>
      </c>
      <c r="I48" s="675"/>
      <c r="L48" s="657" t="str">
        <f>'Fatores de Emissão'!C268</f>
        <v>Perfluorociclopropano</v>
      </c>
      <c r="M48" s="658">
        <f>'Fatores de Emissão'!E268</f>
        <v>17340</v>
      </c>
      <c r="N48" s="659">
        <f t="shared" si="1"/>
        <v>0</v>
      </c>
    </row>
    <row r="49" spans="1:12" s="237" customFormat="1" ht="15" customHeight="1" x14ac:dyDescent="0.25">
      <c r="A49" s="422"/>
      <c r="B49" s="607"/>
      <c r="C49" s="607"/>
      <c r="D49" s="607"/>
      <c r="E49" s="671"/>
      <c r="F49" s="672"/>
      <c r="G49" s="673" t="str">
        <f>IF(E49="","",VLOOKUP(E49,'Fatores de Emissão'!$C$235:$E$268,3,FALSE))</f>
        <v/>
      </c>
      <c r="H49" s="674">
        <f t="shared" si="2"/>
        <v>0</v>
      </c>
      <c r="I49" s="675"/>
      <c r="L49" s="676"/>
    </row>
    <row r="50" spans="1:12" s="237" customFormat="1" ht="15" customHeight="1" x14ac:dyDescent="0.25">
      <c r="A50" s="422"/>
      <c r="B50" s="607"/>
      <c r="C50" s="607"/>
      <c r="D50" s="607"/>
      <c r="E50" s="671"/>
      <c r="F50" s="672"/>
      <c r="G50" s="673" t="str">
        <f>IF(E50="","",VLOOKUP(E50,'Fatores de Emissão'!$C$235:$E$268,3,FALSE))</f>
        <v/>
      </c>
      <c r="H50" s="674">
        <f t="shared" si="2"/>
        <v>0</v>
      </c>
      <c r="I50" s="675"/>
      <c r="L50" s="676"/>
    </row>
    <row r="51" spans="1:12" s="237" customFormat="1" ht="15" customHeight="1" x14ac:dyDescent="0.25">
      <c r="A51" s="422"/>
      <c r="B51" s="1303" t="s">
        <v>78</v>
      </c>
      <c r="C51" s="1304"/>
      <c r="D51" s="1304"/>
      <c r="E51" s="1304"/>
      <c r="F51" s="1304"/>
      <c r="G51" s="1305"/>
      <c r="H51" s="1115">
        <f>SUM(H31:H50)</f>
        <v>0</v>
      </c>
      <c r="I51" s="1116">
        <f>SUM(I31:I50)</f>
        <v>0</v>
      </c>
      <c r="L51" s="676"/>
    </row>
    <row r="52" spans="1:12" s="237" customFormat="1" ht="20.100000000000001" customHeight="1" x14ac:dyDescent="0.25">
      <c r="A52" s="422"/>
      <c r="B52" s="422"/>
      <c r="C52" s="422"/>
      <c r="D52" s="422"/>
      <c r="E52" s="422"/>
      <c r="F52" s="422"/>
      <c r="G52" s="422"/>
      <c r="H52" s="422"/>
      <c r="I52" s="422"/>
      <c r="L52" s="676"/>
    </row>
    <row r="53" spans="1:12" s="237" customFormat="1" ht="20.100000000000001" customHeight="1" thickBot="1" x14ac:dyDescent="0.3">
      <c r="A53" s="422"/>
      <c r="B53" s="468" t="s">
        <v>1936</v>
      </c>
      <c r="H53" s="422"/>
      <c r="I53" s="422"/>
      <c r="J53" s="422"/>
      <c r="L53" s="676"/>
    </row>
    <row r="54" spans="1:12" ht="30" customHeight="1" thickBot="1" x14ac:dyDescent="0.25">
      <c r="A54" s="415"/>
      <c r="B54" s="409" t="s">
        <v>1407</v>
      </c>
      <c r="C54" s="646"/>
      <c r="D54" s="646"/>
      <c r="E54" s="647"/>
      <c r="F54" s="1308">
        <f>$H$51/1000</f>
        <v>0</v>
      </c>
      <c r="G54" s="1309"/>
      <c r="H54" s="415"/>
      <c r="I54" s="415"/>
      <c r="J54" s="415"/>
      <c r="K54" s="415"/>
    </row>
    <row r="55" spans="1:12" ht="4.5" customHeight="1" thickBot="1" x14ac:dyDescent="0.25">
      <c r="A55" s="415"/>
      <c r="B55" s="648"/>
      <c r="C55" s="649"/>
      <c r="D55" s="649"/>
      <c r="E55" s="650"/>
      <c r="F55" s="651"/>
      <c r="G55" s="651"/>
      <c r="H55" s="415"/>
      <c r="I55" s="415"/>
      <c r="J55" s="415"/>
      <c r="K55" s="415"/>
    </row>
    <row r="56" spans="1:12" ht="30" customHeight="1" thickBot="1" x14ac:dyDescent="0.25">
      <c r="A56" s="415"/>
      <c r="B56" s="410" t="s">
        <v>1504</v>
      </c>
      <c r="C56" s="348"/>
      <c r="D56" s="348"/>
      <c r="E56" s="348"/>
      <c r="F56" s="1310">
        <f>$I$51/1000</f>
        <v>0</v>
      </c>
      <c r="G56" s="1311"/>
      <c r="H56" s="415"/>
      <c r="I56" s="415"/>
      <c r="J56" s="415"/>
      <c r="K56" s="415"/>
    </row>
    <row r="57" spans="1:12" ht="15" customHeight="1" x14ac:dyDescent="0.2">
      <c r="A57" s="415"/>
      <c r="J57" s="415"/>
      <c r="K57" s="415"/>
    </row>
    <row r="58" spans="1:12" ht="15" customHeight="1" x14ac:dyDescent="0.25">
      <c r="A58" s="415"/>
      <c r="B58" s="362" t="s">
        <v>126</v>
      </c>
      <c r="C58" s="363"/>
      <c r="D58" s="363"/>
      <c r="E58" s="363"/>
      <c r="F58" s="363"/>
      <c r="G58" s="363"/>
      <c r="H58" s="237"/>
      <c r="J58" s="415"/>
      <c r="K58" s="415"/>
    </row>
    <row r="59" spans="1:12" ht="33" customHeight="1" x14ac:dyDescent="0.2">
      <c r="A59" s="415"/>
      <c r="B59" s="1302" t="s">
        <v>1935</v>
      </c>
      <c r="C59" s="1302"/>
      <c r="D59" s="1302"/>
      <c r="E59" s="1302"/>
      <c r="F59" s="1302"/>
      <c r="G59" s="1302"/>
      <c r="H59" s="1302"/>
      <c r="J59" s="415"/>
      <c r="K59" s="415"/>
    </row>
    <row r="60" spans="1:12" ht="24.95" customHeight="1" x14ac:dyDescent="0.2">
      <c r="A60" s="415"/>
      <c r="B60" s="652"/>
      <c r="C60" s="652"/>
      <c r="D60" s="652"/>
      <c r="E60" s="652"/>
      <c r="F60" s="652"/>
      <c r="G60" s="652"/>
      <c r="K60" s="415"/>
    </row>
    <row r="61" spans="1:12" ht="24.95" hidden="1" customHeight="1" x14ac:dyDescent="0.2"/>
    <row r="62" spans="1:12" ht="15" hidden="1" customHeight="1" x14ac:dyDescent="0.2"/>
    <row r="63" spans="1:12" hidden="1" x14ac:dyDescent="0.2">
      <c r="L63" s="195"/>
    </row>
    <row r="64" spans="1:12" ht="12.75" hidden="1" customHeight="1" x14ac:dyDescent="0.2">
      <c r="L64" s="195"/>
    </row>
    <row r="65" spans="12:12" hidden="1" x14ac:dyDescent="0.2">
      <c r="L65" s="195"/>
    </row>
    <row r="66" spans="12:12" hidden="1" x14ac:dyDescent="0.2">
      <c r="L66" s="195"/>
    </row>
    <row r="67" spans="12:12" hidden="1" x14ac:dyDescent="0.2">
      <c r="L67" s="195"/>
    </row>
    <row r="68" spans="12:12" hidden="1" x14ac:dyDescent="0.2">
      <c r="L68" s="195"/>
    </row>
    <row r="69" spans="12:12" hidden="1" x14ac:dyDescent="0.2">
      <c r="L69" s="195"/>
    </row>
    <row r="70" spans="12:12" hidden="1" x14ac:dyDescent="0.2">
      <c r="L70" s="195"/>
    </row>
    <row r="71" spans="12:12" hidden="1" x14ac:dyDescent="0.2">
      <c r="L71" s="195"/>
    </row>
    <row r="72" spans="12:12" hidden="1" x14ac:dyDescent="0.2">
      <c r="L72" s="195"/>
    </row>
    <row r="73" spans="12:12" hidden="1" x14ac:dyDescent="0.2">
      <c r="L73" s="195"/>
    </row>
    <row r="74" spans="12:12" hidden="1" x14ac:dyDescent="0.2">
      <c r="L74" s="195"/>
    </row>
    <row r="75" spans="12:12" hidden="1" x14ac:dyDescent="0.2">
      <c r="L75" s="195"/>
    </row>
    <row r="76" spans="12:12" hidden="1" x14ac:dyDescent="0.2">
      <c r="L76" s="195"/>
    </row>
    <row r="77" spans="12:12" hidden="1" x14ac:dyDescent="0.2">
      <c r="L77" s="195"/>
    </row>
    <row r="78" spans="12:12" hidden="1" x14ac:dyDescent="0.2">
      <c r="L78" s="195"/>
    </row>
    <row r="79" spans="12:12" hidden="1" x14ac:dyDescent="0.2">
      <c r="L79" s="195"/>
    </row>
    <row r="80" spans="12:12" hidden="1" x14ac:dyDescent="0.2">
      <c r="L80" s="195"/>
    </row>
    <row r="81" spans="12:12" hidden="1" x14ac:dyDescent="0.2">
      <c r="L81" s="195"/>
    </row>
    <row r="82" spans="12:12" hidden="1" x14ac:dyDescent="0.2">
      <c r="L82" s="195"/>
    </row>
    <row r="83" spans="12:12" hidden="1" x14ac:dyDescent="0.2">
      <c r="L83" s="195"/>
    </row>
    <row r="84" spans="12:12" hidden="1" x14ac:dyDescent="0.2">
      <c r="L84" s="195"/>
    </row>
    <row r="85" spans="12:12" hidden="1" x14ac:dyDescent="0.2">
      <c r="L85" s="195"/>
    </row>
    <row r="86" spans="12:12" hidden="1" x14ac:dyDescent="0.2">
      <c r="L86" s="195"/>
    </row>
    <row r="87" spans="12:12" hidden="1" x14ac:dyDescent="0.2">
      <c r="L87" s="195"/>
    </row>
    <row r="88" spans="12:12" hidden="1" x14ac:dyDescent="0.2">
      <c r="L88" s="195"/>
    </row>
    <row r="89" spans="12:12" hidden="1" x14ac:dyDescent="0.2">
      <c r="L89" s="195"/>
    </row>
    <row r="90" spans="12:12" hidden="1" x14ac:dyDescent="0.2">
      <c r="L90" s="195"/>
    </row>
    <row r="91" spans="12:12" hidden="1" x14ac:dyDescent="0.2">
      <c r="L91" s="195"/>
    </row>
    <row r="92" spans="12:12" hidden="1" x14ac:dyDescent="0.2">
      <c r="L92" s="195"/>
    </row>
    <row r="93" spans="12:12" hidden="1" x14ac:dyDescent="0.2">
      <c r="L93" s="195"/>
    </row>
    <row r="94" spans="12:12" hidden="1" x14ac:dyDescent="0.2">
      <c r="L94" s="195"/>
    </row>
    <row r="95" spans="12:12" hidden="1" x14ac:dyDescent="0.2">
      <c r="L95" s="195"/>
    </row>
    <row r="96" spans="12:12" hidden="1" x14ac:dyDescent="0.2">
      <c r="L96" s="195"/>
    </row>
    <row r="97" spans="12:12" hidden="1" x14ac:dyDescent="0.2">
      <c r="L97" s="195"/>
    </row>
    <row r="98" spans="12:12" hidden="1" x14ac:dyDescent="0.2">
      <c r="L98" s="195"/>
    </row>
    <row r="99" spans="12:12" hidden="1" x14ac:dyDescent="0.2">
      <c r="L99" s="195"/>
    </row>
    <row r="100" spans="12:12" hidden="1" x14ac:dyDescent="0.2">
      <c r="L100" s="195"/>
    </row>
    <row r="101" spans="12:12" hidden="1" x14ac:dyDescent="0.2">
      <c r="L101" s="195"/>
    </row>
    <row r="102" spans="12:12" hidden="1" x14ac:dyDescent="0.2">
      <c r="L102" s="195"/>
    </row>
    <row r="103" spans="12:12" hidden="1" x14ac:dyDescent="0.2">
      <c r="L103" s="195"/>
    </row>
    <row r="104" spans="12:12" hidden="1" x14ac:dyDescent="0.2">
      <c r="L104" s="195"/>
    </row>
    <row r="105" spans="12:12" hidden="1" x14ac:dyDescent="0.2">
      <c r="L105" s="195"/>
    </row>
    <row r="106" spans="12:12" hidden="1" x14ac:dyDescent="0.2">
      <c r="L106" s="195"/>
    </row>
    <row r="107" spans="12:12" hidden="1" x14ac:dyDescent="0.2">
      <c r="L107" s="195"/>
    </row>
    <row r="108" spans="12:12" hidden="1" x14ac:dyDescent="0.2">
      <c r="L108" s="195"/>
    </row>
    <row r="109" spans="12:12" hidden="1" x14ac:dyDescent="0.2">
      <c r="L109" s="195"/>
    </row>
    <row r="110" spans="12:12" x14ac:dyDescent="0.2"/>
    <row r="111" spans="12:12" x14ac:dyDescent="0.2"/>
    <row r="112" spans="12:12" x14ac:dyDescent="0.2"/>
    <row r="113" x14ac:dyDescent="0.2"/>
  </sheetData>
  <mergeCells count="10">
    <mergeCell ref="B59:H59"/>
    <mergeCell ref="B51:G51"/>
    <mergeCell ref="D12:E12"/>
    <mergeCell ref="B15:H15"/>
    <mergeCell ref="F54:G54"/>
    <mergeCell ref="F56:G56"/>
    <mergeCell ref="B16:H18"/>
    <mergeCell ref="B21:H22"/>
    <mergeCell ref="B23:H24"/>
    <mergeCell ref="B19:H20"/>
  </mergeCells>
  <phoneticPr fontId="0" type="noConversion"/>
  <conditionalFormatting sqref="D12:D13">
    <cfRule type="expression" dxfId="9396" priority="2" stopIfTrue="1">
      <formula>NOT(ISERROR(SEARCH("ESCOLHA",D12)))</formula>
    </cfRule>
  </conditionalFormatting>
  <dataValidations count="1">
    <dataValidation type="list" allowBlank="1" showInputMessage="1" showErrorMessage="1" sqref="E31:E50">
      <formula1>lista_gases</formula1>
    </dataValidation>
  </dataValidations>
  <pageMargins left="0.511811024" right="0.511811024" top="0.78740157499999996" bottom="0.78740157499999996" header="0.31496062000000002" footer="0.31496062000000002"/>
  <pageSetup paperSize="9" orientation="portrait" horizontalDpi="300" verticalDpi="300" r:id="rId1"/>
  <ignoredErrors>
    <ignoredError sqref="G31:G50" unlockedFormula="1"/>
    <ignoredError sqref="I51"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108"/>
  <sheetViews>
    <sheetView showGridLines="0" zoomScale="70" zoomScaleNormal="70" workbookViewId="0">
      <selection activeCell="F31" sqref="F31"/>
    </sheetView>
  </sheetViews>
  <sheetFormatPr defaultColWidth="0" defaultRowHeight="12.75" zeroHeight="1" x14ac:dyDescent="0.2"/>
  <cols>
    <col min="1" max="1" width="5.7109375" style="195" customWidth="1"/>
    <col min="2" max="2" width="10.5703125" style="195" customWidth="1"/>
    <col min="3" max="3" width="33.140625" style="195" customWidth="1"/>
    <col min="4" max="4" width="43.140625" style="195" customWidth="1"/>
    <col min="5" max="5" width="24.85546875" style="195" customWidth="1"/>
    <col min="6" max="6" width="20.140625" style="195" customWidth="1"/>
    <col min="7" max="7" width="13.140625" style="195" customWidth="1"/>
    <col min="8" max="9" width="20.7109375" style="195" customWidth="1"/>
    <col min="10" max="10" width="10.7109375" style="195" customWidth="1"/>
    <col min="11" max="11" width="6.7109375" style="195" hidden="1" customWidth="1"/>
    <col min="12" max="12" width="26.42578125" style="195" hidden="1" customWidth="1"/>
    <col min="13" max="13" width="9.140625" style="195" hidden="1" customWidth="1"/>
    <col min="14" max="14" width="25.140625" style="195" hidden="1" customWidth="1"/>
    <col min="15" max="16384" width="9.140625" style="195" hidden="1"/>
  </cols>
  <sheetData>
    <row r="1" spans="1:11" ht="15" customHeight="1" x14ac:dyDescent="0.25">
      <c r="A1" s="631"/>
      <c r="B1" s="631"/>
      <c r="C1" s="631"/>
      <c r="D1" s="631"/>
      <c r="E1" s="631"/>
      <c r="F1" s="631"/>
      <c r="G1" s="631"/>
      <c r="H1" s="631"/>
    </row>
    <row r="2" spans="1:11" ht="15" customHeight="1" x14ac:dyDescent="0.25">
      <c r="A2" s="631"/>
      <c r="B2" s="631"/>
      <c r="C2" s="631"/>
      <c r="D2" s="631"/>
      <c r="E2" s="631"/>
      <c r="F2" s="631"/>
      <c r="G2" s="631"/>
      <c r="H2" s="631"/>
    </row>
    <row r="3" spans="1:11" ht="15" customHeight="1" x14ac:dyDescent="0.25">
      <c r="A3" s="631"/>
      <c r="B3" s="631"/>
      <c r="C3" s="631"/>
      <c r="D3" s="631"/>
      <c r="E3" s="631"/>
      <c r="F3" s="631"/>
      <c r="G3" s="631"/>
      <c r="H3" s="631"/>
    </row>
    <row r="4" spans="1:11" ht="15" customHeight="1" x14ac:dyDescent="0.25">
      <c r="A4" s="631"/>
      <c r="B4" s="631"/>
      <c r="C4" s="631"/>
      <c r="D4" s="631"/>
      <c r="E4" s="631"/>
      <c r="F4" s="631"/>
      <c r="G4" s="631"/>
      <c r="H4" s="631"/>
    </row>
    <row r="5" spans="1:11" ht="15" customHeight="1" x14ac:dyDescent="0.25">
      <c r="A5" s="631"/>
      <c r="B5" s="631"/>
      <c r="C5" s="631"/>
      <c r="D5" s="631"/>
      <c r="E5" s="631"/>
      <c r="F5" s="631"/>
      <c r="G5" s="631"/>
      <c r="H5" s="631"/>
    </row>
    <row r="6" spans="1:11" ht="15" customHeight="1" x14ac:dyDescent="0.25">
      <c r="A6" s="631"/>
      <c r="B6" s="631"/>
      <c r="C6" s="631"/>
      <c r="D6" s="631"/>
      <c r="E6" s="631"/>
      <c r="F6" s="631"/>
      <c r="G6" s="631"/>
      <c r="H6" s="631"/>
    </row>
    <row r="7" spans="1:11" ht="15" customHeight="1" x14ac:dyDescent="0.25">
      <c r="A7" s="631"/>
      <c r="C7" s="631"/>
      <c r="D7" s="631"/>
      <c r="E7" s="631"/>
      <c r="F7" s="631"/>
      <c r="G7" s="631"/>
      <c r="H7" s="631"/>
    </row>
    <row r="8" spans="1:11" ht="15" customHeight="1" x14ac:dyDescent="0.2">
      <c r="A8" s="633"/>
      <c r="B8" s="633"/>
      <c r="C8" s="415"/>
      <c r="D8" s="415"/>
      <c r="E8" s="415"/>
      <c r="F8" s="418"/>
      <c r="G8" s="418"/>
      <c r="H8" s="418"/>
      <c r="I8" s="415"/>
      <c r="J8" s="415"/>
      <c r="K8" s="415"/>
    </row>
    <row r="9" spans="1:11" ht="24" customHeight="1" x14ac:dyDescent="0.2">
      <c r="A9" s="633"/>
      <c r="B9" s="633"/>
      <c r="C9" s="415"/>
      <c r="D9" s="415"/>
      <c r="E9" s="415"/>
      <c r="F9" s="418"/>
      <c r="G9" s="418"/>
      <c r="H9" s="418"/>
      <c r="I9" s="415"/>
      <c r="J9" s="415"/>
      <c r="K9" s="415"/>
    </row>
    <row r="10" spans="1:11" ht="21.75" customHeight="1" x14ac:dyDescent="0.2">
      <c r="A10" s="415"/>
      <c r="B10" s="653" t="s">
        <v>1959</v>
      </c>
      <c r="C10" s="415"/>
      <c r="D10" s="635"/>
      <c r="E10" s="415"/>
      <c r="F10" s="415"/>
      <c r="G10" s="415"/>
      <c r="H10" s="415"/>
      <c r="I10" s="415"/>
      <c r="J10" s="415"/>
      <c r="K10" s="415"/>
    </row>
    <row r="11" spans="1:11" ht="15" customHeight="1" x14ac:dyDescent="0.2">
      <c r="A11" s="415"/>
      <c r="B11" s="634"/>
      <c r="C11" s="415"/>
      <c r="D11" s="635"/>
      <c r="E11" s="415"/>
      <c r="F11" s="415"/>
      <c r="G11" s="415"/>
      <c r="H11" s="415"/>
      <c r="I11" s="415"/>
      <c r="J11" s="415"/>
      <c r="K11" s="415"/>
    </row>
    <row r="12" spans="1:11" ht="15" customHeight="1" x14ac:dyDescent="0.2">
      <c r="A12" s="415"/>
      <c r="B12" s="415"/>
      <c r="C12" s="655" t="s">
        <v>142</v>
      </c>
      <c r="D12" s="1297">
        <f>IF(OR(Ano="Selecione",Ano=0),"Escolha o ano do inventário na aba 'Introdução'",Ano)</f>
        <v>2030</v>
      </c>
      <c r="E12" s="1297"/>
      <c r="F12" s="415"/>
      <c r="G12" s="415"/>
      <c r="H12" s="415"/>
      <c r="I12" s="415"/>
      <c r="J12" s="415"/>
      <c r="K12" s="415"/>
    </row>
    <row r="13" spans="1:11" ht="15" customHeight="1" x14ac:dyDescent="0.2">
      <c r="A13" s="415"/>
      <c r="B13" s="415"/>
      <c r="C13" s="415"/>
      <c r="D13" s="415"/>
      <c r="E13" s="415"/>
      <c r="F13" s="415"/>
      <c r="G13" s="415"/>
      <c r="H13" s="415"/>
      <c r="I13" s="415"/>
      <c r="J13" s="415"/>
      <c r="K13" s="415"/>
    </row>
    <row r="14" spans="1:11" ht="15" customHeight="1" x14ac:dyDescent="0.25">
      <c r="A14" s="677"/>
      <c r="B14" s="680" t="s">
        <v>4</v>
      </c>
      <c r="C14" s="678"/>
      <c r="D14" s="678"/>
      <c r="E14" s="678"/>
      <c r="F14" s="678"/>
      <c r="G14" s="678"/>
      <c r="H14" s="678"/>
      <c r="I14" s="678"/>
      <c r="J14" s="677"/>
      <c r="K14" s="677"/>
    </row>
    <row r="15" spans="1:11" s="237" customFormat="1" ht="15" customHeight="1" x14ac:dyDescent="0.25">
      <c r="A15" s="681"/>
      <c r="B15" s="1313" t="s">
        <v>1954</v>
      </c>
      <c r="C15" s="1313"/>
      <c r="D15" s="1313"/>
      <c r="E15" s="1313"/>
      <c r="F15" s="1313"/>
      <c r="G15" s="1313"/>
      <c r="H15" s="1313"/>
      <c r="I15" s="682"/>
      <c r="J15" s="681"/>
      <c r="K15" s="681"/>
    </row>
    <row r="16" spans="1:11" s="237" customFormat="1" ht="15" customHeight="1" x14ac:dyDescent="0.25">
      <c r="A16" s="681"/>
      <c r="B16" s="1317" t="s">
        <v>1955</v>
      </c>
      <c r="C16" s="1317"/>
      <c r="D16" s="1317"/>
      <c r="E16" s="1317"/>
      <c r="F16" s="1317"/>
      <c r="G16" s="1317"/>
      <c r="H16" s="1317"/>
      <c r="I16" s="683"/>
    </row>
    <row r="17" spans="1:11" s="237" customFormat="1" ht="15" customHeight="1" x14ac:dyDescent="0.25">
      <c r="A17" s="681"/>
      <c r="B17" s="1317"/>
      <c r="C17" s="1317"/>
      <c r="D17" s="1317"/>
      <c r="E17" s="1317"/>
      <c r="F17" s="1317"/>
      <c r="G17" s="1317"/>
      <c r="H17" s="1317"/>
      <c r="I17" s="683"/>
      <c r="J17" s="684"/>
    </row>
    <row r="18" spans="1:11" s="237" customFormat="1" ht="15" customHeight="1" x14ac:dyDescent="0.25">
      <c r="A18" s="681"/>
      <c r="B18" s="1317"/>
      <c r="C18" s="1317"/>
      <c r="D18" s="1317"/>
      <c r="E18" s="1317"/>
      <c r="F18" s="1317"/>
      <c r="G18" s="1317"/>
      <c r="H18" s="1317"/>
      <c r="I18" s="683"/>
      <c r="J18" s="684"/>
    </row>
    <row r="19" spans="1:11" s="237" customFormat="1" ht="15" customHeight="1" x14ac:dyDescent="0.25">
      <c r="A19" s="681"/>
      <c r="B19" s="1317"/>
      <c r="C19" s="1317"/>
      <c r="D19" s="1317"/>
      <c r="E19" s="1317"/>
      <c r="F19" s="1317"/>
      <c r="G19" s="1317"/>
      <c r="H19" s="1317"/>
      <c r="I19" s="683"/>
      <c r="J19" s="684"/>
    </row>
    <row r="20" spans="1:11" s="237" customFormat="1" ht="15" customHeight="1" x14ac:dyDescent="0.25">
      <c r="A20" s="681"/>
      <c r="B20" s="1317"/>
      <c r="C20" s="1317"/>
      <c r="D20" s="1317"/>
      <c r="E20" s="1317"/>
      <c r="F20" s="1317"/>
      <c r="G20" s="1317"/>
      <c r="H20" s="1317"/>
      <c r="I20" s="683"/>
      <c r="J20" s="684"/>
    </row>
    <row r="21" spans="1:11" s="237" customFormat="1" ht="15" customHeight="1" x14ac:dyDescent="0.25">
      <c r="A21" s="681"/>
      <c r="B21" s="1315" t="s">
        <v>1956</v>
      </c>
      <c r="C21" s="1315"/>
      <c r="D21" s="1315"/>
      <c r="E21" s="1315"/>
      <c r="F21" s="1315"/>
      <c r="G21" s="1315"/>
      <c r="H21" s="1315"/>
      <c r="I21" s="683"/>
      <c r="J21" s="684"/>
      <c r="K21" s="684"/>
    </row>
    <row r="22" spans="1:11" s="237" customFormat="1" ht="15" customHeight="1" x14ac:dyDescent="0.25">
      <c r="A22" s="681"/>
      <c r="B22" s="1315"/>
      <c r="C22" s="1315"/>
      <c r="D22" s="1315"/>
      <c r="E22" s="1315"/>
      <c r="F22" s="1315"/>
      <c r="G22" s="1315"/>
      <c r="H22" s="1315"/>
      <c r="I22" s="683"/>
      <c r="J22" s="684"/>
      <c r="K22" s="684"/>
    </row>
    <row r="23" spans="1:11" s="237" customFormat="1" ht="15" customHeight="1" x14ac:dyDescent="0.25">
      <c r="A23" s="681"/>
      <c r="B23" s="1314" t="s">
        <v>1957</v>
      </c>
      <c r="C23" s="1314"/>
      <c r="D23" s="1314"/>
      <c r="E23" s="1314"/>
      <c r="F23" s="1314"/>
      <c r="G23" s="1314"/>
      <c r="H23" s="1314"/>
      <c r="I23" s="683"/>
      <c r="J23" s="684"/>
      <c r="K23" s="684"/>
    </row>
    <row r="24" spans="1:11" s="237" customFormat="1" ht="15" customHeight="1" x14ac:dyDescent="0.25">
      <c r="A24" s="681"/>
      <c r="B24" s="1314"/>
      <c r="C24" s="1314"/>
      <c r="D24" s="1314"/>
      <c r="E24" s="1314"/>
      <c r="F24" s="1314"/>
      <c r="G24" s="1314"/>
      <c r="H24" s="1314"/>
      <c r="I24" s="683"/>
      <c r="J24" s="684"/>
      <c r="K24" s="684"/>
    </row>
    <row r="25" spans="1:11" s="237" customFormat="1" ht="15" customHeight="1" x14ac:dyDescent="0.25">
      <c r="A25" s="681"/>
      <c r="B25" s="1316" t="s">
        <v>2202</v>
      </c>
      <c r="C25" s="1316"/>
      <c r="D25" s="1316"/>
      <c r="E25" s="685"/>
      <c r="F25" s="685"/>
      <c r="G25" s="685"/>
      <c r="H25" s="685"/>
      <c r="I25" s="683"/>
      <c r="J25" s="684"/>
      <c r="K25" s="684"/>
    </row>
    <row r="26" spans="1:11" s="237" customFormat="1" ht="15" customHeight="1" x14ac:dyDescent="0.25">
      <c r="A26" s="681"/>
      <c r="B26" s="206" t="s">
        <v>1958</v>
      </c>
      <c r="C26" s="681"/>
      <c r="D26" s="681"/>
      <c r="E26" s="681"/>
      <c r="F26" s="681"/>
      <c r="G26" s="681"/>
      <c r="H26" s="681"/>
      <c r="I26" s="681"/>
      <c r="J26" s="684"/>
      <c r="K26" s="684"/>
    </row>
    <row r="27" spans="1:11" s="237" customFormat="1" ht="15" customHeight="1" x14ac:dyDescent="0.25">
      <c r="A27" s="681"/>
      <c r="B27" s="206"/>
      <c r="C27" s="681"/>
      <c r="D27" s="681"/>
      <c r="E27" s="681"/>
      <c r="F27" s="681"/>
      <c r="G27" s="681"/>
      <c r="H27" s="681"/>
      <c r="I27" s="681"/>
      <c r="J27" s="684"/>
      <c r="K27" s="684"/>
    </row>
    <row r="28" spans="1:11" s="237" customFormat="1" ht="15" customHeight="1" x14ac:dyDescent="0.25">
      <c r="A28" s="449"/>
      <c r="B28" s="468" t="s">
        <v>325</v>
      </c>
      <c r="C28" s="449"/>
      <c r="D28" s="449"/>
      <c r="E28" s="449"/>
      <c r="F28" s="449"/>
      <c r="G28" s="449"/>
      <c r="H28" s="449"/>
      <c r="I28" s="449"/>
      <c r="J28" s="449"/>
    </row>
    <row r="29" spans="1:11" s="237" customFormat="1" ht="32.1" customHeight="1" x14ac:dyDescent="0.25">
      <c r="A29" s="422"/>
      <c r="B29" s="662" t="s">
        <v>1842</v>
      </c>
      <c r="C29" s="662" t="s">
        <v>66</v>
      </c>
      <c r="D29" s="662" t="s">
        <v>1501</v>
      </c>
      <c r="E29" s="426" t="s">
        <v>206</v>
      </c>
      <c r="F29" s="426" t="s">
        <v>1496</v>
      </c>
      <c r="G29" s="426" t="s">
        <v>110</v>
      </c>
      <c r="H29" s="426" t="s">
        <v>1497</v>
      </c>
      <c r="I29" s="426" t="s">
        <v>1953</v>
      </c>
    </row>
    <row r="30" spans="1:11" s="237" customFormat="1" ht="15" customHeight="1" x14ac:dyDescent="0.25">
      <c r="A30" s="422"/>
      <c r="B30" s="686" t="s">
        <v>1937</v>
      </c>
      <c r="C30" s="686" t="s">
        <v>1951</v>
      </c>
      <c r="D30" s="686" t="s">
        <v>1952</v>
      </c>
      <c r="E30" s="428" t="s">
        <v>575</v>
      </c>
      <c r="F30" s="1183">
        <v>7.5</v>
      </c>
      <c r="G30" s="1184">
        <v>298</v>
      </c>
      <c r="H30" s="1183">
        <f>$F30*$G30</f>
        <v>2235</v>
      </c>
      <c r="I30" s="1183"/>
      <c r="J30" s="687" t="s">
        <v>616</v>
      </c>
    </row>
    <row r="31" spans="1:11" s="237" customFormat="1" ht="15" customHeight="1" x14ac:dyDescent="0.25">
      <c r="A31" s="422"/>
      <c r="B31" s="607"/>
      <c r="C31" s="607"/>
      <c r="D31" s="607"/>
      <c r="E31" s="688"/>
      <c r="F31" s="1185"/>
      <c r="G31" s="1186" t="str">
        <f>IF(E31="","",VLOOKUP(E31,'Fatores de Emissão'!$C$235:$F$268,3,FALSE))</f>
        <v/>
      </c>
      <c r="H31" s="1187">
        <f t="shared" ref="H31:H50" si="0">IF(ISERROR($F31*$G31),0,$F31*$G31)</f>
        <v>0</v>
      </c>
      <c r="I31" s="1185"/>
    </row>
    <row r="32" spans="1:11" s="237" customFormat="1" ht="15" customHeight="1" x14ac:dyDescent="0.25">
      <c r="A32" s="422"/>
      <c r="B32" s="607"/>
      <c r="C32" s="607"/>
      <c r="D32" s="607"/>
      <c r="E32" s="688"/>
      <c r="F32" s="1185"/>
      <c r="G32" s="1186" t="str">
        <f>IF(E32="","",VLOOKUP(E32,'Fatores de Emissão'!$C$235:$F$268,3,FALSE))</f>
        <v/>
      </c>
      <c r="H32" s="1187">
        <f t="shared" si="0"/>
        <v>0</v>
      </c>
      <c r="I32" s="1185"/>
    </row>
    <row r="33" spans="1:14" s="237" customFormat="1" ht="15" customHeight="1" x14ac:dyDescent="0.25">
      <c r="A33" s="422"/>
      <c r="B33" s="607"/>
      <c r="C33" s="607"/>
      <c r="D33" s="607"/>
      <c r="E33" s="688"/>
      <c r="F33" s="1185"/>
      <c r="G33" s="1186" t="str">
        <f>IF(E33="","",VLOOKUP(E33,'Fatores de Emissão'!$C$235:$F$268,3,FALSE))</f>
        <v/>
      </c>
      <c r="H33" s="1187">
        <f t="shared" si="0"/>
        <v>0</v>
      </c>
      <c r="I33" s="1185"/>
    </row>
    <row r="34" spans="1:14" s="237" customFormat="1" ht="15" customHeight="1" x14ac:dyDescent="0.25">
      <c r="A34" s="422"/>
      <c r="B34" s="607"/>
      <c r="C34" s="607"/>
      <c r="D34" s="607"/>
      <c r="E34" s="688"/>
      <c r="F34" s="1185"/>
      <c r="G34" s="1186" t="str">
        <f>IF(E34="","",VLOOKUP(E34,'Fatores de Emissão'!$C$235:$F$268,3,FALSE))</f>
        <v/>
      </c>
      <c r="H34" s="1187">
        <f t="shared" si="0"/>
        <v>0</v>
      </c>
      <c r="I34" s="1185"/>
    </row>
    <row r="35" spans="1:14" s="237" customFormat="1" ht="15" customHeight="1" x14ac:dyDescent="0.25">
      <c r="A35" s="422"/>
      <c r="B35" s="607"/>
      <c r="C35" s="607"/>
      <c r="D35" s="607"/>
      <c r="E35" s="688"/>
      <c r="F35" s="1185"/>
      <c r="G35" s="1186" t="str">
        <f>IF(E35="","",VLOOKUP(E35,'Fatores de Emissão'!$C$235:$F$268,3,FALSE))</f>
        <v/>
      </c>
      <c r="H35" s="1187">
        <f t="shared" si="0"/>
        <v>0</v>
      </c>
      <c r="I35" s="1185"/>
      <c r="L35" s="426" t="str">
        <f>'Fatores de Emissão'!C234</f>
        <v>Gás</v>
      </c>
      <c r="M35" s="426" t="str">
        <f>'Fatores de Emissão'!E234</f>
        <v>GWP</v>
      </c>
      <c r="N35" s="426" t="s">
        <v>1500</v>
      </c>
    </row>
    <row r="36" spans="1:14" s="237" customFormat="1" ht="15" customHeight="1" x14ac:dyDescent="0.25">
      <c r="A36" s="422"/>
      <c r="B36" s="607"/>
      <c r="C36" s="607"/>
      <c r="D36" s="607"/>
      <c r="E36" s="688"/>
      <c r="F36" s="1185"/>
      <c r="G36" s="1186" t="str">
        <f>IF(E36="","",VLOOKUP(E36,'Fatores de Emissão'!$C$235:$F$268,3,FALSE))</f>
        <v/>
      </c>
      <c r="H36" s="1187">
        <f t="shared" si="0"/>
        <v>0</v>
      </c>
      <c r="I36" s="1185"/>
      <c r="L36" s="626" t="str">
        <f>'Fatores de Emissão'!C235</f>
        <v>Dióxido de carbono (CO2)</v>
      </c>
      <c r="M36" s="689">
        <f>'Fatores de Emissão'!E235</f>
        <v>1</v>
      </c>
      <c r="N36" s="659">
        <f>SUMIF($E$31:$E$50,L36,$F$31:$F$50)</f>
        <v>0</v>
      </c>
    </row>
    <row r="37" spans="1:14" s="237" customFormat="1" ht="15" customHeight="1" x14ac:dyDescent="0.25">
      <c r="A37" s="422"/>
      <c r="B37" s="607"/>
      <c r="C37" s="607"/>
      <c r="D37" s="607"/>
      <c r="E37" s="688"/>
      <c r="F37" s="1185"/>
      <c r="G37" s="1186" t="str">
        <f>IF(E37="","",VLOOKUP(E37,'Fatores de Emissão'!$C$235:$F$268,3,FALSE))</f>
        <v/>
      </c>
      <c r="H37" s="1187">
        <f t="shared" si="0"/>
        <v>0</v>
      </c>
      <c r="I37" s="1185"/>
      <c r="L37" s="626" t="str">
        <f>'Fatores de Emissão'!C236</f>
        <v>Metano (CH4)</v>
      </c>
      <c r="M37" s="689">
        <f>'Fatores de Emissão'!E236</f>
        <v>25</v>
      </c>
      <c r="N37" s="659">
        <f>SUMIF($E$31:$E$50,L37,$F$31:$F$50)</f>
        <v>0</v>
      </c>
    </row>
    <row r="38" spans="1:14" s="237" customFormat="1" ht="15" customHeight="1" x14ac:dyDescent="0.25">
      <c r="A38" s="422"/>
      <c r="B38" s="607"/>
      <c r="C38" s="607"/>
      <c r="D38" s="607"/>
      <c r="E38" s="688"/>
      <c r="F38" s="1185"/>
      <c r="G38" s="1186" t="str">
        <f>IF(E38="","",VLOOKUP(E38,'Fatores de Emissão'!$C$235:$F$268,3,FALSE))</f>
        <v/>
      </c>
      <c r="H38" s="1187">
        <f t="shared" si="0"/>
        <v>0</v>
      </c>
      <c r="I38" s="1185"/>
      <c r="L38" s="626" t="str">
        <f>'Fatores de Emissão'!C237</f>
        <v>Óxido nitroso (N2O)</v>
      </c>
      <c r="M38" s="689">
        <f>'Fatores de Emissão'!E237</f>
        <v>298</v>
      </c>
      <c r="N38" s="659">
        <f>SUMIF($E$31:$E$50,L38,$F$31:$F$50)</f>
        <v>0</v>
      </c>
    </row>
    <row r="39" spans="1:14" s="237" customFormat="1" ht="15" customHeight="1" x14ac:dyDescent="0.25">
      <c r="A39" s="422"/>
      <c r="B39" s="607"/>
      <c r="C39" s="607"/>
      <c r="D39" s="607"/>
      <c r="E39" s="688"/>
      <c r="F39" s="1185"/>
      <c r="G39" s="1186" t="str">
        <f>IF(E39="","",VLOOKUP(E39,'Fatores de Emissão'!$C$235:$F$268,3,FALSE))</f>
        <v/>
      </c>
      <c r="H39" s="1187">
        <f t="shared" si="0"/>
        <v>0</v>
      </c>
      <c r="I39" s="1185"/>
    </row>
    <row r="40" spans="1:14" s="237" customFormat="1" ht="15" customHeight="1" x14ac:dyDescent="0.25">
      <c r="A40" s="422"/>
      <c r="B40" s="607"/>
      <c r="C40" s="607"/>
      <c r="D40" s="607"/>
      <c r="E40" s="688"/>
      <c r="F40" s="1185"/>
      <c r="G40" s="1186" t="str">
        <f>IF(E40="","",VLOOKUP(E40,'Fatores de Emissão'!$C$235:$F$268,3,FALSE))</f>
        <v/>
      </c>
      <c r="H40" s="1187">
        <f t="shared" si="0"/>
        <v>0</v>
      </c>
      <c r="I40" s="1185"/>
    </row>
    <row r="41" spans="1:14" s="237" customFormat="1" ht="15" customHeight="1" x14ac:dyDescent="0.25">
      <c r="A41" s="422"/>
      <c r="B41" s="607"/>
      <c r="C41" s="607"/>
      <c r="D41" s="607"/>
      <c r="E41" s="688"/>
      <c r="F41" s="1185"/>
      <c r="G41" s="1186" t="str">
        <f>IF(E41="","",VLOOKUP(E41,'Fatores de Emissão'!$C$235:$F$268,3,FALSE))</f>
        <v/>
      </c>
      <c r="H41" s="1187">
        <f t="shared" si="0"/>
        <v>0</v>
      </c>
      <c r="I41" s="1185"/>
    </row>
    <row r="42" spans="1:14" s="237" customFormat="1" ht="15" customHeight="1" x14ac:dyDescent="0.25">
      <c r="A42" s="422"/>
      <c r="B42" s="607"/>
      <c r="C42" s="607"/>
      <c r="D42" s="607"/>
      <c r="E42" s="688"/>
      <c r="F42" s="1185"/>
      <c r="G42" s="1186" t="str">
        <f>IF(E42="","",VLOOKUP(E42,'Fatores de Emissão'!$C$235:$F$268,3,FALSE))</f>
        <v/>
      </c>
      <c r="H42" s="1187">
        <f t="shared" si="0"/>
        <v>0</v>
      </c>
      <c r="I42" s="1185"/>
    </row>
    <row r="43" spans="1:14" s="237" customFormat="1" ht="15" customHeight="1" x14ac:dyDescent="0.25">
      <c r="A43" s="422"/>
      <c r="B43" s="607"/>
      <c r="C43" s="607"/>
      <c r="D43" s="607"/>
      <c r="E43" s="688"/>
      <c r="F43" s="1185"/>
      <c r="G43" s="1186" t="str">
        <f>IF(E43="","",VLOOKUP(E43,'Fatores de Emissão'!$C$235:$F$268,3,FALSE))</f>
        <v/>
      </c>
      <c r="H43" s="1187">
        <f t="shared" si="0"/>
        <v>0</v>
      </c>
      <c r="I43" s="1185"/>
    </row>
    <row r="44" spans="1:14" s="237" customFormat="1" ht="15" customHeight="1" x14ac:dyDescent="0.25">
      <c r="A44" s="422"/>
      <c r="B44" s="607"/>
      <c r="C44" s="607"/>
      <c r="D44" s="607"/>
      <c r="E44" s="688"/>
      <c r="F44" s="1185"/>
      <c r="G44" s="1186" t="str">
        <f>IF(E44="","",VLOOKUP(E44,'Fatores de Emissão'!$C$235:$F$268,3,FALSE))</f>
        <v/>
      </c>
      <c r="H44" s="1187">
        <f t="shared" si="0"/>
        <v>0</v>
      </c>
      <c r="I44" s="1185"/>
    </row>
    <row r="45" spans="1:14" s="237" customFormat="1" ht="15" customHeight="1" x14ac:dyDescent="0.25">
      <c r="A45" s="422"/>
      <c r="B45" s="607"/>
      <c r="C45" s="607"/>
      <c r="D45" s="607"/>
      <c r="E45" s="688"/>
      <c r="F45" s="1185"/>
      <c r="G45" s="1186" t="str">
        <f>IF(E45="","",VLOOKUP(E45,'Fatores de Emissão'!$C$235:$F$268,3,FALSE))</f>
        <v/>
      </c>
      <c r="H45" s="1187">
        <f t="shared" si="0"/>
        <v>0</v>
      </c>
      <c r="I45" s="1185"/>
    </row>
    <row r="46" spans="1:14" s="237" customFormat="1" ht="15" customHeight="1" x14ac:dyDescent="0.25">
      <c r="A46" s="422"/>
      <c r="B46" s="607"/>
      <c r="C46" s="607"/>
      <c r="D46" s="607"/>
      <c r="E46" s="688"/>
      <c r="F46" s="1185"/>
      <c r="G46" s="1186" t="str">
        <f>IF(E46="","",VLOOKUP(E46,'Fatores de Emissão'!$C$235:$F$268,3,FALSE))</f>
        <v/>
      </c>
      <c r="H46" s="1187">
        <f t="shared" si="0"/>
        <v>0</v>
      </c>
      <c r="I46" s="1185"/>
    </row>
    <row r="47" spans="1:14" s="237" customFormat="1" ht="15" customHeight="1" x14ac:dyDescent="0.25">
      <c r="A47" s="422"/>
      <c r="B47" s="607"/>
      <c r="C47" s="607"/>
      <c r="D47" s="607"/>
      <c r="E47" s="688"/>
      <c r="F47" s="1185"/>
      <c r="G47" s="1186" t="str">
        <f>IF(E47="","",VLOOKUP(E47,'Fatores de Emissão'!$C$235:$F$268,3,FALSE))</f>
        <v/>
      </c>
      <c r="H47" s="1187">
        <f t="shared" si="0"/>
        <v>0</v>
      </c>
      <c r="I47" s="1185"/>
    </row>
    <row r="48" spans="1:14" s="237" customFormat="1" ht="15" customHeight="1" x14ac:dyDescent="0.25">
      <c r="A48" s="422"/>
      <c r="B48" s="607"/>
      <c r="C48" s="607"/>
      <c r="D48" s="607"/>
      <c r="E48" s="688"/>
      <c r="F48" s="1185"/>
      <c r="G48" s="1186" t="str">
        <f>IF(E48="","",VLOOKUP(E48,'Fatores de Emissão'!$C$235:$F$268,3,FALSE))</f>
        <v/>
      </c>
      <c r="H48" s="1187">
        <f t="shared" si="0"/>
        <v>0</v>
      </c>
      <c r="I48" s="1185"/>
    </row>
    <row r="49" spans="1:11" s="237" customFormat="1" ht="15" customHeight="1" x14ac:dyDescent="0.25">
      <c r="A49" s="422"/>
      <c r="B49" s="607"/>
      <c r="C49" s="607"/>
      <c r="D49" s="607"/>
      <c r="E49" s="688"/>
      <c r="F49" s="1185"/>
      <c r="G49" s="1186" t="str">
        <f>IF(E49="","",VLOOKUP(E49,'Fatores de Emissão'!$C$235:$F$268,3,FALSE))</f>
        <v/>
      </c>
      <c r="H49" s="1187">
        <f t="shared" si="0"/>
        <v>0</v>
      </c>
      <c r="I49" s="1185"/>
    </row>
    <row r="50" spans="1:11" s="237" customFormat="1" ht="15" customHeight="1" x14ac:dyDescent="0.25">
      <c r="A50" s="422"/>
      <c r="B50" s="607"/>
      <c r="C50" s="607"/>
      <c r="D50" s="607"/>
      <c r="E50" s="688"/>
      <c r="F50" s="1185"/>
      <c r="G50" s="1186" t="str">
        <f>IF(E50="","",VLOOKUP(E50,'Fatores de Emissão'!$C$235:$F$268,3,FALSE))</f>
        <v/>
      </c>
      <c r="H50" s="1187">
        <f t="shared" si="0"/>
        <v>0</v>
      </c>
      <c r="I50" s="1185"/>
    </row>
    <row r="51" spans="1:11" s="237" customFormat="1" ht="15" customHeight="1" x14ac:dyDescent="0.25">
      <c r="A51" s="422"/>
      <c r="B51" s="1303" t="s">
        <v>78</v>
      </c>
      <c r="C51" s="1304"/>
      <c r="D51" s="1304"/>
      <c r="E51" s="1304"/>
      <c r="F51" s="1304"/>
      <c r="G51" s="1305"/>
      <c r="H51" s="1182">
        <f>SUM(H31:H50)</f>
        <v>0</v>
      </c>
      <c r="I51" s="1182">
        <f>SUM(I31:I50)</f>
        <v>0</v>
      </c>
    </row>
    <row r="52" spans="1:11" s="237" customFormat="1" ht="20.100000000000001" customHeight="1" x14ac:dyDescent="0.25">
      <c r="A52" s="422"/>
      <c r="B52" s="422"/>
      <c r="C52" s="422"/>
      <c r="D52" s="422"/>
      <c r="E52" s="422"/>
      <c r="F52" s="422"/>
      <c r="G52" s="422"/>
      <c r="H52" s="422"/>
      <c r="I52" s="422"/>
      <c r="J52" s="422"/>
    </row>
    <row r="53" spans="1:11" s="237" customFormat="1" ht="15" customHeight="1" x14ac:dyDescent="0.25">
      <c r="A53" s="422"/>
      <c r="B53" s="468" t="s">
        <v>1950</v>
      </c>
      <c r="C53" s="449"/>
      <c r="D53" s="449"/>
      <c r="E53" s="449"/>
      <c r="F53" s="449"/>
      <c r="G53" s="449"/>
      <c r="H53" s="422"/>
      <c r="I53" s="422"/>
      <c r="J53" s="422"/>
    </row>
    <row r="54" spans="1:11" ht="4.5" customHeight="1" thickBot="1" x14ac:dyDescent="0.25">
      <c r="K54" s="415"/>
    </row>
    <row r="55" spans="1:11" ht="30" customHeight="1" thickBot="1" x14ac:dyDescent="0.25">
      <c r="A55" s="415"/>
      <c r="B55" s="409" t="s">
        <v>1407</v>
      </c>
      <c r="C55" s="646"/>
      <c r="D55" s="646"/>
      <c r="E55" s="647"/>
      <c r="F55" s="1308">
        <f>$H$51</f>
        <v>0</v>
      </c>
      <c r="G55" s="1309"/>
      <c r="H55" s="419"/>
      <c r="I55" s="415"/>
      <c r="J55" s="415"/>
      <c r="K55" s="415"/>
    </row>
    <row r="56" spans="1:11" ht="6" customHeight="1" thickBot="1" x14ac:dyDescent="0.25">
      <c r="F56" s="679"/>
      <c r="G56" s="679"/>
      <c r="K56" s="415"/>
    </row>
    <row r="57" spans="1:11" ht="30" customHeight="1" thickBot="1" x14ac:dyDescent="0.25">
      <c r="B57" s="410" t="s">
        <v>1504</v>
      </c>
      <c r="C57" s="348"/>
      <c r="D57" s="348"/>
      <c r="E57" s="348"/>
      <c r="F57" s="1310">
        <f>$I$51</f>
        <v>0</v>
      </c>
      <c r="G57" s="1311"/>
    </row>
    <row r="58" spans="1:11" ht="24.95" customHeight="1" x14ac:dyDescent="0.2">
      <c r="K58" s="415"/>
    </row>
    <row r="59" spans="1:11" ht="15" hidden="1" customHeight="1" x14ac:dyDescent="0.2"/>
    <row r="60" spans="1:11" ht="15" hidden="1" customHeight="1" x14ac:dyDescent="0.2"/>
    <row r="61" spans="1:11" ht="15" hidden="1" customHeight="1" x14ac:dyDescent="0.2"/>
    <row r="62" spans="1:11" hidden="1" x14ac:dyDescent="0.2"/>
    <row r="63" spans="1:11" hidden="1" x14ac:dyDescent="0.2"/>
    <row r="64" spans="1:11"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sheetData>
  <mergeCells count="9">
    <mergeCell ref="D12:E12"/>
    <mergeCell ref="B15:H15"/>
    <mergeCell ref="B23:H24"/>
    <mergeCell ref="B51:G51"/>
    <mergeCell ref="F57:G57"/>
    <mergeCell ref="F55:G55"/>
    <mergeCell ref="B21:H22"/>
    <mergeCell ref="B25:D25"/>
    <mergeCell ref="B16:H20"/>
  </mergeCells>
  <conditionalFormatting sqref="D12">
    <cfRule type="expression" dxfId="9395" priority="1" stopIfTrue="1">
      <formula>NOT(ISERROR(SEARCH("ESCOLHA",D12)))</formula>
    </cfRule>
  </conditionalFormatting>
  <dataValidations count="1">
    <dataValidation type="list" allowBlank="1" showInputMessage="1" showErrorMessage="1" sqref="D50">
      <formula1>#REF!</formula1>
    </dataValidation>
  </dataValidations>
  <pageMargins left="0.511811024" right="0.511811024" top="0.78740157499999996" bottom="0.78740157499999996" header="0.31496062000000002" footer="0.31496062000000002"/>
  <pageSetup paperSize="9" orientation="portrait" horizontalDpi="1200" verticalDpi="1200" r:id="rId1"/>
  <ignoredErrors>
    <ignoredError sqref="G31:G50"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Title="Selecione o GEE" error="Selecione o gás de efeito estufa na lista.">
          <x14:formula1>
            <xm:f>'Fatores de Emissão'!$C$235:$C$237</xm:f>
          </x14:formula1>
          <xm:sqref>E31:E50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7">
    <tabColor rgb="FF0070C0"/>
    <outlinePr summaryBelow="0" summaryRight="0"/>
  </sheetPr>
  <dimension ref="A1:XFC198"/>
  <sheetViews>
    <sheetView showGridLines="0" zoomScale="90" zoomScaleNormal="90" workbookViewId="0">
      <selection activeCell="J15" sqref="J15"/>
    </sheetView>
  </sheetViews>
  <sheetFormatPr defaultColWidth="0" defaultRowHeight="12.75" zeroHeight="1" outlineLevelRow="1" x14ac:dyDescent="0.2"/>
  <cols>
    <col min="1" max="1" width="5.7109375" style="195" customWidth="1"/>
    <col min="2" max="2" width="6" style="195" customWidth="1"/>
    <col min="3" max="3" width="56.5703125" style="195" customWidth="1"/>
    <col min="4" max="4" width="19.7109375" style="195" customWidth="1"/>
    <col min="5" max="6" width="14.5703125" style="195" customWidth="1"/>
    <col min="7" max="7" width="12.5703125" style="195" customWidth="1"/>
    <col min="8" max="15" width="12.7109375" style="195" customWidth="1"/>
    <col min="16" max="33" width="12" style="195" customWidth="1"/>
    <col min="34" max="35" width="12.140625" style="195" customWidth="1"/>
    <col min="36" max="41" width="3.140625" style="195" hidden="1"/>
    <col min="42" max="47" width="3.140625" style="707" hidden="1"/>
    <col min="48" max="54" width="3.140625" style="195" hidden="1"/>
    <col min="55" max="55" width="10.42578125" style="195" hidden="1"/>
    <col min="56" max="85" width="12.42578125" style="195" hidden="1"/>
    <col min="86" max="16383" width="9.140625" style="195" hidden="1"/>
    <col min="16384" max="16384" width="3.140625" style="195" hidden="1"/>
  </cols>
  <sheetData>
    <row r="1" spans="1:48" ht="15.75" customHeight="1" x14ac:dyDescent="0.25">
      <c r="A1" s="631"/>
      <c r="B1" s="631"/>
      <c r="C1" s="631"/>
      <c r="D1" s="631"/>
      <c r="E1" s="631"/>
      <c r="F1" s="631"/>
      <c r="G1" s="631"/>
      <c r="H1" s="631"/>
      <c r="I1" s="631"/>
      <c r="J1" s="631"/>
      <c r="K1" s="631"/>
      <c r="L1" s="631"/>
      <c r="M1" s="631"/>
      <c r="N1" s="631"/>
      <c r="O1" s="631"/>
      <c r="P1" s="631"/>
      <c r="Q1" s="631"/>
      <c r="R1" s="631"/>
      <c r="S1" s="631"/>
      <c r="T1" s="631"/>
      <c r="U1" s="631"/>
      <c r="V1" s="631"/>
      <c r="W1" s="631"/>
      <c r="X1" s="631"/>
      <c r="Y1" s="631"/>
      <c r="Z1" s="631"/>
      <c r="AA1" s="690"/>
      <c r="AB1" s="631"/>
      <c r="AC1" s="631"/>
      <c r="AD1" s="631"/>
      <c r="AE1" s="631"/>
      <c r="AF1" s="631"/>
      <c r="AG1" s="631"/>
      <c r="AH1" s="631"/>
      <c r="AI1" s="631"/>
      <c r="AJ1" s="631"/>
      <c r="AK1" s="631"/>
      <c r="AL1" s="631"/>
      <c r="AM1" s="631"/>
      <c r="AN1" s="631"/>
      <c r="AO1" s="631"/>
      <c r="AP1" s="691"/>
      <c r="AQ1" s="691"/>
      <c r="AR1" s="691"/>
      <c r="AS1" s="691"/>
      <c r="AT1" s="691"/>
      <c r="AU1" s="691"/>
      <c r="AV1" s="631"/>
    </row>
    <row r="2" spans="1:48" ht="15.75" x14ac:dyDescent="0.25">
      <c r="A2" s="631"/>
      <c r="B2" s="631"/>
      <c r="C2" s="631"/>
      <c r="D2" s="631"/>
      <c r="E2" s="631"/>
      <c r="F2" s="631"/>
      <c r="G2" s="631"/>
      <c r="H2" s="631"/>
      <c r="I2" s="631"/>
      <c r="J2" s="631"/>
      <c r="K2" s="631"/>
      <c r="L2" s="631"/>
      <c r="M2" s="631"/>
      <c r="N2" s="631"/>
      <c r="O2" s="631"/>
      <c r="P2" s="631"/>
      <c r="Q2" s="631"/>
      <c r="R2" s="631"/>
      <c r="S2" s="631"/>
      <c r="T2" s="631"/>
      <c r="U2" s="631"/>
      <c r="V2" s="631"/>
      <c r="W2" s="631"/>
      <c r="X2" s="631"/>
      <c r="Y2" s="631"/>
      <c r="Z2" s="631"/>
      <c r="AA2" s="690"/>
      <c r="AB2" s="631"/>
      <c r="AC2" s="631"/>
      <c r="AD2" s="631"/>
      <c r="AE2" s="631"/>
      <c r="AF2" s="631"/>
      <c r="AG2" s="631"/>
      <c r="AH2" s="631"/>
      <c r="AI2" s="631"/>
      <c r="AJ2" s="631"/>
      <c r="AK2" s="631"/>
      <c r="AL2" s="631"/>
      <c r="AM2" s="631"/>
      <c r="AN2" s="631"/>
      <c r="AO2" s="631"/>
      <c r="AP2" s="691"/>
      <c r="AQ2" s="691"/>
      <c r="AR2" s="691"/>
      <c r="AS2" s="691"/>
      <c r="AT2" s="691"/>
      <c r="AU2" s="691"/>
      <c r="AV2" s="631"/>
    </row>
    <row r="3" spans="1:48" ht="15.75" x14ac:dyDescent="0.25">
      <c r="A3" s="631"/>
      <c r="B3" s="631"/>
      <c r="C3" s="631"/>
      <c r="D3" s="631"/>
      <c r="E3" s="631"/>
      <c r="F3" s="631"/>
      <c r="G3" s="631"/>
      <c r="H3" s="631"/>
      <c r="I3" s="631"/>
      <c r="J3" s="631"/>
      <c r="K3" s="631"/>
      <c r="L3" s="631"/>
      <c r="M3" s="631"/>
      <c r="N3" s="631"/>
      <c r="O3" s="631"/>
      <c r="P3" s="631"/>
      <c r="Q3" s="631"/>
      <c r="R3" s="631"/>
      <c r="S3" s="631"/>
      <c r="T3" s="631"/>
      <c r="U3" s="631"/>
      <c r="V3" s="631"/>
      <c r="W3" s="631"/>
      <c r="X3" s="631"/>
      <c r="Y3" s="631"/>
      <c r="Z3" s="631"/>
      <c r="AA3" s="690"/>
      <c r="AB3" s="631"/>
      <c r="AC3" s="631"/>
      <c r="AD3" s="631"/>
      <c r="AE3" s="631"/>
      <c r="AF3" s="631"/>
      <c r="AG3" s="631"/>
      <c r="AH3" s="631"/>
      <c r="AI3" s="631"/>
      <c r="AJ3" s="631"/>
      <c r="AK3" s="631"/>
      <c r="AL3" s="631"/>
      <c r="AM3" s="631"/>
      <c r="AN3" s="631"/>
      <c r="AO3" s="631"/>
      <c r="AP3" s="691"/>
      <c r="AQ3" s="691"/>
      <c r="AR3" s="691"/>
      <c r="AS3" s="691"/>
      <c r="AT3" s="691"/>
      <c r="AU3" s="691"/>
      <c r="AV3" s="631"/>
    </row>
    <row r="4" spans="1:48" ht="15.75" x14ac:dyDescent="0.25">
      <c r="A4" s="631"/>
      <c r="B4" s="631"/>
      <c r="C4" s="631"/>
      <c r="D4" s="631"/>
      <c r="E4" s="631"/>
      <c r="F4" s="631"/>
      <c r="G4" s="631"/>
      <c r="H4" s="631"/>
      <c r="I4" s="631"/>
      <c r="J4" s="631"/>
      <c r="K4" s="631"/>
      <c r="L4" s="631"/>
      <c r="M4" s="631"/>
      <c r="N4" s="631"/>
      <c r="O4" s="631"/>
      <c r="P4" s="631"/>
      <c r="Q4" s="631"/>
      <c r="R4" s="631"/>
      <c r="S4" s="631"/>
      <c r="T4" s="631"/>
      <c r="U4" s="631"/>
      <c r="V4" s="631"/>
      <c r="W4" s="631"/>
      <c r="X4" s="631"/>
      <c r="Y4" s="631"/>
      <c r="Z4" s="631"/>
      <c r="AA4" s="690"/>
      <c r="AB4" s="631"/>
      <c r="AC4" s="631"/>
      <c r="AD4" s="631"/>
      <c r="AE4" s="631"/>
      <c r="AF4" s="631"/>
      <c r="AG4" s="631"/>
      <c r="AH4" s="631"/>
      <c r="AI4" s="631"/>
      <c r="AJ4" s="631"/>
      <c r="AK4" s="631"/>
      <c r="AL4" s="631"/>
      <c r="AM4" s="631"/>
      <c r="AN4" s="631"/>
      <c r="AO4" s="631"/>
      <c r="AP4" s="691"/>
      <c r="AQ4" s="691"/>
      <c r="AR4" s="691"/>
      <c r="AS4" s="691"/>
      <c r="AT4" s="691"/>
      <c r="AU4" s="691"/>
      <c r="AV4" s="631"/>
    </row>
    <row r="5" spans="1:48" ht="15.75" x14ac:dyDescent="0.25">
      <c r="A5" s="631"/>
      <c r="B5" s="631"/>
      <c r="C5" s="631"/>
      <c r="D5" s="631"/>
      <c r="E5" s="631"/>
      <c r="F5" s="631"/>
      <c r="G5" s="631"/>
      <c r="H5" s="631"/>
      <c r="I5" s="631"/>
      <c r="J5" s="631"/>
      <c r="K5" s="631"/>
      <c r="L5" s="631"/>
      <c r="M5" s="631"/>
      <c r="N5" s="631"/>
      <c r="O5" s="631"/>
      <c r="P5" s="631"/>
      <c r="Q5" s="631"/>
      <c r="R5" s="631"/>
      <c r="S5" s="631"/>
      <c r="T5" s="631"/>
      <c r="U5" s="631"/>
      <c r="V5" s="631"/>
      <c r="W5" s="631"/>
      <c r="X5" s="631"/>
      <c r="Y5" s="631"/>
      <c r="Z5" s="631"/>
      <c r="AA5" s="690"/>
      <c r="AB5" s="631"/>
      <c r="AC5" s="631"/>
      <c r="AD5" s="631"/>
      <c r="AE5" s="631"/>
      <c r="AF5" s="631"/>
      <c r="AG5" s="631"/>
      <c r="AH5" s="631"/>
      <c r="AI5" s="631"/>
      <c r="AJ5" s="631"/>
      <c r="AK5" s="631"/>
      <c r="AL5" s="631"/>
      <c r="AM5" s="631"/>
      <c r="AN5" s="631"/>
      <c r="AO5" s="631"/>
      <c r="AP5" s="691"/>
      <c r="AQ5" s="691"/>
      <c r="AR5" s="691"/>
      <c r="AS5" s="691"/>
      <c r="AT5" s="691"/>
      <c r="AU5" s="691"/>
      <c r="AV5" s="631"/>
    </row>
    <row r="6" spans="1:48" ht="15.75" x14ac:dyDescent="0.25">
      <c r="A6" s="631"/>
      <c r="B6" s="631"/>
      <c r="C6" s="631"/>
      <c r="D6" s="631"/>
      <c r="E6" s="631"/>
      <c r="F6" s="631"/>
      <c r="G6" s="631"/>
      <c r="H6" s="631"/>
      <c r="I6" s="631"/>
      <c r="J6" s="631"/>
      <c r="K6" s="631"/>
      <c r="L6" s="631"/>
      <c r="M6" s="631"/>
      <c r="N6" s="631"/>
      <c r="O6" s="631"/>
      <c r="P6" s="631"/>
      <c r="Q6" s="631"/>
      <c r="R6" s="631"/>
      <c r="S6" s="631"/>
      <c r="T6" s="631"/>
      <c r="U6" s="631"/>
      <c r="V6" s="631"/>
      <c r="W6" s="631"/>
      <c r="X6" s="631"/>
      <c r="Y6" s="631"/>
      <c r="Z6" s="631"/>
      <c r="AA6" s="690"/>
      <c r="AB6" s="631"/>
      <c r="AC6" s="631"/>
      <c r="AD6" s="631"/>
      <c r="AE6" s="631"/>
      <c r="AF6" s="631"/>
      <c r="AG6" s="631"/>
      <c r="AH6" s="631"/>
      <c r="AI6" s="631"/>
      <c r="AJ6" s="631"/>
      <c r="AK6" s="631"/>
      <c r="AL6" s="631"/>
      <c r="AM6" s="631"/>
      <c r="AN6" s="631"/>
      <c r="AO6" s="631"/>
      <c r="AP6" s="691"/>
      <c r="AQ6" s="691"/>
      <c r="AR6" s="691"/>
      <c r="AS6" s="691"/>
      <c r="AT6" s="691"/>
      <c r="AU6" s="691"/>
      <c r="AV6" s="631"/>
    </row>
    <row r="7" spans="1:48" ht="15.75" x14ac:dyDescent="0.25">
      <c r="A7" s="631"/>
      <c r="B7" s="631"/>
      <c r="C7" s="631"/>
      <c r="D7" s="631"/>
      <c r="E7" s="631"/>
      <c r="F7" s="631"/>
      <c r="G7" s="631"/>
      <c r="H7" s="631"/>
      <c r="I7" s="631"/>
      <c r="J7" s="631"/>
      <c r="K7" s="631"/>
      <c r="L7" s="631"/>
      <c r="M7" s="631"/>
      <c r="N7" s="631"/>
      <c r="O7" s="631"/>
      <c r="P7" s="631"/>
      <c r="Q7" s="631"/>
      <c r="R7" s="631"/>
      <c r="S7" s="631"/>
      <c r="T7" s="631"/>
      <c r="U7" s="631"/>
      <c r="V7" s="631"/>
      <c r="W7" s="631"/>
      <c r="X7" s="631"/>
      <c r="Y7" s="631"/>
      <c r="Z7" s="631"/>
      <c r="AA7" s="690"/>
      <c r="AB7" s="631"/>
      <c r="AC7" s="631"/>
      <c r="AD7" s="631"/>
      <c r="AE7" s="631"/>
      <c r="AF7" s="631"/>
      <c r="AG7" s="631"/>
      <c r="AH7" s="631"/>
      <c r="AI7" s="631"/>
      <c r="AJ7" s="631"/>
      <c r="AK7" s="631"/>
      <c r="AL7" s="631"/>
      <c r="AM7" s="631"/>
      <c r="AN7" s="631"/>
      <c r="AO7" s="631"/>
      <c r="AP7" s="691"/>
      <c r="AQ7" s="691"/>
      <c r="AR7" s="691"/>
      <c r="AS7" s="691"/>
      <c r="AT7" s="691"/>
      <c r="AU7" s="691"/>
      <c r="AV7" s="631"/>
    </row>
    <row r="8" spans="1:48" ht="15.75" x14ac:dyDescent="0.25">
      <c r="A8" s="631"/>
      <c r="B8" s="631"/>
      <c r="C8" s="631"/>
      <c r="D8" s="631"/>
      <c r="E8" s="631"/>
      <c r="F8" s="631"/>
      <c r="G8" s="631"/>
      <c r="H8" s="631"/>
      <c r="I8" s="631"/>
      <c r="J8" s="631"/>
      <c r="K8" s="631"/>
      <c r="L8" s="631"/>
      <c r="M8" s="631"/>
      <c r="N8" s="631"/>
      <c r="O8" s="631"/>
      <c r="P8" s="631"/>
      <c r="Q8" s="631"/>
      <c r="R8" s="631"/>
      <c r="S8" s="631"/>
      <c r="T8" s="631"/>
      <c r="U8" s="631"/>
      <c r="V8" s="631"/>
      <c r="W8" s="631"/>
      <c r="X8" s="631"/>
      <c r="Y8" s="631"/>
      <c r="Z8" s="631"/>
      <c r="AA8" s="690"/>
      <c r="AB8" s="631"/>
      <c r="AC8" s="631"/>
      <c r="AD8" s="631"/>
      <c r="AE8" s="631"/>
      <c r="AF8" s="631"/>
      <c r="AG8" s="631"/>
      <c r="AH8" s="631"/>
      <c r="AI8" s="631"/>
      <c r="AJ8" s="631"/>
      <c r="AK8" s="631"/>
      <c r="AL8" s="631"/>
      <c r="AM8" s="631"/>
      <c r="AN8" s="631"/>
      <c r="AO8" s="631"/>
      <c r="AP8" s="691"/>
      <c r="AQ8" s="691"/>
      <c r="AR8" s="691"/>
      <c r="AS8" s="691"/>
      <c r="AT8" s="691"/>
      <c r="AU8" s="691"/>
      <c r="AV8" s="631"/>
    </row>
    <row r="9" spans="1:48" ht="15.75" x14ac:dyDescent="0.25">
      <c r="A9" s="631"/>
      <c r="B9" s="631"/>
      <c r="C9" s="631"/>
      <c r="D9" s="631"/>
      <c r="E9" s="631"/>
      <c r="F9" s="631"/>
      <c r="G9" s="631"/>
      <c r="H9" s="631"/>
      <c r="I9" s="631"/>
      <c r="J9" s="631"/>
      <c r="K9" s="631"/>
      <c r="L9" s="631"/>
      <c r="M9" s="631"/>
      <c r="N9" s="631"/>
      <c r="O9" s="631"/>
      <c r="P9" s="631"/>
      <c r="Q9" s="631"/>
      <c r="R9" s="631"/>
      <c r="S9" s="631"/>
      <c r="T9" s="631"/>
      <c r="U9" s="631"/>
      <c r="V9" s="631"/>
      <c r="W9" s="631"/>
      <c r="X9" s="631"/>
      <c r="Y9" s="631"/>
      <c r="Z9" s="631"/>
      <c r="AA9" s="690"/>
      <c r="AB9" s="631"/>
      <c r="AC9" s="631"/>
      <c r="AD9" s="631"/>
      <c r="AE9" s="631"/>
      <c r="AF9" s="631"/>
      <c r="AG9" s="631"/>
      <c r="AH9" s="631"/>
      <c r="AI9" s="631"/>
      <c r="AJ9" s="631"/>
      <c r="AK9" s="631"/>
      <c r="AL9" s="631"/>
      <c r="AM9" s="631"/>
      <c r="AN9" s="631"/>
      <c r="AO9" s="631"/>
      <c r="AP9" s="691"/>
      <c r="AQ9" s="691"/>
      <c r="AR9" s="691"/>
      <c r="AS9" s="691"/>
      <c r="AT9" s="691"/>
      <c r="AU9" s="691"/>
      <c r="AV9" s="631"/>
    </row>
    <row r="10" spans="1:48" ht="18.75" x14ac:dyDescent="0.3">
      <c r="A10" s="631"/>
      <c r="B10" s="862" t="s">
        <v>1344</v>
      </c>
      <c r="C10" s="631"/>
      <c r="D10" s="631"/>
      <c r="E10" s="631"/>
      <c r="F10" s="631"/>
      <c r="G10" s="631"/>
      <c r="H10" s="631"/>
      <c r="I10" s="631"/>
      <c r="J10" s="631"/>
      <c r="K10" s="631"/>
      <c r="L10" s="631"/>
      <c r="M10" s="631"/>
      <c r="N10" s="631"/>
      <c r="O10" s="631"/>
      <c r="P10" s="631"/>
      <c r="Q10" s="631"/>
      <c r="R10" s="631"/>
      <c r="S10" s="631"/>
      <c r="T10" s="631"/>
      <c r="U10" s="631"/>
      <c r="V10" s="631"/>
      <c r="W10" s="631"/>
      <c r="X10" s="631"/>
      <c r="Y10" s="631"/>
      <c r="Z10" s="631"/>
      <c r="AA10" s="690"/>
      <c r="AB10" s="631"/>
      <c r="AC10" s="631"/>
      <c r="AD10" s="631"/>
      <c r="AE10" s="631"/>
      <c r="AF10" s="631"/>
      <c r="AG10" s="631"/>
      <c r="AH10" s="631"/>
      <c r="AI10" s="631"/>
      <c r="AJ10" s="631"/>
      <c r="AK10" s="631"/>
      <c r="AL10" s="631"/>
      <c r="AM10" s="631"/>
      <c r="AN10" s="631"/>
      <c r="AO10" s="631"/>
      <c r="AP10" s="691"/>
      <c r="AQ10" s="691"/>
      <c r="AR10" s="691"/>
      <c r="AS10" s="691"/>
      <c r="AT10" s="691"/>
      <c r="AU10" s="691"/>
      <c r="AV10" s="631"/>
    </row>
    <row r="11" spans="1:48" ht="15.75" x14ac:dyDescent="0.25">
      <c r="A11" s="631"/>
      <c r="B11" s="692"/>
      <c r="C11" s="631"/>
      <c r="D11" s="631"/>
      <c r="E11" s="631"/>
      <c r="F11" s="631"/>
      <c r="G11" s="631"/>
      <c r="H11" s="631"/>
      <c r="I11" s="631"/>
      <c r="J11" s="631"/>
      <c r="K11" s="631"/>
      <c r="L11" s="631"/>
      <c r="M11" s="631"/>
      <c r="N11" s="631"/>
      <c r="O11" s="631"/>
      <c r="P11" s="631"/>
      <c r="Q11" s="631"/>
      <c r="R11" s="631"/>
      <c r="S11" s="631"/>
      <c r="T11" s="631"/>
      <c r="U11" s="631"/>
      <c r="V11" s="631"/>
      <c r="W11" s="631"/>
      <c r="X11" s="631"/>
      <c r="Y11" s="631"/>
      <c r="Z11" s="631"/>
      <c r="AA11" s="690"/>
      <c r="AB11" s="631"/>
      <c r="AC11" s="631"/>
      <c r="AD11" s="631"/>
      <c r="AE11" s="631"/>
      <c r="AF11" s="631"/>
      <c r="AG11" s="631"/>
      <c r="AH11" s="631"/>
      <c r="AI11" s="631"/>
      <c r="AJ11" s="631"/>
      <c r="AK11" s="631"/>
      <c r="AL11" s="631"/>
      <c r="AM11" s="631"/>
      <c r="AN11" s="631"/>
      <c r="AO11" s="631"/>
      <c r="AP11" s="691"/>
      <c r="AQ11" s="691"/>
      <c r="AR11" s="691"/>
      <c r="AS11" s="691"/>
      <c r="AT11" s="691"/>
      <c r="AU11" s="691"/>
      <c r="AV11" s="631"/>
    </row>
    <row r="12" spans="1:48" ht="15.75" x14ac:dyDescent="0.25">
      <c r="A12" s="631"/>
      <c r="B12" s="631"/>
      <c r="C12" s="638" t="s">
        <v>142</v>
      </c>
      <c r="D12" s="1333">
        <f>IF(OR(Ano="Selecione",Ano=0),"Escolha o ano do inventário na aba 'Introdução'",Ano)</f>
        <v>2030</v>
      </c>
      <c r="E12" s="1333"/>
      <c r="F12" s="1333"/>
      <c r="G12" s="693"/>
      <c r="H12" s="693"/>
      <c r="I12" s="693"/>
      <c r="J12" s="693"/>
      <c r="K12" s="631"/>
      <c r="L12" s="631"/>
      <c r="M12" s="631"/>
      <c r="N12" s="631"/>
      <c r="O12" s="631"/>
      <c r="P12" s="631"/>
      <c r="Q12" s="631"/>
      <c r="R12" s="631"/>
      <c r="S12" s="631"/>
      <c r="T12" s="631"/>
      <c r="U12" s="631"/>
      <c r="V12" s="631"/>
      <c r="W12" s="631"/>
      <c r="X12" s="631"/>
      <c r="Y12" s="631"/>
      <c r="Z12" s="631"/>
      <c r="AA12" s="690"/>
      <c r="AB12" s="631"/>
      <c r="AC12" s="631"/>
      <c r="AD12" s="631"/>
      <c r="AE12" s="631"/>
      <c r="AF12" s="631"/>
      <c r="AG12" s="631"/>
      <c r="AH12" s="631"/>
      <c r="AI12" s="631"/>
      <c r="AJ12" s="631"/>
      <c r="AK12" s="631"/>
      <c r="AL12" s="631"/>
      <c r="AM12" s="631"/>
      <c r="AN12" s="631"/>
      <c r="AO12" s="631"/>
      <c r="AP12" s="691"/>
      <c r="AQ12" s="691"/>
      <c r="AR12" s="691"/>
      <c r="AS12" s="691"/>
      <c r="AT12" s="691"/>
      <c r="AU12" s="691"/>
      <c r="AV12" s="631"/>
    </row>
    <row r="13" spans="1:48" ht="15.75" x14ac:dyDescent="0.25">
      <c r="A13" s="631"/>
      <c r="B13" s="631"/>
      <c r="C13" s="694"/>
      <c r="D13" s="694"/>
      <c r="E13" s="693"/>
      <c r="F13" s="693"/>
      <c r="G13" s="693"/>
      <c r="H13" s="693"/>
      <c r="I13" s="693"/>
      <c r="J13" s="693"/>
      <c r="K13" s="631"/>
      <c r="L13" s="631"/>
      <c r="M13" s="631"/>
      <c r="N13" s="631"/>
      <c r="O13" s="631"/>
      <c r="P13" s="631"/>
      <c r="Q13" s="631"/>
      <c r="R13" s="631"/>
      <c r="S13" s="631"/>
      <c r="T13" s="631"/>
      <c r="U13" s="631"/>
      <c r="V13" s="631"/>
      <c r="W13" s="631"/>
      <c r="X13" s="631"/>
      <c r="Y13" s="631"/>
      <c r="Z13" s="631"/>
      <c r="AA13" s="690"/>
      <c r="AB13" s="631"/>
      <c r="AC13" s="631"/>
      <c r="AD13" s="631"/>
      <c r="AE13" s="631"/>
      <c r="AF13" s="631"/>
      <c r="AG13" s="631"/>
      <c r="AH13" s="631"/>
      <c r="AI13" s="631"/>
      <c r="AJ13" s="631"/>
      <c r="AK13" s="631"/>
      <c r="AL13" s="631"/>
      <c r="AM13" s="631"/>
      <c r="AN13" s="631"/>
      <c r="AO13" s="631"/>
      <c r="AP13" s="691"/>
      <c r="AQ13" s="691"/>
      <c r="AR13" s="691"/>
      <c r="AS13" s="691"/>
      <c r="AT13" s="691"/>
      <c r="AU13" s="691"/>
      <c r="AV13" s="631"/>
    </row>
    <row r="14" spans="1:48" ht="15.75" x14ac:dyDescent="0.25">
      <c r="A14" s="631"/>
      <c r="B14" s="728" t="s">
        <v>4</v>
      </c>
      <c r="C14" s="690"/>
      <c r="D14" s="690"/>
      <c r="E14" s="690"/>
      <c r="F14" s="690"/>
      <c r="G14" s="690"/>
      <c r="H14" s="690"/>
      <c r="I14" s="690"/>
      <c r="J14" s="690"/>
      <c r="K14" s="690"/>
      <c r="L14" s="690"/>
      <c r="M14" s="690"/>
      <c r="N14" s="690"/>
      <c r="O14" s="690"/>
      <c r="P14" s="690"/>
      <c r="Q14" s="690"/>
      <c r="R14" s="690"/>
      <c r="S14" s="690"/>
      <c r="T14" s="690"/>
      <c r="U14" s="690"/>
      <c r="V14" s="690"/>
      <c r="W14" s="690"/>
      <c r="X14" s="690"/>
      <c r="Y14" s="690"/>
      <c r="Z14" s="690"/>
      <c r="AA14" s="690"/>
      <c r="AB14" s="690"/>
      <c r="AC14" s="690"/>
      <c r="AD14" s="690"/>
      <c r="AE14" s="690"/>
      <c r="AF14" s="690"/>
      <c r="AG14" s="690"/>
      <c r="AH14" s="690"/>
      <c r="AI14" s="690"/>
      <c r="AJ14" s="690"/>
      <c r="AK14" s="690"/>
      <c r="AL14" s="690"/>
      <c r="AM14" s="696"/>
      <c r="AN14" s="697"/>
      <c r="AO14" s="690"/>
      <c r="AP14" s="698"/>
      <c r="AQ14" s="698"/>
      <c r="AR14" s="698"/>
      <c r="AS14" s="698"/>
      <c r="AT14" s="698"/>
      <c r="AU14" s="698"/>
      <c r="AV14" s="631"/>
    </row>
    <row r="15" spans="1:48" s="237" customFormat="1" ht="15" customHeight="1" x14ac:dyDescent="0.25">
      <c r="A15" s="729"/>
      <c r="B15" s="1325" t="s">
        <v>2203</v>
      </c>
      <c r="C15" s="1325"/>
      <c r="D15" s="1325"/>
      <c r="E15" s="1325"/>
      <c r="F15" s="1325"/>
      <c r="G15" s="1325"/>
      <c r="H15" s="1325"/>
      <c r="I15" s="730"/>
      <c r="J15" s="730"/>
      <c r="K15" s="730"/>
      <c r="V15" s="729"/>
      <c r="W15" s="729"/>
      <c r="X15" s="729"/>
      <c r="Y15" s="729"/>
      <c r="Z15" s="729"/>
      <c r="AA15" s="729"/>
      <c r="AB15" s="729"/>
      <c r="AC15" s="729"/>
      <c r="AD15" s="729"/>
      <c r="AE15" s="729"/>
      <c r="AF15" s="729"/>
      <c r="AG15" s="729"/>
      <c r="AH15" s="729"/>
      <c r="AI15" s="729"/>
      <c r="AJ15" s="729"/>
      <c r="AK15" s="729"/>
      <c r="AL15" s="729"/>
      <c r="AM15" s="731"/>
      <c r="AN15" s="729"/>
      <c r="AO15" s="729"/>
      <c r="AP15" s="732"/>
      <c r="AQ15" s="732"/>
      <c r="AR15" s="732"/>
      <c r="AS15" s="732"/>
      <c r="AT15" s="732"/>
      <c r="AU15" s="732"/>
      <c r="AV15" s="729"/>
    </row>
    <row r="16" spans="1:48" s="237" customFormat="1" ht="15" x14ac:dyDescent="0.25">
      <c r="A16" s="729"/>
      <c r="B16" s="1325"/>
      <c r="C16" s="1325"/>
      <c r="D16" s="1325"/>
      <c r="E16" s="1325"/>
      <c r="F16" s="1325"/>
      <c r="G16" s="1325"/>
      <c r="H16" s="1325"/>
      <c r="I16" s="730"/>
      <c r="J16" s="730"/>
      <c r="K16" s="730"/>
      <c r="V16" s="729"/>
      <c r="W16" s="729"/>
      <c r="X16" s="729"/>
      <c r="Y16" s="729"/>
      <c r="Z16" s="729"/>
      <c r="AA16" s="729"/>
      <c r="AB16" s="729"/>
      <c r="AC16" s="729"/>
      <c r="AD16" s="729"/>
      <c r="AE16" s="729"/>
      <c r="AF16" s="729"/>
      <c r="AG16" s="729"/>
      <c r="AH16" s="729"/>
      <c r="AI16" s="729"/>
      <c r="AJ16" s="729"/>
      <c r="AK16" s="729"/>
      <c r="AL16" s="729"/>
      <c r="AM16" s="731"/>
      <c r="AN16" s="729"/>
      <c r="AO16" s="729"/>
      <c r="AP16" s="732"/>
      <c r="AQ16" s="732"/>
      <c r="AR16" s="732"/>
      <c r="AS16" s="732"/>
      <c r="AT16" s="732"/>
      <c r="AU16" s="732"/>
      <c r="AV16" s="729"/>
    </row>
    <row r="17" spans="1:56" s="237" customFormat="1" ht="15" customHeight="1" x14ac:dyDescent="0.25">
      <c r="A17" s="729"/>
      <c r="B17" s="1325"/>
      <c r="C17" s="1325"/>
      <c r="D17" s="1325"/>
      <c r="E17" s="1325"/>
      <c r="F17" s="1325"/>
      <c r="G17" s="1325"/>
      <c r="H17" s="1325"/>
      <c r="V17" s="729"/>
      <c r="W17" s="729"/>
      <c r="X17" s="729"/>
      <c r="Y17" s="729"/>
      <c r="Z17" s="729"/>
      <c r="AA17" s="729"/>
      <c r="AB17" s="729"/>
      <c r="AC17" s="729"/>
      <c r="AD17" s="729"/>
      <c r="AE17" s="729"/>
      <c r="AF17" s="729"/>
      <c r="AG17" s="729"/>
      <c r="AH17" s="729"/>
      <c r="AI17" s="729"/>
      <c r="AJ17" s="729"/>
      <c r="AK17" s="729"/>
      <c r="AL17" s="729"/>
      <c r="AM17" s="731"/>
      <c r="AN17" s="729"/>
      <c r="AO17" s="729"/>
      <c r="AP17" s="732"/>
      <c r="AQ17" s="732"/>
      <c r="AR17" s="732"/>
      <c r="AS17" s="732"/>
      <c r="AT17" s="732"/>
      <c r="AU17" s="732"/>
      <c r="AV17" s="729"/>
    </row>
    <row r="18" spans="1:56" s="237" customFormat="1" ht="15" customHeight="1" x14ac:dyDescent="0.25">
      <c r="A18" s="729"/>
      <c r="B18" s="1325" t="s">
        <v>2011</v>
      </c>
      <c r="C18" s="1325"/>
      <c r="D18" s="1325"/>
      <c r="E18" s="1325"/>
      <c r="F18" s="1325"/>
      <c r="G18" s="1325"/>
      <c r="H18" s="1325"/>
      <c r="I18" s="730"/>
      <c r="J18" s="730"/>
      <c r="K18" s="730"/>
      <c r="V18" s="729"/>
      <c r="W18" s="729"/>
      <c r="X18" s="729"/>
      <c r="Y18" s="729"/>
      <c r="Z18" s="729"/>
      <c r="AA18" s="729"/>
      <c r="AB18" s="729"/>
      <c r="AC18" s="729"/>
      <c r="AD18" s="729"/>
      <c r="AE18" s="729"/>
      <c r="AF18" s="729"/>
      <c r="AG18" s="729"/>
      <c r="AH18" s="729"/>
      <c r="AI18" s="729"/>
      <c r="AJ18" s="729"/>
      <c r="AK18" s="729"/>
      <c r="AL18" s="729"/>
      <c r="AM18" s="731"/>
      <c r="AN18" s="729"/>
      <c r="AO18" s="729"/>
      <c r="AP18" s="732"/>
      <c r="AQ18" s="732"/>
      <c r="AR18" s="732"/>
      <c r="AS18" s="732"/>
      <c r="AT18" s="732"/>
      <c r="AU18" s="732"/>
      <c r="AV18" s="729"/>
    </row>
    <row r="19" spans="1:56" s="237" customFormat="1" ht="33.75" customHeight="1" x14ac:dyDescent="0.25">
      <c r="A19" s="729"/>
      <c r="B19" s="1325"/>
      <c r="C19" s="1325"/>
      <c r="D19" s="1325"/>
      <c r="E19" s="1325"/>
      <c r="F19" s="1325"/>
      <c r="G19" s="1325"/>
      <c r="H19" s="1325"/>
      <c r="I19" s="730"/>
      <c r="J19" s="730"/>
      <c r="K19" s="730"/>
      <c r="V19" s="729"/>
      <c r="W19" s="729"/>
      <c r="X19" s="729"/>
      <c r="Y19" s="729"/>
      <c r="Z19" s="729"/>
      <c r="AA19" s="729"/>
      <c r="AB19" s="729"/>
      <c r="AC19" s="729"/>
      <c r="AD19" s="729"/>
      <c r="AE19" s="729"/>
      <c r="AF19" s="729"/>
      <c r="AG19" s="729"/>
      <c r="AH19" s="729"/>
      <c r="AI19" s="729"/>
      <c r="AJ19" s="729"/>
      <c r="AK19" s="729"/>
      <c r="AL19" s="729"/>
      <c r="AM19" s="731"/>
      <c r="AN19" s="729"/>
      <c r="AO19" s="729"/>
      <c r="AP19" s="732"/>
      <c r="AQ19" s="732"/>
      <c r="AR19" s="732"/>
      <c r="AS19" s="732"/>
      <c r="AT19" s="732"/>
      <c r="AU19" s="732"/>
      <c r="AV19" s="729"/>
    </row>
    <row r="20" spans="1:56" s="237" customFormat="1" ht="15" customHeight="1" x14ac:dyDescent="0.25">
      <c r="A20" s="729"/>
      <c r="B20" s="1331" t="s">
        <v>2015</v>
      </c>
      <c r="C20" s="1331"/>
      <c r="D20" s="1331"/>
      <c r="E20" s="1331"/>
      <c r="F20" s="1331"/>
      <c r="G20" s="1331"/>
      <c r="H20" s="1331"/>
      <c r="I20" s="730"/>
      <c r="J20" s="730"/>
      <c r="K20" s="730"/>
      <c r="V20" s="729"/>
      <c r="W20" s="729"/>
      <c r="X20" s="729"/>
      <c r="Y20" s="729"/>
      <c r="Z20" s="729"/>
      <c r="AA20" s="729"/>
      <c r="AB20" s="729"/>
      <c r="AC20" s="729"/>
      <c r="AD20" s="729"/>
      <c r="AE20" s="729"/>
      <c r="AF20" s="729"/>
      <c r="AG20" s="729"/>
      <c r="AH20" s="729"/>
      <c r="AI20" s="729"/>
      <c r="AJ20" s="729"/>
      <c r="AK20" s="729"/>
      <c r="AL20" s="729"/>
      <c r="AM20" s="731"/>
      <c r="AN20" s="729"/>
      <c r="AO20" s="729"/>
      <c r="AP20" s="732"/>
      <c r="AQ20" s="732"/>
      <c r="AR20" s="732"/>
      <c r="AS20" s="732"/>
      <c r="AT20" s="732"/>
      <c r="AU20" s="732"/>
      <c r="AV20" s="729"/>
    </row>
    <row r="21" spans="1:56" s="237" customFormat="1" ht="15" customHeight="1" x14ac:dyDescent="0.25">
      <c r="A21" s="729"/>
      <c r="B21" s="1331"/>
      <c r="C21" s="1331"/>
      <c r="D21" s="1331"/>
      <c r="E21" s="1331"/>
      <c r="F21" s="1331"/>
      <c r="G21" s="1331"/>
      <c r="H21" s="1331"/>
      <c r="I21" s="730"/>
      <c r="J21" s="730"/>
      <c r="K21" s="730"/>
      <c r="V21" s="729"/>
      <c r="W21" s="729"/>
      <c r="X21" s="729"/>
      <c r="Y21" s="729"/>
      <c r="Z21" s="729"/>
      <c r="AA21" s="729"/>
      <c r="AB21" s="729"/>
      <c r="AC21" s="729"/>
      <c r="AD21" s="729"/>
      <c r="AE21" s="729"/>
      <c r="AF21" s="729"/>
      <c r="AG21" s="729"/>
      <c r="AH21" s="729"/>
      <c r="AI21" s="729"/>
      <c r="AJ21" s="729"/>
      <c r="AK21" s="729"/>
      <c r="AL21" s="729"/>
      <c r="AM21" s="731"/>
      <c r="AN21" s="729"/>
      <c r="AO21" s="729"/>
      <c r="AP21" s="732"/>
      <c r="AQ21" s="732"/>
      <c r="AR21" s="732"/>
      <c r="AS21" s="732"/>
      <c r="AT21" s="732"/>
      <c r="AU21" s="732"/>
      <c r="AV21" s="729"/>
    </row>
    <row r="22" spans="1:56" s="237" customFormat="1" ht="15" customHeight="1" x14ac:dyDescent="0.25">
      <c r="A22" s="729"/>
      <c r="B22" s="1325" t="s">
        <v>2016</v>
      </c>
      <c r="C22" s="1325"/>
      <c r="D22" s="1325"/>
      <c r="E22" s="1325"/>
      <c r="F22" s="1325"/>
      <c r="G22" s="1325"/>
      <c r="H22" s="1325"/>
      <c r="V22" s="729"/>
      <c r="W22" s="729"/>
      <c r="X22" s="729"/>
      <c r="Y22" s="729"/>
      <c r="Z22" s="729"/>
      <c r="AA22" s="729"/>
      <c r="AB22" s="729"/>
      <c r="AC22" s="729"/>
      <c r="AD22" s="729"/>
      <c r="AE22" s="729"/>
      <c r="AF22" s="729"/>
      <c r="AG22" s="729"/>
      <c r="AH22" s="729"/>
      <c r="AI22" s="729"/>
      <c r="AJ22" s="729"/>
      <c r="AK22" s="729"/>
      <c r="AL22" s="729"/>
      <c r="AM22" s="731"/>
      <c r="AN22" s="729"/>
      <c r="AO22" s="729"/>
      <c r="AP22" s="732"/>
      <c r="AQ22" s="732"/>
      <c r="AR22" s="732"/>
      <c r="AS22" s="732"/>
      <c r="AT22" s="732"/>
      <c r="AU22" s="732"/>
      <c r="AV22" s="729"/>
    </row>
    <row r="23" spans="1:56" s="237" customFormat="1" ht="15" x14ac:dyDescent="0.25">
      <c r="A23" s="729"/>
      <c r="B23" s="1325"/>
      <c r="C23" s="1325"/>
      <c r="D23" s="1325"/>
      <c r="E23" s="1325"/>
      <c r="F23" s="1325"/>
      <c r="G23" s="1325"/>
      <c r="H23" s="1325"/>
      <c r="V23" s="729"/>
      <c r="W23" s="729"/>
      <c r="X23" s="729"/>
      <c r="Y23" s="729"/>
      <c r="Z23" s="729"/>
      <c r="AA23" s="729"/>
      <c r="AB23" s="729"/>
      <c r="AC23" s="729"/>
      <c r="AD23" s="729"/>
      <c r="AE23" s="729"/>
      <c r="AF23" s="729"/>
      <c r="AG23" s="729"/>
      <c r="AH23" s="729"/>
      <c r="AI23" s="729"/>
      <c r="AJ23" s="729"/>
      <c r="AK23" s="729"/>
      <c r="AL23" s="729"/>
      <c r="AM23" s="731"/>
      <c r="AN23" s="729"/>
      <c r="AO23" s="729"/>
      <c r="AP23" s="732"/>
      <c r="AQ23" s="732"/>
      <c r="AR23" s="732"/>
      <c r="AS23" s="732"/>
      <c r="AT23" s="732"/>
      <c r="AU23" s="732"/>
      <c r="AV23" s="729"/>
    </row>
    <row r="24" spans="1:56" s="237" customFormat="1" ht="15" x14ac:dyDescent="0.25">
      <c r="A24" s="729"/>
      <c r="B24" s="1325"/>
      <c r="C24" s="1325"/>
      <c r="D24" s="1325"/>
      <c r="E24" s="1325"/>
      <c r="F24" s="1325"/>
      <c r="G24" s="1325"/>
      <c r="H24" s="1325"/>
      <c r="V24" s="729"/>
      <c r="W24" s="729"/>
      <c r="X24" s="729"/>
      <c r="Y24" s="729"/>
      <c r="Z24" s="729"/>
      <c r="AA24" s="729"/>
      <c r="AB24" s="729"/>
      <c r="AC24" s="729"/>
      <c r="AD24" s="729"/>
      <c r="AE24" s="729"/>
      <c r="AF24" s="729"/>
      <c r="AG24" s="729"/>
      <c r="AH24" s="729"/>
      <c r="AI24" s="729"/>
      <c r="AJ24" s="729"/>
      <c r="AK24" s="729"/>
      <c r="AL24" s="729"/>
      <c r="AM24" s="731"/>
      <c r="AN24" s="729"/>
      <c r="AO24" s="729"/>
      <c r="AP24" s="732"/>
      <c r="AQ24" s="732"/>
      <c r="AR24" s="732"/>
      <c r="AS24" s="732"/>
      <c r="AT24" s="732"/>
      <c r="AU24" s="732"/>
      <c r="AV24" s="729"/>
    </row>
    <row r="25" spans="1:56" s="237" customFormat="1" ht="15" x14ac:dyDescent="0.25">
      <c r="A25" s="729"/>
      <c r="B25" s="1325"/>
      <c r="C25" s="1325"/>
      <c r="D25" s="1325"/>
      <c r="E25" s="1325"/>
      <c r="F25" s="1325"/>
      <c r="G25" s="1325"/>
      <c r="H25" s="1325"/>
      <c r="L25" s="729"/>
      <c r="M25" s="729"/>
      <c r="N25" s="729"/>
      <c r="O25" s="729"/>
      <c r="P25" s="729"/>
      <c r="Q25" s="729"/>
      <c r="R25" s="729"/>
      <c r="S25" s="729"/>
      <c r="T25" s="729"/>
      <c r="U25" s="729"/>
      <c r="V25" s="729"/>
      <c r="W25" s="729"/>
      <c r="X25" s="729"/>
      <c r="Y25" s="729"/>
      <c r="Z25" s="729"/>
      <c r="AA25" s="729"/>
      <c r="AB25" s="729"/>
      <c r="AC25" s="729"/>
      <c r="AD25" s="729"/>
      <c r="AE25" s="729"/>
      <c r="AF25" s="729"/>
      <c r="AG25" s="729"/>
      <c r="AH25" s="729"/>
      <c r="AI25" s="729"/>
      <c r="AJ25" s="729"/>
      <c r="AK25" s="729"/>
      <c r="AL25" s="729"/>
      <c r="AM25" s="731"/>
      <c r="AN25" s="729"/>
      <c r="AO25" s="729"/>
      <c r="AP25" s="732"/>
      <c r="AQ25" s="732"/>
      <c r="AR25" s="732"/>
      <c r="AS25" s="732"/>
      <c r="AT25" s="732"/>
      <c r="AU25" s="732"/>
      <c r="AV25" s="729"/>
    </row>
    <row r="26" spans="1:56" s="237" customFormat="1" ht="15" customHeight="1" x14ac:dyDescent="0.25">
      <c r="A26" s="729"/>
      <c r="B26" s="1336" t="s">
        <v>2012</v>
      </c>
      <c r="C26" s="1336"/>
      <c r="D26" s="1336"/>
      <c r="E26" s="1336"/>
      <c r="F26" s="1336"/>
      <c r="G26" s="1336"/>
      <c r="H26" s="1336"/>
      <c r="I26" s="206"/>
      <c r="J26" s="206"/>
      <c r="K26" s="206"/>
      <c r="L26" s="729"/>
      <c r="M26" s="729"/>
      <c r="N26" s="729"/>
      <c r="O26" s="729"/>
      <c r="P26" s="729"/>
      <c r="Q26" s="729"/>
      <c r="R26" s="729"/>
      <c r="S26" s="729"/>
      <c r="T26" s="729"/>
      <c r="U26" s="729"/>
      <c r="V26" s="729"/>
      <c r="W26" s="729"/>
      <c r="X26" s="729"/>
      <c r="Y26" s="729"/>
      <c r="Z26" s="729"/>
      <c r="AA26" s="729"/>
      <c r="AB26" s="729"/>
      <c r="AC26" s="729"/>
      <c r="AD26" s="729"/>
      <c r="AE26" s="729"/>
      <c r="AF26" s="729"/>
      <c r="AG26" s="729"/>
      <c r="AH26" s="729"/>
      <c r="AI26" s="729"/>
      <c r="AJ26" s="729"/>
      <c r="AK26" s="729"/>
      <c r="AL26" s="729"/>
      <c r="AM26" s="731"/>
      <c r="AN26" s="729"/>
      <c r="AO26" s="729"/>
      <c r="AP26" s="732"/>
      <c r="AQ26" s="732"/>
      <c r="AR26" s="732"/>
      <c r="AS26" s="732"/>
      <c r="AT26" s="732"/>
      <c r="AU26" s="732"/>
      <c r="AV26" s="729"/>
    </row>
    <row r="27" spans="1:56" s="237" customFormat="1" ht="15" customHeight="1" x14ac:dyDescent="0.25">
      <c r="A27" s="729"/>
      <c r="B27" s="1334" t="s">
        <v>2204</v>
      </c>
      <c r="C27" s="1334"/>
      <c r="D27" s="1334"/>
      <c r="E27" s="1334"/>
      <c r="F27" s="1334"/>
      <c r="G27" s="1334"/>
      <c r="H27" s="1334"/>
      <c r="I27" s="206"/>
      <c r="J27" s="206"/>
      <c r="K27" s="206"/>
      <c r="L27" s="729"/>
      <c r="M27" s="729"/>
      <c r="N27" s="729"/>
      <c r="O27" s="729"/>
      <c r="P27" s="729"/>
      <c r="Q27" s="729"/>
      <c r="R27" s="729"/>
      <c r="S27" s="729"/>
      <c r="T27" s="729"/>
      <c r="U27" s="729"/>
      <c r="V27" s="729"/>
      <c r="W27" s="729"/>
      <c r="X27" s="729"/>
      <c r="Y27" s="729"/>
      <c r="Z27" s="729"/>
      <c r="AA27" s="729"/>
      <c r="AB27" s="729"/>
      <c r="AC27" s="729"/>
      <c r="AD27" s="729"/>
      <c r="AE27" s="729"/>
      <c r="AF27" s="729"/>
      <c r="AG27" s="729"/>
      <c r="AH27" s="729"/>
      <c r="AI27" s="729"/>
      <c r="AJ27" s="729"/>
      <c r="AK27" s="729"/>
      <c r="AL27" s="729"/>
      <c r="AM27" s="731"/>
      <c r="AN27" s="729"/>
      <c r="AO27" s="729"/>
      <c r="AP27" s="732"/>
      <c r="AQ27" s="732"/>
      <c r="AR27" s="732"/>
      <c r="AS27" s="732"/>
      <c r="AT27" s="732"/>
      <c r="AU27" s="732"/>
      <c r="AV27" s="729"/>
    </row>
    <row r="28" spans="1:56" s="237" customFormat="1" ht="15" customHeight="1" x14ac:dyDescent="0.25">
      <c r="A28" s="729"/>
      <c r="B28" s="1335" t="s">
        <v>2013</v>
      </c>
      <c r="C28" s="1335"/>
      <c r="D28" s="1335"/>
      <c r="E28" s="1335"/>
      <c r="F28" s="1335"/>
      <c r="G28" s="1335"/>
      <c r="H28" s="1335"/>
      <c r="I28" s="206"/>
      <c r="J28" s="206"/>
      <c r="K28" s="206"/>
      <c r="L28" s="729"/>
      <c r="M28" s="729"/>
      <c r="N28" s="729"/>
      <c r="O28" s="729"/>
      <c r="P28" s="729"/>
      <c r="Q28" s="729"/>
      <c r="R28" s="729"/>
      <c r="S28" s="729"/>
      <c r="T28" s="729"/>
      <c r="U28" s="729"/>
      <c r="V28" s="729"/>
      <c r="W28" s="729"/>
      <c r="X28" s="729"/>
      <c r="Y28" s="729"/>
      <c r="Z28" s="729"/>
      <c r="AA28" s="729"/>
      <c r="AB28" s="729"/>
      <c r="AC28" s="729"/>
      <c r="AD28" s="729"/>
      <c r="AE28" s="729"/>
      <c r="AF28" s="729"/>
      <c r="AG28" s="729"/>
      <c r="AH28" s="729"/>
      <c r="AI28" s="729"/>
      <c r="AJ28" s="729"/>
      <c r="AK28" s="729"/>
      <c r="AL28" s="729"/>
      <c r="AM28" s="731"/>
      <c r="AN28" s="729"/>
      <c r="AO28" s="729"/>
      <c r="AP28" s="732"/>
      <c r="AQ28" s="732"/>
      <c r="AR28" s="732"/>
      <c r="AS28" s="732"/>
      <c r="AT28" s="732"/>
      <c r="AU28" s="732"/>
      <c r="AV28" s="729"/>
    </row>
    <row r="29" spans="1:56" s="237" customFormat="1" ht="15" customHeight="1" x14ac:dyDescent="0.25">
      <c r="A29" s="729"/>
      <c r="B29" s="1335"/>
      <c r="C29" s="1335"/>
      <c r="D29" s="1335"/>
      <c r="E29" s="1335"/>
      <c r="F29" s="1335"/>
      <c r="G29" s="1335"/>
      <c r="H29" s="1335"/>
      <c r="I29" s="317"/>
      <c r="J29" s="317"/>
      <c r="K29" s="317"/>
      <c r="L29" s="729"/>
      <c r="M29" s="729"/>
      <c r="N29" s="729"/>
      <c r="O29" s="729"/>
      <c r="P29" s="729"/>
      <c r="Q29" s="729"/>
      <c r="R29" s="729"/>
      <c r="S29" s="729"/>
      <c r="T29" s="729"/>
      <c r="U29" s="729"/>
      <c r="V29" s="729"/>
      <c r="W29" s="729"/>
      <c r="X29" s="729"/>
      <c r="Y29" s="729"/>
      <c r="Z29" s="729"/>
      <c r="AA29" s="729"/>
      <c r="AB29" s="729"/>
      <c r="AC29" s="729"/>
      <c r="AD29" s="729"/>
      <c r="AE29" s="729"/>
      <c r="AF29" s="729"/>
      <c r="AG29" s="729"/>
      <c r="AH29" s="729"/>
      <c r="AI29" s="729"/>
      <c r="AJ29" s="729"/>
      <c r="AK29" s="729"/>
      <c r="AL29" s="729"/>
      <c r="AM29" s="731"/>
      <c r="AN29" s="729"/>
      <c r="AO29" s="729"/>
      <c r="AP29" s="732"/>
      <c r="AQ29" s="732"/>
      <c r="AR29" s="732"/>
      <c r="AS29" s="732"/>
      <c r="AT29" s="732"/>
      <c r="AU29" s="732"/>
      <c r="AV29" s="729"/>
    </row>
    <row r="30" spans="1:56" s="237" customFormat="1" ht="15" x14ac:dyDescent="0.25">
      <c r="A30" s="729"/>
      <c r="J30" s="729"/>
      <c r="K30" s="729"/>
      <c r="L30" s="729"/>
      <c r="M30" s="729"/>
      <c r="N30" s="729"/>
      <c r="O30" s="729"/>
      <c r="P30" s="729"/>
      <c r="Q30" s="729"/>
      <c r="R30" s="729"/>
      <c r="S30" s="729"/>
      <c r="T30" s="729"/>
      <c r="U30" s="729"/>
      <c r="V30" s="729"/>
      <c r="W30" s="729"/>
      <c r="X30" s="729"/>
      <c r="Y30" s="729"/>
      <c r="Z30" s="729"/>
      <c r="AA30" s="729"/>
      <c r="AB30" s="729"/>
      <c r="AC30" s="729"/>
      <c r="AD30" s="729"/>
      <c r="AE30" s="729"/>
      <c r="AF30" s="729"/>
      <c r="AG30" s="729"/>
      <c r="AH30" s="729"/>
      <c r="AI30" s="729"/>
      <c r="AJ30" s="729"/>
      <c r="AK30" s="729"/>
      <c r="AL30" s="729"/>
      <c r="AM30" s="731"/>
      <c r="AN30" s="729"/>
      <c r="AO30" s="729"/>
      <c r="AP30" s="732"/>
      <c r="AQ30" s="732"/>
      <c r="AR30" s="732"/>
      <c r="AS30" s="732"/>
      <c r="AT30" s="732"/>
      <c r="AU30" s="732"/>
      <c r="AV30" s="729"/>
    </row>
    <row r="31" spans="1:56" ht="18" customHeight="1" x14ac:dyDescent="0.3">
      <c r="A31" s="411"/>
      <c r="B31" s="733" t="s">
        <v>1970</v>
      </c>
      <c r="C31" s="412"/>
      <c r="D31" s="413"/>
      <c r="E31" s="413"/>
      <c r="F31" s="413"/>
      <c r="G31" s="327"/>
      <c r="H31" s="327"/>
      <c r="I31" s="327"/>
      <c r="J31" s="327"/>
      <c r="K31" s="327"/>
      <c r="L31" s="327"/>
      <c r="M31" s="327"/>
      <c r="N31" s="327"/>
      <c r="O31" s="327"/>
      <c r="P31" s="327"/>
      <c r="Q31" s="327"/>
      <c r="R31" s="327"/>
      <c r="S31" s="327"/>
      <c r="T31" s="327"/>
      <c r="U31" s="327"/>
      <c r="V31" s="327"/>
      <c r="W31" s="327"/>
      <c r="X31" s="327"/>
      <c r="Y31" s="327"/>
      <c r="Z31" s="327"/>
      <c r="AA31" s="327"/>
      <c r="AB31" s="699"/>
      <c r="AC31" s="699"/>
      <c r="AD31" s="699"/>
      <c r="AE31" s="699"/>
      <c r="AF31" s="699"/>
      <c r="AG31" s="699"/>
      <c r="AH31" s="699"/>
      <c r="AI31" s="699"/>
      <c r="AJ31" s="699"/>
      <c r="AK31" s="699"/>
      <c r="AL31" s="699"/>
      <c r="AM31" s="699"/>
      <c r="AN31" s="699"/>
      <c r="AO31" s="699"/>
      <c r="AP31" s="700"/>
      <c r="AQ31" s="700"/>
      <c r="AR31" s="700"/>
      <c r="AS31" s="700"/>
      <c r="AT31" s="700"/>
      <c r="AU31" s="700"/>
      <c r="AV31" s="701"/>
      <c r="BD31" s="631"/>
    </row>
    <row r="32" spans="1:56" ht="15.75" outlineLevel="1" x14ac:dyDescent="0.25">
      <c r="A32" s="692"/>
      <c r="B32" s="692"/>
      <c r="C32" s="702"/>
      <c r="D32" s="702"/>
      <c r="E32" s="703"/>
      <c r="F32" s="703"/>
      <c r="G32" s="703"/>
      <c r="H32" s="703"/>
      <c r="I32" s="703"/>
      <c r="J32" s="703"/>
      <c r="K32" s="703"/>
      <c r="L32" s="703"/>
      <c r="M32" s="703"/>
      <c r="N32" s="703"/>
      <c r="O32" s="703"/>
      <c r="P32" s="703"/>
      <c r="Q32" s="703"/>
      <c r="R32" s="703"/>
      <c r="S32" s="703"/>
      <c r="T32" s="703"/>
      <c r="U32" s="703"/>
      <c r="V32" s="703"/>
      <c r="W32" s="703"/>
      <c r="X32" s="703"/>
      <c r="Y32" s="703"/>
      <c r="Z32" s="703"/>
      <c r="AA32" s="703"/>
      <c r="AB32" s="703"/>
      <c r="AC32" s="703"/>
      <c r="AD32" s="703"/>
      <c r="AE32" s="703"/>
      <c r="AF32" s="703"/>
      <c r="AG32" s="703"/>
      <c r="AH32" s="703"/>
      <c r="AI32" s="703"/>
      <c r="AJ32" s="703"/>
      <c r="AK32" s="703"/>
      <c r="AL32" s="703"/>
      <c r="AM32" s="703"/>
      <c r="AN32" s="703"/>
      <c r="AO32" s="703"/>
      <c r="AP32" s="704"/>
      <c r="AQ32" s="704"/>
      <c r="AR32" s="704"/>
      <c r="AS32" s="704"/>
      <c r="AT32" s="704"/>
      <c r="AU32" s="704"/>
      <c r="AV32" s="702"/>
      <c r="BD32" s="631"/>
    </row>
    <row r="33" spans="1:61" ht="15.75" outlineLevel="1" x14ac:dyDescent="0.25">
      <c r="A33" s="690"/>
      <c r="B33" s="728" t="s">
        <v>124</v>
      </c>
      <c r="C33" s="690"/>
      <c r="D33" s="690"/>
      <c r="E33" s="703"/>
      <c r="F33" s="703"/>
      <c r="G33" s="690"/>
      <c r="H33" s="690"/>
      <c r="I33" s="690"/>
      <c r="J33" s="690"/>
      <c r="K33" s="690"/>
      <c r="L33" s="690"/>
      <c r="M33" s="690"/>
      <c r="N33" s="690"/>
      <c r="O33" s="690"/>
      <c r="P33" s="690"/>
      <c r="Q33" s="690"/>
      <c r="R33" s="690"/>
      <c r="S33" s="690"/>
      <c r="T33" s="690"/>
      <c r="U33" s="690"/>
      <c r="V33" s="690"/>
      <c r="W33" s="690"/>
      <c r="X33" s="690"/>
      <c r="Y33" s="690"/>
      <c r="Z33" s="690"/>
      <c r="AA33" s="690"/>
      <c r="AB33" s="690"/>
      <c r="AC33" s="690"/>
      <c r="AD33" s="690"/>
      <c r="AE33" s="690"/>
      <c r="AF33" s="690"/>
      <c r="AG33" s="690"/>
      <c r="AH33" s="690"/>
      <c r="AI33" s="690"/>
      <c r="AJ33" s="690"/>
      <c r="AK33" s="690"/>
      <c r="AL33" s="690"/>
      <c r="AM33" s="696"/>
      <c r="AN33" s="690"/>
      <c r="AO33" s="690"/>
      <c r="AP33" s="698"/>
      <c r="AQ33" s="698"/>
      <c r="AR33" s="698"/>
      <c r="AS33" s="698"/>
      <c r="AT33" s="698"/>
      <c r="AU33" s="698"/>
      <c r="AV33" s="690"/>
      <c r="BD33" s="631"/>
    </row>
    <row r="34" spans="1:61" s="237" customFormat="1" ht="15" customHeight="1" outlineLevel="1" x14ac:dyDescent="0.25">
      <c r="A34" s="729"/>
      <c r="B34" s="1325" t="s">
        <v>1971</v>
      </c>
      <c r="C34" s="1325"/>
      <c r="D34" s="1325"/>
      <c r="E34" s="1325"/>
      <c r="F34" s="1325"/>
      <c r="G34" s="1325"/>
      <c r="H34" s="1325"/>
      <c r="I34" s="729"/>
      <c r="J34" s="729"/>
      <c r="K34" s="729"/>
      <c r="L34" s="729"/>
      <c r="M34" s="729"/>
      <c r="N34" s="729"/>
      <c r="O34" s="729"/>
      <c r="P34" s="729"/>
      <c r="Q34" s="729"/>
      <c r="R34" s="729"/>
      <c r="S34" s="729"/>
      <c r="T34" s="729"/>
      <c r="U34" s="729"/>
      <c r="V34" s="729"/>
      <c r="W34" s="729"/>
      <c r="X34" s="729"/>
      <c r="Y34" s="729"/>
      <c r="Z34" s="729"/>
      <c r="AA34" s="729"/>
      <c r="AB34" s="729"/>
      <c r="AC34" s="729"/>
      <c r="AD34" s="729"/>
      <c r="AE34" s="729"/>
      <c r="AF34" s="729"/>
      <c r="AG34" s="729"/>
      <c r="AH34" s="729"/>
      <c r="AI34" s="729"/>
      <c r="AJ34" s="729"/>
      <c r="AK34" s="729"/>
      <c r="AL34" s="729"/>
      <c r="AM34" s="731"/>
      <c r="AN34" s="729"/>
      <c r="AO34" s="729"/>
      <c r="AP34" s="732"/>
      <c r="AQ34" s="732"/>
      <c r="AR34" s="732"/>
      <c r="AS34" s="732"/>
      <c r="AT34" s="732"/>
      <c r="AU34" s="732"/>
      <c r="AV34" s="729"/>
      <c r="BD34" s="729"/>
    </row>
    <row r="35" spans="1:61" s="237" customFormat="1" ht="15" outlineLevel="1" x14ac:dyDescent="0.25">
      <c r="A35" s="729"/>
      <c r="B35" s="1325"/>
      <c r="C35" s="1325"/>
      <c r="D35" s="1325"/>
      <c r="E35" s="1325"/>
      <c r="F35" s="1325"/>
      <c r="G35" s="1325"/>
      <c r="H35" s="1325"/>
      <c r="I35" s="729"/>
      <c r="J35" s="729"/>
      <c r="K35" s="729"/>
      <c r="L35" s="729"/>
      <c r="M35" s="729"/>
      <c r="N35" s="729"/>
      <c r="O35" s="729"/>
      <c r="P35" s="729"/>
      <c r="Q35" s="729"/>
      <c r="R35" s="729"/>
      <c r="S35" s="729"/>
      <c r="T35" s="729"/>
      <c r="U35" s="729"/>
      <c r="V35" s="729"/>
      <c r="W35" s="729"/>
      <c r="X35" s="729"/>
      <c r="Y35" s="729"/>
      <c r="Z35" s="729"/>
      <c r="AA35" s="729"/>
      <c r="AB35" s="729"/>
      <c r="AC35" s="729"/>
      <c r="AD35" s="729"/>
      <c r="AE35" s="729"/>
      <c r="AF35" s="729"/>
      <c r="AG35" s="729"/>
      <c r="AH35" s="729"/>
      <c r="AI35" s="729"/>
      <c r="AJ35" s="729"/>
      <c r="AK35" s="729"/>
      <c r="AL35" s="729"/>
      <c r="AM35" s="731"/>
      <c r="AN35" s="729"/>
      <c r="AO35" s="729"/>
      <c r="AP35" s="732"/>
      <c r="AQ35" s="732"/>
      <c r="AR35" s="732"/>
      <c r="AS35" s="732"/>
      <c r="AT35" s="732"/>
      <c r="AU35" s="732"/>
      <c r="AV35" s="729"/>
      <c r="BD35" s="729"/>
    </row>
    <row r="36" spans="1:61" s="237" customFormat="1" ht="15" outlineLevel="1" x14ac:dyDescent="0.25">
      <c r="A36" s="729"/>
      <c r="B36" s="1325"/>
      <c r="C36" s="1325"/>
      <c r="D36" s="1325"/>
      <c r="E36" s="1325"/>
      <c r="F36" s="1325"/>
      <c r="G36" s="1325"/>
      <c r="H36" s="1325"/>
      <c r="I36" s="729"/>
      <c r="J36" s="729"/>
      <c r="K36" s="729"/>
      <c r="L36" s="729"/>
      <c r="M36" s="729"/>
      <c r="N36" s="729"/>
      <c r="O36" s="729"/>
      <c r="P36" s="729"/>
      <c r="Q36" s="729"/>
      <c r="R36" s="729"/>
      <c r="S36" s="729"/>
      <c r="T36" s="729"/>
      <c r="U36" s="729"/>
      <c r="V36" s="729"/>
      <c r="W36" s="729"/>
      <c r="X36" s="729"/>
      <c r="Y36" s="729"/>
      <c r="Z36" s="729"/>
      <c r="AA36" s="729"/>
      <c r="AB36" s="729"/>
      <c r="AC36" s="729"/>
      <c r="AD36" s="729"/>
      <c r="AE36" s="729"/>
      <c r="AF36" s="729"/>
      <c r="AG36" s="729"/>
      <c r="AH36" s="729"/>
      <c r="AI36" s="729"/>
      <c r="AJ36" s="729"/>
      <c r="AK36" s="729"/>
      <c r="AL36" s="729"/>
      <c r="AM36" s="729"/>
      <c r="AN36" s="729"/>
      <c r="AO36" s="729"/>
      <c r="AP36" s="732"/>
      <c r="AQ36" s="732"/>
      <c r="AR36" s="732"/>
      <c r="AS36" s="732"/>
      <c r="AT36" s="732"/>
      <c r="AU36" s="732"/>
      <c r="AV36" s="729"/>
      <c r="BD36" s="729"/>
    </row>
    <row r="37" spans="1:61" s="237" customFormat="1" ht="15" outlineLevel="1" x14ac:dyDescent="0.25">
      <c r="A37" s="729"/>
      <c r="B37" s="1325"/>
      <c r="C37" s="1325"/>
      <c r="D37" s="1325"/>
      <c r="E37" s="1325"/>
      <c r="F37" s="1325"/>
      <c r="G37" s="1325"/>
      <c r="H37" s="1325"/>
      <c r="I37" s="729"/>
      <c r="J37" s="729"/>
      <c r="K37" s="729"/>
      <c r="L37" s="729"/>
      <c r="M37" s="729"/>
      <c r="N37" s="729"/>
      <c r="O37" s="729"/>
      <c r="P37" s="729"/>
      <c r="Q37" s="729"/>
      <c r="R37" s="729"/>
      <c r="S37" s="729"/>
      <c r="T37" s="729"/>
      <c r="U37" s="729"/>
      <c r="V37" s="729"/>
      <c r="W37" s="729"/>
      <c r="X37" s="729"/>
      <c r="Y37" s="729"/>
      <c r="Z37" s="729"/>
      <c r="AA37" s="729"/>
      <c r="AB37" s="729"/>
      <c r="AC37" s="729"/>
      <c r="AD37" s="729"/>
      <c r="AE37" s="729"/>
      <c r="AF37" s="729"/>
      <c r="AG37" s="729"/>
      <c r="AH37" s="729"/>
      <c r="AI37" s="729"/>
      <c r="AJ37" s="729"/>
      <c r="AK37" s="729"/>
      <c r="AL37" s="729"/>
      <c r="AM37" s="729"/>
      <c r="AN37" s="729"/>
      <c r="AO37" s="729"/>
      <c r="AP37" s="732"/>
      <c r="AQ37" s="732"/>
      <c r="AR37" s="732"/>
      <c r="AS37" s="732"/>
      <c r="AT37" s="732"/>
      <c r="AU37" s="732"/>
      <c r="AV37" s="729"/>
      <c r="BD37" s="729"/>
    </row>
    <row r="38" spans="1:61" s="237" customFormat="1" ht="15" customHeight="1" outlineLevel="1" x14ac:dyDescent="0.25">
      <c r="A38" s="729"/>
      <c r="B38" s="1325" t="s">
        <v>1972</v>
      </c>
      <c r="C38" s="1325"/>
      <c r="D38" s="1325"/>
      <c r="E38" s="1325"/>
      <c r="F38" s="1325"/>
      <c r="G38" s="1325"/>
      <c r="H38" s="1325"/>
      <c r="I38" s="729"/>
      <c r="J38" s="729"/>
      <c r="K38" s="729"/>
      <c r="L38" s="729"/>
      <c r="M38" s="729"/>
      <c r="N38" s="729"/>
      <c r="O38" s="729"/>
      <c r="P38" s="729"/>
      <c r="Q38" s="729"/>
      <c r="R38" s="729"/>
      <c r="S38" s="729"/>
      <c r="T38" s="729"/>
      <c r="U38" s="729"/>
      <c r="V38" s="729"/>
      <c r="W38" s="729"/>
      <c r="X38" s="729"/>
      <c r="Y38" s="729"/>
      <c r="Z38" s="729"/>
      <c r="AA38" s="729"/>
      <c r="AB38" s="729"/>
      <c r="AC38" s="729"/>
      <c r="AD38" s="729"/>
      <c r="AE38" s="729"/>
      <c r="AF38" s="729"/>
      <c r="AG38" s="729"/>
      <c r="AH38" s="729"/>
      <c r="AI38" s="729"/>
      <c r="AJ38" s="729"/>
      <c r="AK38" s="729"/>
      <c r="AL38" s="729"/>
      <c r="AM38" s="729"/>
      <c r="AN38" s="729"/>
      <c r="AO38" s="729"/>
      <c r="AP38" s="732"/>
      <c r="AQ38" s="732"/>
      <c r="AR38" s="732"/>
      <c r="AS38" s="732"/>
      <c r="AT38" s="732"/>
      <c r="AU38" s="732"/>
      <c r="AV38" s="729"/>
      <c r="BD38" s="729"/>
    </row>
    <row r="39" spans="1:61" s="237" customFormat="1" ht="15" outlineLevel="1" x14ac:dyDescent="0.25">
      <c r="A39" s="729"/>
      <c r="B39" s="1325"/>
      <c r="C39" s="1325"/>
      <c r="D39" s="1325"/>
      <c r="E39" s="1325"/>
      <c r="F39" s="1325"/>
      <c r="G39" s="1325"/>
      <c r="H39" s="1325"/>
      <c r="I39" s="729"/>
      <c r="J39" s="729"/>
      <c r="K39" s="729"/>
      <c r="L39" s="729"/>
      <c r="M39" s="729"/>
      <c r="N39" s="729"/>
      <c r="O39" s="729"/>
      <c r="P39" s="729"/>
      <c r="Q39" s="729"/>
      <c r="R39" s="729"/>
      <c r="S39" s="729"/>
      <c r="T39" s="729"/>
      <c r="U39" s="729"/>
      <c r="V39" s="729"/>
      <c r="W39" s="729"/>
      <c r="X39" s="729"/>
      <c r="Y39" s="729"/>
      <c r="Z39" s="729"/>
      <c r="AA39" s="729"/>
      <c r="AB39" s="729"/>
      <c r="AC39" s="729"/>
      <c r="AD39" s="729"/>
      <c r="AE39" s="729"/>
      <c r="AF39" s="729"/>
      <c r="AG39" s="729"/>
      <c r="AH39" s="729"/>
      <c r="AI39" s="729"/>
      <c r="AJ39" s="729"/>
      <c r="AK39" s="729"/>
      <c r="AL39" s="729"/>
      <c r="AM39" s="729"/>
      <c r="AO39" s="729"/>
      <c r="AP39" s="732"/>
      <c r="AQ39" s="732"/>
      <c r="AR39" s="732"/>
      <c r="AS39" s="732"/>
      <c r="AT39" s="732"/>
      <c r="AU39" s="732"/>
      <c r="AV39" s="729"/>
      <c r="BD39" s="729"/>
    </row>
    <row r="40" spans="1:61" s="237" customFormat="1" ht="15" outlineLevel="1" x14ac:dyDescent="0.25">
      <c r="A40" s="729"/>
      <c r="B40" s="1325"/>
      <c r="C40" s="1325"/>
      <c r="D40" s="1325"/>
      <c r="E40" s="1325"/>
      <c r="F40" s="1325"/>
      <c r="G40" s="1325"/>
      <c r="H40" s="1325"/>
      <c r="I40" s="729"/>
      <c r="J40" s="729"/>
      <c r="K40" s="729"/>
      <c r="L40" s="729"/>
      <c r="M40" s="729"/>
      <c r="N40" s="729"/>
      <c r="O40" s="729"/>
      <c r="P40" s="729"/>
      <c r="Q40" s="729"/>
      <c r="R40" s="729"/>
      <c r="S40" s="729"/>
      <c r="T40" s="729"/>
      <c r="U40" s="729"/>
      <c r="V40" s="729"/>
      <c r="W40" s="729"/>
      <c r="X40" s="729"/>
      <c r="Y40" s="729"/>
      <c r="Z40" s="729"/>
      <c r="AA40" s="729"/>
      <c r="AB40" s="729"/>
      <c r="AC40" s="729"/>
      <c r="AD40" s="729"/>
      <c r="AE40" s="729"/>
      <c r="AF40" s="729"/>
      <c r="AG40" s="729"/>
      <c r="AH40" s="729"/>
      <c r="AI40" s="729"/>
      <c r="AJ40" s="729"/>
      <c r="AK40" s="729"/>
      <c r="AL40" s="729"/>
      <c r="AM40" s="729"/>
      <c r="AO40" s="729"/>
      <c r="AP40" s="732"/>
      <c r="AQ40" s="732"/>
      <c r="AR40" s="732"/>
      <c r="AS40" s="732"/>
      <c r="AT40" s="732"/>
      <c r="AU40" s="732"/>
      <c r="AV40" s="729"/>
      <c r="BD40" s="729"/>
    </row>
    <row r="41" spans="1:61" s="237" customFormat="1" ht="15" outlineLevel="1" x14ac:dyDescent="0.25">
      <c r="A41" s="729"/>
      <c r="B41" s="1325" t="s">
        <v>1973</v>
      </c>
      <c r="C41" s="1325"/>
      <c r="D41" s="1325"/>
      <c r="E41" s="1325"/>
      <c r="F41" s="1325"/>
      <c r="G41" s="1325"/>
      <c r="H41" s="1325"/>
      <c r="I41" s="729"/>
      <c r="J41" s="729"/>
      <c r="K41" s="729"/>
      <c r="L41" s="729"/>
      <c r="M41" s="729"/>
      <c r="N41" s="729"/>
      <c r="O41" s="729"/>
      <c r="P41" s="729"/>
      <c r="Q41" s="729"/>
      <c r="R41" s="729"/>
      <c r="S41" s="729"/>
      <c r="T41" s="729"/>
      <c r="U41" s="729"/>
      <c r="V41" s="729"/>
      <c r="W41" s="729"/>
      <c r="X41" s="729"/>
      <c r="Y41" s="729"/>
      <c r="Z41" s="729"/>
      <c r="AA41" s="729"/>
      <c r="AB41" s="729"/>
      <c r="AC41" s="729"/>
      <c r="AD41" s="729"/>
      <c r="AE41" s="729"/>
      <c r="AF41" s="729"/>
      <c r="AG41" s="729"/>
      <c r="AH41" s="729"/>
      <c r="AI41" s="729"/>
      <c r="AJ41" s="729"/>
      <c r="AK41" s="729"/>
      <c r="AL41" s="729"/>
      <c r="AM41" s="729"/>
      <c r="AO41" s="729"/>
      <c r="AP41" s="732"/>
      <c r="AQ41" s="732"/>
      <c r="AR41" s="732"/>
      <c r="AS41" s="732"/>
      <c r="AT41" s="732"/>
      <c r="AU41" s="732"/>
      <c r="AV41" s="729"/>
      <c r="BD41" s="729"/>
    </row>
    <row r="42" spans="1:61" s="237" customFormat="1" ht="15" outlineLevel="1" x14ac:dyDescent="0.25">
      <c r="A42" s="729"/>
      <c r="B42" s="1325"/>
      <c r="C42" s="1325"/>
      <c r="D42" s="1325"/>
      <c r="E42" s="1325"/>
      <c r="F42" s="1325"/>
      <c r="G42" s="1325"/>
      <c r="H42" s="1325"/>
      <c r="I42" s="729"/>
      <c r="J42" s="729"/>
      <c r="K42" s="729"/>
      <c r="L42" s="729"/>
      <c r="M42" s="729"/>
      <c r="N42" s="729"/>
      <c r="O42" s="729"/>
      <c r="P42" s="729"/>
      <c r="Q42" s="729"/>
      <c r="R42" s="729"/>
      <c r="S42" s="729"/>
      <c r="T42" s="729"/>
      <c r="U42" s="729"/>
      <c r="V42" s="729"/>
      <c r="W42" s="729"/>
      <c r="Y42" s="729"/>
      <c r="Z42" s="729"/>
      <c r="AA42" s="729"/>
      <c r="AB42" s="729"/>
      <c r="AC42" s="729"/>
      <c r="AD42" s="729"/>
      <c r="AE42" s="729"/>
      <c r="AF42" s="729"/>
      <c r="AG42" s="729"/>
      <c r="AH42" s="729"/>
      <c r="AI42" s="729"/>
      <c r="AJ42" s="729"/>
      <c r="AK42" s="729"/>
      <c r="AL42" s="729"/>
      <c r="AM42" s="729"/>
      <c r="AN42" s="729"/>
      <c r="AO42" s="729"/>
      <c r="AP42" s="732"/>
      <c r="AQ42" s="732"/>
      <c r="AR42" s="732"/>
      <c r="AS42" s="732"/>
      <c r="AT42" s="732"/>
      <c r="AU42" s="732"/>
      <c r="AV42" s="729"/>
      <c r="BD42" s="729"/>
    </row>
    <row r="43" spans="1:61" s="237" customFormat="1" ht="15" outlineLevel="1" x14ac:dyDescent="0.25">
      <c r="A43" s="729"/>
      <c r="B43" s="727" t="s">
        <v>1347</v>
      </c>
      <c r="C43" s="729"/>
      <c r="D43" s="729"/>
      <c r="E43" s="731"/>
      <c r="F43" s="731"/>
      <c r="G43" s="729"/>
      <c r="H43" s="729"/>
      <c r="I43" s="729"/>
      <c r="J43" s="729"/>
      <c r="K43" s="729"/>
      <c r="L43" s="729"/>
      <c r="M43" s="729"/>
      <c r="N43" s="729"/>
      <c r="O43" s="729"/>
      <c r="P43" s="729"/>
      <c r="Q43" s="729"/>
      <c r="R43" s="729"/>
      <c r="S43" s="729"/>
      <c r="T43" s="729"/>
      <c r="U43" s="729"/>
      <c r="V43" s="729"/>
      <c r="W43" s="729"/>
      <c r="Y43" s="729"/>
      <c r="Z43" s="729"/>
      <c r="AA43" s="729"/>
      <c r="AB43" s="729"/>
      <c r="AC43" s="729"/>
      <c r="AD43" s="729"/>
      <c r="AE43" s="729"/>
      <c r="AF43" s="729"/>
      <c r="AG43" s="729"/>
      <c r="AH43" s="729"/>
      <c r="AI43" s="729"/>
      <c r="AJ43" s="729"/>
      <c r="AK43" s="729"/>
      <c r="AL43" s="729"/>
      <c r="AM43" s="729"/>
      <c r="AN43" s="729"/>
      <c r="AO43" s="729"/>
      <c r="AP43" s="732"/>
      <c r="AQ43" s="732"/>
      <c r="AR43" s="732"/>
      <c r="AS43" s="732"/>
      <c r="AT43" s="732"/>
      <c r="AU43" s="732"/>
      <c r="AV43" s="729"/>
      <c r="BD43" s="729"/>
    </row>
    <row r="44" spans="1:61" s="237" customFormat="1" ht="15" outlineLevel="1" x14ac:dyDescent="0.25">
      <c r="A44" s="729"/>
      <c r="B44" s="727"/>
      <c r="C44" s="729"/>
      <c r="D44" s="729"/>
      <c r="E44" s="731"/>
      <c r="F44" s="731"/>
      <c r="G44" s="729"/>
      <c r="H44" s="729"/>
      <c r="I44" s="729"/>
      <c r="J44" s="729"/>
      <c r="K44" s="729"/>
      <c r="L44" s="729"/>
      <c r="M44" s="729"/>
      <c r="N44" s="729"/>
      <c r="O44" s="729"/>
      <c r="P44" s="729"/>
      <c r="Q44" s="729"/>
      <c r="R44" s="729"/>
      <c r="S44" s="729"/>
      <c r="T44" s="729"/>
      <c r="U44" s="729"/>
      <c r="V44" s="729"/>
      <c r="W44" s="729"/>
      <c r="Y44" s="729"/>
      <c r="Z44" s="729"/>
      <c r="AA44" s="729"/>
      <c r="AB44" s="729"/>
      <c r="AC44" s="729"/>
      <c r="AD44" s="729"/>
      <c r="AE44" s="729"/>
      <c r="AF44" s="729"/>
      <c r="AG44" s="729"/>
      <c r="AH44" s="729"/>
      <c r="AI44" s="729"/>
      <c r="AJ44" s="729"/>
      <c r="AK44" s="729"/>
      <c r="AL44" s="729"/>
      <c r="AM44" s="729"/>
      <c r="AN44" s="729"/>
      <c r="AO44" s="729"/>
      <c r="AP44" s="732"/>
      <c r="AQ44" s="732"/>
      <c r="AR44" s="732"/>
      <c r="AS44" s="732"/>
      <c r="AT44" s="732"/>
      <c r="AU44" s="732"/>
      <c r="AV44" s="729"/>
      <c r="BD44" s="729"/>
    </row>
    <row r="45" spans="1:61" s="237" customFormat="1" ht="15" outlineLevel="1" x14ac:dyDescent="0.25">
      <c r="A45" s="729"/>
      <c r="C45" s="736" t="s">
        <v>2010</v>
      </c>
      <c r="D45" s="1320"/>
      <c r="E45" s="1321"/>
      <c r="F45" s="1322"/>
      <c r="G45" s="735"/>
      <c r="H45" s="729"/>
      <c r="I45" s="729"/>
      <c r="J45" s="729"/>
      <c r="K45" s="729"/>
      <c r="L45" s="729"/>
      <c r="M45" s="729"/>
      <c r="N45" s="729"/>
      <c r="O45" s="729"/>
      <c r="P45" s="729"/>
      <c r="Q45" s="729"/>
      <c r="R45" s="729"/>
      <c r="S45" s="729"/>
      <c r="T45" s="729"/>
      <c r="U45" s="729"/>
      <c r="V45" s="729"/>
      <c r="W45" s="729"/>
      <c r="X45" s="729"/>
      <c r="Y45" s="729"/>
      <c r="Z45" s="729"/>
      <c r="AA45" s="729"/>
      <c r="AB45" s="729"/>
      <c r="AC45" s="729"/>
      <c r="AD45" s="729"/>
      <c r="AE45" s="729"/>
      <c r="AF45" s="729"/>
      <c r="AG45" s="729"/>
      <c r="AH45" s="729"/>
      <c r="AI45" s="729"/>
      <c r="AJ45" s="729"/>
      <c r="AK45" s="729"/>
      <c r="AL45" s="729"/>
      <c r="AM45" s="729"/>
      <c r="AN45" s="729"/>
      <c r="AO45" s="729"/>
      <c r="AP45" s="732"/>
      <c r="AQ45" s="732"/>
      <c r="AR45" s="732"/>
      <c r="AS45" s="732"/>
      <c r="AT45" s="732"/>
      <c r="AU45" s="732"/>
      <c r="AV45" s="729"/>
      <c r="BD45" s="729"/>
      <c r="BE45" s="729"/>
      <c r="BF45" s="729"/>
    </row>
    <row r="46" spans="1:61" s="237" customFormat="1" ht="15" outlineLevel="1" x14ac:dyDescent="0.25">
      <c r="A46" s="729"/>
      <c r="B46" s="729"/>
      <c r="C46" s="729"/>
      <c r="D46" s="729"/>
      <c r="E46" s="729"/>
      <c r="F46" s="729"/>
      <c r="G46" s="729"/>
      <c r="H46" s="729"/>
      <c r="I46" s="729"/>
      <c r="J46" s="729"/>
      <c r="K46" s="729"/>
      <c r="L46" s="729"/>
      <c r="M46" s="729"/>
      <c r="N46" s="729"/>
      <c r="O46" s="729"/>
      <c r="P46" s="729"/>
      <c r="Q46" s="729"/>
      <c r="R46" s="729"/>
      <c r="S46" s="729"/>
      <c r="T46" s="729"/>
      <c r="U46" s="729"/>
      <c r="V46" s="729"/>
      <c r="W46" s="729"/>
      <c r="X46" s="729"/>
      <c r="Y46" s="729"/>
      <c r="Z46" s="729"/>
      <c r="AA46" s="729"/>
      <c r="AB46" s="729"/>
      <c r="AC46" s="729"/>
      <c r="AD46" s="729"/>
      <c r="AE46" s="729"/>
      <c r="AF46" s="729"/>
      <c r="AG46" s="729"/>
      <c r="AH46" s="729"/>
      <c r="AI46" s="729"/>
      <c r="AJ46" s="729"/>
      <c r="AK46" s="729"/>
      <c r="AL46" s="729"/>
      <c r="AM46" s="729"/>
      <c r="AN46" s="729"/>
      <c r="AO46" s="729"/>
      <c r="AP46" s="732"/>
      <c r="AQ46" s="732"/>
      <c r="AR46" s="732"/>
      <c r="AS46" s="732"/>
      <c r="AT46" s="732"/>
      <c r="AU46" s="732"/>
      <c r="AV46" s="729"/>
      <c r="BD46" s="729"/>
      <c r="BE46" s="729"/>
      <c r="BF46" s="729"/>
      <c r="BH46" s="737" t="s">
        <v>22</v>
      </c>
      <c r="BI46" s="738" t="s">
        <v>23</v>
      </c>
    </row>
    <row r="47" spans="1:61" s="237" customFormat="1" ht="15" outlineLevel="1" x14ac:dyDescent="0.25">
      <c r="A47" s="729"/>
      <c r="B47" s="729"/>
      <c r="C47" s="739" t="s">
        <v>1993</v>
      </c>
      <c r="D47" s="729"/>
      <c r="E47" s="729"/>
      <c r="F47" s="729"/>
      <c r="G47" s="729"/>
      <c r="H47" s="729"/>
      <c r="I47" s="729"/>
      <c r="J47" s="729"/>
      <c r="K47" s="729"/>
      <c r="L47" s="729"/>
      <c r="M47" s="729"/>
      <c r="N47" s="729"/>
      <c r="O47" s="729"/>
      <c r="P47" s="729"/>
      <c r="Q47" s="729"/>
      <c r="R47" s="729"/>
      <c r="S47" s="729"/>
      <c r="T47" s="729"/>
      <c r="U47" s="729"/>
      <c r="V47" s="729"/>
      <c r="W47" s="729"/>
      <c r="X47" s="729"/>
      <c r="Y47" s="729"/>
      <c r="Z47" s="729"/>
      <c r="AA47" s="729"/>
      <c r="AB47" s="729"/>
      <c r="AC47" s="729"/>
      <c r="AD47" s="729"/>
      <c r="AE47" s="729"/>
      <c r="AF47" s="729"/>
      <c r="AG47" s="729"/>
      <c r="AH47" s="729"/>
      <c r="AI47" s="729"/>
      <c r="AJ47" s="729"/>
      <c r="AK47" s="729"/>
      <c r="AL47" s="729"/>
      <c r="AM47" s="729"/>
      <c r="AN47" s="729"/>
      <c r="AO47" s="729"/>
      <c r="AP47" s="732"/>
      <c r="AQ47" s="732"/>
      <c r="AR47" s="732"/>
      <c r="AS47" s="732"/>
      <c r="AT47" s="732"/>
      <c r="AU47" s="732"/>
      <c r="AV47" s="729"/>
      <c r="BD47" s="729"/>
      <c r="BE47" s="729"/>
      <c r="BF47" s="729"/>
      <c r="BH47" s="740" t="s">
        <v>338</v>
      </c>
      <c r="BI47" s="237" t="s">
        <v>338</v>
      </c>
    </row>
    <row r="48" spans="1:61" s="237" customFormat="1" ht="15" customHeight="1" outlineLevel="1" x14ac:dyDescent="0.25">
      <c r="A48" s="729"/>
      <c r="B48" s="729"/>
      <c r="C48" s="734" t="s">
        <v>613</v>
      </c>
      <c r="D48" s="741" t="str">
        <f>IF(municípios_br_E1="","",IF(VLOOKUP(municípios_br_E1,municipios_temp_pluv,4,FALSE)&lt;1000,"&lt; 1.000","≥ 1.000"))</f>
        <v/>
      </c>
      <c r="E48" s="742"/>
      <c r="F48" s="742"/>
      <c r="G48" s="742"/>
      <c r="H48" s="743"/>
      <c r="I48" s="743"/>
      <c r="J48" s="743"/>
      <c r="K48" s="743"/>
      <c r="L48" s="743"/>
      <c r="M48" s="729"/>
      <c r="N48" s="729"/>
      <c r="O48" s="729"/>
      <c r="P48" s="729"/>
      <c r="Q48" s="729"/>
      <c r="R48" s="729"/>
      <c r="S48" s="729"/>
      <c r="T48" s="729"/>
      <c r="U48" s="729"/>
      <c r="V48" s="729"/>
      <c r="W48" s="729"/>
      <c r="X48" s="729"/>
      <c r="Y48" s="729"/>
      <c r="Z48" s="729"/>
      <c r="AA48" s="729"/>
      <c r="AB48" s="729"/>
      <c r="AC48" s="729"/>
      <c r="AD48" s="729"/>
      <c r="AE48" s="729"/>
      <c r="AF48" s="729"/>
      <c r="AG48" s="729"/>
      <c r="AH48" s="729"/>
      <c r="AI48" s="729"/>
      <c r="AJ48" s="729"/>
      <c r="AK48" s="729"/>
      <c r="AL48" s="729"/>
      <c r="AM48" s="729"/>
      <c r="AN48" s="729"/>
      <c r="AO48" s="729"/>
      <c r="AP48" s="732"/>
      <c r="AQ48" s="732"/>
      <c r="AR48" s="732"/>
      <c r="AS48" s="732"/>
      <c r="AT48" s="732"/>
      <c r="AU48" s="732"/>
      <c r="AV48" s="729"/>
      <c r="BD48" s="729"/>
      <c r="BE48" s="729"/>
      <c r="BF48" s="729"/>
      <c r="BH48" s="740" t="s">
        <v>24</v>
      </c>
      <c r="BI48" s="744" t="s">
        <v>1427</v>
      </c>
    </row>
    <row r="49" spans="1:85" s="237" customFormat="1" ht="17.25" outlineLevel="1" x14ac:dyDescent="0.25">
      <c r="A49" s="729"/>
      <c r="B49" s="729"/>
      <c r="C49" s="736" t="s">
        <v>1428</v>
      </c>
      <c r="D49" s="741" t="str">
        <f>IF(municípios_br_E1="","",IF(VLOOKUP(municípios_br_E1,municipios_temp_pluv,3,FALSE)&gt;20,"&gt; 20","≤ 20"))</f>
        <v/>
      </c>
      <c r="E49" s="742"/>
      <c r="F49" s="742"/>
      <c r="G49" s="742"/>
      <c r="H49" s="743"/>
      <c r="I49" s="743"/>
      <c r="J49" s="743"/>
      <c r="K49" s="743"/>
      <c r="L49" s="743"/>
      <c r="M49" s="729"/>
      <c r="N49" s="729"/>
      <c r="O49" s="729"/>
      <c r="P49" s="729"/>
      <c r="Q49" s="729"/>
      <c r="R49" s="729"/>
      <c r="S49" s="729"/>
      <c r="T49" s="729"/>
      <c r="U49" s="729"/>
      <c r="V49" s="729"/>
      <c r="W49" s="729"/>
      <c r="X49" s="729"/>
      <c r="Y49" s="729"/>
      <c r="Z49" s="729"/>
      <c r="AA49" s="729"/>
      <c r="AB49" s="729"/>
      <c r="AC49" s="729"/>
      <c r="AD49" s="729"/>
      <c r="AE49" s="729"/>
      <c r="AF49" s="729"/>
      <c r="AG49" s="729"/>
      <c r="AH49" s="729"/>
      <c r="AI49" s="729"/>
      <c r="AJ49" s="729"/>
      <c r="AK49" s="729"/>
      <c r="AL49" s="729"/>
      <c r="AM49" s="729"/>
      <c r="AN49" s="729"/>
      <c r="AO49" s="729"/>
      <c r="AP49" s="732"/>
      <c r="AQ49" s="732"/>
      <c r="AR49" s="732"/>
      <c r="AS49" s="732"/>
      <c r="AT49" s="732"/>
      <c r="AU49" s="732"/>
      <c r="AV49" s="729"/>
      <c r="BD49" s="729"/>
      <c r="BE49" s="729"/>
      <c r="BF49" s="729"/>
      <c r="BH49" s="745" t="s">
        <v>25</v>
      </c>
      <c r="BI49" s="746" t="s">
        <v>57</v>
      </c>
    </row>
    <row r="50" spans="1:85" s="237" customFormat="1" ht="15" outlineLevel="1" x14ac:dyDescent="0.25">
      <c r="A50" s="729"/>
      <c r="B50" s="729"/>
      <c r="C50" s="747"/>
      <c r="D50" s="729" t="s">
        <v>1992</v>
      </c>
      <c r="F50" s="748"/>
      <c r="G50" s="729"/>
      <c r="H50" s="729"/>
      <c r="I50" s="729"/>
      <c r="J50" s="729"/>
      <c r="K50" s="729"/>
      <c r="L50" s="729"/>
      <c r="M50" s="729"/>
      <c r="N50" s="729"/>
      <c r="O50" s="729"/>
      <c r="P50" s="729"/>
      <c r="Q50" s="729"/>
      <c r="R50" s="729"/>
      <c r="S50" s="729"/>
      <c r="T50" s="729"/>
      <c r="U50" s="729"/>
      <c r="V50" s="729"/>
      <c r="W50" s="729"/>
      <c r="X50" s="729"/>
      <c r="Y50" s="729"/>
      <c r="Z50" s="729"/>
      <c r="AA50" s="729"/>
      <c r="AB50" s="729"/>
      <c r="AC50" s="729"/>
      <c r="AD50" s="729"/>
      <c r="AE50" s="729"/>
      <c r="AF50" s="729"/>
      <c r="AG50" s="729"/>
      <c r="AH50" s="729"/>
      <c r="AI50" s="729"/>
      <c r="AJ50" s="729"/>
      <c r="AK50" s="729"/>
      <c r="AL50" s="729"/>
      <c r="AM50" s="729"/>
      <c r="AN50" s="729"/>
      <c r="AO50" s="729"/>
      <c r="AP50" s="732"/>
      <c r="AQ50" s="732"/>
      <c r="AR50" s="732"/>
      <c r="AS50" s="732"/>
      <c r="AT50" s="732"/>
      <c r="AU50" s="732"/>
      <c r="AV50" s="729"/>
      <c r="BD50" s="729"/>
      <c r="BE50" s="729"/>
      <c r="BF50" s="729"/>
      <c r="BH50" s="737" t="s">
        <v>280</v>
      </c>
      <c r="BI50" s="729"/>
    </row>
    <row r="51" spans="1:85" s="237" customFormat="1" ht="15" outlineLevel="1" x14ac:dyDescent="0.25">
      <c r="A51" s="729"/>
      <c r="B51" s="729"/>
      <c r="C51" s="729"/>
      <c r="E51" s="729"/>
      <c r="F51" s="729"/>
      <c r="G51" s="729"/>
      <c r="H51" s="729"/>
      <c r="I51" s="729"/>
      <c r="J51" s="729"/>
      <c r="K51" s="729"/>
      <c r="L51" s="729"/>
      <c r="M51" s="729"/>
      <c r="N51" s="729"/>
      <c r="O51" s="729"/>
      <c r="P51" s="729"/>
      <c r="Q51" s="729"/>
      <c r="R51" s="729"/>
      <c r="S51" s="729"/>
      <c r="T51" s="729"/>
      <c r="U51" s="729"/>
      <c r="V51" s="729"/>
      <c r="W51" s="729"/>
      <c r="X51" s="729"/>
      <c r="Y51" s="729"/>
      <c r="Z51" s="729"/>
      <c r="AA51" s="729"/>
      <c r="AB51" s="729"/>
      <c r="AC51" s="729"/>
      <c r="AD51" s="729"/>
      <c r="AE51" s="729"/>
      <c r="AF51" s="729"/>
      <c r="AG51" s="729"/>
      <c r="AH51" s="729"/>
      <c r="AI51" s="729"/>
      <c r="AJ51" s="729"/>
      <c r="AK51" s="729"/>
      <c r="AL51" s="729"/>
      <c r="AM51" s="729"/>
      <c r="AN51" s="729"/>
      <c r="AO51" s="729"/>
      <c r="AP51" s="732"/>
      <c r="AQ51" s="732"/>
      <c r="AR51" s="732"/>
      <c r="AS51" s="732"/>
      <c r="AT51" s="732"/>
      <c r="AU51" s="732"/>
      <c r="AV51" s="729"/>
      <c r="BD51" s="729"/>
      <c r="BE51" s="729"/>
      <c r="BF51" s="729"/>
      <c r="BH51" s="749" t="s">
        <v>338</v>
      </c>
      <c r="BI51" s="729"/>
    </row>
    <row r="52" spans="1:85" s="237" customFormat="1" ht="15" outlineLevel="1" x14ac:dyDescent="0.25">
      <c r="A52" s="729"/>
      <c r="B52" s="727" t="s">
        <v>1346</v>
      </c>
      <c r="C52" s="729"/>
      <c r="D52" s="729"/>
      <c r="E52" s="731"/>
      <c r="F52" s="731"/>
      <c r="G52" s="729"/>
      <c r="H52" s="729"/>
      <c r="I52" s="729"/>
      <c r="J52" s="729"/>
      <c r="K52" s="729"/>
      <c r="L52" s="729"/>
      <c r="M52" s="729"/>
      <c r="N52" s="729"/>
      <c r="O52" s="729"/>
      <c r="P52" s="729"/>
      <c r="Q52" s="729"/>
      <c r="R52" s="729"/>
      <c r="S52" s="729"/>
      <c r="T52" s="729"/>
      <c r="U52" s="729"/>
      <c r="V52" s="729"/>
      <c r="W52" s="729"/>
      <c r="X52" s="729"/>
      <c r="Y52" s="729"/>
      <c r="Z52" s="729"/>
      <c r="AA52" s="729"/>
      <c r="AB52" s="729"/>
      <c r="AC52" s="729"/>
      <c r="AD52" s="729"/>
      <c r="AE52" s="729"/>
      <c r="AF52" s="729"/>
      <c r="AG52" s="729"/>
      <c r="AH52" s="729"/>
      <c r="AI52" s="729"/>
      <c r="AJ52" s="729"/>
      <c r="AK52" s="729"/>
      <c r="AL52" s="729"/>
      <c r="AM52" s="729"/>
      <c r="AN52" s="729"/>
      <c r="AO52" s="729"/>
      <c r="AP52" s="732"/>
      <c r="AQ52" s="732"/>
      <c r="AR52" s="732"/>
      <c r="AS52" s="732"/>
      <c r="AT52" s="732"/>
      <c r="AU52" s="732"/>
      <c r="AV52" s="729"/>
      <c r="BD52" s="729"/>
      <c r="BE52" s="729"/>
      <c r="BF52" s="729"/>
      <c r="BH52" s="749" t="s">
        <v>1426</v>
      </c>
    </row>
    <row r="53" spans="1:85" s="237" customFormat="1" ht="15" outlineLevel="1" x14ac:dyDescent="0.25">
      <c r="A53" s="729"/>
      <c r="B53" s="729"/>
      <c r="C53" s="731" t="s">
        <v>1994</v>
      </c>
      <c r="D53" s="731"/>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29"/>
      <c r="AD53" s="729"/>
      <c r="AE53" s="729"/>
      <c r="AF53" s="729"/>
      <c r="AG53" s="729"/>
      <c r="AH53" s="729"/>
      <c r="AI53" s="729"/>
      <c r="AJ53" s="729"/>
      <c r="AK53" s="729"/>
      <c r="AL53" s="729"/>
      <c r="AM53" s="729"/>
      <c r="AN53" s="729"/>
      <c r="AO53" s="729"/>
      <c r="AP53" s="732"/>
      <c r="AQ53" s="732"/>
      <c r="AR53" s="732"/>
      <c r="AS53" s="732"/>
      <c r="AT53" s="732"/>
      <c r="AU53" s="732"/>
      <c r="AV53" s="729"/>
      <c r="BD53" s="729"/>
      <c r="BE53" s="729"/>
      <c r="BF53" s="729"/>
      <c r="BH53" s="750" t="s">
        <v>26</v>
      </c>
    </row>
    <row r="54" spans="1:85" s="237" customFormat="1" ht="18" outlineLevel="1" x14ac:dyDescent="0.35">
      <c r="A54" s="729"/>
      <c r="B54" s="729"/>
      <c r="C54" s="731" t="s">
        <v>1429</v>
      </c>
      <c r="D54" s="731"/>
      <c r="E54" s="729"/>
      <c r="F54" s="729"/>
      <c r="G54" s="729"/>
      <c r="H54" s="729"/>
      <c r="I54" s="729"/>
      <c r="J54" s="729"/>
      <c r="K54" s="729"/>
      <c r="L54" s="729"/>
      <c r="M54" s="729"/>
      <c r="N54" s="729"/>
      <c r="O54" s="729"/>
      <c r="P54" s="729"/>
      <c r="Q54" s="729"/>
      <c r="R54" s="729"/>
      <c r="S54" s="729"/>
      <c r="T54" s="729"/>
      <c r="U54" s="729"/>
      <c r="V54" s="729"/>
      <c r="W54" s="729"/>
      <c r="X54" s="729"/>
      <c r="Y54" s="729"/>
      <c r="Z54" s="729"/>
      <c r="AA54" s="729"/>
      <c r="AB54" s="729"/>
      <c r="AC54" s="729"/>
      <c r="AD54" s="729"/>
      <c r="AE54" s="729"/>
      <c r="AF54" s="729"/>
      <c r="AG54" s="729"/>
      <c r="AH54" s="729"/>
      <c r="AI54" s="729"/>
      <c r="AJ54" s="729"/>
      <c r="AK54" s="729"/>
      <c r="AL54" s="729"/>
      <c r="AM54" s="729"/>
      <c r="AN54" s="729"/>
      <c r="AO54" s="729"/>
      <c r="AP54" s="732"/>
      <c r="AQ54" s="732"/>
      <c r="AR54" s="732"/>
      <c r="AS54" s="732"/>
      <c r="AT54" s="732"/>
      <c r="AU54" s="732"/>
      <c r="AV54" s="729"/>
      <c r="BD54" s="729"/>
      <c r="BE54" s="729"/>
      <c r="BF54" s="729"/>
    </row>
    <row r="55" spans="1:85" s="237" customFormat="1" ht="15" outlineLevel="1" x14ac:dyDescent="0.25">
      <c r="A55" s="729"/>
      <c r="B55" s="729"/>
      <c r="C55" s="731" t="s">
        <v>1995</v>
      </c>
      <c r="D55" s="731"/>
      <c r="E55" s="729"/>
      <c r="F55" s="729"/>
      <c r="G55" s="729"/>
      <c r="H55" s="729"/>
      <c r="I55" s="729"/>
      <c r="J55" s="729"/>
      <c r="K55" s="729"/>
      <c r="L55" s="729"/>
      <c r="M55" s="729"/>
      <c r="N55" s="729"/>
      <c r="O55" s="729"/>
      <c r="P55" s="729"/>
      <c r="Q55" s="729"/>
      <c r="R55" s="729"/>
      <c r="S55" s="729"/>
      <c r="T55" s="729"/>
      <c r="U55" s="729"/>
      <c r="V55" s="729"/>
      <c r="W55" s="729"/>
      <c r="X55" s="729"/>
      <c r="Y55" s="729"/>
      <c r="Z55" s="729"/>
      <c r="AA55" s="729"/>
      <c r="AB55" s="729"/>
      <c r="AC55" s="729"/>
      <c r="AD55" s="729"/>
      <c r="AE55" s="729"/>
      <c r="AF55" s="729"/>
      <c r="AG55" s="729"/>
      <c r="AH55" s="729"/>
      <c r="AI55" s="729"/>
      <c r="AJ55" s="729"/>
      <c r="AK55" s="729"/>
      <c r="AL55" s="729"/>
      <c r="AM55" s="729"/>
      <c r="AN55" s="729"/>
      <c r="AO55" s="729"/>
      <c r="AP55" s="732"/>
      <c r="AQ55" s="732"/>
      <c r="AR55" s="732"/>
      <c r="AS55" s="732"/>
      <c r="AT55" s="732"/>
      <c r="AU55" s="732"/>
      <c r="AV55" s="729"/>
      <c r="BD55" s="729"/>
      <c r="BE55" s="729"/>
      <c r="BF55" s="729"/>
    </row>
    <row r="56" spans="1:85" s="237" customFormat="1" ht="15" outlineLevel="1" x14ac:dyDescent="0.25">
      <c r="A56" s="729"/>
      <c r="B56" s="729"/>
      <c r="C56" s="751"/>
      <c r="D56" s="752"/>
      <c r="E56" s="752"/>
      <c r="F56" s="753"/>
      <c r="G56" s="753"/>
      <c r="H56" s="753"/>
      <c r="I56" s="753"/>
      <c r="J56" s="729"/>
      <c r="K56" s="729"/>
      <c r="L56" s="729"/>
      <c r="M56" s="729"/>
      <c r="N56" s="729"/>
      <c r="O56" s="729"/>
      <c r="P56" s="729"/>
      <c r="Q56" s="754"/>
      <c r="R56" s="755"/>
      <c r="S56" s="756"/>
      <c r="T56" s="729"/>
      <c r="U56" s="729"/>
      <c r="V56" s="729"/>
      <c r="W56" s="729"/>
      <c r="X56" s="729"/>
      <c r="Y56" s="729"/>
      <c r="Z56" s="729"/>
      <c r="AA56" s="729"/>
      <c r="AB56" s="729"/>
      <c r="AC56" s="729"/>
      <c r="AD56" s="729"/>
      <c r="AE56" s="729"/>
      <c r="AF56" s="729"/>
      <c r="AG56" s="729"/>
      <c r="AH56" s="729"/>
      <c r="AI56" s="729"/>
      <c r="AJ56" s="729"/>
      <c r="AK56" s="729"/>
      <c r="AL56" s="729"/>
      <c r="AM56" s="729"/>
      <c r="AN56" s="729"/>
      <c r="AO56" s="729"/>
      <c r="AP56" s="732"/>
      <c r="AQ56" s="732"/>
      <c r="AR56" s="732"/>
      <c r="AS56" s="732"/>
      <c r="AT56" s="732"/>
      <c r="AU56" s="732"/>
      <c r="AV56" s="729"/>
      <c r="BD56" s="729"/>
      <c r="BE56" s="729"/>
      <c r="BF56" s="729"/>
    </row>
    <row r="57" spans="1:85" s="237" customFormat="1" ht="15" outlineLevel="1" x14ac:dyDescent="0.25">
      <c r="A57" s="729"/>
      <c r="B57" s="729"/>
      <c r="C57" s="729"/>
      <c r="D57" s="757" t="s">
        <v>54</v>
      </c>
      <c r="E57" s="758">
        <f t="shared" ref="E57:AF57" si="0">F57-1</f>
        <v>2001</v>
      </c>
      <c r="F57" s="758">
        <f t="shared" si="0"/>
        <v>2002</v>
      </c>
      <c r="G57" s="758">
        <f t="shared" si="0"/>
        <v>2003</v>
      </c>
      <c r="H57" s="758">
        <f t="shared" si="0"/>
        <v>2004</v>
      </c>
      <c r="I57" s="758">
        <f t="shared" si="0"/>
        <v>2005</v>
      </c>
      <c r="J57" s="758">
        <f t="shared" si="0"/>
        <v>2006</v>
      </c>
      <c r="K57" s="758">
        <f t="shared" si="0"/>
        <v>2007</v>
      </c>
      <c r="L57" s="758">
        <f t="shared" si="0"/>
        <v>2008</v>
      </c>
      <c r="M57" s="758">
        <f t="shared" si="0"/>
        <v>2009</v>
      </c>
      <c r="N57" s="758">
        <f t="shared" si="0"/>
        <v>2010</v>
      </c>
      <c r="O57" s="758">
        <f t="shared" si="0"/>
        <v>2011</v>
      </c>
      <c r="P57" s="758">
        <f t="shared" si="0"/>
        <v>2012</v>
      </c>
      <c r="Q57" s="758">
        <f t="shared" si="0"/>
        <v>2013</v>
      </c>
      <c r="R57" s="758">
        <f t="shared" si="0"/>
        <v>2014</v>
      </c>
      <c r="S57" s="758">
        <f t="shared" si="0"/>
        <v>2015</v>
      </c>
      <c r="T57" s="758">
        <f t="shared" si="0"/>
        <v>2016</v>
      </c>
      <c r="U57" s="758">
        <f t="shared" si="0"/>
        <v>2017</v>
      </c>
      <c r="V57" s="758">
        <f t="shared" si="0"/>
        <v>2018</v>
      </c>
      <c r="W57" s="758">
        <f t="shared" si="0"/>
        <v>2019</v>
      </c>
      <c r="X57" s="758">
        <f t="shared" si="0"/>
        <v>2020</v>
      </c>
      <c r="Y57" s="758">
        <f t="shared" si="0"/>
        <v>2021</v>
      </c>
      <c r="Z57" s="758">
        <f t="shared" si="0"/>
        <v>2022</v>
      </c>
      <c r="AA57" s="758">
        <f t="shared" si="0"/>
        <v>2023</v>
      </c>
      <c r="AB57" s="758">
        <f t="shared" si="0"/>
        <v>2024</v>
      </c>
      <c r="AC57" s="758">
        <f t="shared" si="0"/>
        <v>2025</v>
      </c>
      <c r="AD57" s="758">
        <f t="shared" si="0"/>
        <v>2026</v>
      </c>
      <c r="AE57" s="758">
        <f t="shared" si="0"/>
        <v>2027</v>
      </c>
      <c r="AF57" s="758">
        <f t="shared" si="0"/>
        <v>2028</v>
      </c>
      <c r="AG57" s="758">
        <f>AH57-1</f>
        <v>2029</v>
      </c>
      <c r="AH57" s="758">
        <f>Ano</f>
        <v>2030</v>
      </c>
      <c r="AI57" s="729"/>
      <c r="AJ57" s="729"/>
      <c r="AK57" s="729"/>
      <c r="AL57" s="729"/>
      <c r="AM57" s="729"/>
      <c r="AN57" s="729"/>
      <c r="AO57" s="729"/>
      <c r="AP57" s="732"/>
      <c r="AQ57" s="732"/>
      <c r="AR57" s="732"/>
      <c r="AS57" s="732"/>
      <c r="AT57" s="732"/>
      <c r="AU57" s="732"/>
      <c r="AV57" s="729"/>
      <c r="AW57" s="729"/>
      <c r="AX57" s="729"/>
      <c r="AY57" s="729"/>
      <c r="AZ57" s="729"/>
      <c r="BH57" s="729"/>
      <c r="BI57" s="729"/>
      <c r="BJ57" s="729"/>
    </row>
    <row r="58" spans="1:85" s="237" customFormat="1" ht="15" outlineLevel="1" x14ac:dyDescent="0.25">
      <c r="A58" s="729"/>
      <c r="B58" s="729"/>
      <c r="C58" s="759" t="s">
        <v>1996</v>
      </c>
      <c r="D58" s="760" t="s">
        <v>27</v>
      </c>
      <c r="E58" s="761"/>
      <c r="F58" s="761"/>
      <c r="G58" s="761"/>
      <c r="H58" s="761"/>
      <c r="I58" s="761"/>
      <c r="J58" s="761"/>
      <c r="K58" s="761"/>
      <c r="L58" s="761"/>
      <c r="M58" s="761"/>
      <c r="N58" s="761"/>
      <c r="O58" s="761"/>
      <c r="P58" s="761"/>
      <c r="Q58" s="761"/>
      <c r="R58" s="761"/>
      <c r="S58" s="761"/>
      <c r="T58" s="761"/>
      <c r="U58" s="761"/>
      <c r="V58" s="761"/>
      <c r="W58" s="761"/>
      <c r="X58" s="761"/>
      <c r="Y58" s="761"/>
      <c r="Z58" s="761"/>
      <c r="AA58" s="761"/>
      <c r="AB58" s="761"/>
      <c r="AC58" s="761"/>
      <c r="AD58" s="761"/>
      <c r="AE58" s="761"/>
      <c r="AF58" s="761"/>
      <c r="AG58" s="761"/>
      <c r="AH58" s="761"/>
      <c r="AI58" s="729"/>
      <c r="AJ58" s="729"/>
      <c r="AK58" s="729"/>
      <c r="AL58" s="729"/>
      <c r="AM58" s="729"/>
      <c r="AN58" s="729"/>
      <c r="AO58" s="729"/>
      <c r="AP58" s="732"/>
      <c r="AQ58" s="732"/>
      <c r="AR58" s="732"/>
      <c r="AS58" s="732"/>
      <c r="AT58" s="732"/>
      <c r="AU58" s="732"/>
      <c r="AV58" s="729"/>
      <c r="AW58" s="729"/>
      <c r="AX58" s="729"/>
      <c r="AY58" s="729"/>
      <c r="AZ58" s="729"/>
      <c r="BA58" s="729" t="s">
        <v>1</v>
      </c>
      <c r="BC58" s="729"/>
      <c r="BD58" s="729"/>
      <c r="BE58" s="729"/>
      <c r="BF58" s="729"/>
      <c r="BG58" s="729"/>
      <c r="BH58" s="729"/>
      <c r="BI58" s="729"/>
      <c r="BJ58" s="729"/>
      <c r="BK58" s="729"/>
      <c r="BL58" s="729"/>
      <c r="BM58" s="729"/>
      <c r="BN58" s="729"/>
      <c r="BO58" s="729"/>
      <c r="BP58" s="729"/>
      <c r="BQ58" s="729"/>
      <c r="BR58" s="729"/>
      <c r="BS58" s="729"/>
      <c r="BT58" s="729"/>
      <c r="BU58" s="729"/>
      <c r="BV58" s="729"/>
      <c r="BW58" s="729"/>
      <c r="BX58" s="729"/>
      <c r="BY58" s="729"/>
      <c r="BZ58" s="729"/>
      <c r="CA58" s="729"/>
      <c r="CB58" s="729"/>
      <c r="CC58" s="729"/>
      <c r="CD58" s="729"/>
      <c r="CE58" s="729"/>
      <c r="CF58" s="729"/>
      <c r="CG58" s="729"/>
    </row>
    <row r="59" spans="1:85" s="237" customFormat="1" ht="15" outlineLevel="1" x14ac:dyDescent="0.25">
      <c r="A59" s="729"/>
      <c r="B59" s="729"/>
      <c r="C59" s="762"/>
      <c r="D59" s="729"/>
      <c r="E59" s="729"/>
      <c r="F59" s="729"/>
      <c r="G59" s="729"/>
      <c r="H59" s="729"/>
      <c r="I59" s="729"/>
      <c r="J59" s="729"/>
      <c r="K59" s="729"/>
      <c r="L59" s="729"/>
      <c r="M59" s="729"/>
      <c r="N59" s="729"/>
      <c r="O59" s="729"/>
      <c r="P59" s="729"/>
      <c r="Q59" s="754"/>
      <c r="R59" s="755"/>
      <c r="S59" s="756"/>
      <c r="T59" s="729"/>
      <c r="U59" s="729"/>
      <c r="V59" s="729"/>
      <c r="W59" s="729"/>
      <c r="X59" s="729"/>
      <c r="Y59" s="729"/>
      <c r="Z59" s="729"/>
      <c r="AA59" s="729"/>
      <c r="AB59" s="729"/>
      <c r="AC59" s="729"/>
      <c r="AD59" s="729"/>
      <c r="AE59" s="729"/>
      <c r="AF59" s="729"/>
      <c r="AG59" s="729"/>
      <c r="AH59" s="729"/>
      <c r="AI59" s="729"/>
      <c r="AJ59" s="729"/>
      <c r="AK59" s="729"/>
      <c r="AL59" s="729"/>
      <c r="AM59" s="729"/>
      <c r="AN59" s="729"/>
      <c r="AO59" s="729"/>
      <c r="AP59" s="732"/>
      <c r="AQ59" s="732"/>
      <c r="AR59" s="732"/>
      <c r="AS59" s="732"/>
      <c r="AT59" s="732"/>
      <c r="AU59" s="732"/>
      <c r="AV59" s="729"/>
      <c r="AW59" s="729"/>
      <c r="AX59" s="729"/>
      <c r="AY59" s="729"/>
      <c r="AZ59" s="729"/>
      <c r="BA59" s="763" t="s">
        <v>63</v>
      </c>
      <c r="BB59" s="252"/>
      <c r="BC59" s="252"/>
      <c r="BD59" s="252"/>
      <c r="BE59" s="252"/>
      <c r="BF59" s="252"/>
      <c r="BG59" s="252"/>
      <c r="BH59" s="252"/>
      <c r="BI59" s="252"/>
      <c r="BJ59" s="252"/>
      <c r="BK59" s="252"/>
      <c r="BL59" s="252"/>
      <c r="BM59" s="252"/>
      <c r="BN59" s="252"/>
      <c r="BO59" s="252"/>
      <c r="BP59" s="252"/>
      <c r="BQ59" s="252"/>
      <c r="BR59" s="252"/>
      <c r="BS59" s="252"/>
      <c r="BT59" s="252"/>
      <c r="BU59" s="252"/>
      <c r="BV59" s="252"/>
      <c r="BW59" s="252"/>
      <c r="BX59" s="252"/>
      <c r="BY59" s="252"/>
      <c r="BZ59" s="252"/>
      <c r="CA59" s="252"/>
      <c r="CB59" s="252"/>
      <c r="CC59" s="252"/>
      <c r="CD59" s="252"/>
      <c r="CE59" s="252"/>
      <c r="CF59" s="252"/>
      <c r="CG59" s="252"/>
    </row>
    <row r="60" spans="1:85" s="237" customFormat="1" ht="15" outlineLevel="1" x14ac:dyDescent="0.25">
      <c r="A60" s="729"/>
      <c r="B60" s="729"/>
      <c r="C60" s="762"/>
      <c r="D60" s="729"/>
      <c r="E60" s="729"/>
      <c r="F60" s="729"/>
      <c r="G60" s="729"/>
      <c r="H60" s="729"/>
      <c r="I60" s="729"/>
      <c r="J60" s="729"/>
      <c r="K60" s="729"/>
      <c r="L60" s="729"/>
      <c r="M60" s="729"/>
      <c r="N60" s="729"/>
      <c r="O60" s="729"/>
      <c r="P60" s="729"/>
      <c r="Q60" s="754"/>
      <c r="R60" s="755"/>
      <c r="S60" s="756"/>
      <c r="T60" s="729"/>
      <c r="U60" s="729"/>
      <c r="V60" s="729"/>
      <c r="W60" s="729"/>
      <c r="X60" s="729"/>
      <c r="Y60" s="729"/>
      <c r="Z60" s="729"/>
      <c r="AA60" s="729"/>
      <c r="AB60" s="729"/>
      <c r="AC60" s="729"/>
      <c r="AD60" s="729"/>
      <c r="AE60" s="729"/>
      <c r="AF60" s="729"/>
      <c r="AG60" s="729"/>
      <c r="AH60" s="729"/>
      <c r="AI60" s="729"/>
      <c r="AJ60" s="729"/>
      <c r="AK60" s="729"/>
      <c r="AL60" s="729"/>
      <c r="AM60" s="729"/>
      <c r="AN60" s="729"/>
      <c r="AO60" s="729"/>
      <c r="AP60" s="732"/>
      <c r="AQ60" s="732"/>
      <c r="AR60" s="732"/>
      <c r="AS60" s="732"/>
      <c r="AT60" s="732"/>
      <c r="AU60" s="732"/>
      <c r="AV60" s="729"/>
      <c r="AW60" s="729"/>
      <c r="AX60" s="729"/>
      <c r="AY60" s="729"/>
      <c r="AZ60" s="729"/>
      <c r="BA60" s="252"/>
      <c r="BB60" s="764" t="s">
        <v>58</v>
      </c>
      <c r="BC60" s="765">
        <f>IF($D$49="&gt; 20", IF($D$48="&lt; 1.000", 0.065, 0.17), 0.09)</f>
        <v>0.09</v>
      </c>
      <c r="BD60" s="252"/>
      <c r="BE60" s="252"/>
      <c r="BF60" s="252"/>
      <c r="BG60" s="252"/>
      <c r="BH60" s="252"/>
      <c r="BI60" s="252"/>
      <c r="BJ60" s="252"/>
      <c r="BK60" s="252"/>
      <c r="BL60" s="252"/>
      <c r="BM60" s="252"/>
      <c r="BN60" s="252"/>
      <c r="BO60" s="252"/>
      <c r="BP60" s="252"/>
      <c r="BQ60" s="252"/>
      <c r="BR60" s="252"/>
      <c r="BS60" s="252"/>
      <c r="BT60" s="252"/>
      <c r="BU60" s="252"/>
      <c r="BV60" s="252"/>
      <c r="BW60" s="252"/>
      <c r="BX60" s="252"/>
      <c r="BY60" s="252"/>
      <c r="BZ60" s="252"/>
      <c r="CA60" s="252"/>
      <c r="CB60" s="252"/>
      <c r="CC60" s="252"/>
      <c r="CD60" s="252"/>
      <c r="CE60" s="252"/>
      <c r="CF60" s="252"/>
      <c r="CG60" s="252"/>
    </row>
    <row r="61" spans="1:85" s="237" customFormat="1" ht="15" outlineLevel="1" x14ac:dyDescent="0.25">
      <c r="A61" s="729"/>
      <c r="B61" s="729"/>
      <c r="C61" s="751"/>
      <c r="D61" s="729"/>
      <c r="E61" s="729"/>
      <c r="F61" s="729"/>
      <c r="G61" s="729"/>
      <c r="H61" s="729"/>
      <c r="I61" s="729"/>
      <c r="J61" s="729"/>
      <c r="K61" s="729"/>
      <c r="L61" s="729"/>
      <c r="M61" s="729"/>
      <c r="N61" s="729"/>
      <c r="O61" s="729"/>
      <c r="P61" s="729"/>
      <c r="Q61" s="729"/>
      <c r="R61" s="729"/>
      <c r="S61" s="729"/>
      <c r="T61" s="729"/>
      <c r="U61" s="729"/>
      <c r="V61" s="729"/>
      <c r="W61" s="729"/>
      <c r="X61" s="729"/>
      <c r="Y61" s="729"/>
      <c r="Z61" s="729"/>
      <c r="AA61" s="729"/>
      <c r="AB61" s="729"/>
      <c r="AC61" s="729"/>
      <c r="AD61" s="729"/>
      <c r="AE61" s="729"/>
      <c r="AF61" s="729"/>
      <c r="AG61" s="729"/>
      <c r="AH61" s="729"/>
      <c r="AI61" s="729"/>
      <c r="AJ61" s="729"/>
      <c r="AK61" s="729"/>
      <c r="AL61" s="729"/>
      <c r="AM61" s="729"/>
      <c r="AN61" s="729"/>
      <c r="AO61" s="729"/>
      <c r="AP61" s="732"/>
      <c r="AQ61" s="732"/>
      <c r="AR61" s="732"/>
      <c r="AS61" s="732"/>
      <c r="AT61" s="732"/>
      <c r="AU61" s="732"/>
      <c r="AV61" s="729"/>
      <c r="AW61" s="729"/>
      <c r="AX61" s="729"/>
      <c r="AY61" s="729"/>
      <c r="AZ61" s="729"/>
      <c r="BA61" s="252"/>
      <c r="BB61" s="764" t="s">
        <v>59</v>
      </c>
      <c r="BC61" s="765">
        <f>((1-EXP(-$BC$60))/$BC$60)</f>
        <v>0.95632016365302019</v>
      </c>
      <c r="BD61" s="252"/>
      <c r="BE61" s="252"/>
      <c r="BF61" s="252"/>
      <c r="BG61" s="252"/>
      <c r="BH61" s="252"/>
      <c r="BI61" s="252"/>
      <c r="BJ61" s="252"/>
      <c r="BK61" s="252"/>
      <c r="BL61" s="252"/>
      <c r="BM61" s="252"/>
      <c r="BN61" s="252"/>
      <c r="BO61" s="252"/>
      <c r="BP61" s="252"/>
      <c r="BQ61" s="252"/>
      <c r="BR61" s="252"/>
      <c r="BS61" s="252"/>
      <c r="BT61" s="252"/>
      <c r="BU61" s="252"/>
      <c r="BV61" s="252"/>
      <c r="BW61" s="252"/>
      <c r="BX61" s="252"/>
      <c r="BY61" s="252"/>
      <c r="BZ61" s="252"/>
      <c r="CA61" s="252"/>
      <c r="CB61" s="252"/>
      <c r="CC61" s="252"/>
      <c r="CD61" s="252"/>
      <c r="CE61" s="252"/>
      <c r="CF61" s="252"/>
      <c r="CG61" s="252"/>
    </row>
    <row r="62" spans="1:85" s="237" customFormat="1" ht="18" outlineLevel="1" x14ac:dyDescent="0.35">
      <c r="A62" s="729"/>
      <c r="B62" s="727" t="s">
        <v>1345</v>
      </c>
      <c r="C62" s="751"/>
      <c r="D62" s="752"/>
      <c r="E62" s="755"/>
      <c r="F62" s="756"/>
      <c r="G62" s="729"/>
      <c r="H62" s="729"/>
      <c r="I62" s="729"/>
      <c r="J62" s="729"/>
      <c r="K62" s="729"/>
      <c r="L62" s="729"/>
      <c r="M62" s="729"/>
      <c r="N62" s="729"/>
      <c r="O62" s="729"/>
      <c r="P62" s="729"/>
      <c r="Q62" s="729"/>
      <c r="R62" s="729"/>
      <c r="S62" s="729"/>
      <c r="T62" s="729"/>
      <c r="U62" s="729"/>
      <c r="V62" s="729"/>
      <c r="W62" s="729"/>
      <c r="X62" s="729"/>
      <c r="Y62" s="729"/>
      <c r="Z62" s="729"/>
      <c r="AA62" s="729"/>
      <c r="AB62" s="729"/>
      <c r="AC62" s="729"/>
      <c r="AD62" s="729"/>
      <c r="AE62" s="729"/>
      <c r="AF62" s="729"/>
      <c r="AG62" s="729"/>
      <c r="AH62" s="729"/>
      <c r="AI62" s="729"/>
      <c r="AJ62" s="729"/>
      <c r="AK62" s="729"/>
      <c r="AL62" s="729"/>
      <c r="AM62" s="729"/>
      <c r="AN62" s="729"/>
      <c r="AO62" s="729"/>
      <c r="AP62" s="732"/>
      <c r="AQ62" s="732"/>
      <c r="AR62" s="732"/>
      <c r="AS62" s="732"/>
      <c r="AT62" s="732"/>
      <c r="AU62" s="732"/>
      <c r="AV62" s="729"/>
      <c r="AW62" s="729"/>
      <c r="AX62" s="729"/>
      <c r="AY62" s="729"/>
      <c r="AZ62" s="729"/>
      <c r="BA62" s="252"/>
      <c r="BB62" s="766" t="s">
        <v>1430</v>
      </c>
      <c r="BC62" s="765">
        <v>0.5</v>
      </c>
      <c r="BD62" s="767" t="s">
        <v>60</v>
      </c>
      <c r="BE62" s="768"/>
      <c r="BF62" s="252"/>
      <c r="BG62" s="252"/>
      <c r="BH62" s="252"/>
      <c r="BI62" s="252"/>
      <c r="BJ62" s="252"/>
      <c r="BK62" s="252"/>
      <c r="BL62" s="252"/>
      <c r="BM62" s="252"/>
      <c r="BN62" s="252"/>
      <c r="BO62" s="252"/>
      <c r="BP62" s="252"/>
      <c r="BQ62" s="252"/>
      <c r="BR62" s="252"/>
      <c r="BS62" s="252"/>
      <c r="BT62" s="252"/>
      <c r="BU62" s="252"/>
      <c r="BV62" s="252"/>
      <c r="BW62" s="252"/>
      <c r="BX62" s="252"/>
      <c r="BY62" s="252"/>
      <c r="BZ62" s="252"/>
      <c r="CA62" s="252"/>
      <c r="CB62" s="252"/>
      <c r="CC62" s="252"/>
      <c r="CD62" s="252"/>
      <c r="CE62" s="252"/>
      <c r="CF62" s="252"/>
      <c r="CG62" s="252"/>
    </row>
    <row r="63" spans="1:85" s="237" customFormat="1" ht="15" outlineLevel="1" x14ac:dyDescent="0.25">
      <c r="A63" s="729"/>
      <c r="B63" s="729"/>
      <c r="C63" s="731" t="s">
        <v>347</v>
      </c>
      <c r="D63" s="752"/>
      <c r="E63" s="755"/>
      <c r="F63" s="756"/>
      <c r="G63" s="729"/>
      <c r="H63" s="729"/>
      <c r="I63" s="729"/>
      <c r="J63" s="729"/>
      <c r="K63" s="729"/>
      <c r="L63" s="729"/>
      <c r="M63" s="729"/>
      <c r="N63" s="729"/>
      <c r="O63" s="729"/>
      <c r="P63" s="729"/>
      <c r="Q63" s="729"/>
      <c r="R63" s="729"/>
      <c r="S63" s="729"/>
      <c r="T63" s="729"/>
      <c r="U63" s="729"/>
      <c r="V63" s="729"/>
      <c r="W63" s="729"/>
      <c r="X63" s="729"/>
      <c r="Y63" s="729"/>
      <c r="Z63" s="729"/>
      <c r="AA63" s="729"/>
      <c r="AB63" s="729"/>
      <c r="AC63" s="729"/>
      <c r="AD63" s="729"/>
      <c r="AE63" s="729"/>
      <c r="AF63" s="729"/>
      <c r="AG63" s="729"/>
      <c r="AH63" s="729"/>
      <c r="AI63" s="729"/>
      <c r="AJ63" s="729"/>
      <c r="AK63" s="729"/>
      <c r="AL63" s="729"/>
      <c r="AM63" s="729"/>
      <c r="AN63" s="729"/>
      <c r="AO63" s="729"/>
      <c r="AP63" s="732"/>
      <c r="AQ63" s="732"/>
      <c r="AR63" s="732"/>
      <c r="AS63" s="732"/>
      <c r="AT63" s="732"/>
      <c r="AU63" s="732"/>
      <c r="AV63" s="729"/>
      <c r="AW63" s="729"/>
      <c r="AX63" s="729"/>
      <c r="AY63" s="729"/>
      <c r="AZ63" s="729"/>
      <c r="BA63" s="252"/>
      <c r="BB63" s="769" t="s">
        <v>61</v>
      </c>
      <c r="BC63" s="765">
        <f xml:space="preserve"> 16/12</f>
        <v>1.3333333333333333</v>
      </c>
      <c r="BD63" s="768"/>
      <c r="BE63" s="768"/>
      <c r="BF63" s="252"/>
      <c r="BG63" s="252"/>
      <c r="BH63" s="252"/>
      <c r="BI63" s="252"/>
      <c r="BJ63" s="252"/>
      <c r="BK63" s="252"/>
      <c r="BL63" s="252"/>
      <c r="BM63" s="252"/>
      <c r="BN63" s="252"/>
      <c r="BO63" s="252"/>
      <c r="BP63" s="252"/>
      <c r="BQ63" s="252"/>
      <c r="BR63" s="252"/>
      <c r="BS63" s="252"/>
      <c r="BT63" s="252"/>
      <c r="BU63" s="252"/>
      <c r="BV63" s="252"/>
      <c r="BW63" s="252"/>
      <c r="BX63" s="252"/>
      <c r="BY63" s="252"/>
      <c r="BZ63" s="252"/>
      <c r="CA63" s="252"/>
      <c r="CB63" s="252"/>
      <c r="CC63" s="252"/>
      <c r="CD63" s="252"/>
      <c r="CE63" s="252"/>
      <c r="CF63" s="252"/>
      <c r="CG63" s="252"/>
    </row>
    <row r="64" spans="1:85" s="237" customFormat="1" ht="15" outlineLevel="1" x14ac:dyDescent="0.25">
      <c r="A64" s="729"/>
      <c r="B64" s="729"/>
      <c r="C64" s="731" t="s">
        <v>1997</v>
      </c>
      <c r="D64" s="752"/>
      <c r="E64" s="755"/>
      <c r="F64" s="756"/>
      <c r="G64" s="729"/>
      <c r="H64" s="729"/>
      <c r="I64" s="729"/>
      <c r="J64" s="729"/>
      <c r="K64" s="729"/>
      <c r="L64" s="729"/>
      <c r="M64" s="729"/>
      <c r="N64" s="729"/>
      <c r="O64" s="729"/>
      <c r="P64" s="729"/>
      <c r="Q64" s="729"/>
      <c r="R64" s="729"/>
      <c r="S64" s="729"/>
      <c r="T64" s="729"/>
      <c r="U64" s="729"/>
      <c r="V64" s="729"/>
      <c r="W64" s="729"/>
      <c r="X64" s="729"/>
      <c r="Y64" s="729"/>
      <c r="Z64" s="729"/>
      <c r="AA64" s="729"/>
      <c r="AB64" s="729"/>
      <c r="AC64" s="729"/>
      <c r="AD64" s="729"/>
      <c r="AE64" s="729"/>
      <c r="AF64" s="729"/>
      <c r="AG64" s="729"/>
      <c r="AH64" s="729"/>
      <c r="AI64" s="729"/>
      <c r="AJ64" s="729"/>
      <c r="AK64" s="729"/>
      <c r="AL64" s="729"/>
      <c r="AM64" s="729"/>
      <c r="AN64" s="729"/>
      <c r="AO64" s="729"/>
      <c r="AP64" s="732"/>
      <c r="AQ64" s="732"/>
      <c r="AR64" s="732"/>
      <c r="AS64" s="732"/>
      <c r="AT64" s="732"/>
      <c r="AU64" s="732"/>
      <c r="AV64" s="729"/>
      <c r="AW64" s="729"/>
      <c r="AX64" s="729"/>
      <c r="AY64" s="729"/>
      <c r="AZ64" s="729"/>
      <c r="BA64" s="252"/>
      <c r="BB64" s="766" t="s">
        <v>62</v>
      </c>
      <c r="BC64" s="770">
        <f>IF($D$96=0, 0.5,$D$96)</f>
        <v>0.5</v>
      </c>
      <c r="BD64" s="768"/>
      <c r="BE64" s="768"/>
      <c r="BF64" s="252"/>
      <c r="BG64" s="252"/>
      <c r="BH64" s="252"/>
      <c r="BI64" s="252"/>
      <c r="BJ64" s="252"/>
      <c r="BK64" s="252"/>
      <c r="BL64" s="252"/>
      <c r="BM64" s="252"/>
      <c r="BN64" s="252"/>
      <c r="BO64" s="252"/>
      <c r="BP64" s="252"/>
      <c r="BQ64" s="252"/>
      <c r="BR64" s="252"/>
      <c r="BS64" s="252"/>
      <c r="BT64" s="252"/>
      <c r="BU64" s="252"/>
      <c r="BV64" s="252"/>
      <c r="BW64" s="252"/>
      <c r="BX64" s="252"/>
      <c r="BY64" s="252"/>
      <c r="BZ64" s="252"/>
      <c r="CA64" s="252"/>
      <c r="CB64" s="252"/>
      <c r="CC64" s="252"/>
      <c r="CD64" s="252"/>
      <c r="CE64" s="252"/>
      <c r="CF64" s="252"/>
      <c r="CG64" s="252"/>
    </row>
    <row r="65" spans="1:85" s="237" customFormat="1" ht="18" outlineLevel="1" x14ac:dyDescent="0.35">
      <c r="A65" s="729"/>
      <c r="B65" s="729"/>
      <c r="C65" s="731" t="s">
        <v>1431</v>
      </c>
      <c r="D65" s="752"/>
      <c r="E65" s="755"/>
      <c r="F65" s="756"/>
      <c r="G65" s="729"/>
      <c r="H65" s="729"/>
      <c r="I65" s="729"/>
      <c r="J65" s="729"/>
      <c r="K65" s="729"/>
      <c r="L65" s="729"/>
      <c r="M65" s="729"/>
      <c r="N65" s="729"/>
      <c r="O65" s="729"/>
      <c r="P65" s="729"/>
      <c r="Q65" s="729"/>
      <c r="R65" s="729"/>
      <c r="S65" s="729"/>
      <c r="T65" s="729"/>
      <c r="U65" s="729"/>
      <c r="V65" s="729"/>
      <c r="W65" s="729"/>
      <c r="X65" s="729"/>
      <c r="Y65" s="729"/>
      <c r="Z65" s="729"/>
      <c r="AA65" s="729"/>
      <c r="AB65" s="729"/>
      <c r="AC65" s="729"/>
      <c r="AD65" s="729"/>
      <c r="AE65" s="729"/>
      <c r="AF65" s="729"/>
      <c r="AG65" s="729"/>
      <c r="AH65" s="729"/>
      <c r="AI65" s="729"/>
      <c r="AJ65" s="729"/>
      <c r="AK65" s="729"/>
      <c r="AL65" s="729"/>
      <c r="AM65" s="729"/>
      <c r="AN65" s="729"/>
      <c r="AO65" s="729"/>
      <c r="AP65" s="732"/>
      <c r="AQ65" s="732"/>
      <c r="AR65" s="732"/>
      <c r="AS65" s="732"/>
      <c r="AT65" s="732"/>
      <c r="AU65" s="732"/>
      <c r="AV65" s="729"/>
      <c r="AW65" s="729"/>
      <c r="AX65" s="729"/>
      <c r="AY65" s="729"/>
      <c r="AZ65" s="729"/>
      <c r="BA65" s="768"/>
      <c r="BB65" s="771" t="s">
        <v>1432</v>
      </c>
      <c r="BC65" s="252"/>
      <c r="BD65" s="772">
        <f>($BC$61*$BC$60*E$58* E$92*E$77*$BC$62*$BC$64*$BC$63)</f>
        <v>0</v>
      </c>
      <c r="BE65" s="772">
        <f t="shared" ref="BE65:CG65" si="1">($BC$61*$BC$60*F$58* F$92*F$77*$BC$62*$BC$64*$BC$63)</f>
        <v>0</v>
      </c>
      <c r="BF65" s="772">
        <f t="shared" si="1"/>
        <v>0</v>
      </c>
      <c r="BG65" s="772">
        <f t="shared" si="1"/>
        <v>0</v>
      </c>
      <c r="BH65" s="772">
        <f t="shared" si="1"/>
        <v>0</v>
      </c>
      <c r="BI65" s="772">
        <f>($BC$61*$BC$60*J$58* J$92*J$77*$BC$62*$BC$64*$BC$63)</f>
        <v>0</v>
      </c>
      <c r="BJ65" s="772">
        <f t="shared" si="1"/>
        <v>0</v>
      </c>
      <c r="BK65" s="772">
        <f t="shared" si="1"/>
        <v>0</v>
      </c>
      <c r="BL65" s="772">
        <f t="shared" si="1"/>
        <v>0</v>
      </c>
      <c r="BM65" s="772">
        <f t="shared" si="1"/>
        <v>0</v>
      </c>
      <c r="BN65" s="772">
        <f t="shared" si="1"/>
        <v>0</v>
      </c>
      <c r="BO65" s="772">
        <f t="shared" si="1"/>
        <v>0</v>
      </c>
      <c r="BP65" s="772">
        <f t="shared" si="1"/>
        <v>0</v>
      </c>
      <c r="BQ65" s="772">
        <f t="shared" si="1"/>
        <v>0</v>
      </c>
      <c r="BR65" s="772">
        <f t="shared" si="1"/>
        <v>0</v>
      </c>
      <c r="BS65" s="772">
        <f t="shared" si="1"/>
        <v>0</v>
      </c>
      <c r="BT65" s="772">
        <f t="shared" si="1"/>
        <v>0</v>
      </c>
      <c r="BU65" s="772">
        <f t="shared" si="1"/>
        <v>0</v>
      </c>
      <c r="BV65" s="772">
        <f t="shared" si="1"/>
        <v>0</v>
      </c>
      <c r="BW65" s="772">
        <f t="shared" si="1"/>
        <v>0</v>
      </c>
      <c r="BX65" s="772">
        <f t="shared" si="1"/>
        <v>0</v>
      </c>
      <c r="BY65" s="772">
        <f t="shared" si="1"/>
        <v>0</v>
      </c>
      <c r="BZ65" s="772">
        <f t="shared" si="1"/>
        <v>0</v>
      </c>
      <c r="CA65" s="772">
        <f t="shared" si="1"/>
        <v>0</v>
      </c>
      <c r="CB65" s="772">
        <f t="shared" si="1"/>
        <v>0</v>
      </c>
      <c r="CC65" s="772">
        <f t="shared" si="1"/>
        <v>0</v>
      </c>
      <c r="CD65" s="772">
        <f t="shared" si="1"/>
        <v>0</v>
      </c>
      <c r="CE65" s="772">
        <f t="shared" si="1"/>
        <v>0</v>
      </c>
      <c r="CF65" s="772">
        <f t="shared" si="1"/>
        <v>0</v>
      </c>
      <c r="CG65" s="772">
        <f t="shared" si="1"/>
        <v>0</v>
      </c>
    </row>
    <row r="66" spans="1:85" s="237" customFormat="1" ht="18" outlineLevel="1" x14ac:dyDescent="0.35">
      <c r="A66" s="729"/>
      <c r="B66" s="729"/>
      <c r="C66" s="731" t="s">
        <v>1998</v>
      </c>
      <c r="D66" s="752"/>
      <c r="E66" s="755"/>
      <c r="F66" s="756"/>
      <c r="G66" s="729"/>
      <c r="H66" s="729"/>
      <c r="I66" s="729"/>
      <c r="J66" s="729"/>
      <c r="K66" s="729"/>
      <c r="L66" s="729"/>
      <c r="M66" s="729"/>
      <c r="N66" s="729"/>
      <c r="O66" s="729"/>
      <c r="P66" s="729"/>
      <c r="Q66" s="729"/>
      <c r="R66" s="729"/>
      <c r="S66" s="729"/>
      <c r="T66" s="729"/>
      <c r="U66" s="729"/>
      <c r="V66" s="729"/>
      <c r="W66" s="729"/>
      <c r="X66" s="729"/>
      <c r="Y66" s="729"/>
      <c r="Z66" s="729"/>
      <c r="AA66" s="729"/>
      <c r="AB66" s="729"/>
      <c r="AC66" s="729"/>
      <c r="AD66" s="729"/>
      <c r="AE66" s="729"/>
      <c r="AF66" s="729"/>
      <c r="AG66" s="729"/>
      <c r="AH66" s="729"/>
      <c r="AI66" s="729"/>
      <c r="AJ66" s="729"/>
      <c r="AK66" s="729"/>
      <c r="AL66" s="729"/>
      <c r="AM66" s="729"/>
      <c r="AN66" s="729"/>
      <c r="AO66" s="729"/>
      <c r="AP66" s="732"/>
      <c r="AQ66" s="732"/>
      <c r="AR66" s="732"/>
      <c r="AS66" s="732"/>
      <c r="AT66" s="732"/>
      <c r="AU66" s="732"/>
      <c r="AV66" s="729"/>
      <c r="AW66" s="729"/>
      <c r="AX66" s="729"/>
      <c r="AY66" s="729"/>
      <c r="AZ66" s="729"/>
      <c r="BA66" s="252"/>
      <c r="BB66" s="252"/>
      <c r="BC66" s="773" t="s">
        <v>145</v>
      </c>
      <c r="BD66" s="774">
        <f t="shared" ref="BD66:CF66" si="2">BE66-1</f>
        <v>2001</v>
      </c>
      <c r="BE66" s="774">
        <f t="shared" si="2"/>
        <v>2002</v>
      </c>
      <c r="BF66" s="774">
        <f t="shared" si="2"/>
        <v>2003</v>
      </c>
      <c r="BG66" s="774">
        <f t="shared" si="2"/>
        <v>2004</v>
      </c>
      <c r="BH66" s="774">
        <f t="shared" si="2"/>
        <v>2005</v>
      </c>
      <c r="BI66" s="774">
        <f t="shared" si="2"/>
        <v>2006</v>
      </c>
      <c r="BJ66" s="774">
        <f t="shared" si="2"/>
        <v>2007</v>
      </c>
      <c r="BK66" s="774">
        <f t="shared" si="2"/>
        <v>2008</v>
      </c>
      <c r="BL66" s="774">
        <f t="shared" si="2"/>
        <v>2009</v>
      </c>
      <c r="BM66" s="774">
        <f t="shared" si="2"/>
        <v>2010</v>
      </c>
      <c r="BN66" s="774">
        <f t="shared" si="2"/>
        <v>2011</v>
      </c>
      <c r="BO66" s="774">
        <f t="shared" si="2"/>
        <v>2012</v>
      </c>
      <c r="BP66" s="774">
        <f t="shared" si="2"/>
        <v>2013</v>
      </c>
      <c r="BQ66" s="774">
        <f t="shared" si="2"/>
        <v>2014</v>
      </c>
      <c r="BR66" s="774">
        <f t="shared" si="2"/>
        <v>2015</v>
      </c>
      <c r="BS66" s="774">
        <f t="shared" si="2"/>
        <v>2016</v>
      </c>
      <c r="BT66" s="774">
        <f t="shared" si="2"/>
        <v>2017</v>
      </c>
      <c r="BU66" s="774">
        <f t="shared" si="2"/>
        <v>2018</v>
      </c>
      <c r="BV66" s="774">
        <f t="shared" si="2"/>
        <v>2019</v>
      </c>
      <c r="BW66" s="774">
        <f t="shared" si="2"/>
        <v>2020</v>
      </c>
      <c r="BX66" s="774">
        <f t="shared" si="2"/>
        <v>2021</v>
      </c>
      <c r="BY66" s="774">
        <f t="shared" si="2"/>
        <v>2022</v>
      </c>
      <c r="BZ66" s="774">
        <f t="shared" si="2"/>
        <v>2023</v>
      </c>
      <c r="CA66" s="774">
        <f t="shared" si="2"/>
        <v>2024</v>
      </c>
      <c r="CB66" s="774">
        <f t="shared" si="2"/>
        <v>2025</v>
      </c>
      <c r="CC66" s="774">
        <f t="shared" si="2"/>
        <v>2026</v>
      </c>
      <c r="CD66" s="774">
        <f t="shared" si="2"/>
        <v>2027</v>
      </c>
      <c r="CE66" s="774">
        <f t="shared" si="2"/>
        <v>2028</v>
      </c>
      <c r="CF66" s="774">
        <f t="shared" si="2"/>
        <v>2029</v>
      </c>
      <c r="CG66" s="774">
        <f>Ano</f>
        <v>2030</v>
      </c>
    </row>
    <row r="67" spans="1:85" s="237" customFormat="1" ht="15" outlineLevel="1" x14ac:dyDescent="0.25">
      <c r="A67" s="729"/>
      <c r="B67" s="729"/>
      <c r="C67" s="752"/>
      <c r="D67" s="752"/>
      <c r="E67" s="752"/>
      <c r="F67" s="752"/>
      <c r="G67" s="752"/>
      <c r="H67" s="729"/>
      <c r="I67" s="729"/>
      <c r="J67" s="729"/>
      <c r="K67" s="729"/>
      <c r="L67" s="729"/>
      <c r="M67" s="729"/>
      <c r="N67" s="729"/>
      <c r="O67" s="729"/>
      <c r="P67" s="729"/>
      <c r="Q67" s="729"/>
      <c r="R67" s="729"/>
      <c r="S67" s="729"/>
      <c r="T67" s="729"/>
      <c r="U67" s="729"/>
      <c r="V67" s="729"/>
      <c r="W67" s="729"/>
      <c r="X67" s="729"/>
      <c r="Y67" s="729"/>
      <c r="Z67" s="729"/>
      <c r="AA67" s="729"/>
      <c r="AB67" s="729"/>
      <c r="AC67" s="729"/>
      <c r="AD67" s="729"/>
      <c r="AE67" s="729"/>
      <c r="AF67" s="729"/>
      <c r="AG67" s="729"/>
      <c r="AH67" s="729"/>
      <c r="AI67" s="729"/>
      <c r="AJ67" s="729"/>
      <c r="AK67" s="729"/>
      <c r="AL67" s="729"/>
      <c r="AM67" s="729"/>
      <c r="AN67" s="729"/>
      <c r="AO67" s="729"/>
      <c r="AP67" s="732"/>
      <c r="AQ67" s="732"/>
      <c r="AR67" s="732"/>
      <c r="AS67" s="732"/>
      <c r="AT67" s="732"/>
      <c r="AU67" s="732"/>
      <c r="AV67" s="729"/>
      <c r="AW67" s="729"/>
      <c r="AX67" s="729"/>
      <c r="AY67" s="729"/>
      <c r="AZ67" s="729"/>
      <c r="BA67" s="252"/>
      <c r="BB67" s="252"/>
      <c r="BC67" s="775">
        <f>BD66</f>
        <v>2001</v>
      </c>
      <c r="BD67" s="776">
        <f>BD$65*EXP(-$BC$60*($BC67-BD$66))</f>
        <v>0</v>
      </c>
      <c r="BE67" s="777"/>
      <c r="BF67" s="777"/>
      <c r="BG67" s="777"/>
      <c r="BH67" s="777"/>
      <c r="BI67" s="777"/>
      <c r="BJ67" s="777"/>
      <c r="BK67" s="777"/>
      <c r="BL67" s="777"/>
      <c r="BM67" s="777"/>
      <c r="BN67" s="777"/>
      <c r="BO67" s="777"/>
      <c r="BP67" s="777"/>
      <c r="BQ67" s="777"/>
      <c r="BR67" s="777"/>
      <c r="BS67" s="777"/>
      <c r="BT67" s="777"/>
      <c r="BU67" s="777"/>
      <c r="BV67" s="777"/>
      <c r="BW67" s="777"/>
      <c r="BX67" s="777"/>
      <c r="BY67" s="777"/>
      <c r="BZ67" s="777"/>
      <c r="CA67" s="777"/>
      <c r="CB67" s="777"/>
      <c r="CC67" s="777"/>
      <c r="CD67" s="777"/>
      <c r="CE67" s="777"/>
      <c r="CF67" s="777"/>
      <c r="CG67" s="778"/>
    </row>
    <row r="68" spans="1:85" s="237" customFormat="1" ht="18.75" outlineLevel="1" x14ac:dyDescent="0.35">
      <c r="A68" s="729"/>
      <c r="C68" s="779" t="s">
        <v>299</v>
      </c>
      <c r="D68" s="780" t="s">
        <v>54</v>
      </c>
      <c r="E68" s="758">
        <f t="shared" ref="E68:AF68" si="3">F68-1</f>
        <v>2001</v>
      </c>
      <c r="F68" s="758">
        <f t="shared" si="3"/>
        <v>2002</v>
      </c>
      <c r="G68" s="758">
        <f t="shared" si="3"/>
        <v>2003</v>
      </c>
      <c r="H68" s="758">
        <f t="shared" si="3"/>
        <v>2004</v>
      </c>
      <c r="I68" s="758">
        <f t="shared" si="3"/>
        <v>2005</v>
      </c>
      <c r="J68" s="758">
        <f t="shared" si="3"/>
        <v>2006</v>
      </c>
      <c r="K68" s="758">
        <f t="shared" si="3"/>
        <v>2007</v>
      </c>
      <c r="L68" s="758">
        <f t="shared" si="3"/>
        <v>2008</v>
      </c>
      <c r="M68" s="758">
        <f t="shared" si="3"/>
        <v>2009</v>
      </c>
      <c r="N68" s="758">
        <f t="shared" si="3"/>
        <v>2010</v>
      </c>
      <c r="O68" s="758">
        <f t="shared" si="3"/>
        <v>2011</v>
      </c>
      <c r="P68" s="758">
        <f t="shared" si="3"/>
        <v>2012</v>
      </c>
      <c r="Q68" s="758">
        <f t="shared" si="3"/>
        <v>2013</v>
      </c>
      <c r="R68" s="758">
        <f t="shared" si="3"/>
        <v>2014</v>
      </c>
      <c r="S68" s="758">
        <f t="shared" si="3"/>
        <v>2015</v>
      </c>
      <c r="T68" s="758">
        <f t="shared" si="3"/>
        <v>2016</v>
      </c>
      <c r="U68" s="758">
        <f t="shared" si="3"/>
        <v>2017</v>
      </c>
      <c r="V68" s="758">
        <f t="shared" si="3"/>
        <v>2018</v>
      </c>
      <c r="W68" s="758">
        <f t="shared" si="3"/>
        <v>2019</v>
      </c>
      <c r="X68" s="758">
        <f t="shared" si="3"/>
        <v>2020</v>
      </c>
      <c r="Y68" s="758">
        <f t="shared" si="3"/>
        <v>2021</v>
      </c>
      <c r="Z68" s="758">
        <f t="shared" si="3"/>
        <v>2022</v>
      </c>
      <c r="AA68" s="758">
        <f t="shared" si="3"/>
        <v>2023</v>
      </c>
      <c r="AB68" s="758">
        <f t="shared" si="3"/>
        <v>2024</v>
      </c>
      <c r="AC68" s="758">
        <f t="shared" si="3"/>
        <v>2025</v>
      </c>
      <c r="AD68" s="758">
        <f t="shared" si="3"/>
        <v>2026</v>
      </c>
      <c r="AE68" s="758">
        <f t="shared" si="3"/>
        <v>2027</v>
      </c>
      <c r="AF68" s="758">
        <f t="shared" si="3"/>
        <v>2028</v>
      </c>
      <c r="AG68" s="758">
        <f>AH68-1</f>
        <v>2029</v>
      </c>
      <c r="AH68" s="758">
        <f>Ano</f>
        <v>2030</v>
      </c>
      <c r="AP68" s="781"/>
      <c r="AQ68" s="781"/>
      <c r="AR68" s="781"/>
      <c r="AS68" s="781"/>
      <c r="AT68" s="781"/>
      <c r="AU68" s="781"/>
      <c r="BA68" s="252"/>
      <c r="BB68" s="252"/>
      <c r="BC68" s="782">
        <f>BC67+1</f>
        <v>2002</v>
      </c>
      <c r="BD68" s="776">
        <f>BD$65*EXP(-$BC$60*($BC68-BD$66))</f>
        <v>0</v>
      </c>
      <c r="BE68" s="776">
        <f>BE$65*EXP(-$BC$60*($BC68-BE$66))</f>
        <v>0</v>
      </c>
      <c r="BF68" s="777"/>
      <c r="BG68" s="777"/>
      <c r="BH68" s="777"/>
      <c r="BI68" s="783" t="s">
        <v>1433</v>
      </c>
      <c r="BJ68" s="777"/>
      <c r="BK68" s="777"/>
      <c r="BL68" s="777"/>
      <c r="BM68" s="777"/>
      <c r="BN68" s="777"/>
      <c r="BO68" s="777"/>
      <c r="BP68" s="777"/>
      <c r="BQ68" s="777"/>
      <c r="BR68" s="777"/>
      <c r="BS68" s="777"/>
      <c r="BT68" s="777"/>
      <c r="BU68" s="777"/>
      <c r="BV68" s="777"/>
      <c r="BW68" s="777"/>
      <c r="BX68" s="777"/>
      <c r="BY68" s="777"/>
      <c r="BZ68" s="777"/>
      <c r="CA68" s="777"/>
      <c r="CB68" s="777"/>
      <c r="CC68" s="777"/>
      <c r="CD68" s="777"/>
      <c r="CE68" s="777"/>
      <c r="CF68" s="777"/>
      <c r="CG68" s="778"/>
    </row>
    <row r="69" spans="1:85" s="237" customFormat="1" ht="15" customHeight="1" outlineLevel="1" x14ac:dyDescent="0.25">
      <c r="A69" s="729"/>
      <c r="C69" s="784" t="s">
        <v>1999</v>
      </c>
      <c r="D69" s="785" t="s">
        <v>300</v>
      </c>
      <c r="E69" s="786"/>
      <c r="F69" s="786"/>
      <c r="G69" s="786"/>
      <c r="H69" s="786"/>
      <c r="I69" s="786"/>
      <c r="J69" s="786"/>
      <c r="K69" s="786"/>
      <c r="L69" s="786"/>
      <c r="M69" s="786"/>
      <c r="N69" s="786"/>
      <c r="O69" s="786"/>
      <c r="P69" s="786"/>
      <c r="Q69" s="786"/>
      <c r="R69" s="786"/>
      <c r="S69" s="786"/>
      <c r="T69" s="786"/>
      <c r="U69" s="786"/>
      <c r="V69" s="786"/>
      <c r="W69" s="786"/>
      <c r="X69" s="786"/>
      <c r="Y69" s="786"/>
      <c r="Z69" s="786"/>
      <c r="AA69" s="786"/>
      <c r="AB69" s="786"/>
      <c r="AC69" s="786"/>
      <c r="AD69" s="786"/>
      <c r="AE69" s="786"/>
      <c r="AF69" s="786"/>
      <c r="AG69" s="786"/>
      <c r="AH69" s="786"/>
      <c r="AP69" s="781"/>
      <c r="AQ69" s="781"/>
      <c r="AR69" s="781"/>
      <c r="AS69" s="781"/>
      <c r="AT69" s="781"/>
      <c r="AU69" s="781"/>
      <c r="BA69" s="252"/>
      <c r="BB69" s="252"/>
      <c r="BC69" s="782">
        <f t="shared" ref="BC69:BC96" si="4">BC68+1</f>
        <v>2003</v>
      </c>
      <c r="BD69" s="776">
        <f t="shared" ref="BD69:BS93" si="5">BD$65*EXP(-$BC$60*($BC69-BD$66))</f>
        <v>0</v>
      </c>
      <c r="BE69" s="776">
        <f>BE$65*EXP(-$BC$60*($BC69-BE$66))</f>
        <v>0</v>
      </c>
      <c r="BF69" s="776">
        <f>BF$65*EXP(-$BC$60*($BC69-BF$66))</f>
        <v>0</v>
      </c>
      <c r="BG69" s="777"/>
      <c r="BH69" s="777"/>
      <c r="BI69" s="787"/>
      <c r="BJ69" s="777"/>
      <c r="BK69" s="777"/>
      <c r="BL69" s="777"/>
      <c r="BM69" s="777"/>
      <c r="BN69" s="777"/>
      <c r="BO69" s="777"/>
      <c r="BP69" s="777"/>
      <c r="BQ69" s="777"/>
      <c r="BR69" s="777"/>
      <c r="BS69" s="777"/>
      <c r="BT69" s="777"/>
      <c r="BU69" s="777"/>
      <c r="BV69" s="777"/>
      <c r="BW69" s="777"/>
      <c r="BX69" s="777"/>
      <c r="BY69" s="777"/>
      <c r="BZ69" s="777"/>
      <c r="CA69" s="777"/>
      <c r="CB69" s="777"/>
      <c r="CC69" s="777"/>
      <c r="CD69" s="777"/>
      <c r="CE69" s="777"/>
      <c r="CF69" s="777"/>
      <c r="CG69" s="778"/>
    </row>
    <row r="70" spans="1:85" s="237" customFormat="1" ht="15" customHeight="1" outlineLevel="1" x14ac:dyDescent="0.25">
      <c r="C70" s="788" t="s">
        <v>28</v>
      </c>
      <c r="D70" s="789" t="s">
        <v>301</v>
      </c>
      <c r="E70" s="786"/>
      <c r="F70" s="786"/>
      <c r="G70" s="786"/>
      <c r="H70" s="786"/>
      <c r="I70" s="786"/>
      <c r="J70" s="786"/>
      <c r="K70" s="786"/>
      <c r="L70" s="786"/>
      <c r="M70" s="786"/>
      <c r="N70" s="786"/>
      <c r="O70" s="786"/>
      <c r="P70" s="786"/>
      <c r="Q70" s="786"/>
      <c r="R70" s="786"/>
      <c r="S70" s="786"/>
      <c r="T70" s="786"/>
      <c r="U70" s="786"/>
      <c r="V70" s="786"/>
      <c r="W70" s="786"/>
      <c r="X70" s="786"/>
      <c r="Y70" s="786"/>
      <c r="Z70" s="786"/>
      <c r="AA70" s="786"/>
      <c r="AB70" s="786"/>
      <c r="AC70" s="786"/>
      <c r="AD70" s="786"/>
      <c r="AE70" s="786"/>
      <c r="AF70" s="786"/>
      <c r="AG70" s="786"/>
      <c r="AH70" s="786"/>
      <c r="AP70" s="781"/>
      <c r="AQ70" s="781"/>
      <c r="AR70" s="781"/>
      <c r="AS70" s="781"/>
      <c r="AT70" s="781"/>
      <c r="AU70" s="781"/>
      <c r="BA70" s="252"/>
      <c r="BB70" s="252"/>
      <c r="BC70" s="782">
        <f t="shared" si="4"/>
        <v>2004</v>
      </c>
      <c r="BD70" s="776">
        <f>BD$65*EXP(-$BC$60*($BC70-BD$66))</f>
        <v>0</v>
      </c>
      <c r="BE70" s="776">
        <f t="shared" si="5"/>
        <v>0</v>
      </c>
      <c r="BF70" s="776">
        <f t="shared" si="5"/>
        <v>0</v>
      </c>
      <c r="BG70" s="776">
        <f t="shared" si="5"/>
        <v>0</v>
      </c>
      <c r="BH70" s="777"/>
      <c r="BI70" s="777"/>
      <c r="BJ70" s="777"/>
      <c r="BK70" s="777"/>
      <c r="BL70" s="777"/>
      <c r="BM70" s="777"/>
      <c r="BN70" s="777"/>
      <c r="BO70" s="777"/>
      <c r="BP70" s="777"/>
      <c r="BQ70" s="777"/>
      <c r="BR70" s="777"/>
      <c r="BS70" s="777"/>
      <c r="BT70" s="777"/>
      <c r="BU70" s="777"/>
      <c r="BV70" s="777"/>
      <c r="BW70" s="777"/>
      <c r="BX70" s="777"/>
      <c r="BY70" s="777"/>
      <c r="BZ70" s="777"/>
      <c r="CA70" s="777"/>
      <c r="CB70" s="777"/>
      <c r="CC70" s="777"/>
      <c r="CD70" s="777"/>
      <c r="CE70" s="777"/>
      <c r="CF70" s="777"/>
      <c r="CG70" s="778"/>
    </row>
    <row r="71" spans="1:85" s="237" customFormat="1" ht="15" customHeight="1" outlineLevel="1" x14ac:dyDescent="0.25">
      <c r="A71" s="729"/>
      <c r="C71" s="788" t="s">
        <v>29</v>
      </c>
      <c r="D71" s="789" t="s">
        <v>302</v>
      </c>
      <c r="E71" s="786"/>
      <c r="F71" s="786"/>
      <c r="G71" s="786"/>
      <c r="H71" s="786"/>
      <c r="I71" s="786"/>
      <c r="J71" s="786"/>
      <c r="K71" s="786"/>
      <c r="L71" s="786"/>
      <c r="M71" s="786"/>
      <c r="N71" s="786"/>
      <c r="O71" s="786"/>
      <c r="P71" s="786"/>
      <c r="Q71" s="786"/>
      <c r="R71" s="786"/>
      <c r="S71" s="786"/>
      <c r="T71" s="786"/>
      <c r="U71" s="786"/>
      <c r="V71" s="786"/>
      <c r="W71" s="786"/>
      <c r="X71" s="786"/>
      <c r="Y71" s="786"/>
      <c r="Z71" s="786"/>
      <c r="AA71" s="786"/>
      <c r="AB71" s="786"/>
      <c r="AC71" s="786"/>
      <c r="AD71" s="786"/>
      <c r="AE71" s="786"/>
      <c r="AF71" s="786"/>
      <c r="AG71" s="786"/>
      <c r="AH71" s="786"/>
      <c r="AP71" s="781"/>
      <c r="AQ71" s="781"/>
      <c r="AR71" s="781"/>
      <c r="AS71" s="781"/>
      <c r="AT71" s="781"/>
      <c r="AU71" s="781"/>
      <c r="BA71" s="252"/>
      <c r="BB71" s="252"/>
      <c r="BC71" s="782">
        <f t="shared" si="4"/>
        <v>2005</v>
      </c>
      <c r="BD71" s="776">
        <f t="shared" si="5"/>
        <v>0</v>
      </c>
      <c r="BE71" s="776">
        <f t="shared" si="5"/>
        <v>0</v>
      </c>
      <c r="BF71" s="776">
        <f t="shared" si="5"/>
        <v>0</v>
      </c>
      <c r="BG71" s="776">
        <f t="shared" si="5"/>
        <v>0</v>
      </c>
      <c r="BH71" s="776">
        <f t="shared" si="5"/>
        <v>0</v>
      </c>
      <c r="BI71" s="777"/>
      <c r="BJ71" s="777"/>
      <c r="BK71" s="777"/>
      <c r="BL71" s="777"/>
      <c r="BM71" s="777"/>
      <c r="BN71" s="777"/>
      <c r="BO71" s="777"/>
      <c r="BP71" s="777"/>
      <c r="BQ71" s="777"/>
      <c r="BR71" s="777"/>
      <c r="BS71" s="777"/>
      <c r="BT71" s="777"/>
      <c r="BU71" s="777"/>
      <c r="BV71" s="777"/>
      <c r="BW71" s="777"/>
      <c r="BX71" s="777"/>
      <c r="BY71" s="777"/>
      <c r="BZ71" s="777"/>
      <c r="CA71" s="777"/>
      <c r="CB71" s="777"/>
      <c r="CC71" s="777"/>
      <c r="CD71" s="777"/>
      <c r="CE71" s="777"/>
      <c r="CF71" s="777"/>
      <c r="CG71" s="778"/>
    </row>
    <row r="72" spans="1:85" s="237" customFormat="1" ht="15" customHeight="1" outlineLevel="1" x14ac:dyDescent="0.25">
      <c r="A72" s="729"/>
      <c r="C72" s="788" t="s">
        <v>30</v>
      </c>
      <c r="D72" s="789" t="s">
        <v>303</v>
      </c>
      <c r="E72" s="786"/>
      <c r="F72" s="786"/>
      <c r="G72" s="786"/>
      <c r="H72" s="786"/>
      <c r="I72" s="786"/>
      <c r="J72" s="786"/>
      <c r="K72" s="786"/>
      <c r="L72" s="786"/>
      <c r="M72" s="786"/>
      <c r="N72" s="786"/>
      <c r="O72" s="786"/>
      <c r="P72" s="786"/>
      <c r="Q72" s="786"/>
      <c r="R72" s="786"/>
      <c r="S72" s="786"/>
      <c r="T72" s="786"/>
      <c r="U72" s="786"/>
      <c r="V72" s="786"/>
      <c r="W72" s="786"/>
      <c r="X72" s="786"/>
      <c r="Y72" s="786"/>
      <c r="Z72" s="786"/>
      <c r="AA72" s="786"/>
      <c r="AB72" s="786"/>
      <c r="AC72" s="786"/>
      <c r="AD72" s="786"/>
      <c r="AE72" s="786"/>
      <c r="AF72" s="786"/>
      <c r="AG72" s="786"/>
      <c r="AH72" s="786"/>
      <c r="AP72" s="781"/>
      <c r="AQ72" s="781"/>
      <c r="AR72" s="781"/>
      <c r="AS72" s="781"/>
      <c r="AT72" s="781"/>
      <c r="AU72" s="781"/>
      <c r="BA72" s="252"/>
      <c r="BB72" s="252"/>
      <c r="BC72" s="782">
        <f t="shared" si="4"/>
        <v>2006</v>
      </c>
      <c r="BD72" s="776">
        <f t="shared" si="5"/>
        <v>0</v>
      </c>
      <c r="BE72" s="776">
        <f t="shared" ref="BE72:BF96" si="6">BE$65*EXP(-$BC$60*($BC72-BE$66))</f>
        <v>0</v>
      </c>
      <c r="BF72" s="776">
        <f t="shared" si="6"/>
        <v>0</v>
      </c>
      <c r="BG72" s="776">
        <f t="shared" si="5"/>
        <v>0</v>
      </c>
      <c r="BH72" s="776">
        <f t="shared" si="5"/>
        <v>0</v>
      </c>
      <c r="BI72" s="776">
        <f>BI$65*EXP(-$BC$60*($BC72-BI$66))</f>
        <v>0</v>
      </c>
      <c r="BJ72" s="777"/>
      <c r="BK72" s="777"/>
      <c r="BL72" s="777"/>
      <c r="BM72" s="777"/>
      <c r="BN72" s="777"/>
      <c r="BO72" s="777"/>
      <c r="BP72" s="777"/>
      <c r="BQ72" s="777"/>
      <c r="BR72" s="777"/>
      <c r="BS72" s="777"/>
      <c r="BT72" s="777"/>
      <c r="BU72" s="777"/>
      <c r="BV72" s="777"/>
      <c r="BW72" s="777"/>
      <c r="BX72" s="777"/>
      <c r="BY72" s="777"/>
      <c r="BZ72" s="777"/>
      <c r="CA72" s="777"/>
      <c r="CB72" s="777"/>
      <c r="CC72" s="777"/>
      <c r="CD72" s="777"/>
      <c r="CE72" s="777"/>
      <c r="CF72" s="777"/>
      <c r="CG72" s="778"/>
    </row>
    <row r="73" spans="1:85" s="237" customFormat="1" ht="15" customHeight="1" outlineLevel="1" x14ac:dyDescent="0.25">
      <c r="A73" s="729"/>
      <c r="C73" s="788" t="s">
        <v>2000</v>
      </c>
      <c r="D73" s="789" t="s">
        <v>304</v>
      </c>
      <c r="E73" s="786"/>
      <c r="F73" s="786"/>
      <c r="G73" s="786"/>
      <c r="H73" s="786"/>
      <c r="I73" s="786"/>
      <c r="J73" s="786"/>
      <c r="K73" s="786"/>
      <c r="L73" s="786"/>
      <c r="M73" s="786"/>
      <c r="N73" s="786"/>
      <c r="O73" s="786"/>
      <c r="P73" s="786"/>
      <c r="Q73" s="786"/>
      <c r="R73" s="786"/>
      <c r="S73" s="786"/>
      <c r="T73" s="786"/>
      <c r="U73" s="786"/>
      <c r="V73" s="786"/>
      <c r="W73" s="786"/>
      <c r="X73" s="786"/>
      <c r="Y73" s="786"/>
      <c r="Z73" s="786"/>
      <c r="AA73" s="786"/>
      <c r="AB73" s="786"/>
      <c r="AC73" s="786"/>
      <c r="AD73" s="786"/>
      <c r="AE73" s="786"/>
      <c r="AF73" s="786"/>
      <c r="AG73" s="786"/>
      <c r="AH73" s="786"/>
      <c r="AP73" s="781"/>
      <c r="AQ73" s="781"/>
      <c r="AR73" s="781"/>
      <c r="AS73" s="781"/>
      <c r="AT73" s="781"/>
      <c r="AU73" s="781"/>
      <c r="BA73" s="252"/>
      <c r="BB73" s="252"/>
      <c r="BC73" s="782">
        <f t="shared" si="4"/>
        <v>2007</v>
      </c>
      <c r="BD73" s="776">
        <f t="shared" si="5"/>
        <v>0</v>
      </c>
      <c r="BE73" s="776">
        <f t="shared" si="6"/>
        <v>0</v>
      </c>
      <c r="BF73" s="776">
        <f t="shared" si="6"/>
        <v>0</v>
      </c>
      <c r="BG73" s="776">
        <f t="shared" si="5"/>
        <v>0</v>
      </c>
      <c r="BH73" s="776">
        <f t="shared" si="5"/>
        <v>0</v>
      </c>
      <c r="BI73" s="776">
        <f t="shared" si="5"/>
        <v>0</v>
      </c>
      <c r="BJ73" s="776">
        <f t="shared" si="5"/>
        <v>0</v>
      </c>
      <c r="BK73" s="777"/>
      <c r="BL73" s="777"/>
      <c r="BM73" s="777"/>
      <c r="BN73" s="777"/>
      <c r="BO73" s="777"/>
      <c r="BP73" s="777"/>
      <c r="BQ73" s="777"/>
      <c r="BR73" s="777"/>
      <c r="BS73" s="777"/>
      <c r="BT73" s="777"/>
      <c r="BU73" s="777"/>
      <c r="BV73" s="777"/>
      <c r="BW73" s="777"/>
      <c r="BX73" s="777"/>
      <c r="BY73" s="777"/>
      <c r="BZ73" s="777"/>
      <c r="CA73" s="777"/>
      <c r="CB73" s="777"/>
      <c r="CC73" s="777"/>
      <c r="CD73" s="777"/>
      <c r="CE73" s="777"/>
      <c r="CF73" s="777"/>
      <c r="CG73" s="778"/>
    </row>
    <row r="74" spans="1:85" s="237" customFormat="1" ht="15" customHeight="1" outlineLevel="1" x14ac:dyDescent="0.25">
      <c r="A74" s="729"/>
      <c r="C74" s="788" t="s">
        <v>31</v>
      </c>
      <c r="D74" s="789" t="s">
        <v>305</v>
      </c>
      <c r="E74" s="786"/>
      <c r="F74" s="786"/>
      <c r="G74" s="786"/>
      <c r="H74" s="786"/>
      <c r="I74" s="786"/>
      <c r="J74" s="786"/>
      <c r="K74" s="786"/>
      <c r="L74" s="786"/>
      <c r="M74" s="786"/>
      <c r="N74" s="786"/>
      <c r="O74" s="786"/>
      <c r="P74" s="786"/>
      <c r="Q74" s="786"/>
      <c r="R74" s="786"/>
      <c r="S74" s="786"/>
      <c r="T74" s="786"/>
      <c r="U74" s="786"/>
      <c r="V74" s="786"/>
      <c r="W74" s="786"/>
      <c r="X74" s="786"/>
      <c r="Y74" s="786"/>
      <c r="Z74" s="786"/>
      <c r="AA74" s="786"/>
      <c r="AB74" s="786"/>
      <c r="AC74" s="786"/>
      <c r="AD74" s="786"/>
      <c r="AE74" s="786"/>
      <c r="AF74" s="786"/>
      <c r="AG74" s="786"/>
      <c r="AH74" s="786"/>
      <c r="AP74" s="781"/>
      <c r="AQ74" s="781"/>
      <c r="AR74" s="781"/>
      <c r="AS74" s="781"/>
      <c r="AT74" s="781"/>
      <c r="AU74" s="781"/>
      <c r="BA74" s="252"/>
      <c r="BB74" s="252"/>
      <c r="BC74" s="782">
        <f t="shared" si="4"/>
        <v>2008</v>
      </c>
      <c r="BD74" s="776">
        <f t="shared" si="5"/>
        <v>0</v>
      </c>
      <c r="BE74" s="776">
        <f t="shared" si="6"/>
        <v>0</v>
      </c>
      <c r="BF74" s="776">
        <f t="shared" si="6"/>
        <v>0</v>
      </c>
      <c r="BG74" s="776">
        <f t="shared" si="5"/>
        <v>0</v>
      </c>
      <c r="BH74" s="776">
        <f t="shared" si="5"/>
        <v>0</v>
      </c>
      <c r="BI74" s="776">
        <f t="shared" si="5"/>
        <v>0</v>
      </c>
      <c r="BJ74" s="776">
        <f t="shared" si="5"/>
        <v>0</v>
      </c>
      <c r="BK74" s="776">
        <f t="shared" si="5"/>
        <v>0</v>
      </c>
      <c r="BL74" s="777"/>
      <c r="BM74" s="777"/>
      <c r="BN74" s="777"/>
      <c r="BO74" s="777"/>
      <c r="BP74" s="777"/>
      <c r="BQ74" s="777"/>
      <c r="BR74" s="777"/>
      <c r="BS74" s="777"/>
      <c r="BT74" s="777"/>
      <c r="BU74" s="777"/>
      <c r="BV74" s="777"/>
      <c r="BW74" s="777"/>
      <c r="BX74" s="777"/>
      <c r="BY74" s="777"/>
      <c r="BZ74" s="777"/>
      <c r="CA74" s="777"/>
      <c r="CB74" s="777"/>
      <c r="CC74" s="777"/>
      <c r="CD74" s="777"/>
      <c r="CE74" s="777"/>
      <c r="CF74" s="777"/>
      <c r="CG74" s="778"/>
    </row>
    <row r="75" spans="1:85" s="237" customFormat="1" ht="15" customHeight="1" outlineLevel="1" x14ac:dyDescent="0.25">
      <c r="A75" s="729"/>
      <c r="C75" s="788" t="s">
        <v>32</v>
      </c>
      <c r="D75" s="789" t="s">
        <v>306</v>
      </c>
      <c r="E75" s="786"/>
      <c r="F75" s="786"/>
      <c r="G75" s="786"/>
      <c r="H75" s="786"/>
      <c r="I75" s="786"/>
      <c r="J75" s="786"/>
      <c r="K75" s="786"/>
      <c r="L75" s="786"/>
      <c r="M75" s="786"/>
      <c r="N75" s="786"/>
      <c r="O75" s="786"/>
      <c r="P75" s="786"/>
      <c r="Q75" s="786"/>
      <c r="R75" s="786"/>
      <c r="S75" s="786"/>
      <c r="T75" s="786"/>
      <c r="U75" s="786"/>
      <c r="V75" s="786"/>
      <c r="W75" s="786"/>
      <c r="X75" s="786"/>
      <c r="Y75" s="786"/>
      <c r="Z75" s="786"/>
      <c r="AA75" s="786"/>
      <c r="AB75" s="786"/>
      <c r="AC75" s="786"/>
      <c r="AD75" s="786"/>
      <c r="AE75" s="786"/>
      <c r="AF75" s="786"/>
      <c r="AG75" s="786"/>
      <c r="AH75" s="786"/>
      <c r="AP75" s="781"/>
      <c r="AQ75" s="781"/>
      <c r="AR75" s="781"/>
      <c r="AS75" s="781"/>
      <c r="AT75" s="781"/>
      <c r="AU75" s="781"/>
      <c r="BA75" s="252"/>
      <c r="BB75" s="252"/>
      <c r="BC75" s="782">
        <f t="shared" si="4"/>
        <v>2009</v>
      </c>
      <c r="BD75" s="776">
        <f t="shared" si="5"/>
        <v>0</v>
      </c>
      <c r="BE75" s="776">
        <f t="shared" si="6"/>
        <v>0</v>
      </c>
      <c r="BF75" s="776">
        <f t="shared" si="6"/>
        <v>0</v>
      </c>
      <c r="BG75" s="776">
        <f t="shared" si="5"/>
        <v>0</v>
      </c>
      <c r="BH75" s="776">
        <f t="shared" si="5"/>
        <v>0</v>
      </c>
      <c r="BI75" s="776">
        <f t="shared" si="5"/>
        <v>0</v>
      </c>
      <c r="BJ75" s="776">
        <f t="shared" si="5"/>
        <v>0</v>
      </c>
      <c r="BK75" s="776">
        <f t="shared" si="5"/>
        <v>0</v>
      </c>
      <c r="BL75" s="776">
        <f t="shared" si="5"/>
        <v>0</v>
      </c>
      <c r="BM75" s="777"/>
      <c r="BN75" s="777"/>
      <c r="BO75" s="777"/>
      <c r="BP75" s="777"/>
      <c r="BQ75" s="777"/>
      <c r="BR75" s="777"/>
      <c r="BS75" s="777"/>
      <c r="BT75" s="777"/>
      <c r="BU75" s="777"/>
      <c r="BV75" s="777"/>
      <c r="BW75" s="777"/>
      <c r="BX75" s="777"/>
      <c r="BY75" s="777"/>
      <c r="BZ75" s="777"/>
      <c r="CA75" s="777"/>
      <c r="CB75" s="777"/>
      <c r="CC75" s="777"/>
      <c r="CD75" s="777"/>
      <c r="CE75" s="777"/>
      <c r="CF75" s="777"/>
      <c r="CG75" s="778"/>
    </row>
    <row r="76" spans="1:85" s="237" customFormat="1" ht="15" customHeight="1" outlineLevel="1" x14ac:dyDescent="0.25">
      <c r="A76" s="729"/>
      <c r="C76" s="790" t="s">
        <v>281</v>
      </c>
      <c r="D76" s="791" t="s">
        <v>33</v>
      </c>
      <c r="E76" s="792">
        <f>IF(SUM(E69:E75)&gt;1, "Erro! &gt;100%", 1-(SUM(E69:E75)))</f>
        <v>1</v>
      </c>
      <c r="F76" s="792">
        <f t="shared" ref="F76:AH76" si="7">IF(SUM(F69:F75)&gt;1, "Erro! &gt;100%", 1-(SUM(F69:F75)))</f>
        <v>1</v>
      </c>
      <c r="G76" s="792">
        <f t="shared" si="7"/>
        <v>1</v>
      </c>
      <c r="H76" s="792">
        <f t="shared" si="7"/>
        <v>1</v>
      </c>
      <c r="I76" s="792">
        <f t="shared" si="7"/>
        <v>1</v>
      </c>
      <c r="J76" s="792">
        <f t="shared" si="7"/>
        <v>1</v>
      </c>
      <c r="K76" s="792">
        <f t="shared" si="7"/>
        <v>1</v>
      </c>
      <c r="L76" s="792">
        <f t="shared" si="7"/>
        <v>1</v>
      </c>
      <c r="M76" s="792">
        <f t="shared" si="7"/>
        <v>1</v>
      </c>
      <c r="N76" s="792">
        <f t="shared" si="7"/>
        <v>1</v>
      </c>
      <c r="O76" s="792">
        <f t="shared" si="7"/>
        <v>1</v>
      </c>
      <c r="P76" s="792">
        <f t="shared" si="7"/>
        <v>1</v>
      </c>
      <c r="Q76" s="792">
        <f t="shared" si="7"/>
        <v>1</v>
      </c>
      <c r="R76" s="792">
        <f t="shared" si="7"/>
        <v>1</v>
      </c>
      <c r="S76" s="792">
        <f t="shared" si="7"/>
        <v>1</v>
      </c>
      <c r="T76" s="792">
        <f t="shared" si="7"/>
        <v>1</v>
      </c>
      <c r="U76" s="792">
        <f t="shared" si="7"/>
        <v>1</v>
      </c>
      <c r="V76" s="792">
        <f t="shared" si="7"/>
        <v>1</v>
      </c>
      <c r="W76" s="792">
        <f t="shared" si="7"/>
        <v>1</v>
      </c>
      <c r="X76" s="792">
        <f t="shared" si="7"/>
        <v>1</v>
      </c>
      <c r="Y76" s="792">
        <f t="shared" si="7"/>
        <v>1</v>
      </c>
      <c r="Z76" s="792">
        <f t="shared" si="7"/>
        <v>1</v>
      </c>
      <c r="AA76" s="792">
        <f t="shared" si="7"/>
        <v>1</v>
      </c>
      <c r="AB76" s="792">
        <f t="shared" si="7"/>
        <v>1</v>
      </c>
      <c r="AC76" s="792">
        <f t="shared" si="7"/>
        <v>1</v>
      </c>
      <c r="AD76" s="792">
        <f t="shared" si="7"/>
        <v>1</v>
      </c>
      <c r="AE76" s="792">
        <f t="shared" si="7"/>
        <v>1</v>
      </c>
      <c r="AF76" s="792">
        <f t="shared" si="7"/>
        <v>1</v>
      </c>
      <c r="AG76" s="792">
        <f t="shared" si="7"/>
        <v>1</v>
      </c>
      <c r="AH76" s="792">
        <f t="shared" si="7"/>
        <v>1</v>
      </c>
      <c r="AP76" s="781"/>
      <c r="AQ76" s="781"/>
      <c r="AR76" s="781"/>
      <c r="AS76" s="781"/>
      <c r="AT76" s="781"/>
      <c r="AU76" s="781"/>
      <c r="BA76" s="252"/>
      <c r="BB76" s="252"/>
      <c r="BC76" s="782">
        <f t="shared" si="4"/>
        <v>2010</v>
      </c>
      <c r="BD76" s="776">
        <f t="shared" si="5"/>
        <v>0</v>
      </c>
      <c r="BE76" s="776">
        <f t="shared" si="6"/>
        <v>0</v>
      </c>
      <c r="BF76" s="776">
        <f t="shared" si="6"/>
        <v>0</v>
      </c>
      <c r="BG76" s="776">
        <f t="shared" si="5"/>
        <v>0</v>
      </c>
      <c r="BH76" s="776">
        <f t="shared" si="5"/>
        <v>0</v>
      </c>
      <c r="BI76" s="776">
        <f t="shared" si="5"/>
        <v>0</v>
      </c>
      <c r="BJ76" s="776">
        <f t="shared" si="5"/>
        <v>0</v>
      </c>
      <c r="BK76" s="776">
        <f t="shared" si="5"/>
        <v>0</v>
      </c>
      <c r="BL76" s="776">
        <f t="shared" si="5"/>
        <v>0</v>
      </c>
      <c r="BM76" s="776">
        <f t="shared" si="5"/>
        <v>0</v>
      </c>
      <c r="BN76" s="777"/>
      <c r="BO76" s="777"/>
      <c r="BP76" s="777"/>
      <c r="BQ76" s="777"/>
      <c r="BR76" s="777"/>
      <c r="BS76" s="777"/>
      <c r="BT76" s="777"/>
      <c r="BU76" s="777"/>
      <c r="BV76" s="777"/>
      <c r="BW76" s="777"/>
      <c r="BX76" s="777"/>
      <c r="BY76" s="777"/>
      <c r="BZ76" s="777"/>
      <c r="CA76" s="777"/>
      <c r="CB76" s="777"/>
      <c r="CC76" s="777"/>
      <c r="CD76" s="777"/>
      <c r="CE76" s="777"/>
      <c r="CF76" s="777"/>
      <c r="CG76" s="778"/>
    </row>
    <row r="77" spans="1:85" s="237" customFormat="1" ht="15" customHeight="1" outlineLevel="1" x14ac:dyDescent="0.25">
      <c r="A77" s="729"/>
      <c r="C77" s="793" t="s">
        <v>34</v>
      </c>
      <c r="D77" s="794" t="s">
        <v>35</v>
      </c>
      <c r="E77" s="795">
        <f>((E69*0.4)+(E70*0.24)+(E71*0.15)+(E72*0.43)+(E73*0.2)+(E74*0.24)+(E75*0.39))</f>
        <v>0</v>
      </c>
      <c r="F77" s="795">
        <f t="shared" ref="F77:AH77" si="8">((F69*0.4)+(F70*0.24)+(F71*0.15)+(F72*0.43)+(F73*0.2)+(F74*0.24)+(F75*0.39))</f>
        <v>0</v>
      </c>
      <c r="G77" s="795">
        <f t="shared" si="8"/>
        <v>0</v>
      </c>
      <c r="H77" s="795">
        <f t="shared" si="8"/>
        <v>0</v>
      </c>
      <c r="I77" s="795">
        <f t="shared" si="8"/>
        <v>0</v>
      </c>
      <c r="J77" s="795">
        <f t="shared" si="8"/>
        <v>0</v>
      </c>
      <c r="K77" s="795">
        <f t="shared" si="8"/>
        <v>0</v>
      </c>
      <c r="L77" s="795">
        <f t="shared" si="8"/>
        <v>0</v>
      </c>
      <c r="M77" s="795">
        <f t="shared" si="8"/>
        <v>0</v>
      </c>
      <c r="N77" s="795">
        <f t="shared" si="8"/>
        <v>0</v>
      </c>
      <c r="O77" s="795">
        <f t="shared" si="8"/>
        <v>0</v>
      </c>
      <c r="P77" s="795">
        <f t="shared" si="8"/>
        <v>0</v>
      </c>
      <c r="Q77" s="795">
        <f t="shared" si="8"/>
        <v>0</v>
      </c>
      <c r="R77" s="795">
        <f t="shared" si="8"/>
        <v>0</v>
      </c>
      <c r="S77" s="795">
        <f t="shared" si="8"/>
        <v>0</v>
      </c>
      <c r="T77" s="795">
        <f t="shared" si="8"/>
        <v>0</v>
      </c>
      <c r="U77" s="795">
        <f t="shared" si="8"/>
        <v>0</v>
      </c>
      <c r="V77" s="795">
        <f t="shared" si="8"/>
        <v>0</v>
      </c>
      <c r="W77" s="795">
        <f t="shared" si="8"/>
        <v>0</v>
      </c>
      <c r="X77" s="795">
        <f t="shared" si="8"/>
        <v>0</v>
      </c>
      <c r="Y77" s="795">
        <f t="shared" si="8"/>
        <v>0</v>
      </c>
      <c r="Z77" s="795">
        <f t="shared" si="8"/>
        <v>0</v>
      </c>
      <c r="AA77" s="795">
        <f t="shared" si="8"/>
        <v>0</v>
      </c>
      <c r="AB77" s="795">
        <f t="shared" si="8"/>
        <v>0</v>
      </c>
      <c r="AC77" s="795">
        <f t="shared" si="8"/>
        <v>0</v>
      </c>
      <c r="AD77" s="795">
        <f t="shared" si="8"/>
        <v>0</v>
      </c>
      <c r="AE77" s="795">
        <f t="shared" si="8"/>
        <v>0</v>
      </c>
      <c r="AF77" s="795">
        <f t="shared" si="8"/>
        <v>0</v>
      </c>
      <c r="AG77" s="795">
        <f t="shared" si="8"/>
        <v>0</v>
      </c>
      <c r="AH77" s="795">
        <f t="shared" si="8"/>
        <v>0</v>
      </c>
      <c r="AP77" s="781"/>
      <c r="AQ77" s="781"/>
      <c r="AR77" s="781"/>
      <c r="AS77" s="781"/>
      <c r="AT77" s="781"/>
      <c r="AU77" s="781"/>
      <c r="BA77" s="252"/>
      <c r="BB77" s="252"/>
      <c r="BC77" s="782">
        <f t="shared" si="4"/>
        <v>2011</v>
      </c>
      <c r="BD77" s="776">
        <f t="shared" si="5"/>
        <v>0</v>
      </c>
      <c r="BE77" s="776">
        <f t="shared" si="6"/>
        <v>0</v>
      </c>
      <c r="BF77" s="776">
        <f t="shared" si="6"/>
        <v>0</v>
      </c>
      <c r="BG77" s="776">
        <f t="shared" si="5"/>
        <v>0</v>
      </c>
      <c r="BH77" s="776">
        <f t="shared" si="5"/>
        <v>0</v>
      </c>
      <c r="BI77" s="776">
        <f>BI$65*EXP(-$BC$60*($BC77-BI$66))</f>
        <v>0</v>
      </c>
      <c r="BJ77" s="776">
        <f t="shared" si="5"/>
        <v>0</v>
      </c>
      <c r="BK77" s="776">
        <f t="shared" si="5"/>
        <v>0</v>
      </c>
      <c r="BL77" s="776">
        <f t="shared" si="5"/>
        <v>0</v>
      </c>
      <c r="BM77" s="776">
        <f t="shared" si="5"/>
        <v>0</v>
      </c>
      <c r="BN77" s="776">
        <f t="shared" si="5"/>
        <v>0</v>
      </c>
      <c r="BO77" s="777"/>
      <c r="BP77" s="777"/>
      <c r="BQ77" s="777"/>
      <c r="BR77" s="777"/>
      <c r="BS77" s="777"/>
      <c r="BT77" s="777"/>
      <c r="BU77" s="777"/>
      <c r="BV77" s="777"/>
      <c r="BW77" s="777"/>
      <c r="BX77" s="777"/>
      <c r="BY77" s="777"/>
      <c r="BZ77" s="777"/>
      <c r="CA77" s="777"/>
      <c r="CB77" s="777"/>
      <c r="CC77" s="777"/>
      <c r="CD77" s="777"/>
      <c r="CE77" s="777"/>
      <c r="CF77" s="777"/>
      <c r="CG77" s="778"/>
    </row>
    <row r="78" spans="1:85" s="237" customFormat="1" ht="15" outlineLevel="1" x14ac:dyDescent="0.25">
      <c r="A78" s="729"/>
      <c r="C78" s="729"/>
      <c r="D78" s="753"/>
      <c r="E78" s="753"/>
      <c r="F78" s="753"/>
      <c r="G78" s="753"/>
      <c r="H78" s="753"/>
      <c r="I78" s="753"/>
      <c r="J78" s="753"/>
      <c r="K78" s="753"/>
      <c r="L78" s="753"/>
      <c r="M78" s="753"/>
      <c r="N78" s="753"/>
      <c r="O78" s="753"/>
      <c r="P78" s="753"/>
      <c r="Q78" s="753"/>
      <c r="R78" s="753"/>
      <c r="S78" s="753"/>
      <c r="T78" s="753"/>
      <c r="U78" s="753"/>
      <c r="V78" s="753"/>
      <c r="W78" s="753"/>
      <c r="X78" s="753"/>
      <c r="Y78" s="753"/>
      <c r="Z78" s="753"/>
      <c r="AA78" s="753"/>
      <c r="AB78" s="753"/>
      <c r="AC78" s="753"/>
      <c r="AD78" s="753"/>
      <c r="AE78" s="753"/>
      <c r="AF78" s="753"/>
      <c r="AG78" s="753"/>
      <c r="AH78" s="753"/>
      <c r="AP78" s="781"/>
      <c r="AQ78" s="781"/>
      <c r="AR78" s="781"/>
      <c r="AS78" s="781"/>
      <c r="AT78" s="781"/>
      <c r="AU78" s="781"/>
      <c r="BA78" s="252"/>
      <c r="BB78" s="252"/>
      <c r="BC78" s="782">
        <f t="shared" si="4"/>
        <v>2012</v>
      </c>
      <c r="BD78" s="776">
        <f t="shared" si="5"/>
        <v>0</v>
      </c>
      <c r="BE78" s="776">
        <f t="shared" si="6"/>
        <v>0</v>
      </c>
      <c r="BF78" s="776">
        <f t="shared" si="6"/>
        <v>0</v>
      </c>
      <c r="BG78" s="776">
        <f t="shared" si="5"/>
        <v>0</v>
      </c>
      <c r="BH78" s="776">
        <f t="shared" si="5"/>
        <v>0</v>
      </c>
      <c r="BI78" s="776">
        <f t="shared" si="5"/>
        <v>0</v>
      </c>
      <c r="BJ78" s="776">
        <f t="shared" si="5"/>
        <v>0</v>
      </c>
      <c r="BK78" s="776">
        <f t="shared" si="5"/>
        <v>0</v>
      </c>
      <c r="BL78" s="776">
        <f t="shared" si="5"/>
        <v>0</v>
      </c>
      <c r="BM78" s="776">
        <f t="shared" si="5"/>
        <v>0</v>
      </c>
      <c r="BN78" s="776">
        <f t="shared" si="5"/>
        <v>0</v>
      </c>
      <c r="BO78" s="776">
        <f t="shared" si="5"/>
        <v>0</v>
      </c>
      <c r="BP78" s="777"/>
      <c r="BQ78" s="777"/>
      <c r="BR78" s="777"/>
      <c r="BS78" s="777"/>
      <c r="BT78" s="777"/>
      <c r="BU78" s="777"/>
      <c r="BV78" s="777"/>
      <c r="BW78" s="777"/>
      <c r="BX78" s="777"/>
      <c r="BY78" s="777"/>
      <c r="BZ78" s="777"/>
      <c r="CA78" s="777"/>
      <c r="CB78" s="777"/>
      <c r="CC78" s="777"/>
      <c r="CD78" s="777"/>
      <c r="CE78" s="777"/>
      <c r="CF78" s="777"/>
      <c r="CG78" s="778"/>
    </row>
    <row r="79" spans="1:85" s="237" customFormat="1" ht="15" outlineLevel="1" x14ac:dyDescent="0.25">
      <c r="A79" s="729"/>
      <c r="C79" s="729"/>
      <c r="D79" s="753"/>
      <c r="E79" s="753"/>
      <c r="F79" s="753"/>
      <c r="G79" s="753"/>
      <c r="H79" s="753"/>
      <c r="I79" s="753"/>
      <c r="J79" s="753"/>
      <c r="K79" s="753"/>
      <c r="L79" s="753"/>
      <c r="M79" s="753"/>
      <c r="N79" s="753"/>
      <c r="O79" s="753"/>
      <c r="P79" s="753"/>
      <c r="Q79" s="753"/>
      <c r="R79" s="753"/>
      <c r="S79" s="753"/>
      <c r="T79" s="753"/>
      <c r="U79" s="753"/>
      <c r="V79" s="753"/>
      <c r="W79" s="753"/>
      <c r="X79" s="753"/>
      <c r="Y79" s="753"/>
      <c r="Z79" s="753"/>
      <c r="AA79" s="753"/>
      <c r="AB79" s="753"/>
      <c r="AC79" s="753"/>
      <c r="AD79" s="753"/>
      <c r="AE79" s="753"/>
      <c r="AF79" s="753"/>
      <c r="AG79" s="753"/>
      <c r="AH79" s="753"/>
      <c r="AP79" s="781"/>
      <c r="AQ79" s="781"/>
      <c r="AR79" s="781"/>
      <c r="AS79" s="781"/>
      <c r="AT79" s="781"/>
      <c r="AU79" s="781"/>
      <c r="BA79" s="252"/>
      <c r="BB79" s="252"/>
      <c r="BC79" s="782">
        <f t="shared" si="4"/>
        <v>2013</v>
      </c>
      <c r="BD79" s="776">
        <f t="shared" si="5"/>
        <v>0</v>
      </c>
      <c r="BE79" s="776">
        <f t="shared" si="6"/>
        <v>0</v>
      </c>
      <c r="BF79" s="776">
        <f t="shared" si="6"/>
        <v>0</v>
      </c>
      <c r="BG79" s="776">
        <f t="shared" si="5"/>
        <v>0</v>
      </c>
      <c r="BH79" s="776">
        <f t="shared" si="5"/>
        <v>0</v>
      </c>
      <c r="BI79" s="776">
        <f t="shared" si="5"/>
        <v>0</v>
      </c>
      <c r="BJ79" s="776">
        <f t="shared" si="5"/>
        <v>0</v>
      </c>
      <c r="BK79" s="776">
        <f t="shared" si="5"/>
        <v>0</v>
      </c>
      <c r="BL79" s="776">
        <f t="shared" si="5"/>
        <v>0</v>
      </c>
      <c r="BM79" s="776">
        <f t="shared" si="5"/>
        <v>0</v>
      </c>
      <c r="BN79" s="776">
        <f t="shared" si="5"/>
        <v>0</v>
      </c>
      <c r="BO79" s="776">
        <f t="shared" si="5"/>
        <v>0</v>
      </c>
      <c r="BP79" s="776">
        <f t="shared" si="5"/>
        <v>0</v>
      </c>
      <c r="BQ79" s="777"/>
      <c r="BR79" s="777"/>
      <c r="BS79" s="777"/>
      <c r="BT79" s="777"/>
      <c r="BU79" s="777"/>
      <c r="BV79" s="777"/>
      <c r="BW79" s="777"/>
      <c r="BX79" s="777"/>
      <c r="BY79" s="777"/>
      <c r="BZ79" s="777"/>
      <c r="CA79" s="777"/>
      <c r="CB79" s="777"/>
      <c r="CC79" s="777"/>
      <c r="CD79" s="777"/>
      <c r="CE79" s="777"/>
      <c r="CF79" s="777"/>
      <c r="CG79" s="778"/>
    </row>
    <row r="80" spans="1:85" s="237" customFormat="1" ht="15" outlineLevel="1" x14ac:dyDescent="0.25">
      <c r="B80" s="796" t="s">
        <v>2001</v>
      </c>
      <c r="AI80" s="729"/>
      <c r="AJ80" s="729"/>
      <c r="AK80" s="729"/>
      <c r="AL80" s="729"/>
      <c r="AM80" s="729"/>
      <c r="AN80" s="729"/>
      <c r="AO80" s="729"/>
      <c r="AP80" s="732"/>
      <c r="AQ80" s="732"/>
      <c r="AR80" s="732"/>
      <c r="AS80" s="732"/>
      <c r="AT80" s="732"/>
      <c r="AU80" s="732"/>
      <c r="AV80" s="729"/>
      <c r="AW80" s="729"/>
      <c r="AX80" s="729"/>
      <c r="AY80" s="729"/>
      <c r="AZ80" s="729"/>
      <c r="BA80" s="252"/>
      <c r="BB80" s="252"/>
      <c r="BC80" s="782">
        <f t="shared" si="4"/>
        <v>2014</v>
      </c>
      <c r="BD80" s="776">
        <f t="shared" si="5"/>
        <v>0</v>
      </c>
      <c r="BE80" s="776">
        <f t="shared" si="6"/>
        <v>0</v>
      </c>
      <c r="BF80" s="776">
        <f t="shared" si="6"/>
        <v>0</v>
      </c>
      <c r="BG80" s="776">
        <f t="shared" si="5"/>
        <v>0</v>
      </c>
      <c r="BH80" s="776">
        <f t="shared" si="5"/>
        <v>0</v>
      </c>
      <c r="BI80" s="776">
        <f t="shared" si="5"/>
        <v>0</v>
      </c>
      <c r="BJ80" s="776">
        <f t="shared" si="5"/>
        <v>0</v>
      </c>
      <c r="BK80" s="776">
        <f t="shared" si="5"/>
        <v>0</v>
      </c>
      <c r="BL80" s="776">
        <f t="shared" si="5"/>
        <v>0</v>
      </c>
      <c r="BM80" s="776">
        <f t="shared" si="5"/>
        <v>0</v>
      </c>
      <c r="BN80" s="776">
        <f t="shared" si="5"/>
        <v>0</v>
      </c>
      <c r="BO80" s="776">
        <f t="shared" si="5"/>
        <v>0</v>
      </c>
      <c r="BP80" s="776">
        <f t="shared" si="5"/>
        <v>0</v>
      </c>
      <c r="BQ80" s="776">
        <f t="shared" si="5"/>
        <v>0</v>
      </c>
      <c r="BR80" s="777"/>
      <c r="BS80" s="777"/>
      <c r="BT80" s="777"/>
      <c r="BU80" s="777"/>
      <c r="BV80" s="777"/>
      <c r="BW80" s="777"/>
      <c r="BX80" s="777"/>
      <c r="BY80" s="777"/>
      <c r="BZ80" s="777"/>
      <c r="CA80" s="777"/>
      <c r="CB80" s="777"/>
      <c r="CC80" s="777"/>
      <c r="CD80" s="777"/>
      <c r="CE80" s="777"/>
      <c r="CF80" s="777"/>
      <c r="CG80" s="778"/>
    </row>
    <row r="81" spans="1:85" s="237" customFormat="1" ht="15" outlineLevel="1" x14ac:dyDescent="0.25">
      <c r="C81" s="237" t="s">
        <v>2002</v>
      </c>
      <c r="AI81" s="729"/>
      <c r="AJ81" s="729"/>
      <c r="AK81" s="729"/>
      <c r="AL81" s="729"/>
      <c r="AM81" s="729"/>
      <c r="AN81" s="729"/>
      <c r="AO81" s="729"/>
      <c r="AP81" s="732"/>
      <c r="AQ81" s="732"/>
      <c r="AR81" s="732"/>
      <c r="AS81" s="732"/>
      <c r="AT81" s="732"/>
      <c r="AU81" s="732"/>
      <c r="AV81" s="729"/>
      <c r="AW81" s="729"/>
      <c r="AX81" s="729"/>
      <c r="AY81" s="729"/>
      <c r="AZ81" s="729"/>
      <c r="BA81" s="252"/>
      <c r="BB81" s="252"/>
      <c r="BC81" s="782">
        <f t="shared" si="4"/>
        <v>2015</v>
      </c>
      <c r="BD81" s="776">
        <f t="shared" si="5"/>
        <v>0</v>
      </c>
      <c r="BE81" s="776">
        <f t="shared" si="6"/>
        <v>0</v>
      </c>
      <c r="BF81" s="776">
        <f t="shared" si="6"/>
        <v>0</v>
      </c>
      <c r="BG81" s="776">
        <f t="shared" si="5"/>
        <v>0</v>
      </c>
      <c r="BH81" s="776">
        <f t="shared" si="5"/>
        <v>0</v>
      </c>
      <c r="BI81" s="776">
        <f t="shared" si="5"/>
        <v>0</v>
      </c>
      <c r="BJ81" s="776">
        <f t="shared" si="5"/>
        <v>0</v>
      </c>
      <c r="BK81" s="776">
        <f t="shared" si="5"/>
        <v>0</v>
      </c>
      <c r="BL81" s="776">
        <f t="shared" si="5"/>
        <v>0</v>
      </c>
      <c r="BM81" s="776">
        <f t="shared" si="5"/>
        <v>0</v>
      </c>
      <c r="BN81" s="776">
        <f t="shared" si="5"/>
        <v>0</v>
      </c>
      <c r="BO81" s="776">
        <f t="shared" si="5"/>
        <v>0</v>
      </c>
      <c r="BP81" s="776">
        <f t="shared" si="5"/>
        <v>0</v>
      </c>
      <c r="BQ81" s="776">
        <f t="shared" si="5"/>
        <v>0</v>
      </c>
      <c r="BR81" s="776">
        <f t="shared" si="5"/>
        <v>0</v>
      </c>
      <c r="BS81" s="777"/>
      <c r="BT81" s="777"/>
      <c r="BU81" s="777"/>
      <c r="BV81" s="777"/>
      <c r="BW81" s="777"/>
      <c r="BX81" s="777"/>
      <c r="BY81" s="777"/>
      <c r="BZ81" s="777"/>
      <c r="CA81" s="777"/>
      <c r="CB81" s="777"/>
      <c r="CC81" s="777"/>
      <c r="CD81" s="777"/>
      <c r="CE81" s="777"/>
      <c r="CF81" s="777"/>
      <c r="CG81" s="778"/>
    </row>
    <row r="82" spans="1:85" s="237" customFormat="1" ht="15.75" customHeight="1" outlineLevel="1" x14ac:dyDescent="0.25">
      <c r="AI82" s="729"/>
      <c r="AJ82" s="729"/>
      <c r="AK82" s="729"/>
      <c r="AL82" s="729"/>
      <c r="AM82" s="729"/>
      <c r="AN82" s="729"/>
      <c r="AO82" s="729"/>
      <c r="AP82" s="732"/>
      <c r="AQ82" s="732"/>
      <c r="AR82" s="732"/>
      <c r="AS82" s="732"/>
      <c r="AT82" s="732"/>
      <c r="AU82" s="732"/>
      <c r="AV82" s="729"/>
      <c r="AW82" s="729"/>
      <c r="AX82" s="729"/>
      <c r="AY82" s="729"/>
      <c r="AZ82" s="729"/>
      <c r="BA82" s="252"/>
      <c r="BB82" s="252"/>
      <c r="BC82" s="782">
        <f t="shared" si="4"/>
        <v>2016</v>
      </c>
      <c r="BD82" s="776">
        <f t="shared" si="5"/>
        <v>0</v>
      </c>
      <c r="BE82" s="776">
        <f t="shared" si="6"/>
        <v>0</v>
      </c>
      <c r="BF82" s="776">
        <f t="shared" si="6"/>
        <v>0</v>
      </c>
      <c r="BG82" s="776">
        <f t="shared" si="5"/>
        <v>0</v>
      </c>
      <c r="BH82" s="776">
        <f t="shared" si="5"/>
        <v>0</v>
      </c>
      <c r="BI82" s="776">
        <f t="shared" si="5"/>
        <v>0</v>
      </c>
      <c r="BJ82" s="776">
        <f t="shared" si="5"/>
        <v>0</v>
      </c>
      <c r="BK82" s="776">
        <f t="shared" si="5"/>
        <v>0</v>
      </c>
      <c r="BL82" s="776">
        <f t="shared" si="5"/>
        <v>0</v>
      </c>
      <c r="BM82" s="776">
        <f t="shared" si="5"/>
        <v>0</v>
      </c>
      <c r="BN82" s="776">
        <f t="shared" si="5"/>
        <v>0</v>
      </c>
      <c r="BO82" s="776">
        <f t="shared" si="5"/>
        <v>0</v>
      </c>
      <c r="BP82" s="776">
        <f t="shared" si="5"/>
        <v>0</v>
      </c>
      <c r="BQ82" s="776">
        <f t="shared" si="5"/>
        <v>0</v>
      </c>
      <c r="BR82" s="776">
        <f t="shared" si="5"/>
        <v>0</v>
      </c>
      <c r="BS82" s="776">
        <f t="shared" si="5"/>
        <v>0</v>
      </c>
      <c r="BT82" s="777"/>
      <c r="BU82" s="777"/>
      <c r="BV82" s="777"/>
      <c r="BW82" s="777"/>
      <c r="BX82" s="777"/>
      <c r="BY82" s="777"/>
      <c r="BZ82" s="777"/>
      <c r="CA82" s="777"/>
      <c r="CB82" s="777"/>
      <c r="CC82" s="777"/>
      <c r="CD82" s="777"/>
      <c r="CE82" s="777"/>
      <c r="CF82" s="777"/>
      <c r="CG82" s="778"/>
    </row>
    <row r="83" spans="1:85" s="237" customFormat="1" ht="33" customHeight="1" outlineLevel="1" x14ac:dyDescent="0.25">
      <c r="C83" s="1328" t="s">
        <v>2003</v>
      </c>
      <c r="D83" s="797" t="s">
        <v>36</v>
      </c>
      <c r="E83" s="798" t="s">
        <v>228</v>
      </c>
      <c r="F83" s="798"/>
      <c r="G83" s="799"/>
      <c r="H83" s="1332" t="s">
        <v>270</v>
      </c>
      <c r="I83" s="1332"/>
      <c r="J83" s="1332"/>
      <c r="K83" s="1332"/>
      <c r="L83" s="1332"/>
      <c r="M83" s="1332"/>
      <c r="N83" s="1332"/>
      <c r="O83" s="1332"/>
      <c r="P83" s="1332"/>
      <c r="Q83" s="1332"/>
      <c r="R83" s="1332"/>
      <c r="AI83" s="729"/>
      <c r="AJ83" s="729"/>
      <c r="AK83" s="729"/>
      <c r="AL83" s="729"/>
      <c r="AM83" s="729"/>
      <c r="AN83" s="729"/>
      <c r="AO83" s="729"/>
      <c r="AP83" s="732"/>
      <c r="AQ83" s="732"/>
      <c r="AR83" s="732"/>
      <c r="AS83" s="732"/>
      <c r="AT83" s="732"/>
      <c r="AU83" s="732"/>
      <c r="AV83" s="729"/>
      <c r="AW83" s="729"/>
      <c r="AX83" s="729"/>
      <c r="AY83" s="729"/>
      <c r="AZ83" s="729"/>
      <c r="BA83" s="252"/>
      <c r="BB83" s="252"/>
      <c r="BC83" s="782">
        <f t="shared" si="4"/>
        <v>2017</v>
      </c>
      <c r="BD83" s="776">
        <f t="shared" si="5"/>
        <v>0</v>
      </c>
      <c r="BE83" s="776">
        <f t="shared" si="6"/>
        <v>0</v>
      </c>
      <c r="BF83" s="776">
        <f t="shared" si="6"/>
        <v>0</v>
      </c>
      <c r="BG83" s="776">
        <f t="shared" si="5"/>
        <v>0</v>
      </c>
      <c r="BH83" s="776">
        <f t="shared" si="5"/>
        <v>0</v>
      </c>
      <c r="BI83" s="776">
        <f t="shared" si="5"/>
        <v>0</v>
      </c>
      <c r="BJ83" s="776">
        <f t="shared" si="5"/>
        <v>0</v>
      </c>
      <c r="BK83" s="776">
        <f t="shared" si="5"/>
        <v>0</v>
      </c>
      <c r="BL83" s="776">
        <f t="shared" si="5"/>
        <v>0</v>
      </c>
      <c r="BM83" s="776">
        <f t="shared" si="5"/>
        <v>0</v>
      </c>
      <c r="BN83" s="776">
        <f t="shared" si="5"/>
        <v>0</v>
      </c>
      <c r="BO83" s="776">
        <f t="shared" si="5"/>
        <v>0</v>
      </c>
      <c r="BP83" s="776">
        <f t="shared" si="5"/>
        <v>0</v>
      </c>
      <c r="BQ83" s="776">
        <f t="shared" si="5"/>
        <v>0</v>
      </c>
      <c r="BR83" s="776">
        <f t="shared" si="5"/>
        <v>0</v>
      </c>
      <c r="BS83" s="776">
        <f t="shared" si="5"/>
        <v>0</v>
      </c>
      <c r="BT83" s="776">
        <f t="shared" ref="BT83:CB96" si="9">BT$65*EXP(-$BC$60*($BC83-BT$66))</f>
        <v>0</v>
      </c>
      <c r="BU83" s="777"/>
      <c r="BV83" s="777"/>
      <c r="BW83" s="777"/>
      <c r="BX83" s="777"/>
      <c r="BY83" s="777"/>
      <c r="BZ83" s="777"/>
      <c r="CA83" s="777"/>
      <c r="CB83" s="777"/>
      <c r="CC83" s="777"/>
      <c r="CD83" s="777"/>
      <c r="CE83" s="777"/>
      <c r="CF83" s="777"/>
      <c r="CG83" s="778"/>
    </row>
    <row r="84" spans="1:85" s="237" customFormat="1" ht="33" customHeight="1" outlineLevel="1" x14ac:dyDescent="0.25">
      <c r="C84" s="1329"/>
      <c r="D84" s="797" t="s">
        <v>37</v>
      </c>
      <c r="E84" s="798" t="s">
        <v>227</v>
      </c>
      <c r="F84" s="798"/>
      <c r="G84" s="799"/>
      <c r="H84" s="1332" t="s">
        <v>2035</v>
      </c>
      <c r="I84" s="1332"/>
      <c r="J84" s="1332"/>
      <c r="K84" s="1332"/>
      <c r="L84" s="1332"/>
      <c r="M84" s="1332"/>
      <c r="N84" s="1332"/>
      <c r="O84" s="1332"/>
      <c r="P84" s="1332"/>
      <c r="Q84" s="1332"/>
      <c r="R84" s="1332"/>
      <c r="AI84" s="729"/>
      <c r="AJ84" s="729"/>
      <c r="AK84" s="729"/>
      <c r="AL84" s="729"/>
      <c r="AM84" s="729"/>
      <c r="AN84" s="729"/>
      <c r="AO84" s="729"/>
      <c r="AP84" s="732"/>
      <c r="AQ84" s="732"/>
      <c r="AR84" s="732"/>
      <c r="AS84" s="732"/>
      <c r="AT84" s="732"/>
      <c r="AU84" s="732"/>
      <c r="AV84" s="729"/>
      <c r="AW84" s="729"/>
      <c r="AX84" s="729"/>
      <c r="AY84" s="729"/>
      <c r="AZ84" s="729"/>
      <c r="BA84" s="252"/>
      <c r="BB84" s="252"/>
      <c r="BC84" s="782">
        <f t="shared" si="4"/>
        <v>2018</v>
      </c>
      <c r="BD84" s="776">
        <f t="shared" si="5"/>
        <v>0</v>
      </c>
      <c r="BE84" s="776">
        <f t="shared" si="6"/>
        <v>0</v>
      </c>
      <c r="BF84" s="776">
        <f t="shared" si="6"/>
        <v>0</v>
      </c>
      <c r="BG84" s="776">
        <f t="shared" si="5"/>
        <v>0</v>
      </c>
      <c r="BH84" s="776">
        <f t="shared" si="5"/>
        <v>0</v>
      </c>
      <c r="BI84" s="776">
        <f t="shared" si="5"/>
        <v>0</v>
      </c>
      <c r="BJ84" s="776">
        <f t="shared" si="5"/>
        <v>0</v>
      </c>
      <c r="BK84" s="776">
        <f t="shared" si="5"/>
        <v>0</v>
      </c>
      <c r="BL84" s="776">
        <f t="shared" si="5"/>
        <v>0</v>
      </c>
      <c r="BM84" s="776">
        <f t="shared" si="5"/>
        <v>0</v>
      </c>
      <c r="BN84" s="776">
        <f t="shared" si="5"/>
        <v>0</v>
      </c>
      <c r="BO84" s="776">
        <f t="shared" si="5"/>
        <v>0</v>
      </c>
      <c r="BP84" s="776">
        <f t="shared" si="5"/>
        <v>0</v>
      </c>
      <c r="BQ84" s="776">
        <f t="shared" si="5"/>
        <v>0</v>
      </c>
      <c r="BR84" s="776">
        <f t="shared" si="5"/>
        <v>0</v>
      </c>
      <c r="BS84" s="776">
        <f t="shared" si="5"/>
        <v>0</v>
      </c>
      <c r="BT84" s="776">
        <f t="shared" si="9"/>
        <v>0</v>
      </c>
      <c r="BU84" s="776">
        <f t="shared" si="9"/>
        <v>0</v>
      </c>
      <c r="BV84" s="777"/>
      <c r="BW84" s="777"/>
      <c r="BX84" s="777"/>
      <c r="BY84" s="777"/>
      <c r="BZ84" s="777"/>
      <c r="CA84" s="777"/>
      <c r="CB84" s="777"/>
      <c r="CC84" s="777"/>
      <c r="CD84" s="777"/>
      <c r="CE84" s="777"/>
      <c r="CF84" s="777"/>
      <c r="CG84" s="778"/>
    </row>
    <row r="85" spans="1:85" s="237" customFormat="1" ht="46.5" customHeight="1" outlineLevel="1" x14ac:dyDescent="0.25">
      <c r="C85" s="1329"/>
      <c r="D85" s="797" t="s">
        <v>38</v>
      </c>
      <c r="E85" s="798" t="s">
        <v>269</v>
      </c>
      <c r="F85" s="798"/>
      <c r="G85" s="799"/>
      <c r="H85" s="1332" t="s">
        <v>2036</v>
      </c>
      <c r="I85" s="1332"/>
      <c r="J85" s="1332"/>
      <c r="K85" s="1332"/>
      <c r="L85" s="1332"/>
      <c r="M85" s="1332"/>
      <c r="N85" s="1332"/>
      <c r="O85" s="1332"/>
      <c r="P85" s="1332"/>
      <c r="Q85" s="1332"/>
      <c r="R85" s="1332"/>
      <c r="AI85" s="729"/>
      <c r="AJ85" s="729"/>
      <c r="AK85" s="729"/>
      <c r="AL85" s="729"/>
      <c r="AM85" s="729"/>
      <c r="AN85" s="729"/>
      <c r="AO85" s="729"/>
      <c r="AP85" s="732"/>
      <c r="AQ85" s="732"/>
      <c r="AR85" s="732"/>
      <c r="AS85" s="732"/>
      <c r="AT85" s="732"/>
      <c r="AU85" s="732"/>
      <c r="AV85" s="729"/>
      <c r="AW85" s="729"/>
      <c r="AX85" s="729"/>
      <c r="AY85" s="729"/>
      <c r="AZ85" s="729"/>
      <c r="BA85" s="252"/>
      <c r="BB85" s="252"/>
      <c r="BC85" s="782">
        <f t="shared" si="4"/>
        <v>2019</v>
      </c>
      <c r="BD85" s="776">
        <f t="shared" si="5"/>
        <v>0</v>
      </c>
      <c r="BE85" s="776">
        <f t="shared" si="6"/>
        <v>0</v>
      </c>
      <c r="BF85" s="776">
        <f t="shared" si="6"/>
        <v>0</v>
      </c>
      <c r="BG85" s="776">
        <f t="shared" si="5"/>
        <v>0</v>
      </c>
      <c r="BH85" s="776">
        <f t="shared" si="5"/>
        <v>0</v>
      </c>
      <c r="BI85" s="776">
        <f t="shared" si="5"/>
        <v>0</v>
      </c>
      <c r="BJ85" s="776">
        <f t="shared" si="5"/>
        <v>0</v>
      </c>
      <c r="BK85" s="776">
        <f t="shared" si="5"/>
        <v>0</v>
      </c>
      <c r="BL85" s="776">
        <f t="shared" si="5"/>
        <v>0</v>
      </c>
      <c r="BM85" s="776">
        <f t="shared" si="5"/>
        <v>0</v>
      </c>
      <c r="BN85" s="776">
        <f t="shared" si="5"/>
        <v>0</v>
      </c>
      <c r="BO85" s="776">
        <f t="shared" si="5"/>
        <v>0</v>
      </c>
      <c r="BP85" s="776">
        <f t="shared" si="5"/>
        <v>0</v>
      </c>
      <c r="BQ85" s="776">
        <f t="shared" si="5"/>
        <v>0</v>
      </c>
      <c r="BR85" s="776">
        <f t="shared" si="5"/>
        <v>0</v>
      </c>
      <c r="BS85" s="776">
        <f t="shared" si="5"/>
        <v>0</v>
      </c>
      <c r="BT85" s="776">
        <f t="shared" si="9"/>
        <v>0</v>
      </c>
      <c r="BU85" s="776">
        <f t="shared" si="9"/>
        <v>0</v>
      </c>
      <c r="BV85" s="776">
        <f t="shared" si="9"/>
        <v>0</v>
      </c>
      <c r="BW85" s="777"/>
      <c r="BX85" s="777"/>
      <c r="BY85" s="777"/>
      <c r="BZ85" s="777"/>
      <c r="CA85" s="777"/>
      <c r="CB85" s="777"/>
      <c r="CC85" s="777"/>
      <c r="CD85" s="777"/>
      <c r="CE85" s="777"/>
      <c r="CF85" s="777"/>
      <c r="CG85" s="778"/>
    </row>
    <row r="86" spans="1:85" s="237" customFormat="1" ht="33" customHeight="1" outlineLevel="1" x14ac:dyDescent="0.25">
      <c r="C86" s="1329"/>
      <c r="D86" s="797" t="s">
        <v>39</v>
      </c>
      <c r="E86" s="798" t="s">
        <v>2037</v>
      </c>
      <c r="F86" s="798"/>
      <c r="G86" s="799"/>
      <c r="H86" s="1332" t="s">
        <v>2004</v>
      </c>
      <c r="I86" s="1332"/>
      <c r="J86" s="1332"/>
      <c r="K86" s="1332"/>
      <c r="L86" s="1332"/>
      <c r="M86" s="1332"/>
      <c r="N86" s="1332"/>
      <c r="O86" s="1332"/>
      <c r="P86" s="1332"/>
      <c r="Q86" s="1332"/>
      <c r="R86" s="1332"/>
      <c r="AI86" s="729"/>
      <c r="AJ86" s="729"/>
      <c r="AK86" s="729"/>
      <c r="AL86" s="729"/>
      <c r="AM86" s="729"/>
      <c r="AN86" s="729"/>
      <c r="AO86" s="729"/>
      <c r="AP86" s="732"/>
      <c r="AQ86" s="732"/>
      <c r="AR86" s="732"/>
      <c r="AS86" s="732"/>
      <c r="AT86" s="732"/>
      <c r="AU86" s="732"/>
      <c r="AV86" s="729"/>
      <c r="AW86" s="729"/>
      <c r="AX86" s="729"/>
      <c r="AY86" s="729"/>
      <c r="AZ86" s="729"/>
      <c r="BA86" s="252"/>
      <c r="BB86" s="252"/>
      <c r="BC86" s="782">
        <f t="shared" si="4"/>
        <v>2020</v>
      </c>
      <c r="BD86" s="776">
        <f t="shared" si="5"/>
        <v>0</v>
      </c>
      <c r="BE86" s="776">
        <f t="shared" si="6"/>
        <v>0</v>
      </c>
      <c r="BF86" s="776">
        <f t="shared" si="6"/>
        <v>0</v>
      </c>
      <c r="BG86" s="776">
        <f t="shared" si="5"/>
        <v>0</v>
      </c>
      <c r="BH86" s="776">
        <f t="shared" si="5"/>
        <v>0</v>
      </c>
      <c r="BI86" s="776">
        <f t="shared" si="5"/>
        <v>0</v>
      </c>
      <c r="BJ86" s="776">
        <f t="shared" si="5"/>
        <v>0</v>
      </c>
      <c r="BK86" s="776">
        <f t="shared" si="5"/>
        <v>0</v>
      </c>
      <c r="BL86" s="776">
        <f t="shared" si="5"/>
        <v>0</v>
      </c>
      <c r="BM86" s="776">
        <f t="shared" si="5"/>
        <v>0</v>
      </c>
      <c r="BN86" s="776">
        <f t="shared" si="5"/>
        <v>0</v>
      </c>
      <c r="BO86" s="776">
        <f t="shared" si="5"/>
        <v>0</v>
      </c>
      <c r="BP86" s="776">
        <f t="shared" si="5"/>
        <v>0</v>
      </c>
      <c r="BQ86" s="776">
        <f t="shared" si="5"/>
        <v>0</v>
      </c>
      <c r="BR86" s="776">
        <f t="shared" si="5"/>
        <v>0</v>
      </c>
      <c r="BS86" s="776">
        <f t="shared" si="5"/>
        <v>0</v>
      </c>
      <c r="BT86" s="776">
        <f t="shared" si="9"/>
        <v>0</v>
      </c>
      <c r="BU86" s="776">
        <f t="shared" si="9"/>
        <v>0</v>
      </c>
      <c r="BV86" s="776">
        <f t="shared" si="9"/>
        <v>0</v>
      </c>
      <c r="BW86" s="776">
        <f t="shared" si="9"/>
        <v>0</v>
      </c>
      <c r="BX86" s="777"/>
      <c r="BY86" s="777"/>
      <c r="BZ86" s="777"/>
      <c r="CA86" s="777"/>
      <c r="CB86" s="777"/>
      <c r="CC86" s="777"/>
      <c r="CD86" s="777"/>
      <c r="CE86" s="777"/>
      <c r="CF86" s="777"/>
      <c r="CG86" s="778"/>
    </row>
    <row r="87" spans="1:85" s="237" customFormat="1" ht="33" customHeight="1" outlineLevel="1" x14ac:dyDescent="0.25">
      <c r="C87" s="1330"/>
      <c r="D87" s="797" t="s">
        <v>40</v>
      </c>
      <c r="E87" s="798" t="s">
        <v>2034</v>
      </c>
      <c r="F87" s="798"/>
      <c r="G87" s="799"/>
      <c r="H87" s="1332" t="s">
        <v>2005</v>
      </c>
      <c r="I87" s="1332"/>
      <c r="J87" s="1332"/>
      <c r="K87" s="1332"/>
      <c r="L87" s="1332"/>
      <c r="M87" s="1332"/>
      <c r="N87" s="1332"/>
      <c r="O87" s="1332"/>
      <c r="P87" s="1332"/>
      <c r="Q87" s="1332"/>
      <c r="R87" s="1332"/>
      <c r="AI87" s="729"/>
      <c r="AJ87" s="729"/>
      <c r="AK87" s="729"/>
      <c r="AL87" s="729"/>
      <c r="AM87" s="729"/>
      <c r="AN87" s="729"/>
      <c r="AO87" s="729"/>
      <c r="AP87" s="732"/>
      <c r="AQ87" s="732"/>
      <c r="AR87" s="732"/>
      <c r="AS87" s="732"/>
      <c r="AT87" s="732"/>
      <c r="AU87" s="732"/>
      <c r="AV87" s="729"/>
      <c r="AW87" s="729"/>
      <c r="AX87" s="729"/>
      <c r="AY87" s="729"/>
      <c r="AZ87" s="729"/>
      <c r="BA87" s="252"/>
      <c r="BB87" s="252"/>
      <c r="BC87" s="782">
        <f t="shared" si="4"/>
        <v>2021</v>
      </c>
      <c r="BD87" s="776">
        <f t="shared" si="5"/>
        <v>0</v>
      </c>
      <c r="BE87" s="776">
        <f t="shared" si="6"/>
        <v>0</v>
      </c>
      <c r="BF87" s="776">
        <f t="shared" si="6"/>
        <v>0</v>
      </c>
      <c r="BG87" s="776">
        <f t="shared" si="5"/>
        <v>0</v>
      </c>
      <c r="BH87" s="776">
        <f t="shared" si="5"/>
        <v>0</v>
      </c>
      <c r="BI87" s="776">
        <f t="shared" si="5"/>
        <v>0</v>
      </c>
      <c r="BJ87" s="776">
        <f t="shared" si="5"/>
        <v>0</v>
      </c>
      <c r="BK87" s="776">
        <f t="shared" si="5"/>
        <v>0</v>
      </c>
      <c r="BL87" s="776">
        <f t="shared" si="5"/>
        <v>0</v>
      </c>
      <c r="BM87" s="776">
        <f t="shared" si="5"/>
        <v>0</v>
      </c>
      <c r="BN87" s="776">
        <f t="shared" si="5"/>
        <v>0</v>
      </c>
      <c r="BO87" s="776">
        <f t="shared" si="5"/>
        <v>0</v>
      </c>
      <c r="BP87" s="776">
        <f t="shared" si="5"/>
        <v>0</v>
      </c>
      <c r="BQ87" s="776">
        <f t="shared" si="5"/>
        <v>0</v>
      </c>
      <c r="BR87" s="776">
        <f t="shared" si="5"/>
        <v>0</v>
      </c>
      <c r="BS87" s="776">
        <f t="shared" si="5"/>
        <v>0</v>
      </c>
      <c r="BT87" s="776">
        <f t="shared" si="9"/>
        <v>0</v>
      </c>
      <c r="BU87" s="776">
        <f t="shared" si="9"/>
        <v>0</v>
      </c>
      <c r="BV87" s="776">
        <f t="shared" si="9"/>
        <v>0</v>
      </c>
      <c r="BW87" s="776">
        <f t="shared" si="9"/>
        <v>0</v>
      </c>
      <c r="BX87" s="776">
        <f t="shared" si="9"/>
        <v>0</v>
      </c>
      <c r="BY87" s="777"/>
      <c r="BZ87" s="777"/>
      <c r="CA87" s="777"/>
      <c r="CB87" s="777"/>
      <c r="CC87" s="777"/>
      <c r="CD87" s="777"/>
      <c r="CE87" s="777"/>
      <c r="CF87" s="777"/>
      <c r="CG87" s="778"/>
    </row>
    <row r="88" spans="1:85" s="237" customFormat="1" ht="15" customHeight="1" outlineLevel="1" x14ac:dyDescent="0.25">
      <c r="AI88" s="729"/>
      <c r="AJ88" s="729"/>
      <c r="AK88" s="729"/>
      <c r="AL88" s="729"/>
      <c r="AM88" s="729"/>
      <c r="AN88" s="729"/>
      <c r="AO88" s="729"/>
      <c r="AP88" s="732"/>
      <c r="AQ88" s="732"/>
      <c r="AR88" s="732"/>
      <c r="AS88" s="732"/>
      <c r="AT88" s="732"/>
      <c r="AU88" s="732"/>
      <c r="AV88" s="729"/>
      <c r="AW88" s="729"/>
      <c r="AX88" s="729"/>
      <c r="AY88" s="729"/>
      <c r="AZ88" s="729"/>
      <c r="BA88" s="252"/>
      <c r="BB88" s="252"/>
      <c r="BC88" s="782">
        <f t="shared" si="4"/>
        <v>2022</v>
      </c>
      <c r="BD88" s="776">
        <f t="shared" si="5"/>
        <v>0</v>
      </c>
      <c r="BE88" s="776">
        <f t="shared" si="6"/>
        <v>0</v>
      </c>
      <c r="BF88" s="776">
        <f t="shared" si="6"/>
        <v>0</v>
      </c>
      <c r="BG88" s="776">
        <f t="shared" si="5"/>
        <v>0</v>
      </c>
      <c r="BH88" s="776">
        <f t="shared" si="5"/>
        <v>0</v>
      </c>
      <c r="BI88" s="776">
        <f t="shared" si="5"/>
        <v>0</v>
      </c>
      <c r="BJ88" s="776">
        <f t="shared" si="5"/>
        <v>0</v>
      </c>
      <c r="BK88" s="776">
        <f t="shared" si="5"/>
        <v>0</v>
      </c>
      <c r="BL88" s="776">
        <f t="shared" si="5"/>
        <v>0</v>
      </c>
      <c r="BM88" s="776">
        <f t="shared" si="5"/>
        <v>0</v>
      </c>
      <c r="BN88" s="776">
        <f t="shared" si="5"/>
        <v>0</v>
      </c>
      <c r="BO88" s="776">
        <f t="shared" si="5"/>
        <v>0</v>
      </c>
      <c r="BP88" s="776">
        <f t="shared" si="5"/>
        <v>0</v>
      </c>
      <c r="BQ88" s="776">
        <f t="shared" si="5"/>
        <v>0</v>
      </c>
      <c r="BR88" s="776">
        <f t="shared" si="5"/>
        <v>0</v>
      </c>
      <c r="BS88" s="776">
        <f t="shared" si="5"/>
        <v>0</v>
      </c>
      <c r="BT88" s="776">
        <f t="shared" si="9"/>
        <v>0</v>
      </c>
      <c r="BU88" s="776">
        <f t="shared" si="9"/>
        <v>0</v>
      </c>
      <c r="BV88" s="776">
        <f t="shared" si="9"/>
        <v>0</v>
      </c>
      <c r="BW88" s="776">
        <f t="shared" si="9"/>
        <v>0</v>
      </c>
      <c r="BX88" s="776">
        <f t="shared" si="9"/>
        <v>0</v>
      </c>
      <c r="BY88" s="776">
        <f t="shared" si="9"/>
        <v>0</v>
      </c>
      <c r="BZ88" s="777"/>
      <c r="CA88" s="777"/>
      <c r="CB88" s="777"/>
      <c r="CC88" s="777"/>
      <c r="CD88" s="777"/>
      <c r="CE88" s="777"/>
      <c r="CF88" s="777"/>
      <c r="CG88" s="778"/>
    </row>
    <row r="89" spans="1:85" s="237" customFormat="1" ht="15" customHeight="1" outlineLevel="1" x14ac:dyDescent="0.25">
      <c r="AI89" s="729"/>
      <c r="AJ89" s="729"/>
      <c r="AK89" s="729"/>
      <c r="AL89" s="729"/>
      <c r="AM89" s="729"/>
      <c r="AN89" s="729"/>
      <c r="AO89" s="729"/>
      <c r="AP89" s="732"/>
      <c r="AQ89" s="732"/>
      <c r="AR89" s="732"/>
      <c r="AS89" s="732"/>
      <c r="AT89" s="732"/>
      <c r="AU89" s="732"/>
      <c r="AV89" s="729"/>
      <c r="AW89" s="729"/>
      <c r="AX89" s="729"/>
      <c r="AY89" s="729"/>
      <c r="AZ89" s="729"/>
      <c r="BA89" s="252"/>
      <c r="BB89" s="252"/>
      <c r="BC89" s="782">
        <f t="shared" si="4"/>
        <v>2023</v>
      </c>
      <c r="BD89" s="776">
        <f t="shared" si="5"/>
        <v>0</v>
      </c>
      <c r="BE89" s="776">
        <f t="shared" si="6"/>
        <v>0</v>
      </c>
      <c r="BF89" s="776">
        <f t="shared" si="6"/>
        <v>0</v>
      </c>
      <c r="BG89" s="776">
        <f t="shared" si="5"/>
        <v>0</v>
      </c>
      <c r="BH89" s="776">
        <f t="shared" si="5"/>
        <v>0</v>
      </c>
      <c r="BI89" s="776">
        <f t="shared" si="5"/>
        <v>0</v>
      </c>
      <c r="BJ89" s="776">
        <f t="shared" si="5"/>
        <v>0</v>
      </c>
      <c r="BK89" s="776">
        <f t="shared" si="5"/>
        <v>0</v>
      </c>
      <c r="BL89" s="776">
        <f t="shared" si="5"/>
        <v>0</v>
      </c>
      <c r="BM89" s="776">
        <f t="shared" si="5"/>
        <v>0</v>
      </c>
      <c r="BN89" s="776">
        <f t="shared" si="5"/>
        <v>0</v>
      </c>
      <c r="BO89" s="776">
        <f t="shared" si="5"/>
        <v>0</v>
      </c>
      <c r="BP89" s="776">
        <f t="shared" si="5"/>
        <v>0</v>
      </c>
      <c r="BQ89" s="776">
        <f t="shared" si="5"/>
        <v>0</v>
      </c>
      <c r="BR89" s="776">
        <f t="shared" si="5"/>
        <v>0</v>
      </c>
      <c r="BS89" s="776">
        <f t="shared" si="5"/>
        <v>0</v>
      </c>
      <c r="BT89" s="776">
        <f t="shared" si="9"/>
        <v>0</v>
      </c>
      <c r="BU89" s="776">
        <f t="shared" si="9"/>
        <v>0</v>
      </c>
      <c r="BV89" s="776">
        <f t="shared" si="9"/>
        <v>0</v>
      </c>
      <c r="BW89" s="776">
        <f t="shared" si="9"/>
        <v>0</v>
      </c>
      <c r="BX89" s="776">
        <f t="shared" si="9"/>
        <v>0</v>
      </c>
      <c r="BY89" s="776">
        <f t="shared" si="9"/>
        <v>0</v>
      </c>
      <c r="BZ89" s="776">
        <f t="shared" si="9"/>
        <v>0</v>
      </c>
      <c r="CA89" s="777"/>
      <c r="CB89" s="777"/>
      <c r="CC89" s="777"/>
      <c r="CD89" s="777"/>
      <c r="CE89" s="777"/>
      <c r="CF89" s="777"/>
      <c r="CG89" s="778"/>
    </row>
    <row r="90" spans="1:85" s="237" customFormat="1" ht="15" customHeight="1" outlineLevel="1" x14ac:dyDescent="0.25">
      <c r="A90" s="729"/>
      <c r="B90" s="729"/>
      <c r="C90" s="780" t="s">
        <v>54</v>
      </c>
      <c r="D90" s="800"/>
      <c r="E90" s="758">
        <f t="shared" ref="E90:AF90" si="10">F90-1</f>
        <v>2001</v>
      </c>
      <c r="F90" s="758">
        <f t="shared" si="10"/>
        <v>2002</v>
      </c>
      <c r="G90" s="758">
        <f t="shared" si="10"/>
        <v>2003</v>
      </c>
      <c r="H90" s="758">
        <f t="shared" si="10"/>
        <v>2004</v>
      </c>
      <c r="I90" s="758">
        <f t="shared" si="10"/>
        <v>2005</v>
      </c>
      <c r="J90" s="758">
        <f t="shared" si="10"/>
        <v>2006</v>
      </c>
      <c r="K90" s="758">
        <f t="shared" si="10"/>
        <v>2007</v>
      </c>
      <c r="L90" s="758">
        <f t="shared" si="10"/>
        <v>2008</v>
      </c>
      <c r="M90" s="758">
        <f t="shared" si="10"/>
        <v>2009</v>
      </c>
      <c r="N90" s="758">
        <f t="shared" si="10"/>
        <v>2010</v>
      </c>
      <c r="O90" s="758">
        <f t="shared" si="10"/>
        <v>2011</v>
      </c>
      <c r="P90" s="758">
        <f t="shared" si="10"/>
        <v>2012</v>
      </c>
      <c r="Q90" s="758">
        <f t="shared" si="10"/>
        <v>2013</v>
      </c>
      <c r="R90" s="758">
        <f t="shared" si="10"/>
        <v>2014</v>
      </c>
      <c r="S90" s="758">
        <f t="shared" si="10"/>
        <v>2015</v>
      </c>
      <c r="T90" s="758">
        <f t="shared" si="10"/>
        <v>2016</v>
      </c>
      <c r="U90" s="758">
        <f t="shared" si="10"/>
        <v>2017</v>
      </c>
      <c r="V90" s="758">
        <f t="shared" si="10"/>
        <v>2018</v>
      </c>
      <c r="W90" s="758">
        <f t="shared" si="10"/>
        <v>2019</v>
      </c>
      <c r="X90" s="758">
        <f t="shared" si="10"/>
        <v>2020</v>
      </c>
      <c r="Y90" s="758">
        <f t="shared" si="10"/>
        <v>2021</v>
      </c>
      <c r="Z90" s="758">
        <f t="shared" si="10"/>
        <v>2022</v>
      </c>
      <c r="AA90" s="758">
        <f t="shared" si="10"/>
        <v>2023</v>
      </c>
      <c r="AB90" s="758">
        <f t="shared" si="10"/>
        <v>2024</v>
      </c>
      <c r="AC90" s="758">
        <f t="shared" si="10"/>
        <v>2025</v>
      </c>
      <c r="AD90" s="758">
        <f t="shared" si="10"/>
        <v>2026</v>
      </c>
      <c r="AE90" s="758">
        <f t="shared" si="10"/>
        <v>2027</v>
      </c>
      <c r="AF90" s="758">
        <f t="shared" si="10"/>
        <v>2028</v>
      </c>
      <c r="AG90" s="758">
        <f>AH90-1</f>
        <v>2029</v>
      </c>
      <c r="AH90" s="758">
        <f>Ano</f>
        <v>2030</v>
      </c>
      <c r="AI90" s="729"/>
      <c r="AJ90" s="729"/>
      <c r="AK90" s="729"/>
      <c r="AL90" s="729"/>
      <c r="AM90" s="729"/>
      <c r="AN90" s="729"/>
      <c r="AO90" s="729"/>
      <c r="AP90" s="732"/>
      <c r="AQ90" s="732"/>
      <c r="AR90" s="732"/>
      <c r="AS90" s="732"/>
      <c r="AT90" s="732"/>
      <c r="AU90" s="732"/>
      <c r="AV90" s="729"/>
      <c r="AW90" s="729"/>
      <c r="AX90" s="729"/>
      <c r="AY90" s="729"/>
      <c r="AZ90" s="729"/>
      <c r="BA90" s="252"/>
      <c r="BB90" s="252"/>
      <c r="BC90" s="782">
        <f t="shared" si="4"/>
        <v>2024</v>
      </c>
      <c r="BD90" s="776">
        <f t="shared" si="5"/>
        <v>0</v>
      </c>
      <c r="BE90" s="776">
        <f t="shared" si="6"/>
        <v>0</v>
      </c>
      <c r="BF90" s="776">
        <f t="shared" si="6"/>
        <v>0</v>
      </c>
      <c r="BG90" s="776">
        <f t="shared" si="5"/>
        <v>0</v>
      </c>
      <c r="BH90" s="776">
        <f t="shared" si="5"/>
        <v>0</v>
      </c>
      <c r="BI90" s="776">
        <f t="shared" si="5"/>
        <v>0</v>
      </c>
      <c r="BJ90" s="776">
        <f t="shared" si="5"/>
        <v>0</v>
      </c>
      <c r="BK90" s="776">
        <f t="shared" si="5"/>
        <v>0</v>
      </c>
      <c r="BL90" s="776">
        <f t="shared" si="5"/>
        <v>0</v>
      </c>
      <c r="BM90" s="776">
        <f t="shared" si="5"/>
        <v>0</v>
      </c>
      <c r="BN90" s="776">
        <f t="shared" si="5"/>
        <v>0</v>
      </c>
      <c r="BO90" s="776">
        <f t="shared" si="5"/>
        <v>0</v>
      </c>
      <c r="BP90" s="776">
        <f t="shared" si="5"/>
        <v>0</v>
      </c>
      <c r="BQ90" s="776">
        <f t="shared" si="5"/>
        <v>0</v>
      </c>
      <c r="BR90" s="776">
        <f t="shared" si="5"/>
        <v>0</v>
      </c>
      <c r="BS90" s="776">
        <f t="shared" si="5"/>
        <v>0</v>
      </c>
      <c r="BT90" s="776">
        <f t="shared" si="9"/>
        <v>0</v>
      </c>
      <c r="BU90" s="776">
        <f t="shared" si="9"/>
        <v>0</v>
      </c>
      <c r="BV90" s="776">
        <f t="shared" si="9"/>
        <v>0</v>
      </c>
      <c r="BW90" s="776">
        <f t="shared" si="9"/>
        <v>0</v>
      </c>
      <c r="BX90" s="776">
        <f t="shared" si="9"/>
        <v>0</v>
      </c>
      <c r="BY90" s="776">
        <f t="shared" si="9"/>
        <v>0</v>
      </c>
      <c r="BZ90" s="776">
        <f t="shared" si="9"/>
        <v>0</v>
      </c>
      <c r="CA90" s="776">
        <f t="shared" si="9"/>
        <v>0</v>
      </c>
      <c r="CB90" s="777"/>
      <c r="CC90" s="777"/>
      <c r="CD90" s="777"/>
      <c r="CE90" s="777"/>
      <c r="CF90" s="777"/>
      <c r="CG90" s="778"/>
    </row>
    <row r="91" spans="1:85" s="237" customFormat="1" ht="15" customHeight="1" outlineLevel="1" x14ac:dyDescent="0.25">
      <c r="A91" s="729"/>
      <c r="B91" s="729"/>
      <c r="C91" s="759" t="s">
        <v>41</v>
      </c>
      <c r="D91" s="801"/>
      <c r="E91" s="802"/>
      <c r="F91" s="986"/>
      <c r="G91" s="986"/>
      <c r="H91" s="986"/>
      <c r="I91" s="986"/>
      <c r="J91" s="986"/>
      <c r="K91" s="986"/>
      <c r="L91" s="986"/>
      <c r="M91" s="986"/>
      <c r="N91" s="986"/>
      <c r="O91" s="986"/>
      <c r="P91" s="986"/>
      <c r="Q91" s="986"/>
      <c r="R91" s="986"/>
      <c r="S91" s="986"/>
      <c r="T91" s="986"/>
      <c r="U91" s="986"/>
      <c r="V91" s="986"/>
      <c r="W91" s="986"/>
      <c r="X91" s="986"/>
      <c r="Y91" s="986"/>
      <c r="Z91" s="986"/>
      <c r="AA91" s="986"/>
      <c r="AB91" s="986"/>
      <c r="AC91" s="986"/>
      <c r="AD91" s="986"/>
      <c r="AE91" s="986"/>
      <c r="AF91" s="986"/>
      <c r="AG91" s="986"/>
      <c r="AH91" s="986"/>
      <c r="AI91" s="729"/>
      <c r="AJ91" s="729"/>
      <c r="AK91" s="729"/>
      <c r="AL91" s="729"/>
      <c r="AM91" s="729"/>
      <c r="AN91" s="729"/>
      <c r="AO91" s="729"/>
      <c r="AP91" s="732"/>
      <c r="AQ91" s="732"/>
      <c r="AR91" s="732"/>
      <c r="AS91" s="732"/>
      <c r="AT91" s="732"/>
      <c r="AU91" s="732"/>
      <c r="AV91" s="729"/>
      <c r="AW91" s="729"/>
      <c r="AX91" s="729"/>
      <c r="AY91" s="729"/>
      <c r="AZ91" s="729"/>
      <c r="BA91" s="252"/>
      <c r="BB91" s="252"/>
      <c r="BC91" s="782">
        <f t="shared" si="4"/>
        <v>2025</v>
      </c>
      <c r="BD91" s="776">
        <f t="shared" si="5"/>
        <v>0</v>
      </c>
      <c r="BE91" s="776">
        <f t="shared" si="6"/>
        <v>0</v>
      </c>
      <c r="BF91" s="776">
        <f t="shared" si="6"/>
        <v>0</v>
      </c>
      <c r="BG91" s="776">
        <f t="shared" si="5"/>
        <v>0</v>
      </c>
      <c r="BH91" s="776">
        <f t="shared" si="5"/>
        <v>0</v>
      </c>
      <c r="BI91" s="776">
        <f t="shared" si="5"/>
        <v>0</v>
      </c>
      <c r="BJ91" s="776">
        <f t="shared" si="5"/>
        <v>0</v>
      </c>
      <c r="BK91" s="776">
        <f t="shared" si="5"/>
        <v>0</v>
      </c>
      <c r="BL91" s="776">
        <f t="shared" si="5"/>
        <v>0</v>
      </c>
      <c r="BM91" s="776">
        <f t="shared" si="5"/>
        <v>0</v>
      </c>
      <c r="BN91" s="776">
        <f t="shared" si="5"/>
        <v>0</v>
      </c>
      <c r="BO91" s="776">
        <f t="shared" si="5"/>
        <v>0</v>
      </c>
      <c r="BP91" s="776">
        <f t="shared" si="5"/>
        <v>0</v>
      </c>
      <c r="BQ91" s="776">
        <f t="shared" si="5"/>
        <v>0</v>
      </c>
      <c r="BR91" s="776">
        <f t="shared" si="5"/>
        <v>0</v>
      </c>
      <c r="BS91" s="776">
        <f t="shared" si="5"/>
        <v>0</v>
      </c>
      <c r="BT91" s="776">
        <f t="shared" si="9"/>
        <v>0</v>
      </c>
      <c r="BU91" s="776">
        <f t="shared" si="9"/>
        <v>0</v>
      </c>
      <c r="BV91" s="776">
        <f t="shared" si="9"/>
        <v>0</v>
      </c>
      <c r="BW91" s="776">
        <f t="shared" si="9"/>
        <v>0</v>
      </c>
      <c r="BX91" s="776">
        <f t="shared" si="9"/>
        <v>0</v>
      </c>
      <c r="BY91" s="776">
        <f t="shared" si="9"/>
        <v>0</v>
      </c>
      <c r="BZ91" s="776">
        <f t="shared" si="9"/>
        <v>0</v>
      </c>
      <c r="CA91" s="776">
        <f t="shared" si="9"/>
        <v>0</v>
      </c>
      <c r="CB91" s="776">
        <f t="shared" si="9"/>
        <v>0</v>
      </c>
      <c r="CC91" s="777"/>
      <c r="CD91" s="777"/>
      <c r="CE91" s="777"/>
      <c r="CF91" s="777"/>
      <c r="CG91" s="778"/>
    </row>
    <row r="92" spans="1:85" s="237" customFormat="1" ht="15" customHeight="1" outlineLevel="1" x14ac:dyDescent="0.25">
      <c r="A92" s="729"/>
      <c r="B92" s="729"/>
      <c r="C92" s="759" t="s">
        <v>55</v>
      </c>
      <c r="D92" s="803"/>
      <c r="E92" s="795">
        <f>IF(E91="a", 0.6, IF(E91="b", 0.4, IF(E91="c", 0.8, IF(E91="d", 1, IF(E91="e", 0.5, IF(E91="", 0, "Parâmetro inválido"))))))</f>
        <v>0</v>
      </c>
      <c r="F92" s="795">
        <f t="shared" ref="F92:AH92" si="11">IF(F91="a", 0.6, IF(F91="b", 0.4, IF(F91="c", 0.8, IF(F91="d", 1, IF(F91="e", 0.5, IF(F91="", 0, "Parâmetro inválido"))))))</f>
        <v>0</v>
      </c>
      <c r="G92" s="795">
        <f t="shared" si="11"/>
        <v>0</v>
      </c>
      <c r="H92" s="795">
        <f t="shared" si="11"/>
        <v>0</v>
      </c>
      <c r="I92" s="795">
        <f t="shared" si="11"/>
        <v>0</v>
      </c>
      <c r="J92" s="795">
        <f t="shared" si="11"/>
        <v>0</v>
      </c>
      <c r="K92" s="795">
        <f t="shared" si="11"/>
        <v>0</v>
      </c>
      <c r="L92" s="795">
        <f t="shared" si="11"/>
        <v>0</v>
      </c>
      <c r="M92" s="795">
        <f t="shared" si="11"/>
        <v>0</v>
      </c>
      <c r="N92" s="795">
        <f t="shared" si="11"/>
        <v>0</v>
      </c>
      <c r="O92" s="795">
        <f t="shared" si="11"/>
        <v>0</v>
      </c>
      <c r="P92" s="795">
        <f t="shared" si="11"/>
        <v>0</v>
      </c>
      <c r="Q92" s="795">
        <f t="shared" si="11"/>
        <v>0</v>
      </c>
      <c r="R92" s="795">
        <f t="shared" si="11"/>
        <v>0</v>
      </c>
      <c r="S92" s="795">
        <f t="shared" si="11"/>
        <v>0</v>
      </c>
      <c r="T92" s="795">
        <f t="shared" si="11"/>
        <v>0</v>
      </c>
      <c r="U92" s="795">
        <f t="shared" si="11"/>
        <v>0</v>
      </c>
      <c r="V92" s="795">
        <f t="shared" si="11"/>
        <v>0</v>
      </c>
      <c r="W92" s="795">
        <f t="shared" si="11"/>
        <v>0</v>
      </c>
      <c r="X92" s="795">
        <f t="shared" si="11"/>
        <v>0</v>
      </c>
      <c r="Y92" s="795">
        <f t="shared" si="11"/>
        <v>0</v>
      </c>
      <c r="Z92" s="795">
        <f t="shared" si="11"/>
        <v>0</v>
      </c>
      <c r="AA92" s="795">
        <f t="shared" si="11"/>
        <v>0</v>
      </c>
      <c r="AB92" s="795">
        <f t="shared" si="11"/>
        <v>0</v>
      </c>
      <c r="AC92" s="795">
        <f t="shared" si="11"/>
        <v>0</v>
      </c>
      <c r="AD92" s="795">
        <f t="shared" si="11"/>
        <v>0</v>
      </c>
      <c r="AE92" s="795">
        <f t="shared" si="11"/>
        <v>0</v>
      </c>
      <c r="AF92" s="795">
        <f t="shared" si="11"/>
        <v>0</v>
      </c>
      <c r="AG92" s="795">
        <f t="shared" si="11"/>
        <v>0</v>
      </c>
      <c r="AH92" s="795">
        <f t="shared" si="11"/>
        <v>0</v>
      </c>
      <c r="AI92" s="734"/>
      <c r="AJ92" s="734"/>
      <c r="AK92" s="734"/>
      <c r="AL92" s="734"/>
      <c r="AM92" s="729"/>
      <c r="AN92" s="729"/>
      <c r="AO92" s="729"/>
      <c r="AP92" s="732"/>
      <c r="AQ92" s="732"/>
      <c r="AR92" s="732"/>
      <c r="AS92" s="732"/>
      <c r="AT92" s="732"/>
      <c r="AU92" s="732"/>
      <c r="AV92" s="729"/>
      <c r="AW92" s="729"/>
      <c r="AX92" s="729"/>
      <c r="AY92" s="729"/>
      <c r="AZ92" s="729"/>
      <c r="BA92" s="252"/>
      <c r="BB92" s="252"/>
      <c r="BC92" s="782">
        <f t="shared" si="4"/>
        <v>2026</v>
      </c>
      <c r="BD92" s="776">
        <f t="shared" si="5"/>
        <v>0</v>
      </c>
      <c r="BE92" s="776">
        <f t="shared" si="6"/>
        <v>0</v>
      </c>
      <c r="BF92" s="776">
        <f t="shared" si="6"/>
        <v>0</v>
      </c>
      <c r="BG92" s="776">
        <f t="shared" si="5"/>
        <v>0</v>
      </c>
      <c r="BH92" s="776">
        <f t="shared" si="5"/>
        <v>0</v>
      </c>
      <c r="BI92" s="776">
        <f t="shared" si="5"/>
        <v>0</v>
      </c>
      <c r="BJ92" s="776">
        <f t="shared" si="5"/>
        <v>0</v>
      </c>
      <c r="BK92" s="776">
        <f t="shared" si="5"/>
        <v>0</v>
      </c>
      <c r="BL92" s="776">
        <f t="shared" si="5"/>
        <v>0</v>
      </c>
      <c r="BM92" s="776">
        <f t="shared" si="5"/>
        <v>0</v>
      </c>
      <c r="BN92" s="776">
        <f t="shared" si="5"/>
        <v>0</v>
      </c>
      <c r="BO92" s="776">
        <f t="shared" si="5"/>
        <v>0</v>
      </c>
      <c r="BP92" s="776">
        <f t="shared" si="5"/>
        <v>0</v>
      </c>
      <c r="BQ92" s="776">
        <f t="shared" si="5"/>
        <v>0</v>
      </c>
      <c r="BR92" s="776">
        <f t="shared" si="5"/>
        <v>0</v>
      </c>
      <c r="BS92" s="776">
        <f t="shared" si="5"/>
        <v>0</v>
      </c>
      <c r="BT92" s="776">
        <f t="shared" si="9"/>
        <v>0</v>
      </c>
      <c r="BU92" s="776">
        <f t="shared" si="9"/>
        <v>0</v>
      </c>
      <c r="BV92" s="776">
        <f t="shared" si="9"/>
        <v>0</v>
      </c>
      <c r="BW92" s="776">
        <f t="shared" si="9"/>
        <v>0</v>
      </c>
      <c r="BX92" s="776">
        <f t="shared" si="9"/>
        <v>0</v>
      </c>
      <c r="BY92" s="776">
        <f t="shared" si="9"/>
        <v>0</v>
      </c>
      <c r="BZ92" s="776">
        <f t="shared" si="9"/>
        <v>0</v>
      </c>
      <c r="CA92" s="776">
        <f t="shared" si="9"/>
        <v>0</v>
      </c>
      <c r="CB92" s="776">
        <f t="shared" si="9"/>
        <v>0</v>
      </c>
      <c r="CC92" s="776">
        <f>CC$65*EXP(-$BC$60*($BC92-CC$66))</f>
        <v>0</v>
      </c>
      <c r="CD92" s="777"/>
      <c r="CE92" s="777"/>
      <c r="CF92" s="777"/>
      <c r="CG92" s="778"/>
    </row>
    <row r="93" spans="1:85" s="237" customFormat="1" ht="15" customHeight="1" outlineLevel="1" x14ac:dyDescent="0.25">
      <c r="A93" s="729"/>
      <c r="B93" s="734"/>
      <c r="C93" s="759" t="s">
        <v>56</v>
      </c>
      <c r="D93" s="803"/>
      <c r="E93" s="804">
        <f>IF(E92&gt;=0.8, 0.1, 0)</f>
        <v>0</v>
      </c>
      <c r="F93" s="804">
        <f t="shared" ref="F93:AH93" si="12">IF(F92&gt;=0.8, 0.1, 0)</f>
        <v>0</v>
      </c>
      <c r="G93" s="804">
        <f t="shared" si="12"/>
        <v>0</v>
      </c>
      <c r="H93" s="804">
        <f t="shared" si="12"/>
        <v>0</v>
      </c>
      <c r="I93" s="804">
        <f t="shared" si="12"/>
        <v>0</v>
      </c>
      <c r="J93" s="804">
        <f t="shared" si="12"/>
        <v>0</v>
      </c>
      <c r="K93" s="804">
        <f t="shared" si="12"/>
        <v>0</v>
      </c>
      <c r="L93" s="804">
        <f t="shared" si="12"/>
        <v>0</v>
      </c>
      <c r="M93" s="804">
        <f t="shared" si="12"/>
        <v>0</v>
      </c>
      <c r="N93" s="804">
        <f t="shared" si="12"/>
        <v>0</v>
      </c>
      <c r="O93" s="804">
        <f t="shared" si="12"/>
        <v>0</v>
      </c>
      <c r="P93" s="804">
        <f t="shared" si="12"/>
        <v>0</v>
      </c>
      <c r="Q93" s="804">
        <f t="shared" si="12"/>
        <v>0</v>
      </c>
      <c r="R93" s="804">
        <f t="shared" si="12"/>
        <v>0</v>
      </c>
      <c r="S93" s="804">
        <f t="shared" si="12"/>
        <v>0</v>
      </c>
      <c r="T93" s="804">
        <f t="shared" si="12"/>
        <v>0</v>
      </c>
      <c r="U93" s="804">
        <f t="shared" si="12"/>
        <v>0</v>
      </c>
      <c r="V93" s="804">
        <f t="shared" si="12"/>
        <v>0</v>
      </c>
      <c r="W93" s="804">
        <f t="shared" si="12"/>
        <v>0</v>
      </c>
      <c r="X93" s="804">
        <f t="shared" si="12"/>
        <v>0</v>
      </c>
      <c r="Y93" s="804">
        <f t="shared" si="12"/>
        <v>0</v>
      </c>
      <c r="Z93" s="804">
        <f t="shared" si="12"/>
        <v>0</v>
      </c>
      <c r="AA93" s="804">
        <f t="shared" si="12"/>
        <v>0</v>
      </c>
      <c r="AB93" s="804">
        <f t="shared" si="12"/>
        <v>0</v>
      </c>
      <c r="AC93" s="804">
        <f t="shared" si="12"/>
        <v>0</v>
      </c>
      <c r="AD93" s="804">
        <f t="shared" si="12"/>
        <v>0</v>
      </c>
      <c r="AE93" s="804">
        <f t="shared" si="12"/>
        <v>0</v>
      </c>
      <c r="AF93" s="804">
        <f t="shared" si="12"/>
        <v>0</v>
      </c>
      <c r="AG93" s="804">
        <f t="shared" si="12"/>
        <v>0</v>
      </c>
      <c r="AH93" s="804">
        <f t="shared" si="12"/>
        <v>0</v>
      </c>
      <c r="AI93" s="734"/>
      <c r="AJ93" s="734"/>
      <c r="AK93" s="734"/>
      <c r="AL93" s="734"/>
      <c r="AM93" s="729"/>
      <c r="AN93" s="729"/>
      <c r="AO93" s="729"/>
      <c r="AP93" s="732"/>
      <c r="AQ93" s="732"/>
      <c r="AR93" s="732"/>
      <c r="AS93" s="732"/>
      <c r="AT93" s="732"/>
      <c r="AU93" s="732"/>
      <c r="AV93" s="729"/>
      <c r="AW93" s="729"/>
      <c r="AX93" s="729"/>
      <c r="AY93" s="729"/>
      <c r="AZ93" s="729"/>
      <c r="BA93" s="252"/>
      <c r="BB93" s="252"/>
      <c r="BC93" s="782">
        <f t="shared" si="4"/>
        <v>2027</v>
      </c>
      <c r="BD93" s="776">
        <f t="shared" si="5"/>
        <v>0</v>
      </c>
      <c r="BE93" s="776">
        <f t="shared" si="6"/>
        <v>0</v>
      </c>
      <c r="BF93" s="776">
        <f t="shared" si="6"/>
        <v>0</v>
      </c>
      <c r="BG93" s="776">
        <f t="shared" si="5"/>
        <v>0</v>
      </c>
      <c r="BH93" s="776">
        <f t="shared" si="5"/>
        <v>0</v>
      </c>
      <c r="BI93" s="776">
        <f t="shared" si="5"/>
        <v>0</v>
      </c>
      <c r="BJ93" s="776">
        <f t="shared" si="5"/>
        <v>0</v>
      </c>
      <c r="BK93" s="776">
        <f t="shared" si="5"/>
        <v>0</v>
      </c>
      <c r="BL93" s="776">
        <f t="shared" si="5"/>
        <v>0</v>
      </c>
      <c r="BM93" s="776">
        <f t="shared" si="5"/>
        <v>0</v>
      </c>
      <c r="BN93" s="776">
        <f t="shared" si="5"/>
        <v>0</v>
      </c>
      <c r="BO93" s="776">
        <f t="shared" ref="BO93:BS96" si="13">BO$65*EXP(-$BC$60*($BC93-BO$66))</f>
        <v>0</v>
      </c>
      <c r="BP93" s="776">
        <f t="shared" si="13"/>
        <v>0</v>
      </c>
      <c r="BQ93" s="776">
        <f t="shared" si="13"/>
        <v>0</v>
      </c>
      <c r="BR93" s="776">
        <f t="shared" si="13"/>
        <v>0</v>
      </c>
      <c r="BS93" s="776">
        <f t="shared" si="13"/>
        <v>0</v>
      </c>
      <c r="BT93" s="776">
        <f t="shared" si="9"/>
        <v>0</v>
      </c>
      <c r="BU93" s="776">
        <f t="shared" si="9"/>
        <v>0</v>
      </c>
      <c r="BV93" s="776">
        <f t="shared" si="9"/>
        <v>0</v>
      </c>
      <c r="BW93" s="776">
        <f t="shared" si="9"/>
        <v>0</v>
      </c>
      <c r="BX93" s="776">
        <f t="shared" si="9"/>
        <v>0</v>
      </c>
      <c r="BY93" s="776">
        <f t="shared" si="9"/>
        <v>0</v>
      </c>
      <c r="BZ93" s="776">
        <f t="shared" si="9"/>
        <v>0</v>
      </c>
      <c r="CA93" s="776">
        <f t="shared" si="9"/>
        <v>0</v>
      </c>
      <c r="CB93" s="776">
        <f t="shared" si="9"/>
        <v>0</v>
      </c>
      <c r="CC93" s="776">
        <f>CC$65*EXP(-$BC$60*($BC93-CC$66))</f>
        <v>0</v>
      </c>
      <c r="CD93" s="776">
        <f>CD$65*EXP(-$BC$60*($BC93-CD$66))</f>
        <v>0</v>
      </c>
      <c r="CE93" s="777"/>
      <c r="CF93" s="777"/>
      <c r="CG93" s="778"/>
    </row>
    <row r="94" spans="1:85" s="237" customFormat="1" ht="15" customHeight="1" outlineLevel="1" x14ac:dyDescent="0.25">
      <c r="A94" s="729"/>
      <c r="B94" s="734"/>
      <c r="C94" s="729"/>
      <c r="D94" s="753"/>
      <c r="E94" s="805"/>
      <c r="F94" s="805"/>
      <c r="G94" s="805"/>
      <c r="H94" s="805"/>
      <c r="I94" s="805"/>
      <c r="J94" s="805"/>
      <c r="K94" s="805"/>
      <c r="L94" s="805"/>
      <c r="M94" s="805"/>
      <c r="N94" s="805"/>
      <c r="O94" s="805"/>
      <c r="P94" s="805"/>
      <c r="Q94" s="805"/>
      <c r="R94" s="805"/>
      <c r="S94" s="805"/>
      <c r="T94" s="805"/>
      <c r="U94" s="805"/>
      <c r="V94" s="805"/>
      <c r="W94" s="805"/>
      <c r="X94" s="805"/>
      <c r="Y94" s="805"/>
      <c r="Z94" s="805"/>
      <c r="AA94" s="805"/>
      <c r="AB94" s="805"/>
      <c r="AC94" s="805"/>
      <c r="AD94" s="805"/>
      <c r="AE94" s="805"/>
      <c r="AF94" s="805"/>
      <c r="AG94" s="805"/>
      <c r="AH94" s="805"/>
      <c r="AI94" s="734"/>
      <c r="AJ94" s="734"/>
      <c r="AK94" s="734"/>
      <c r="AL94" s="734"/>
      <c r="AM94" s="729"/>
      <c r="AN94" s="729"/>
      <c r="AO94" s="729"/>
      <c r="AP94" s="732"/>
      <c r="AQ94" s="732"/>
      <c r="AR94" s="732"/>
      <c r="AS94" s="732"/>
      <c r="AT94" s="732"/>
      <c r="AU94" s="732"/>
      <c r="AV94" s="729"/>
      <c r="AW94" s="729"/>
      <c r="AX94" s="729"/>
      <c r="AY94" s="729"/>
      <c r="AZ94" s="729"/>
      <c r="BA94" s="252"/>
      <c r="BB94" s="252"/>
      <c r="BC94" s="782">
        <f t="shared" si="4"/>
        <v>2028</v>
      </c>
      <c r="BD94" s="776">
        <f>BD$65*EXP(-$BC$60*($BC94-BD$66))</f>
        <v>0</v>
      </c>
      <c r="BE94" s="776">
        <f t="shared" si="6"/>
        <v>0</v>
      </c>
      <c r="BF94" s="776">
        <f t="shared" si="6"/>
        <v>0</v>
      </c>
      <c r="BG94" s="776">
        <f t="shared" ref="BG94:BN96" si="14">BG$65*EXP(-$BC$60*($BC94-BG$66))</f>
        <v>0</v>
      </c>
      <c r="BH94" s="776">
        <f t="shared" si="14"/>
        <v>0</v>
      </c>
      <c r="BI94" s="776">
        <f t="shared" si="14"/>
        <v>0</v>
      </c>
      <c r="BJ94" s="776">
        <f t="shared" si="14"/>
        <v>0</v>
      </c>
      <c r="BK94" s="776">
        <f t="shared" si="14"/>
        <v>0</v>
      </c>
      <c r="BL94" s="776">
        <f t="shared" si="14"/>
        <v>0</v>
      </c>
      <c r="BM94" s="776">
        <f t="shared" si="14"/>
        <v>0</v>
      </c>
      <c r="BN94" s="776">
        <f t="shared" si="14"/>
        <v>0</v>
      </c>
      <c r="BO94" s="776">
        <f t="shared" si="13"/>
        <v>0</v>
      </c>
      <c r="BP94" s="776">
        <f t="shared" si="13"/>
        <v>0</v>
      </c>
      <c r="BQ94" s="776">
        <f t="shared" si="13"/>
        <v>0</v>
      </c>
      <c r="BR94" s="776">
        <f t="shared" si="13"/>
        <v>0</v>
      </c>
      <c r="BS94" s="776">
        <f t="shared" si="13"/>
        <v>0</v>
      </c>
      <c r="BT94" s="776">
        <f t="shared" si="9"/>
        <v>0</v>
      </c>
      <c r="BU94" s="776">
        <f t="shared" si="9"/>
        <v>0</v>
      </c>
      <c r="BV94" s="776">
        <f t="shared" si="9"/>
        <v>0</v>
      </c>
      <c r="BW94" s="776">
        <f t="shared" si="9"/>
        <v>0</v>
      </c>
      <c r="BX94" s="776">
        <f t="shared" si="9"/>
        <v>0</v>
      </c>
      <c r="BY94" s="776">
        <f t="shared" si="9"/>
        <v>0</v>
      </c>
      <c r="BZ94" s="776">
        <f t="shared" si="9"/>
        <v>0</v>
      </c>
      <c r="CA94" s="776">
        <f t="shared" si="9"/>
        <v>0</v>
      </c>
      <c r="CB94" s="776">
        <f t="shared" si="9"/>
        <v>0</v>
      </c>
      <c r="CC94" s="776">
        <f>CC$65*EXP(-$BC$60*($BC94-CC$66))</f>
        <v>0</v>
      </c>
      <c r="CD94" s="776">
        <f>CD$65*EXP(-$BC$60*($BC94-CD$66))</f>
        <v>0</v>
      </c>
      <c r="CE94" s="776">
        <f>CE$65*EXP(-$BC$60*($BC94-CE$66))</f>
        <v>0</v>
      </c>
      <c r="CF94" s="777"/>
      <c r="CG94" s="778"/>
    </row>
    <row r="95" spans="1:85" s="237" customFormat="1" ht="15" customHeight="1" outlineLevel="1" x14ac:dyDescent="0.25">
      <c r="A95" s="729"/>
      <c r="B95" s="734"/>
      <c r="C95" s="806" t="s">
        <v>44</v>
      </c>
      <c r="D95" s="729"/>
      <c r="E95" s="753"/>
      <c r="F95" s="753"/>
      <c r="G95" s="753"/>
      <c r="H95" s="753"/>
      <c r="I95" s="753"/>
      <c r="J95" s="753"/>
      <c r="K95" s="753"/>
      <c r="L95" s="753"/>
      <c r="M95" s="753"/>
      <c r="N95" s="753"/>
      <c r="O95" s="753"/>
      <c r="P95" s="753"/>
      <c r="Q95" s="753"/>
      <c r="R95" s="753"/>
      <c r="S95" s="753"/>
      <c r="T95" s="753"/>
      <c r="U95" s="753"/>
      <c r="V95" s="753"/>
      <c r="W95" s="753"/>
      <c r="X95" s="753"/>
      <c r="Y95" s="753"/>
      <c r="Z95" s="753"/>
      <c r="AA95" s="753"/>
      <c r="AB95" s="753"/>
      <c r="AC95" s="753"/>
      <c r="AD95" s="753"/>
      <c r="AE95" s="753"/>
      <c r="AF95" s="753"/>
      <c r="AG95" s="753"/>
      <c r="AH95" s="753"/>
      <c r="AI95" s="734"/>
      <c r="AJ95" s="734"/>
      <c r="AK95" s="734"/>
      <c r="AL95" s="734"/>
      <c r="AM95" s="729"/>
      <c r="AN95" s="729"/>
      <c r="AO95" s="729"/>
      <c r="AP95" s="732"/>
      <c r="AQ95" s="732"/>
      <c r="AR95" s="732"/>
      <c r="AS95" s="732"/>
      <c r="AT95" s="732"/>
      <c r="AU95" s="732"/>
      <c r="AV95" s="729"/>
      <c r="AW95" s="729"/>
      <c r="AX95" s="729"/>
      <c r="AY95" s="729"/>
      <c r="AZ95" s="729"/>
      <c r="BA95" s="252"/>
      <c r="BB95" s="252"/>
      <c r="BC95" s="782">
        <f t="shared" si="4"/>
        <v>2029</v>
      </c>
      <c r="BD95" s="776">
        <f>BD$65*EXP(-$BC$60*($BC95-BD$66))</f>
        <v>0</v>
      </c>
      <c r="BE95" s="776">
        <f t="shared" si="6"/>
        <v>0</v>
      </c>
      <c r="BF95" s="776">
        <f t="shared" si="6"/>
        <v>0</v>
      </c>
      <c r="BG95" s="776">
        <f t="shared" si="14"/>
        <v>0</v>
      </c>
      <c r="BH95" s="776">
        <f t="shared" si="14"/>
        <v>0</v>
      </c>
      <c r="BI95" s="776">
        <f t="shared" si="14"/>
        <v>0</v>
      </c>
      <c r="BJ95" s="776">
        <f t="shared" si="14"/>
        <v>0</v>
      </c>
      <c r="BK95" s="776">
        <f t="shared" si="14"/>
        <v>0</v>
      </c>
      <c r="BL95" s="776">
        <f t="shared" si="14"/>
        <v>0</v>
      </c>
      <c r="BM95" s="776">
        <f t="shared" si="14"/>
        <v>0</v>
      </c>
      <c r="BN95" s="776">
        <f t="shared" si="14"/>
        <v>0</v>
      </c>
      <c r="BO95" s="776">
        <f t="shared" si="13"/>
        <v>0</v>
      </c>
      <c r="BP95" s="776">
        <f t="shared" si="13"/>
        <v>0</v>
      </c>
      <c r="BQ95" s="776">
        <f t="shared" si="13"/>
        <v>0</v>
      </c>
      <c r="BR95" s="776">
        <f t="shared" si="13"/>
        <v>0</v>
      </c>
      <c r="BS95" s="776">
        <f t="shared" si="13"/>
        <v>0</v>
      </c>
      <c r="BT95" s="776">
        <f t="shared" si="9"/>
        <v>0</v>
      </c>
      <c r="BU95" s="776">
        <f t="shared" si="9"/>
        <v>0</v>
      </c>
      <c r="BV95" s="776">
        <f t="shared" si="9"/>
        <v>0</v>
      </c>
      <c r="BW95" s="776">
        <f t="shared" si="9"/>
        <v>0</v>
      </c>
      <c r="BX95" s="776">
        <f t="shared" si="9"/>
        <v>0</v>
      </c>
      <c r="BY95" s="776">
        <f t="shared" si="9"/>
        <v>0</v>
      </c>
      <c r="BZ95" s="776">
        <f t="shared" si="9"/>
        <v>0</v>
      </c>
      <c r="CA95" s="776">
        <f t="shared" si="9"/>
        <v>0</v>
      </c>
      <c r="CB95" s="776">
        <f t="shared" si="9"/>
        <v>0</v>
      </c>
      <c r="CC95" s="776">
        <f>CC$65*EXP(-$BC$60*($BC95-CC$66))</f>
        <v>0</v>
      </c>
      <c r="CD95" s="776">
        <f>CD$65*EXP(-$BC$60*($BC95-CD$66))</f>
        <v>0</v>
      </c>
      <c r="CE95" s="776">
        <f>CE$65*EXP(-$BC$60*($BC95-CE$66))</f>
        <v>0</v>
      </c>
      <c r="CF95" s="776">
        <f>CF$65*EXP(-$BC$60*($BC95-CF$66))</f>
        <v>0</v>
      </c>
      <c r="CG95" s="778"/>
    </row>
    <row r="96" spans="1:85" s="237" customFormat="1" ht="15" customHeight="1" outlineLevel="1" x14ac:dyDescent="0.25">
      <c r="A96" s="729"/>
      <c r="C96" s="759" t="s">
        <v>1434</v>
      </c>
      <c r="D96" s="807"/>
      <c r="E96" s="729"/>
      <c r="F96" s="729"/>
      <c r="G96" s="729"/>
      <c r="H96" s="729"/>
      <c r="I96" s="729"/>
      <c r="J96" s="729"/>
      <c r="K96" s="729"/>
      <c r="L96" s="729"/>
      <c r="M96" s="729"/>
      <c r="N96" s="729"/>
      <c r="O96" s="729"/>
      <c r="P96" s="729"/>
      <c r="Q96" s="729"/>
      <c r="R96" s="729"/>
      <c r="S96" s="729"/>
      <c r="T96" s="729"/>
      <c r="U96" s="729"/>
      <c r="V96" s="729"/>
      <c r="W96" s="729"/>
      <c r="X96" s="729"/>
      <c r="Y96" s="729"/>
      <c r="Z96" s="729"/>
      <c r="AA96" s="729"/>
      <c r="AB96" s="729"/>
      <c r="AC96" s="729"/>
      <c r="AD96" s="729"/>
      <c r="AE96" s="729"/>
      <c r="AF96" s="729"/>
      <c r="AG96" s="729"/>
      <c r="AH96" s="729"/>
      <c r="AI96" s="729"/>
      <c r="AJ96" s="729"/>
      <c r="AK96" s="729"/>
      <c r="AL96" s="729"/>
      <c r="AM96" s="729"/>
      <c r="AN96" s="729"/>
      <c r="AO96" s="729"/>
      <c r="AP96" s="732"/>
      <c r="AQ96" s="732"/>
      <c r="AR96" s="732"/>
      <c r="AS96" s="732"/>
      <c r="AT96" s="732"/>
      <c r="AU96" s="732"/>
      <c r="AV96" s="729"/>
      <c r="AW96" s="729"/>
      <c r="AX96" s="729"/>
      <c r="AY96" s="729"/>
      <c r="AZ96" s="729"/>
      <c r="BA96" s="252"/>
      <c r="BC96" s="782">
        <f t="shared" si="4"/>
        <v>2030</v>
      </c>
      <c r="BD96" s="776">
        <f>BD$65*EXP(-$BC$60*($BC96-BD$66))</f>
        <v>0</v>
      </c>
      <c r="BE96" s="776">
        <f t="shared" si="6"/>
        <v>0</v>
      </c>
      <c r="BF96" s="776">
        <f t="shared" si="6"/>
        <v>0</v>
      </c>
      <c r="BG96" s="776">
        <f t="shared" si="14"/>
        <v>0</v>
      </c>
      <c r="BH96" s="776">
        <f t="shared" si="14"/>
        <v>0</v>
      </c>
      <c r="BI96" s="776">
        <f t="shared" si="14"/>
        <v>0</v>
      </c>
      <c r="BJ96" s="776">
        <f t="shared" si="14"/>
        <v>0</v>
      </c>
      <c r="BK96" s="776">
        <f t="shared" si="14"/>
        <v>0</v>
      </c>
      <c r="BL96" s="776">
        <f t="shared" si="14"/>
        <v>0</v>
      </c>
      <c r="BM96" s="776">
        <f t="shared" si="14"/>
        <v>0</v>
      </c>
      <c r="BN96" s="776">
        <f t="shared" si="14"/>
        <v>0</v>
      </c>
      <c r="BO96" s="776">
        <f t="shared" si="13"/>
        <v>0</v>
      </c>
      <c r="BP96" s="776">
        <f t="shared" si="13"/>
        <v>0</v>
      </c>
      <c r="BQ96" s="776">
        <f t="shared" si="13"/>
        <v>0</v>
      </c>
      <c r="BR96" s="776">
        <f t="shared" si="13"/>
        <v>0</v>
      </c>
      <c r="BS96" s="776">
        <f t="shared" si="13"/>
        <v>0</v>
      </c>
      <c r="BT96" s="776">
        <f t="shared" si="9"/>
        <v>0</v>
      </c>
      <c r="BU96" s="776">
        <f t="shared" si="9"/>
        <v>0</v>
      </c>
      <c r="BV96" s="776">
        <f t="shared" si="9"/>
        <v>0</v>
      </c>
      <c r="BW96" s="776">
        <f t="shared" si="9"/>
        <v>0</v>
      </c>
      <c r="BX96" s="776">
        <f t="shared" si="9"/>
        <v>0</v>
      </c>
      <c r="BY96" s="776">
        <f t="shared" si="9"/>
        <v>0</v>
      </c>
      <c r="BZ96" s="776">
        <f t="shared" si="9"/>
        <v>0</v>
      </c>
      <c r="CA96" s="776">
        <f t="shared" si="9"/>
        <v>0</v>
      </c>
      <c r="CB96" s="776">
        <f t="shared" si="9"/>
        <v>0</v>
      </c>
      <c r="CC96" s="776">
        <f>CC$65*EXP(-$BC$60*($BC96-CC$66))</f>
        <v>0</v>
      </c>
      <c r="CD96" s="776">
        <f>CD$65*EXP(-$BC$60*($BC96-CD$66))</f>
        <v>0</v>
      </c>
      <c r="CE96" s="776">
        <f>CE$65*EXP(-$BC$60*($BC96-CE$66))</f>
        <v>0</v>
      </c>
      <c r="CF96" s="776">
        <f>CF$65*EXP(-$BC$60*($BC96-CF$66))</f>
        <v>0</v>
      </c>
      <c r="CG96" s="808">
        <f>CG$65*EXP(-$BC$60*($BC96-CG$66))</f>
        <v>0</v>
      </c>
    </row>
    <row r="97" spans="1:85" s="237" customFormat="1" ht="15" customHeight="1" outlineLevel="1" x14ac:dyDescent="0.35">
      <c r="A97" s="729"/>
      <c r="C97" s="729" t="s">
        <v>2006</v>
      </c>
      <c r="D97" s="729"/>
      <c r="E97" s="729"/>
      <c r="F97" s="729"/>
      <c r="G97" s="729"/>
      <c r="H97" s="729"/>
      <c r="I97" s="729"/>
      <c r="J97" s="729"/>
      <c r="K97" s="729"/>
      <c r="L97" s="729"/>
      <c r="M97" s="729"/>
      <c r="N97" s="729"/>
      <c r="O97" s="729"/>
      <c r="P97" s="729"/>
      <c r="Q97" s="729"/>
      <c r="R97" s="729"/>
      <c r="S97" s="729"/>
      <c r="T97" s="729"/>
      <c r="U97" s="729"/>
      <c r="V97" s="729"/>
      <c r="W97" s="729"/>
      <c r="X97" s="729"/>
      <c r="Y97" s="729"/>
      <c r="Z97" s="729"/>
      <c r="AA97" s="729"/>
      <c r="AB97" s="729"/>
      <c r="AC97" s="729"/>
      <c r="AD97" s="729"/>
      <c r="AE97" s="729"/>
      <c r="AF97" s="729"/>
      <c r="AG97" s="729"/>
      <c r="AH97" s="729"/>
      <c r="AI97" s="729"/>
      <c r="AJ97" s="729"/>
      <c r="AK97" s="729"/>
      <c r="AL97" s="729"/>
      <c r="AM97" s="729"/>
      <c r="AN97" s="729"/>
      <c r="AO97" s="729"/>
      <c r="AP97" s="732"/>
      <c r="AQ97" s="732"/>
      <c r="AR97" s="732"/>
      <c r="AS97" s="732"/>
      <c r="AT97" s="732"/>
      <c r="AU97" s="732"/>
      <c r="AV97" s="729"/>
      <c r="AW97" s="729"/>
      <c r="AX97" s="729"/>
      <c r="AY97" s="729"/>
      <c r="AZ97" s="729"/>
      <c r="BA97" s="809" t="s">
        <v>64</v>
      </c>
      <c r="BB97" s="810" t="s">
        <v>1435</v>
      </c>
      <c r="BC97" s="811"/>
      <c r="BD97" s="812">
        <f>SUM($BD$67:$CG$67)</f>
        <v>0</v>
      </c>
      <c r="BE97" s="812">
        <f>SUM($BD$68:$CG$68)</f>
        <v>0</v>
      </c>
      <c r="BF97" s="812">
        <f>SUM($BD$69:$CG$69)</f>
        <v>0</v>
      </c>
      <c r="BG97" s="812">
        <f>SUM($BD$70:$CG$70)</f>
        <v>0</v>
      </c>
      <c r="BH97" s="812">
        <f>SUM($BD71:$CG71)</f>
        <v>0</v>
      </c>
      <c r="BI97" s="812">
        <f>SUM($BD72:$CG72)</f>
        <v>0</v>
      </c>
      <c r="BJ97" s="812">
        <f>SUM($BD73:$CG73)</f>
        <v>0</v>
      </c>
      <c r="BK97" s="812">
        <f>SUM($BD74:$CG74)</f>
        <v>0</v>
      </c>
      <c r="BL97" s="812">
        <f>SUM($BD75:$CG75)</f>
        <v>0</v>
      </c>
      <c r="BM97" s="812">
        <f>SUM($BD76:$CG76)</f>
        <v>0</v>
      </c>
      <c r="BN97" s="812">
        <f>SUM($BD77:$CG77)</f>
        <v>0</v>
      </c>
      <c r="BO97" s="812">
        <f>SUM($BD78:$CG78)</f>
        <v>0</v>
      </c>
      <c r="BP97" s="812">
        <f>SUM($BD79:$CG79)</f>
        <v>0</v>
      </c>
      <c r="BQ97" s="812">
        <f>SUM($BD80:$CG80)</f>
        <v>0</v>
      </c>
      <c r="BR97" s="812">
        <f>SUM($BD81:$CG81)</f>
        <v>0</v>
      </c>
      <c r="BS97" s="812">
        <f>SUM($BD82:$CG82)</f>
        <v>0</v>
      </c>
      <c r="BT97" s="812">
        <f>SUM($BD83:$CG83)</f>
        <v>0</v>
      </c>
      <c r="BU97" s="812">
        <f>SUM($BD84:$CG84)</f>
        <v>0</v>
      </c>
      <c r="BV97" s="812">
        <f>SUM($BD85:$CG85)</f>
        <v>0</v>
      </c>
      <c r="BW97" s="812">
        <f>SUM($BD86:$CG86)</f>
        <v>0</v>
      </c>
      <c r="BX97" s="812">
        <f>SUM($BD87:$CG87)</f>
        <v>0</v>
      </c>
      <c r="BY97" s="812">
        <f>SUM($BD88:$CG88)</f>
        <v>0</v>
      </c>
      <c r="BZ97" s="812">
        <f>SUM($BD89:$CG89)</f>
        <v>0</v>
      </c>
      <c r="CA97" s="812">
        <f>SUM($BD90:$CG90)</f>
        <v>0</v>
      </c>
      <c r="CB97" s="812">
        <f>SUM($BD91:$CG91)</f>
        <v>0</v>
      </c>
      <c r="CC97" s="812">
        <f>SUM($BD92:$CG92)</f>
        <v>0</v>
      </c>
      <c r="CD97" s="812">
        <f>SUM($BD93:$CG93)</f>
        <v>0</v>
      </c>
      <c r="CE97" s="812">
        <f>SUM($BD94:$CG94)</f>
        <v>0</v>
      </c>
      <c r="CF97" s="812">
        <f>SUM($BD95:$CG95)</f>
        <v>0</v>
      </c>
      <c r="CG97" s="812">
        <f>SUM($BD96:$CG96)</f>
        <v>0</v>
      </c>
    </row>
    <row r="98" spans="1:85" s="237" customFormat="1" ht="15" customHeight="1" outlineLevel="1" x14ac:dyDescent="0.25">
      <c r="A98" s="729"/>
      <c r="B98" s="729"/>
      <c r="C98" s="731"/>
      <c r="D98" s="729"/>
      <c r="E98" s="729"/>
      <c r="F98" s="729"/>
      <c r="G98" s="729"/>
      <c r="H98" s="729"/>
      <c r="I98" s="729"/>
      <c r="J98" s="729"/>
      <c r="K98" s="729"/>
      <c r="L98" s="729"/>
      <c r="M98" s="729"/>
      <c r="N98" s="729"/>
      <c r="O98" s="729"/>
      <c r="P98" s="729"/>
      <c r="Q98" s="729"/>
      <c r="R98" s="729"/>
      <c r="S98" s="729"/>
      <c r="T98" s="729"/>
      <c r="U98" s="729"/>
      <c r="V98" s="729"/>
      <c r="W98" s="729"/>
      <c r="X98" s="729"/>
      <c r="Y98" s="729"/>
      <c r="Z98" s="729"/>
      <c r="AA98" s="729"/>
      <c r="AB98" s="729"/>
      <c r="AC98" s="729"/>
      <c r="AD98" s="729"/>
      <c r="AE98" s="729"/>
      <c r="AF98" s="729"/>
      <c r="AG98" s="729"/>
      <c r="AH98" s="729"/>
      <c r="AI98" s="729"/>
      <c r="AJ98" s="729"/>
      <c r="AK98" s="729"/>
      <c r="AL98" s="729"/>
      <c r="AM98" s="729"/>
      <c r="AN98" s="729"/>
      <c r="AO98" s="729"/>
      <c r="AP98" s="732"/>
      <c r="AQ98" s="732"/>
      <c r="AR98" s="732"/>
      <c r="AS98" s="732"/>
      <c r="AT98" s="732"/>
      <c r="AU98" s="732"/>
      <c r="AV98" s="729"/>
      <c r="AW98" s="729"/>
      <c r="AX98" s="729"/>
      <c r="AY98" s="729"/>
      <c r="AZ98" s="729"/>
      <c r="BA98" s="809"/>
      <c r="BB98" s="813"/>
      <c r="BC98" s="768"/>
      <c r="BD98" s="814"/>
      <c r="BE98" s="814"/>
      <c r="BF98" s="814"/>
      <c r="BG98" s="814"/>
      <c r="BH98" s="814"/>
      <c r="BI98" s="814"/>
      <c r="BJ98" s="814"/>
      <c r="BK98" s="814"/>
      <c r="BL98" s="814"/>
      <c r="BM98" s="814"/>
      <c r="BN98" s="814"/>
      <c r="BO98" s="814"/>
      <c r="BP98" s="814"/>
      <c r="BQ98" s="814"/>
      <c r="BR98" s="814"/>
      <c r="BS98" s="814"/>
      <c r="BT98" s="814"/>
      <c r="BU98" s="814"/>
      <c r="BV98" s="814"/>
      <c r="BW98" s="814"/>
      <c r="BX98" s="814"/>
      <c r="BY98" s="814"/>
      <c r="BZ98" s="814"/>
      <c r="CA98" s="814"/>
      <c r="CB98" s="814"/>
      <c r="CC98" s="814"/>
      <c r="CD98" s="814"/>
      <c r="CE98" s="814"/>
      <c r="CF98" s="814"/>
      <c r="CG98" s="814"/>
    </row>
    <row r="99" spans="1:85" s="237" customFormat="1" ht="15" customHeight="1" outlineLevel="1" x14ac:dyDescent="0.25">
      <c r="A99" s="729"/>
      <c r="B99" s="729"/>
      <c r="C99" s="731"/>
      <c r="D99" s="729"/>
      <c r="E99" s="729"/>
      <c r="F99" s="729"/>
      <c r="G99" s="729"/>
      <c r="H99" s="729"/>
      <c r="I99" s="729"/>
      <c r="J99" s="729"/>
      <c r="K99" s="729"/>
      <c r="L99" s="729"/>
      <c r="M99" s="729"/>
      <c r="N99" s="729"/>
      <c r="O99" s="729"/>
      <c r="P99" s="729"/>
      <c r="Q99" s="729"/>
      <c r="R99" s="729"/>
      <c r="S99" s="729"/>
      <c r="T99" s="729"/>
      <c r="U99" s="729"/>
      <c r="V99" s="729"/>
      <c r="W99" s="729"/>
      <c r="X99" s="729"/>
      <c r="Y99" s="729"/>
      <c r="Z99" s="729"/>
      <c r="AA99" s="729"/>
      <c r="AB99" s="729"/>
      <c r="AC99" s="729"/>
      <c r="AD99" s="729"/>
      <c r="AE99" s="729"/>
      <c r="AF99" s="729"/>
      <c r="AG99" s="729"/>
      <c r="AH99" s="729"/>
      <c r="AI99" s="729"/>
      <c r="AJ99" s="729"/>
      <c r="AK99" s="729"/>
      <c r="AL99" s="729"/>
      <c r="AM99" s="729"/>
      <c r="AN99" s="729"/>
      <c r="AO99" s="729"/>
      <c r="AP99" s="732"/>
      <c r="AQ99" s="732"/>
      <c r="AR99" s="732"/>
      <c r="AS99" s="732"/>
      <c r="AT99" s="732"/>
      <c r="AU99" s="732"/>
      <c r="AV99" s="729"/>
      <c r="AW99" s="729"/>
      <c r="AX99" s="729"/>
      <c r="AY99" s="729"/>
      <c r="AZ99" s="729"/>
      <c r="BA99" s="809"/>
      <c r="BB99" s="813"/>
      <c r="BC99" s="768"/>
      <c r="BD99" s="814"/>
      <c r="BE99" s="814"/>
      <c r="BF99" s="814"/>
      <c r="BG99" s="814"/>
      <c r="BH99" s="814"/>
      <c r="BI99" s="814"/>
      <c r="BJ99" s="814"/>
      <c r="BK99" s="814"/>
      <c r="BL99" s="814"/>
      <c r="BM99" s="814"/>
      <c r="BN99" s="814"/>
      <c r="BO99" s="814"/>
      <c r="BP99" s="814"/>
      <c r="BQ99" s="814"/>
      <c r="BR99" s="814"/>
      <c r="BS99" s="814"/>
      <c r="BT99" s="814"/>
      <c r="BU99" s="814"/>
      <c r="BV99" s="814"/>
      <c r="BW99" s="814"/>
      <c r="BX99" s="814"/>
      <c r="BY99" s="814"/>
      <c r="BZ99" s="814"/>
      <c r="CA99" s="814"/>
      <c r="CB99" s="814"/>
      <c r="CC99" s="814"/>
      <c r="CD99" s="814"/>
      <c r="CE99" s="814"/>
      <c r="CF99" s="814"/>
      <c r="CG99" s="814"/>
    </row>
    <row r="100" spans="1:85" s="237" customFormat="1" ht="15" customHeight="1" outlineLevel="1" x14ac:dyDescent="0.35">
      <c r="A100" s="729"/>
      <c r="B100" s="727" t="s">
        <v>1436</v>
      </c>
      <c r="C100" s="729"/>
      <c r="D100" s="729"/>
      <c r="E100" s="729"/>
      <c r="F100" s="729"/>
      <c r="G100" s="729"/>
      <c r="H100" s="729"/>
      <c r="I100" s="729"/>
      <c r="J100" s="729"/>
      <c r="K100" s="729"/>
      <c r="L100" s="729"/>
      <c r="M100" s="729"/>
      <c r="N100" s="729"/>
      <c r="O100" s="729"/>
      <c r="P100" s="729"/>
      <c r="Q100" s="729"/>
      <c r="R100" s="729"/>
      <c r="S100" s="729"/>
      <c r="T100" s="729"/>
      <c r="U100" s="729"/>
      <c r="V100" s="729"/>
      <c r="W100" s="729"/>
      <c r="X100" s="729"/>
      <c r="Y100" s="729"/>
      <c r="Z100" s="729"/>
      <c r="AA100" s="729"/>
      <c r="AB100" s="729"/>
      <c r="AC100" s="729"/>
      <c r="AD100" s="729"/>
      <c r="AE100" s="729"/>
      <c r="AF100" s="729"/>
      <c r="AG100" s="729"/>
      <c r="AH100" s="729"/>
      <c r="AI100" s="729"/>
      <c r="AJ100" s="729"/>
      <c r="AK100" s="729"/>
      <c r="AL100" s="729"/>
      <c r="AM100" s="729"/>
      <c r="AN100" s="729"/>
      <c r="AO100" s="729"/>
      <c r="AP100" s="732"/>
      <c r="AQ100" s="732"/>
      <c r="AR100" s="732"/>
      <c r="AS100" s="732"/>
      <c r="AT100" s="732"/>
      <c r="AU100" s="732"/>
      <c r="AV100" s="729"/>
      <c r="AW100" s="729"/>
      <c r="AX100" s="729"/>
      <c r="AY100" s="729"/>
      <c r="AZ100" s="729"/>
      <c r="BA100" s="809"/>
      <c r="BB100" s="813"/>
      <c r="BC100" s="768"/>
      <c r="BD100" s="814"/>
      <c r="BE100" s="814"/>
      <c r="BF100" s="814"/>
      <c r="BG100" s="814"/>
      <c r="BH100" s="814"/>
      <c r="BI100" s="814"/>
      <c r="BJ100" s="814"/>
      <c r="BK100" s="814"/>
      <c r="BL100" s="814"/>
      <c r="BM100" s="814"/>
      <c r="BN100" s="814"/>
      <c r="BO100" s="814"/>
      <c r="BP100" s="814"/>
      <c r="BQ100" s="814"/>
      <c r="BR100" s="814"/>
      <c r="BS100" s="814"/>
      <c r="BT100" s="814"/>
      <c r="BU100" s="814"/>
      <c r="BV100" s="814"/>
      <c r="BW100" s="814"/>
      <c r="BX100" s="814"/>
      <c r="BY100" s="814"/>
      <c r="BZ100" s="814"/>
      <c r="CA100" s="814"/>
      <c r="CB100" s="814"/>
      <c r="CC100" s="814"/>
      <c r="CD100" s="814"/>
      <c r="CE100" s="814"/>
      <c r="CF100" s="814"/>
      <c r="CG100" s="814"/>
    </row>
    <row r="101" spans="1:85" s="237" customFormat="1" ht="15" customHeight="1" outlineLevel="1" x14ac:dyDescent="0.35">
      <c r="A101" s="729"/>
      <c r="B101" s="729"/>
      <c r="C101" s="731" t="s">
        <v>2007</v>
      </c>
      <c r="D101" s="729"/>
      <c r="E101" s="729"/>
      <c r="F101" s="729"/>
      <c r="G101" s="729"/>
      <c r="H101" s="729"/>
      <c r="I101" s="729"/>
      <c r="J101" s="729"/>
      <c r="K101" s="729"/>
      <c r="L101" s="729"/>
      <c r="M101" s="729"/>
      <c r="N101" s="729"/>
      <c r="O101" s="729"/>
      <c r="P101" s="729"/>
      <c r="Q101" s="729"/>
      <c r="R101" s="729"/>
      <c r="S101" s="729"/>
      <c r="T101" s="729"/>
      <c r="U101" s="729"/>
      <c r="V101" s="729"/>
      <c r="W101" s="729"/>
      <c r="X101" s="729"/>
      <c r="Y101" s="729"/>
      <c r="Z101" s="729"/>
      <c r="AA101" s="729"/>
      <c r="AB101" s="729"/>
      <c r="AC101" s="729"/>
      <c r="AD101" s="729"/>
      <c r="AE101" s="729"/>
      <c r="AF101" s="729"/>
      <c r="AG101" s="729"/>
      <c r="AH101" s="729"/>
      <c r="AI101" s="729"/>
      <c r="AJ101" s="729"/>
      <c r="AK101" s="729"/>
      <c r="AL101" s="729"/>
      <c r="AM101" s="729"/>
      <c r="AN101" s="729"/>
      <c r="AO101" s="729"/>
      <c r="AP101" s="732"/>
      <c r="AQ101" s="732"/>
      <c r="AR101" s="732"/>
      <c r="AS101" s="732"/>
      <c r="AT101" s="732"/>
      <c r="AU101" s="732"/>
      <c r="AV101" s="729"/>
      <c r="AW101" s="729"/>
      <c r="AX101" s="729"/>
      <c r="AY101" s="729"/>
      <c r="AZ101" s="729"/>
      <c r="BA101" s="809"/>
      <c r="BB101" s="813"/>
      <c r="BC101" s="768"/>
      <c r="BD101" s="814"/>
      <c r="BE101" s="814"/>
      <c r="BF101" s="814"/>
      <c r="BG101" s="814"/>
      <c r="BH101" s="814"/>
      <c r="BI101" s="814"/>
      <c r="BJ101" s="814"/>
      <c r="BK101" s="814"/>
      <c r="BL101" s="814"/>
      <c r="BM101" s="814"/>
      <c r="BN101" s="814"/>
      <c r="BO101" s="814"/>
      <c r="BP101" s="814"/>
      <c r="BQ101" s="814"/>
      <c r="BR101" s="814"/>
      <c r="BS101" s="814"/>
      <c r="BT101" s="814"/>
      <c r="BU101" s="814"/>
      <c r="BV101" s="814"/>
      <c r="BW101" s="814"/>
      <c r="BX101" s="814"/>
      <c r="BY101" s="814"/>
      <c r="BZ101" s="814"/>
      <c r="CA101" s="814"/>
      <c r="CB101" s="814"/>
      <c r="CC101" s="814"/>
      <c r="CD101" s="814"/>
      <c r="CE101" s="814"/>
      <c r="CF101" s="814"/>
      <c r="CG101" s="814"/>
    </row>
    <row r="102" spans="1:85" s="237" customFormat="1" ht="15" customHeight="1" outlineLevel="1" x14ac:dyDescent="0.35">
      <c r="A102" s="729"/>
      <c r="B102" s="729"/>
      <c r="C102" s="731" t="s">
        <v>2008</v>
      </c>
      <c r="D102" s="729"/>
      <c r="E102" s="729"/>
      <c r="F102" s="729"/>
      <c r="G102" s="729"/>
      <c r="H102" s="729"/>
      <c r="I102" s="729"/>
      <c r="J102" s="729"/>
      <c r="K102" s="729"/>
      <c r="L102" s="729"/>
      <c r="M102" s="729"/>
      <c r="N102" s="729"/>
      <c r="O102" s="729"/>
      <c r="P102" s="729"/>
      <c r="Q102" s="729"/>
      <c r="R102" s="729"/>
      <c r="S102" s="729"/>
      <c r="T102" s="729"/>
      <c r="U102" s="729"/>
      <c r="V102" s="729"/>
      <c r="W102" s="729"/>
      <c r="X102" s="729"/>
      <c r="Y102" s="729"/>
      <c r="Z102" s="729"/>
      <c r="AA102" s="729"/>
      <c r="AB102" s="729"/>
      <c r="AC102" s="729"/>
      <c r="AD102" s="729"/>
      <c r="AE102" s="729"/>
      <c r="AF102" s="729"/>
      <c r="AG102" s="729"/>
      <c r="AH102" s="729"/>
      <c r="AI102" s="729"/>
      <c r="AJ102" s="729"/>
      <c r="AK102" s="729"/>
      <c r="AL102" s="729"/>
      <c r="AM102" s="729"/>
      <c r="AN102" s="729"/>
      <c r="AO102" s="729"/>
      <c r="AP102" s="732"/>
      <c r="AQ102" s="732"/>
      <c r="AR102" s="732"/>
      <c r="AS102" s="732"/>
      <c r="AT102" s="732"/>
      <c r="AU102" s="732"/>
      <c r="AV102" s="729"/>
      <c r="AW102" s="729"/>
      <c r="AX102" s="729"/>
      <c r="AY102" s="729"/>
      <c r="AZ102" s="729"/>
      <c r="BA102" s="768"/>
      <c r="BB102" s="252"/>
      <c r="BC102" s="768"/>
      <c r="BD102" s="768"/>
      <c r="BE102" s="768"/>
      <c r="BF102" s="768"/>
      <c r="BG102" s="768"/>
      <c r="BH102" s="768"/>
      <c r="BI102" s="768"/>
      <c r="BJ102" s="768"/>
      <c r="BK102" s="768"/>
      <c r="BL102" s="768"/>
      <c r="BM102" s="768"/>
      <c r="BN102" s="768"/>
      <c r="BO102" s="768"/>
      <c r="BP102" s="768"/>
      <c r="BQ102" s="768"/>
      <c r="BR102" s="768"/>
      <c r="BS102" s="768"/>
      <c r="BT102" s="768"/>
      <c r="BU102" s="768"/>
      <c r="BV102" s="768"/>
      <c r="BW102" s="768"/>
      <c r="BX102" s="768"/>
      <c r="BY102" s="768"/>
      <c r="BZ102" s="768"/>
      <c r="CA102" s="768"/>
      <c r="CB102" s="768"/>
      <c r="CC102" s="768"/>
      <c r="CD102" s="768"/>
      <c r="CE102" s="768"/>
      <c r="CF102" s="768"/>
      <c r="CG102" s="768"/>
    </row>
    <row r="103" spans="1:85" s="237" customFormat="1" ht="15" customHeight="1" outlineLevel="1" x14ac:dyDescent="0.25">
      <c r="A103" s="729"/>
      <c r="B103" s="729"/>
      <c r="C103" s="780" t="s">
        <v>54</v>
      </c>
      <c r="D103" s="800"/>
      <c r="E103" s="758">
        <f t="shared" ref="E103:AF103" si="15">F103-1</f>
        <v>2001</v>
      </c>
      <c r="F103" s="758">
        <f t="shared" si="15"/>
        <v>2002</v>
      </c>
      <c r="G103" s="758">
        <f t="shared" si="15"/>
        <v>2003</v>
      </c>
      <c r="H103" s="758">
        <f t="shared" si="15"/>
        <v>2004</v>
      </c>
      <c r="I103" s="758">
        <f t="shared" si="15"/>
        <v>2005</v>
      </c>
      <c r="J103" s="758">
        <f t="shared" si="15"/>
        <v>2006</v>
      </c>
      <c r="K103" s="758">
        <f t="shared" si="15"/>
        <v>2007</v>
      </c>
      <c r="L103" s="758">
        <f t="shared" si="15"/>
        <v>2008</v>
      </c>
      <c r="M103" s="758">
        <f t="shared" si="15"/>
        <v>2009</v>
      </c>
      <c r="N103" s="758">
        <f t="shared" si="15"/>
        <v>2010</v>
      </c>
      <c r="O103" s="758">
        <f t="shared" si="15"/>
        <v>2011</v>
      </c>
      <c r="P103" s="758">
        <f t="shared" si="15"/>
        <v>2012</v>
      </c>
      <c r="Q103" s="758">
        <f t="shared" si="15"/>
        <v>2013</v>
      </c>
      <c r="R103" s="758">
        <f t="shared" si="15"/>
        <v>2014</v>
      </c>
      <c r="S103" s="758">
        <f t="shared" si="15"/>
        <v>2015</v>
      </c>
      <c r="T103" s="758">
        <f t="shared" si="15"/>
        <v>2016</v>
      </c>
      <c r="U103" s="758">
        <f t="shared" si="15"/>
        <v>2017</v>
      </c>
      <c r="V103" s="758">
        <f t="shared" si="15"/>
        <v>2018</v>
      </c>
      <c r="W103" s="758">
        <f t="shared" si="15"/>
        <v>2019</v>
      </c>
      <c r="X103" s="758">
        <f t="shared" si="15"/>
        <v>2020</v>
      </c>
      <c r="Y103" s="758">
        <f t="shared" si="15"/>
        <v>2021</v>
      </c>
      <c r="Z103" s="758">
        <f t="shared" si="15"/>
        <v>2022</v>
      </c>
      <c r="AA103" s="758">
        <f t="shared" si="15"/>
        <v>2023</v>
      </c>
      <c r="AB103" s="758">
        <f t="shared" si="15"/>
        <v>2024</v>
      </c>
      <c r="AC103" s="758">
        <f t="shared" si="15"/>
        <v>2025</v>
      </c>
      <c r="AD103" s="758">
        <f t="shared" si="15"/>
        <v>2026</v>
      </c>
      <c r="AE103" s="758">
        <f t="shared" si="15"/>
        <v>2027</v>
      </c>
      <c r="AF103" s="758">
        <f t="shared" si="15"/>
        <v>2028</v>
      </c>
      <c r="AG103" s="758">
        <f>AH103-1</f>
        <v>2029</v>
      </c>
      <c r="AH103" s="758">
        <f>Ano</f>
        <v>2030</v>
      </c>
      <c r="AI103" s="729"/>
      <c r="AJ103" s="729"/>
      <c r="AK103" s="729"/>
      <c r="AL103" s="729"/>
      <c r="AM103" s="729"/>
      <c r="AN103" s="729"/>
      <c r="AO103" s="729"/>
      <c r="AP103" s="732"/>
      <c r="AQ103" s="732"/>
      <c r="AR103" s="732"/>
      <c r="AS103" s="732"/>
      <c r="AT103" s="732"/>
      <c r="AU103" s="732"/>
      <c r="AV103" s="729"/>
    </row>
    <row r="104" spans="1:85" s="237" customFormat="1" ht="15" customHeight="1" outlineLevel="1" x14ac:dyDescent="0.35">
      <c r="A104" s="729"/>
      <c r="B104" s="729"/>
      <c r="C104" s="759" t="s">
        <v>42</v>
      </c>
      <c r="D104" s="815" t="s">
        <v>1437</v>
      </c>
      <c r="E104" s="807"/>
      <c r="F104" s="807"/>
      <c r="G104" s="807"/>
      <c r="H104" s="807"/>
      <c r="I104" s="807"/>
      <c r="J104" s="807"/>
      <c r="K104" s="807"/>
      <c r="L104" s="807"/>
      <c r="M104" s="807"/>
      <c r="N104" s="807"/>
      <c r="O104" s="807"/>
      <c r="P104" s="807"/>
      <c r="Q104" s="807"/>
      <c r="R104" s="807"/>
      <c r="S104" s="807"/>
      <c r="T104" s="807"/>
      <c r="U104" s="807"/>
      <c r="V104" s="807"/>
      <c r="W104" s="807"/>
      <c r="X104" s="807"/>
      <c r="Y104" s="807"/>
      <c r="Z104" s="807"/>
      <c r="AA104" s="807"/>
      <c r="AB104" s="807"/>
      <c r="AC104" s="807"/>
      <c r="AD104" s="807"/>
      <c r="AE104" s="807"/>
      <c r="AF104" s="807"/>
      <c r="AG104" s="807"/>
      <c r="AH104" s="807"/>
      <c r="AI104" s="729"/>
      <c r="AJ104" s="729"/>
      <c r="AK104" s="729"/>
      <c r="AL104" s="729"/>
      <c r="AM104" s="729"/>
      <c r="AN104" s="729"/>
      <c r="AO104" s="729"/>
      <c r="AP104" s="732"/>
      <c r="AQ104" s="732"/>
      <c r="AR104" s="732"/>
      <c r="AS104" s="732"/>
      <c r="AT104" s="732"/>
      <c r="AU104" s="732"/>
      <c r="AV104" s="729"/>
    </row>
    <row r="105" spans="1:85" s="237" customFormat="1" ht="15" customHeight="1" outlineLevel="1" x14ac:dyDescent="0.25">
      <c r="A105" s="729"/>
      <c r="B105" s="729"/>
      <c r="C105" s="829" t="s">
        <v>1443</v>
      </c>
      <c r="D105" s="729"/>
      <c r="E105" s="729"/>
      <c r="F105" s="729"/>
      <c r="G105" s="729"/>
      <c r="H105" s="729"/>
      <c r="I105" s="729"/>
      <c r="J105" s="729"/>
      <c r="K105" s="729"/>
      <c r="L105" s="729"/>
      <c r="M105" s="729"/>
      <c r="N105" s="729"/>
      <c r="O105" s="729"/>
      <c r="P105" s="754"/>
      <c r="Q105" s="755"/>
      <c r="R105" s="756"/>
      <c r="S105" s="729"/>
      <c r="T105" s="729"/>
      <c r="U105" s="729"/>
      <c r="V105" s="729"/>
      <c r="W105" s="729"/>
      <c r="X105" s="729"/>
      <c r="Y105" s="729"/>
      <c r="Z105" s="729"/>
      <c r="AA105" s="729"/>
      <c r="AB105" s="729"/>
      <c r="AC105" s="729"/>
      <c r="AD105" s="729"/>
      <c r="AE105" s="729"/>
      <c r="AF105" s="729"/>
      <c r="AG105" s="729"/>
      <c r="AH105" s="729"/>
      <c r="AI105" s="729"/>
      <c r="AJ105" s="729"/>
      <c r="AK105" s="729"/>
      <c r="AL105" s="729"/>
      <c r="AM105" s="729"/>
      <c r="AN105" s="729"/>
      <c r="AO105" s="729"/>
      <c r="AP105" s="732"/>
      <c r="AQ105" s="732"/>
      <c r="AR105" s="732"/>
      <c r="AS105" s="732"/>
      <c r="AT105" s="732"/>
      <c r="AU105" s="732"/>
      <c r="AV105" s="729"/>
    </row>
    <row r="106" spans="1:85" s="237" customFormat="1" ht="15" customHeight="1" outlineLevel="1" x14ac:dyDescent="0.25">
      <c r="A106" s="729"/>
      <c r="B106" s="729"/>
      <c r="C106" s="817"/>
      <c r="D106" s="729"/>
      <c r="E106" s="729"/>
      <c r="F106" s="729"/>
      <c r="G106" s="729"/>
      <c r="H106" s="729"/>
      <c r="I106" s="729"/>
      <c r="J106" s="729"/>
      <c r="K106" s="729"/>
      <c r="L106" s="729"/>
      <c r="M106" s="729"/>
      <c r="N106" s="729"/>
      <c r="O106" s="729"/>
      <c r="P106" s="754"/>
      <c r="Q106" s="755"/>
      <c r="R106" s="756"/>
      <c r="S106" s="729"/>
      <c r="T106" s="729"/>
      <c r="U106" s="729"/>
      <c r="V106" s="729"/>
      <c r="W106" s="729"/>
      <c r="X106" s="729"/>
      <c r="Y106" s="729"/>
      <c r="Z106" s="729"/>
      <c r="AA106" s="729"/>
      <c r="AB106" s="729"/>
      <c r="AC106" s="729"/>
      <c r="AD106" s="729"/>
      <c r="AE106" s="729"/>
      <c r="AF106" s="729"/>
      <c r="AG106" s="729"/>
      <c r="AH106" s="729"/>
      <c r="AI106" s="729"/>
      <c r="AJ106" s="729"/>
      <c r="AK106" s="729"/>
      <c r="AL106" s="729"/>
      <c r="AM106" s="729"/>
      <c r="AN106" s="729"/>
      <c r="AO106" s="729"/>
      <c r="AP106" s="732"/>
      <c r="AQ106" s="732"/>
      <c r="AR106" s="732"/>
      <c r="AS106" s="732"/>
      <c r="AT106" s="732"/>
      <c r="AU106" s="732"/>
      <c r="AV106" s="729"/>
    </row>
    <row r="107" spans="1:85" s="237" customFormat="1" ht="15" customHeight="1" outlineLevel="1" x14ac:dyDescent="0.25">
      <c r="A107" s="729"/>
      <c r="B107" s="729"/>
      <c r="C107" s="759" t="s">
        <v>43</v>
      </c>
      <c r="D107" s="818"/>
      <c r="E107" s="729"/>
      <c r="F107" s="729"/>
      <c r="G107" s="729"/>
      <c r="H107" s="729"/>
      <c r="I107" s="729"/>
      <c r="J107" s="729"/>
      <c r="K107" s="729"/>
      <c r="L107" s="729"/>
      <c r="M107" s="729"/>
      <c r="N107" s="729"/>
      <c r="O107" s="729"/>
      <c r="P107" s="754"/>
      <c r="Q107" s="755"/>
      <c r="R107" s="756"/>
      <c r="S107" s="729"/>
      <c r="T107" s="729"/>
      <c r="U107" s="729"/>
      <c r="V107" s="729"/>
      <c r="W107" s="729"/>
      <c r="X107" s="729"/>
      <c r="Y107" s="729"/>
      <c r="Z107" s="729"/>
      <c r="AA107" s="729"/>
      <c r="AB107" s="729"/>
      <c r="AC107" s="729"/>
      <c r="AD107" s="729"/>
      <c r="AE107" s="729"/>
      <c r="AF107" s="729"/>
      <c r="AG107" s="729"/>
      <c r="AH107" s="729"/>
      <c r="AI107" s="729"/>
      <c r="AJ107" s="729"/>
      <c r="AK107" s="729"/>
      <c r="AL107" s="729"/>
      <c r="AM107" s="729"/>
      <c r="AN107" s="729"/>
      <c r="AO107" s="729"/>
      <c r="AP107" s="732"/>
      <c r="AQ107" s="732"/>
      <c r="AR107" s="732"/>
      <c r="AS107" s="732"/>
      <c r="AT107" s="732"/>
      <c r="AU107" s="732"/>
      <c r="AV107" s="729"/>
    </row>
    <row r="108" spans="1:85" s="237" customFormat="1" ht="15" customHeight="1" outlineLevel="1" x14ac:dyDescent="0.25">
      <c r="A108" s="729"/>
      <c r="B108" s="729"/>
      <c r="C108" s="819" t="str">
        <f>IF(D107="geração de energia", " ATENÇÃO: Se a eletricidade é gerada pela organização inventariante, deve-se contabilizar o biogás consumido na aba Combustão Estacionária.","")</f>
        <v/>
      </c>
      <c r="D108" s="729"/>
      <c r="E108" s="729"/>
      <c r="F108" s="729"/>
      <c r="G108" s="729"/>
      <c r="H108" s="729"/>
      <c r="I108" s="729"/>
      <c r="J108" s="729"/>
      <c r="K108" s="729"/>
      <c r="L108" s="729"/>
      <c r="M108" s="729"/>
      <c r="N108" s="729"/>
      <c r="O108" s="729"/>
      <c r="P108" s="754"/>
      <c r="Q108" s="755"/>
      <c r="R108" s="756"/>
      <c r="S108" s="729"/>
      <c r="T108" s="729"/>
      <c r="U108" s="729"/>
      <c r="V108" s="729"/>
      <c r="W108" s="729"/>
      <c r="X108" s="729"/>
      <c r="Y108" s="729"/>
      <c r="Z108" s="729"/>
      <c r="AA108" s="729"/>
      <c r="AB108" s="729"/>
      <c r="AC108" s="729"/>
      <c r="AD108" s="729"/>
      <c r="AE108" s="729"/>
      <c r="AF108" s="729"/>
      <c r="AG108" s="729"/>
      <c r="AH108" s="729"/>
      <c r="AI108" s="729"/>
      <c r="AJ108" s="729"/>
      <c r="AK108" s="729"/>
      <c r="AL108" s="729"/>
      <c r="AM108" s="729"/>
      <c r="AN108" s="729"/>
      <c r="AO108" s="729"/>
      <c r="AP108" s="732"/>
      <c r="AQ108" s="732"/>
      <c r="AR108" s="732"/>
      <c r="AS108" s="732"/>
      <c r="AT108" s="732"/>
      <c r="AU108" s="732"/>
      <c r="AV108" s="729"/>
    </row>
    <row r="109" spans="1:85" s="237" customFormat="1" ht="15" customHeight="1" outlineLevel="1" x14ac:dyDescent="0.25">
      <c r="A109" s="729"/>
      <c r="B109" s="729"/>
      <c r="C109" s="819"/>
      <c r="D109" s="729"/>
      <c r="E109" s="729"/>
      <c r="F109" s="729"/>
      <c r="G109" s="729"/>
      <c r="H109" s="729"/>
      <c r="I109" s="729"/>
      <c r="J109" s="729"/>
      <c r="K109" s="729"/>
      <c r="L109" s="729"/>
      <c r="M109" s="729"/>
      <c r="N109" s="729"/>
      <c r="O109" s="729"/>
      <c r="P109" s="754"/>
      <c r="Q109" s="755"/>
      <c r="R109" s="756"/>
      <c r="S109" s="729"/>
      <c r="T109" s="729"/>
      <c r="U109" s="729"/>
      <c r="V109" s="729"/>
      <c r="W109" s="729"/>
      <c r="X109" s="729"/>
      <c r="Y109" s="729"/>
      <c r="Z109" s="729"/>
      <c r="AA109" s="729"/>
      <c r="AB109" s="729"/>
      <c r="AC109" s="729"/>
      <c r="AD109" s="729"/>
      <c r="AE109" s="729"/>
      <c r="AF109" s="729"/>
      <c r="AG109" s="729"/>
      <c r="AH109" s="729"/>
      <c r="AI109" s="729"/>
      <c r="AJ109" s="729"/>
      <c r="AK109" s="729"/>
      <c r="AL109" s="729"/>
      <c r="AM109" s="729"/>
      <c r="AN109" s="729"/>
      <c r="AO109" s="729"/>
      <c r="AP109" s="732"/>
      <c r="AQ109" s="732"/>
      <c r="AR109" s="732"/>
      <c r="AS109" s="732"/>
      <c r="AT109" s="732"/>
      <c r="AU109" s="732"/>
      <c r="AV109" s="729"/>
    </row>
    <row r="110" spans="1:85" s="237" customFormat="1" ht="15" customHeight="1" outlineLevel="1" x14ac:dyDescent="0.25">
      <c r="A110" s="729"/>
      <c r="B110" s="727" t="s">
        <v>2009</v>
      </c>
      <c r="C110" s="729"/>
      <c r="D110" s="729"/>
      <c r="E110" s="729"/>
      <c r="F110" s="729"/>
      <c r="G110" s="729"/>
      <c r="H110" s="729"/>
      <c r="I110" s="729"/>
      <c r="J110" s="729"/>
      <c r="K110" s="729"/>
      <c r="L110" s="729"/>
      <c r="M110" s="729"/>
      <c r="N110" s="729"/>
      <c r="O110" s="729"/>
      <c r="P110" s="729"/>
      <c r="Q110" s="754"/>
      <c r="R110" s="755"/>
      <c r="S110" s="756"/>
      <c r="T110" s="729"/>
      <c r="U110" s="729"/>
      <c r="V110" s="729"/>
      <c r="W110" s="729"/>
      <c r="X110" s="729"/>
      <c r="Y110" s="729"/>
      <c r="Z110" s="729"/>
      <c r="AA110" s="729"/>
      <c r="AB110" s="729"/>
      <c r="AC110" s="729"/>
      <c r="AD110" s="729"/>
      <c r="AE110" s="729"/>
      <c r="AF110" s="729"/>
      <c r="AG110" s="729"/>
      <c r="AH110" s="729"/>
      <c r="AI110" s="729"/>
      <c r="AJ110" s="729"/>
      <c r="AK110" s="729"/>
      <c r="AL110" s="729"/>
      <c r="AM110" s="729"/>
      <c r="AN110" s="729"/>
      <c r="AO110" s="729"/>
      <c r="AP110" s="732"/>
      <c r="AQ110" s="732"/>
      <c r="AR110" s="732"/>
      <c r="AS110" s="732"/>
      <c r="AT110" s="732"/>
      <c r="AU110" s="732"/>
      <c r="AV110" s="729"/>
    </row>
    <row r="111" spans="1:85" s="237" customFormat="1" ht="15" customHeight="1" outlineLevel="1" x14ac:dyDescent="0.25">
      <c r="A111" s="729"/>
      <c r="B111" s="729"/>
      <c r="C111" s="759"/>
      <c r="D111" s="820" t="s">
        <v>54</v>
      </c>
      <c r="E111" s="821">
        <f t="shared" ref="E111:AF111" si="16">F111-1</f>
        <v>2001</v>
      </c>
      <c r="F111" s="758">
        <f t="shared" si="16"/>
        <v>2002</v>
      </c>
      <c r="G111" s="758">
        <f t="shared" si="16"/>
        <v>2003</v>
      </c>
      <c r="H111" s="758">
        <f t="shared" si="16"/>
        <v>2004</v>
      </c>
      <c r="I111" s="758">
        <f t="shared" si="16"/>
        <v>2005</v>
      </c>
      <c r="J111" s="758">
        <f t="shared" si="16"/>
        <v>2006</v>
      </c>
      <c r="K111" s="758">
        <f t="shared" si="16"/>
        <v>2007</v>
      </c>
      <c r="L111" s="758">
        <f t="shared" si="16"/>
        <v>2008</v>
      </c>
      <c r="M111" s="758">
        <f t="shared" si="16"/>
        <v>2009</v>
      </c>
      <c r="N111" s="758">
        <f t="shared" si="16"/>
        <v>2010</v>
      </c>
      <c r="O111" s="758">
        <f t="shared" si="16"/>
        <v>2011</v>
      </c>
      <c r="P111" s="758">
        <f t="shared" si="16"/>
        <v>2012</v>
      </c>
      <c r="Q111" s="758">
        <f t="shared" si="16"/>
        <v>2013</v>
      </c>
      <c r="R111" s="758">
        <f t="shared" si="16"/>
        <v>2014</v>
      </c>
      <c r="S111" s="758">
        <f t="shared" si="16"/>
        <v>2015</v>
      </c>
      <c r="T111" s="758">
        <f t="shared" si="16"/>
        <v>2016</v>
      </c>
      <c r="U111" s="758">
        <f t="shared" si="16"/>
        <v>2017</v>
      </c>
      <c r="V111" s="758">
        <f t="shared" si="16"/>
        <v>2018</v>
      </c>
      <c r="W111" s="758">
        <f t="shared" si="16"/>
        <v>2019</v>
      </c>
      <c r="X111" s="758">
        <f t="shared" si="16"/>
        <v>2020</v>
      </c>
      <c r="Y111" s="758">
        <f t="shared" si="16"/>
        <v>2021</v>
      </c>
      <c r="Z111" s="758">
        <f t="shared" si="16"/>
        <v>2022</v>
      </c>
      <c r="AA111" s="758">
        <f t="shared" si="16"/>
        <v>2023</v>
      </c>
      <c r="AB111" s="758">
        <f t="shared" si="16"/>
        <v>2024</v>
      </c>
      <c r="AC111" s="758">
        <f t="shared" si="16"/>
        <v>2025</v>
      </c>
      <c r="AD111" s="758">
        <f t="shared" si="16"/>
        <v>2026</v>
      </c>
      <c r="AE111" s="758">
        <f t="shared" si="16"/>
        <v>2027</v>
      </c>
      <c r="AF111" s="758">
        <f t="shared" si="16"/>
        <v>2028</v>
      </c>
      <c r="AG111" s="758">
        <f>AH111-1</f>
        <v>2029</v>
      </c>
      <c r="AH111" s="758">
        <f>Ano</f>
        <v>2030</v>
      </c>
      <c r="AI111" s="734"/>
      <c r="AJ111" s="729"/>
      <c r="AK111" s="729"/>
      <c r="AL111" s="729"/>
      <c r="AM111" s="729"/>
      <c r="AN111" s="729"/>
      <c r="AO111" s="729"/>
      <c r="AP111" s="732"/>
      <c r="AQ111" s="732"/>
      <c r="AR111" s="732"/>
      <c r="AS111" s="732"/>
      <c r="AT111" s="732"/>
      <c r="AU111" s="732"/>
      <c r="AV111" s="729"/>
    </row>
    <row r="112" spans="1:85" s="237" customFormat="1" ht="15" customHeight="1" outlineLevel="1" x14ac:dyDescent="0.35">
      <c r="A112" s="729"/>
      <c r="B112" s="729"/>
      <c r="C112" s="822" t="s">
        <v>1438</v>
      </c>
      <c r="D112" s="823" t="s">
        <v>1439</v>
      </c>
      <c r="E112" s="824">
        <f t="shared" ref="E112:AH112" si="17">IF(ISERROR((BD$97-E$104)*(1-E$93)),0,(BD$97-E$104)*(1-E$93))</f>
        <v>0</v>
      </c>
      <c r="F112" s="824">
        <f t="shared" si="17"/>
        <v>0</v>
      </c>
      <c r="G112" s="824">
        <f t="shared" si="17"/>
        <v>0</v>
      </c>
      <c r="H112" s="824">
        <f t="shared" si="17"/>
        <v>0</v>
      </c>
      <c r="I112" s="824">
        <f t="shared" si="17"/>
        <v>0</v>
      </c>
      <c r="J112" s="824">
        <f t="shared" si="17"/>
        <v>0</v>
      </c>
      <c r="K112" s="824">
        <f t="shared" si="17"/>
        <v>0</v>
      </c>
      <c r="L112" s="824">
        <f t="shared" si="17"/>
        <v>0</v>
      </c>
      <c r="M112" s="824">
        <f t="shared" si="17"/>
        <v>0</v>
      </c>
      <c r="N112" s="824">
        <f t="shared" si="17"/>
        <v>0</v>
      </c>
      <c r="O112" s="824">
        <f t="shared" si="17"/>
        <v>0</v>
      </c>
      <c r="P112" s="824">
        <f t="shared" si="17"/>
        <v>0</v>
      </c>
      <c r="Q112" s="824">
        <f t="shared" si="17"/>
        <v>0</v>
      </c>
      <c r="R112" s="824">
        <f t="shared" si="17"/>
        <v>0</v>
      </c>
      <c r="S112" s="824">
        <f t="shared" si="17"/>
        <v>0</v>
      </c>
      <c r="T112" s="824">
        <f t="shared" si="17"/>
        <v>0</v>
      </c>
      <c r="U112" s="824">
        <f t="shared" si="17"/>
        <v>0</v>
      </c>
      <c r="V112" s="824">
        <f t="shared" si="17"/>
        <v>0</v>
      </c>
      <c r="W112" s="824">
        <f t="shared" si="17"/>
        <v>0</v>
      </c>
      <c r="X112" s="824">
        <f t="shared" si="17"/>
        <v>0</v>
      </c>
      <c r="Y112" s="824">
        <f t="shared" si="17"/>
        <v>0</v>
      </c>
      <c r="Z112" s="824">
        <f t="shared" si="17"/>
        <v>0</v>
      </c>
      <c r="AA112" s="824">
        <f t="shared" si="17"/>
        <v>0</v>
      </c>
      <c r="AB112" s="824">
        <f t="shared" si="17"/>
        <v>0</v>
      </c>
      <c r="AC112" s="824">
        <f t="shared" si="17"/>
        <v>0</v>
      </c>
      <c r="AD112" s="824">
        <f t="shared" si="17"/>
        <v>0</v>
      </c>
      <c r="AE112" s="824">
        <f t="shared" si="17"/>
        <v>0</v>
      </c>
      <c r="AF112" s="824">
        <f t="shared" si="17"/>
        <v>0</v>
      </c>
      <c r="AG112" s="824">
        <f t="shared" si="17"/>
        <v>0</v>
      </c>
      <c r="AH112" s="824">
        <f t="shared" si="17"/>
        <v>0</v>
      </c>
      <c r="AI112" s="734"/>
      <c r="AJ112" s="729"/>
      <c r="AK112" s="729"/>
      <c r="AL112" s="729"/>
      <c r="AM112" s="729"/>
      <c r="AN112" s="729"/>
      <c r="AO112" s="729"/>
      <c r="AP112" s="732"/>
      <c r="AQ112" s="732"/>
      <c r="AR112" s="732"/>
      <c r="AS112" s="732"/>
      <c r="AT112" s="732"/>
      <c r="AU112" s="732"/>
      <c r="AV112" s="729"/>
    </row>
    <row r="113" spans="1:48" s="237" customFormat="1" ht="15" customHeight="1" outlineLevel="1" x14ac:dyDescent="0.35">
      <c r="A113" s="729"/>
      <c r="B113" s="729"/>
      <c r="C113" s="780" t="s">
        <v>1403</v>
      </c>
      <c r="D113" s="800" t="s">
        <v>1440</v>
      </c>
      <c r="E113" s="824">
        <f t="shared" ref="E113:AH113" si="18">E$112*gwp_CH4</f>
        <v>0</v>
      </c>
      <c r="F113" s="824">
        <f t="shared" si="18"/>
        <v>0</v>
      </c>
      <c r="G113" s="824">
        <f t="shared" si="18"/>
        <v>0</v>
      </c>
      <c r="H113" s="824">
        <f t="shared" si="18"/>
        <v>0</v>
      </c>
      <c r="I113" s="824">
        <f t="shared" si="18"/>
        <v>0</v>
      </c>
      <c r="J113" s="824">
        <f t="shared" si="18"/>
        <v>0</v>
      </c>
      <c r="K113" s="824">
        <f t="shared" si="18"/>
        <v>0</v>
      </c>
      <c r="L113" s="824">
        <f t="shared" si="18"/>
        <v>0</v>
      </c>
      <c r="M113" s="824">
        <f t="shared" si="18"/>
        <v>0</v>
      </c>
      <c r="N113" s="824">
        <f t="shared" si="18"/>
        <v>0</v>
      </c>
      <c r="O113" s="824">
        <f t="shared" si="18"/>
        <v>0</v>
      </c>
      <c r="P113" s="824">
        <f t="shared" si="18"/>
        <v>0</v>
      </c>
      <c r="Q113" s="824">
        <f t="shared" si="18"/>
        <v>0</v>
      </c>
      <c r="R113" s="824">
        <f t="shared" si="18"/>
        <v>0</v>
      </c>
      <c r="S113" s="824">
        <f t="shared" si="18"/>
        <v>0</v>
      </c>
      <c r="T113" s="824">
        <f t="shared" si="18"/>
        <v>0</v>
      </c>
      <c r="U113" s="824">
        <f t="shared" si="18"/>
        <v>0</v>
      </c>
      <c r="V113" s="824">
        <f t="shared" si="18"/>
        <v>0</v>
      </c>
      <c r="W113" s="824">
        <f t="shared" si="18"/>
        <v>0</v>
      </c>
      <c r="X113" s="824">
        <f t="shared" si="18"/>
        <v>0</v>
      </c>
      <c r="Y113" s="824">
        <f t="shared" si="18"/>
        <v>0</v>
      </c>
      <c r="Z113" s="824">
        <f t="shared" si="18"/>
        <v>0</v>
      </c>
      <c r="AA113" s="824">
        <f t="shared" si="18"/>
        <v>0</v>
      </c>
      <c r="AB113" s="824">
        <f t="shared" si="18"/>
        <v>0</v>
      </c>
      <c r="AC113" s="824">
        <f t="shared" si="18"/>
        <v>0</v>
      </c>
      <c r="AD113" s="824">
        <f t="shared" si="18"/>
        <v>0</v>
      </c>
      <c r="AE113" s="824">
        <f t="shared" si="18"/>
        <v>0</v>
      </c>
      <c r="AF113" s="824">
        <f t="shared" si="18"/>
        <v>0</v>
      </c>
      <c r="AG113" s="824">
        <f t="shared" si="18"/>
        <v>0</v>
      </c>
      <c r="AH113" s="824">
        <f t="shared" si="18"/>
        <v>0</v>
      </c>
      <c r="AI113" s="729"/>
      <c r="AJ113" s="729"/>
      <c r="AK113" s="729"/>
      <c r="AL113" s="729"/>
      <c r="AM113" s="729"/>
      <c r="AN113" s="729"/>
      <c r="AO113" s="729"/>
      <c r="AP113" s="732"/>
      <c r="AQ113" s="732"/>
      <c r="AR113" s="732"/>
      <c r="AS113" s="732"/>
      <c r="AT113" s="732"/>
      <c r="AU113" s="732"/>
      <c r="AV113" s="729"/>
    </row>
    <row r="114" spans="1:48" s="237" customFormat="1" ht="15" customHeight="1" outlineLevel="1" x14ac:dyDescent="0.35">
      <c r="A114" s="729"/>
      <c r="B114" s="729"/>
      <c r="C114" s="780" t="s">
        <v>1969</v>
      </c>
      <c r="D114" s="800" t="s">
        <v>1441</v>
      </c>
      <c r="E114" s="824">
        <f t="shared" ref="E114:AH114" si="19">IF($D$107=$BI$48,E$104*(44/16),0)</f>
        <v>0</v>
      </c>
      <c r="F114" s="824">
        <f t="shared" si="19"/>
        <v>0</v>
      </c>
      <c r="G114" s="824">
        <f t="shared" si="19"/>
        <v>0</v>
      </c>
      <c r="H114" s="824">
        <f t="shared" si="19"/>
        <v>0</v>
      </c>
      <c r="I114" s="824">
        <f t="shared" si="19"/>
        <v>0</v>
      </c>
      <c r="J114" s="824">
        <f t="shared" si="19"/>
        <v>0</v>
      </c>
      <c r="K114" s="824">
        <f t="shared" si="19"/>
        <v>0</v>
      </c>
      <c r="L114" s="824">
        <f t="shared" si="19"/>
        <v>0</v>
      </c>
      <c r="M114" s="824">
        <f t="shared" si="19"/>
        <v>0</v>
      </c>
      <c r="N114" s="824">
        <f t="shared" si="19"/>
        <v>0</v>
      </c>
      <c r="O114" s="824">
        <f t="shared" si="19"/>
        <v>0</v>
      </c>
      <c r="P114" s="824">
        <f t="shared" si="19"/>
        <v>0</v>
      </c>
      <c r="Q114" s="824">
        <f t="shared" si="19"/>
        <v>0</v>
      </c>
      <c r="R114" s="824">
        <f t="shared" si="19"/>
        <v>0</v>
      </c>
      <c r="S114" s="824">
        <f t="shared" si="19"/>
        <v>0</v>
      </c>
      <c r="T114" s="824">
        <f t="shared" si="19"/>
        <v>0</v>
      </c>
      <c r="U114" s="824">
        <f t="shared" si="19"/>
        <v>0</v>
      </c>
      <c r="V114" s="824">
        <f t="shared" si="19"/>
        <v>0</v>
      </c>
      <c r="W114" s="824">
        <f t="shared" si="19"/>
        <v>0</v>
      </c>
      <c r="X114" s="824">
        <f t="shared" si="19"/>
        <v>0</v>
      </c>
      <c r="Y114" s="824">
        <f t="shared" si="19"/>
        <v>0</v>
      </c>
      <c r="Z114" s="824">
        <f t="shared" si="19"/>
        <v>0</v>
      </c>
      <c r="AA114" s="824">
        <f t="shared" si="19"/>
        <v>0</v>
      </c>
      <c r="AB114" s="824">
        <f t="shared" si="19"/>
        <v>0</v>
      </c>
      <c r="AC114" s="824">
        <f t="shared" si="19"/>
        <v>0</v>
      </c>
      <c r="AD114" s="824">
        <f t="shared" si="19"/>
        <v>0</v>
      </c>
      <c r="AE114" s="824">
        <f t="shared" si="19"/>
        <v>0</v>
      </c>
      <c r="AF114" s="824">
        <f t="shared" si="19"/>
        <v>0</v>
      </c>
      <c r="AG114" s="824">
        <f t="shared" si="19"/>
        <v>0</v>
      </c>
      <c r="AH114" s="824">
        <f t="shared" si="19"/>
        <v>0</v>
      </c>
      <c r="AI114" s="729"/>
      <c r="AJ114" s="729"/>
      <c r="AK114" s="729"/>
      <c r="AL114" s="729"/>
      <c r="AM114" s="729"/>
      <c r="AN114" s="729"/>
      <c r="AO114" s="729"/>
      <c r="AP114" s="732"/>
      <c r="AQ114" s="732"/>
      <c r="AR114" s="732"/>
      <c r="AS114" s="732"/>
      <c r="AT114" s="732"/>
      <c r="AU114" s="732"/>
      <c r="AV114" s="729"/>
    </row>
    <row r="115" spans="1:48" s="237" customFormat="1" ht="15" customHeight="1" outlineLevel="1" x14ac:dyDescent="0.25">
      <c r="A115" s="729"/>
      <c r="B115" s="729"/>
      <c r="C115" s="729"/>
      <c r="D115" s="729"/>
      <c r="E115" s="825"/>
      <c r="F115" s="729"/>
      <c r="G115" s="729"/>
      <c r="H115" s="729"/>
      <c r="I115" s="729"/>
      <c r="J115" s="729"/>
      <c r="K115" s="729"/>
      <c r="L115" s="729"/>
      <c r="M115" s="729"/>
      <c r="N115" s="729"/>
      <c r="O115" s="729"/>
      <c r="P115" s="729"/>
      <c r="Q115" s="754"/>
      <c r="R115" s="755"/>
      <c r="S115" s="756"/>
      <c r="T115" s="729"/>
      <c r="U115" s="729"/>
      <c r="V115" s="729"/>
      <c r="W115" s="729"/>
      <c r="X115" s="729"/>
      <c r="Y115" s="729"/>
      <c r="Z115" s="729"/>
      <c r="AA115" s="729"/>
      <c r="AB115" s="729"/>
      <c r="AC115" s="729"/>
      <c r="AD115" s="729"/>
      <c r="AE115" s="729"/>
      <c r="AF115" s="729"/>
      <c r="AG115" s="729"/>
      <c r="AH115" s="729"/>
      <c r="AI115" s="729"/>
      <c r="AJ115" s="729"/>
      <c r="AK115" s="729"/>
      <c r="AL115" s="729"/>
      <c r="AM115" s="729"/>
      <c r="AN115" s="729"/>
      <c r="AO115" s="729"/>
      <c r="AP115" s="732"/>
      <c r="AQ115" s="732"/>
      <c r="AR115" s="732"/>
      <c r="AS115" s="732"/>
      <c r="AT115" s="732"/>
      <c r="AU115" s="732"/>
      <c r="AV115" s="729"/>
    </row>
    <row r="116" spans="1:48" s="237" customFormat="1" ht="15" customHeight="1" outlineLevel="1" x14ac:dyDescent="0.35">
      <c r="A116" s="729"/>
      <c r="B116" s="729"/>
      <c r="C116" s="780" t="s">
        <v>1442</v>
      </c>
      <c r="D116" s="800" t="s">
        <v>1440</v>
      </c>
      <c r="E116" s="826">
        <f>IF(ISERROR($AH$113),0,$AH$113)</f>
        <v>0</v>
      </c>
      <c r="F116" s="729"/>
      <c r="G116" s="729"/>
      <c r="H116" s="729"/>
      <c r="I116" s="729"/>
      <c r="J116" s="729"/>
      <c r="K116" s="729"/>
      <c r="L116" s="729"/>
      <c r="M116" s="729"/>
      <c r="N116" s="729"/>
      <c r="O116" s="729"/>
      <c r="P116" s="729"/>
      <c r="Q116" s="754"/>
      <c r="R116" s="755"/>
      <c r="S116" s="756"/>
      <c r="T116" s="729"/>
      <c r="U116" s="729"/>
      <c r="V116" s="729"/>
      <c r="W116" s="729"/>
      <c r="X116" s="729"/>
      <c r="Y116" s="729"/>
      <c r="Z116" s="729"/>
      <c r="AA116" s="729"/>
      <c r="AB116" s="729"/>
      <c r="AC116" s="729"/>
      <c r="AD116" s="729"/>
      <c r="AE116" s="729"/>
      <c r="AF116" s="729"/>
      <c r="AG116" s="729"/>
      <c r="AH116" s="729"/>
      <c r="AI116" s="729"/>
      <c r="AJ116" s="729"/>
      <c r="AK116" s="729"/>
      <c r="AL116" s="729"/>
      <c r="AM116" s="729"/>
      <c r="AN116" s="729"/>
      <c r="AO116" s="729"/>
      <c r="AP116" s="732"/>
      <c r="AQ116" s="732"/>
      <c r="AR116" s="732"/>
      <c r="AS116" s="732"/>
      <c r="AT116" s="732"/>
      <c r="AU116" s="732"/>
      <c r="AV116" s="729"/>
    </row>
    <row r="117" spans="1:48" s="205" customFormat="1" ht="15" customHeight="1" outlineLevel="1" x14ac:dyDescent="0.25">
      <c r="A117" s="729"/>
      <c r="B117" s="729"/>
      <c r="C117" s="827"/>
      <c r="D117" s="827"/>
      <c r="E117" s="828"/>
      <c r="F117" s="729"/>
      <c r="G117" s="729"/>
      <c r="H117" s="729"/>
      <c r="I117" s="729"/>
      <c r="J117" s="729"/>
      <c r="K117" s="729"/>
      <c r="L117" s="729"/>
      <c r="M117" s="729"/>
      <c r="N117" s="729"/>
      <c r="O117" s="729"/>
      <c r="P117" s="729"/>
      <c r="Q117" s="754"/>
      <c r="R117" s="755"/>
      <c r="S117" s="756"/>
      <c r="T117" s="729"/>
      <c r="U117" s="729"/>
      <c r="V117" s="729"/>
      <c r="W117" s="729"/>
      <c r="X117" s="729"/>
      <c r="Y117" s="729"/>
      <c r="Z117" s="729"/>
      <c r="AA117" s="729"/>
      <c r="AB117" s="729"/>
      <c r="AC117" s="729"/>
      <c r="AD117" s="729"/>
      <c r="AE117" s="729"/>
      <c r="AF117" s="729"/>
      <c r="AG117" s="729"/>
      <c r="AH117" s="729"/>
      <c r="AI117" s="729"/>
      <c r="AJ117" s="729"/>
      <c r="AK117" s="729"/>
      <c r="AL117" s="729"/>
      <c r="AM117" s="729"/>
      <c r="AN117" s="729"/>
      <c r="AO117" s="729"/>
      <c r="AP117" s="732"/>
      <c r="AQ117" s="732"/>
      <c r="AR117" s="732"/>
      <c r="AS117" s="732"/>
      <c r="AT117" s="732"/>
      <c r="AU117" s="732"/>
      <c r="AV117" s="729"/>
    </row>
    <row r="118" spans="1:48" s="237" customFormat="1" ht="15" customHeight="1" collapsed="1" x14ac:dyDescent="0.25">
      <c r="A118" s="729"/>
      <c r="B118" s="729"/>
      <c r="C118" s="729"/>
      <c r="D118" s="729"/>
      <c r="E118" s="729"/>
      <c r="F118" s="729"/>
      <c r="G118" s="729"/>
      <c r="H118" s="729"/>
      <c r="I118" s="729"/>
      <c r="J118" s="729"/>
      <c r="K118" s="729"/>
      <c r="L118" s="729"/>
      <c r="M118" s="729"/>
      <c r="N118" s="729"/>
      <c r="O118" s="729"/>
      <c r="P118" s="729"/>
      <c r="Q118" s="729"/>
      <c r="R118" s="729"/>
      <c r="S118" s="729"/>
      <c r="T118" s="729"/>
      <c r="U118" s="729"/>
      <c r="V118" s="729"/>
      <c r="W118" s="729"/>
      <c r="X118" s="729"/>
      <c r="Y118" s="729"/>
      <c r="Z118" s="729"/>
      <c r="AA118" s="729"/>
      <c r="AB118" s="729"/>
      <c r="AC118" s="729"/>
      <c r="AD118" s="729"/>
      <c r="AE118" s="729"/>
      <c r="AF118" s="729"/>
      <c r="AG118" s="729"/>
      <c r="AH118" s="729"/>
      <c r="AI118" s="729"/>
      <c r="AJ118" s="729"/>
      <c r="AK118" s="729"/>
      <c r="AL118" s="729"/>
      <c r="AM118" s="729"/>
      <c r="AN118" s="729"/>
      <c r="AO118" s="729"/>
      <c r="AP118" s="732"/>
      <c r="AQ118" s="732"/>
      <c r="AR118" s="732"/>
      <c r="AS118" s="732"/>
      <c r="AT118" s="732"/>
      <c r="AU118" s="732"/>
      <c r="AV118" s="729"/>
    </row>
    <row r="119" spans="1:48" s="463" customFormat="1" ht="18" customHeight="1" x14ac:dyDescent="0.3">
      <c r="A119" s="458"/>
      <c r="B119" s="733" t="s">
        <v>65</v>
      </c>
      <c r="C119" s="459"/>
      <c r="D119" s="460"/>
      <c r="E119" s="460"/>
      <c r="F119" s="460"/>
      <c r="G119" s="461"/>
      <c r="H119" s="461"/>
      <c r="I119" s="461"/>
      <c r="J119" s="461"/>
      <c r="K119" s="461"/>
      <c r="L119" s="461"/>
      <c r="M119" s="461"/>
      <c r="N119" s="461"/>
      <c r="O119" s="461"/>
      <c r="P119" s="461"/>
      <c r="Q119" s="461"/>
      <c r="R119" s="461"/>
      <c r="S119" s="461"/>
      <c r="T119" s="461"/>
      <c r="U119" s="461"/>
      <c r="V119" s="461"/>
      <c r="W119" s="461"/>
      <c r="X119" s="461"/>
      <c r="Y119" s="461"/>
      <c r="Z119" s="461"/>
      <c r="AA119" s="461"/>
      <c r="AB119" s="830"/>
      <c r="AC119" s="830"/>
      <c r="AD119" s="830"/>
      <c r="AE119" s="830"/>
      <c r="AF119" s="830"/>
      <c r="AG119" s="830"/>
      <c r="AH119" s="830"/>
      <c r="AI119" s="830"/>
      <c r="AJ119" s="830"/>
      <c r="AK119" s="830"/>
      <c r="AL119" s="830"/>
      <c r="AM119" s="830"/>
      <c r="AN119" s="830"/>
      <c r="AO119" s="830"/>
      <c r="AP119" s="831"/>
      <c r="AQ119" s="831"/>
      <c r="AR119" s="831"/>
      <c r="AS119" s="831"/>
      <c r="AT119" s="831"/>
      <c r="AU119" s="831"/>
      <c r="AV119" s="832"/>
    </row>
    <row r="120" spans="1:48" ht="15" customHeight="1" outlineLevel="1" x14ac:dyDescent="0.2">
      <c r="A120" s="690"/>
      <c r="B120" s="690"/>
      <c r="C120" s="690"/>
      <c r="D120" s="690"/>
      <c r="E120" s="690"/>
      <c r="F120" s="690"/>
      <c r="G120" s="690"/>
      <c r="H120" s="690"/>
      <c r="I120" s="690"/>
      <c r="J120" s="690"/>
      <c r="K120" s="690"/>
      <c r="L120" s="690"/>
      <c r="M120" s="690"/>
      <c r="N120" s="690"/>
      <c r="O120" s="690"/>
      <c r="P120" s="690"/>
      <c r="Q120" s="690"/>
      <c r="R120" s="690"/>
      <c r="S120" s="690"/>
      <c r="T120" s="690"/>
      <c r="U120" s="690"/>
      <c r="V120" s="690"/>
      <c r="W120" s="690"/>
      <c r="X120" s="690"/>
      <c r="Y120" s="690"/>
      <c r="Z120" s="690"/>
      <c r="AA120" s="690"/>
      <c r="AB120" s="690"/>
      <c r="AC120" s="690"/>
      <c r="AD120" s="690"/>
      <c r="AE120" s="690"/>
      <c r="AF120" s="690"/>
      <c r="AG120" s="690"/>
      <c r="AH120" s="690"/>
      <c r="AI120" s="690"/>
      <c r="AJ120" s="690"/>
      <c r="AK120" s="690"/>
      <c r="AL120" s="690"/>
      <c r="AM120" s="690"/>
      <c r="AN120" s="690"/>
      <c r="AO120" s="690"/>
      <c r="AP120" s="698"/>
      <c r="AQ120" s="698"/>
      <c r="AR120" s="698"/>
      <c r="AS120" s="698"/>
      <c r="AT120" s="698"/>
      <c r="AU120" s="698"/>
      <c r="AV120" s="690"/>
    </row>
    <row r="121" spans="1:48" ht="15" customHeight="1" outlineLevel="1" x14ac:dyDescent="0.25">
      <c r="A121" s="690"/>
      <c r="B121" s="728" t="s">
        <v>124</v>
      </c>
      <c r="C121" s="690"/>
      <c r="D121" s="690"/>
      <c r="E121" s="690"/>
      <c r="F121" s="690"/>
      <c r="G121" s="690"/>
      <c r="H121" s="690"/>
      <c r="I121" s="690"/>
      <c r="J121" s="690"/>
      <c r="K121" s="690"/>
      <c r="L121" s="690"/>
      <c r="M121" s="690"/>
      <c r="N121" s="690"/>
      <c r="O121" s="690"/>
      <c r="P121" s="690"/>
      <c r="Q121" s="690"/>
      <c r="R121" s="690"/>
      <c r="S121" s="690"/>
      <c r="T121" s="690"/>
      <c r="U121" s="690"/>
      <c r="V121" s="690"/>
      <c r="W121" s="690"/>
      <c r="X121" s="690"/>
      <c r="Y121" s="690"/>
      <c r="Z121" s="690"/>
      <c r="AA121" s="690"/>
      <c r="AB121" s="690"/>
      <c r="AC121" s="690"/>
      <c r="AD121" s="690"/>
      <c r="AE121" s="690"/>
      <c r="AF121" s="690"/>
      <c r="AG121" s="690"/>
      <c r="AH121" s="690"/>
      <c r="AI121" s="690"/>
      <c r="AJ121" s="690"/>
      <c r="AK121" s="690"/>
      <c r="AL121" s="690"/>
      <c r="AM121" s="690"/>
      <c r="AN121" s="690"/>
      <c r="AO121" s="690"/>
      <c r="AP121" s="698"/>
      <c r="AQ121" s="698"/>
      <c r="AR121" s="698"/>
      <c r="AS121" s="698"/>
      <c r="AT121" s="698"/>
      <c r="AU121" s="698"/>
      <c r="AV121" s="690"/>
    </row>
    <row r="122" spans="1:48" s="237" customFormat="1" ht="15" customHeight="1" outlineLevel="1" x14ac:dyDescent="0.25">
      <c r="A122" s="729"/>
      <c r="B122" s="731" t="s">
        <v>1964</v>
      </c>
      <c r="C122" s="729"/>
      <c r="D122" s="729"/>
      <c r="E122" s="729"/>
      <c r="F122" s="729"/>
      <c r="G122" s="729"/>
      <c r="H122" s="729"/>
      <c r="I122" s="729"/>
      <c r="J122" s="729"/>
      <c r="K122" s="729"/>
      <c r="L122" s="729"/>
      <c r="M122" s="729"/>
      <c r="N122" s="729"/>
      <c r="O122" s="729"/>
      <c r="P122" s="729"/>
      <c r="Q122" s="729"/>
      <c r="R122" s="729"/>
      <c r="S122" s="729"/>
      <c r="T122" s="729"/>
      <c r="U122" s="729"/>
      <c r="V122" s="729"/>
      <c r="W122" s="729"/>
      <c r="X122" s="729"/>
      <c r="Y122" s="729"/>
      <c r="Z122" s="729"/>
      <c r="AA122" s="729"/>
      <c r="AB122" s="729"/>
      <c r="AC122" s="729"/>
      <c r="AD122" s="729"/>
      <c r="AE122" s="729"/>
      <c r="AF122" s="729"/>
      <c r="AG122" s="729"/>
      <c r="AH122" s="729"/>
      <c r="AI122" s="729"/>
      <c r="AJ122" s="729"/>
      <c r="AK122" s="729"/>
      <c r="AL122" s="729"/>
      <c r="AM122" s="729"/>
      <c r="AN122" s="729"/>
      <c r="AO122" s="729"/>
      <c r="AP122" s="732"/>
      <c r="AQ122" s="732"/>
      <c r="AR122" s="732"/>
      <c r="AS122" s="732"/>
      <c r="AT122" s="732"/>
      <c r="AU122" s="732"/>
      <c r="AV122" s="729"/>
    </row>
    <row r="123" spans="1:48" s="237" customFormat="1" ht="15" customHeight="1" outlineLevel="1" x14ac:dyDescent="0.35">
      <c r="A123" s="729"/>
      <c r="B123" s="731" t="s">
        <v>1444</v>
      </c>
      <c r="C123" s="729"/>
      <c r="D123" s="729"/>
      <c r="E123" s="729"/>
      <c r="F123" s="729"/>
      <c r="G123" s="729"/>
      <c r="H123" s="729"/>
      <c r="I123" s="729"/>
      <c r="J123" s="729"/>
      <c r="K123" s="729"/>
      <c r="L123" s="729"/>
      <c r="M123" s="729"/>
      <c r="N123" s="729"/>
      <c r="O123" s="729"/>
      <c r="P123" s="729"/>
      <c r="Q123" s="729"/>
      <c r="R123" s="729"/>
      <c r="S123" s="729"/>
      <c r="T123" s="729"/>
      <c r="U123" s="729"/>
      <c r="V123" s="729"/>
      <c r="W123" s="729"/>
      <c r="X123" s="729"/>
      <c r="Y123" s="729"/>
      <c r="Z123" s="729"/>
      <c r="AA123" s="729"/>
      <c r="AB123" s="729"/>
      <c r="AC123" s="729"/>
      <c r="AD123" s="729"/>
      <c r="AE123" s="729"/>
      <c r="AF123" s="729"/>
      <c r="AG123" s="729"/>
      <c r="AH123" s="729"/>
      <c r="AI123" s="729"/>
      <c r="AJ123" s="729"/>
      <c r="AK123" s="729"/>
      <c r="AL123" s="729"/>
      <c r="AM123" s="729"/>
      <c r="AN123" s="729"/>
      <c r="AO123" s="729"/>
      <c r="AP123" s="732"/>
      <c r="AQ123" s="732"/>
      <c r="AR123" s="732"/>
      <c r="AS123" s="732"/>
      <c r="AT123" s="732"/>
      <c r="AU123" s="732"/>
      <c r="AV123" s="729"/>
    </row>
    <row r="124" spans="1:48" s="237" customFormat="1" ht="15" customHeight="1" outlineLevel="1" x14ac:dyDescent="0.25">
      <c r="A124" s="729"/>
      <c r="B124" s="727"/>
      <c r="C124" s="729"/>
      <c r="D124" s="729"/>
      <c r="E124" s="729"/>
      <c r="F124" s="729"/>
      <c r="G124" s="729"/>
      <c r="H124" s="729"/>
      <c r="I124" s="729"/>
      <c r="J124" s="729"/>
      <c r="K124" s="729"/>
      <c r="L124" s="729"/>
      <c r="M124" s="729"/>
      <c r="N124" s="729"/>
      <c r="O124" s="729"/>
      <c r="P124" s="729"/>
      <c r="Q124" s="729"/>
      <c r="R124" s="729"/>
      <c r="S124" s="729"/>
      <c r="T124" s="729"/>
      <c r="U124" s="729"/>
      <c r="V124" s="729"/>
      <c r="W124" s="729"/>
      <c r="X124" s="729"/>
      <c r="Y124" s="729"/>
      <c r="Z124" s="729"/>
      <c r="AA124" s="729"/>
      <c r="AB124" s="729"/>
      <c r="AC124" s="729"/>
      <c r="AD124" s="729"/>
      <c r="AE124" s="729"/>
      <c r="AF124" s="729"/>
      <c r="AG124" s="729"/>
      <c r="AH124" s="729"/>
      <c r="AI124" s="729"/>
      <c r="AJ124" s="729"/>
      <c r="AK124" s="729"/>
      <c r="AL124" s="729"/>
      <c r="AM124" s="729"/>
      <c r="AN124" s="729"/>
      <c r="AO124" s="729"/>
      <c r="AP124" s="732"/>
      <c r="AQ124" s="732"/>
      <c r="AR124" s="732"/>
      <c r="AS124" s="732"/>
      <c r="AT124" s="732"/>
      <c r="AU124" s="732"/>
      <c r="AV124" s="729"/>
    </row>
    <row r="125" spans="1:48" s="237" customFormat="1" ht="15" customHeight="1" outlineLevel="1" x14ac:dyDescent="0.25">
      <c r="A125" s="729"/>
      <c r="B125" s="833" t="s">
        <v>1965</v>
      </c>
      <c r="C125" s="752"/>
      <c r="D125" s="752"/>
      <c r="E125" s="752"/>
      <c r="F125" s="752"/>
      <c r="G125" s="729"/>
      <c r="H125" s="729"/>
      <c r="I125" s="729"/>
      <c r="J125" s="729"/>
      <c r="K125" s="729"/>
      <c r="L125" s="729"/>
      <c r="M125" s="729"/>
      <c r="N125" s="729"/>
      <c r="O125" s="729"/>
      <c r="P125" s="729"/>
      <c r="Q125" s="729"/>
      <c r="R125" s="729"/>
      <c r="S125" s="729"/>
      <c r="T125" s="729"/>
      <c r="U125" s="729"/>
      <c r="V125" s="729"/>
      <c r="W125" s="729"/>
      <c r="X125" s="729"/>
      <c r="Y125" s="729"/>
      <c r="Z125" s="729"/>
      <c r="AA125" s="729"/>
      <c r="AB125" s="729"/>
      <c r="AC125" s="729"/>
      <c r="AD125" s="729"/>
      <c r="AE125" s="729"/>
      <c r="AF125" s="729"/>
      <c r="AG125" s="729"/>
      <c r="AH125" s="729"/>
      <c r="AI125" s="729"/>
      <c r="AJ125" s="729"/>
      <c r="AK125" s="729"/>
      <c r="AL125" s="729"/>
      <c r="AM125" s="729"/>
      <c r="AN125" s="729"/>
      <c r="AO125" s="729"/>
      <c r="AP125" s="732"/>
      <c r="AQ125" s="732"/>
      <c r="AR125" s="732"/>
      <c r="AS125" s="732"/>
      <c r="AT125" s="732"/>
      <c r="AU125" s="732"/>
      <c r="AV125" s="729"/>
    </row>
    <row r="126" spans="1:48" s="237" customFormat="1" ht="15" customHeight="1" outlineLevel="1" x14ac:dyDescent="0.25">
      <c r="A126" s="729"/>
      <c r="B126" s="729"/>
      <c r="C126" s="752"/>
      <c r="D126" s="752"/>
      <c r="E126" s="752"/>
      <c r="F126" s="752"/>
      <c r="G126" s="729"/>
      <c r="H126" s="729"/>
      <c r="I126" s="729"/>
      <c r="J126" s="729"/>
      <c r="K126" s="729"/>
      <c r="L126" s="729"/>
      <c r="M126" s="729"/>
      <c r="N126" s="729"/>
      <c r="O126" s="729"/>
      <c r="P126" s="729"/>
      <c r="Q126" s="729"/>
      <c r="R126" s="729"/>
      <c r="S126" s="729"/>
      <c r="T126" s="729"/>
      <c r="U126" s="729"/>
      <c r="V126" s="729"/>
      <c r="W126" s="729"/>
      <c r="X126" s="729"/>
      <c r="Y126" s="729"/>
      <c r="Z126" s="729"/>
      <c r="AA126" s="729"/>
      <c r="AB126" s="729"/>
      <c r="AC126" s="729"/>
      <c r="AD126" s="729"/>
      <c r="AE126" s="729"/>
      <c r="AF126" s="729"/>
      <c r="AG126" s="729"/>
      <c r="AH126" s="729"/>
      <c r="AI126" s="729"/>
      <c r="AJ126" s="729"/>
      <c r="AK126" s="729"/>
      <c r="AL126" s="729"/>
      <c r="AM126" s="729"/>
      <c r="AN126" s="729"/>
      <c r="AO126" s="729"/>
      <c r="AP126" s="732"/>
      <c r="AQ126" s="732"/>
      <c r="AR126" s="732"/>
      <c r="AS126" s="732"/>
      <c r="AT126" s="732"/>
      <c r="AU126" s="732"/>
      <c r="AV126" s="729"/>
    </row>
    <row r="127" spans="1:48" s="237" customFormat="1" ht="15" customHeight="1" outlineLevel="1" x14ac:dyDescent="0.25">
      <c r="A127" s="729"/>
      <c r="B127" s="729"/>
      <c r="C127" s="759" t="s">
        <v>45</v>
      </c>
      <c r="D127" s="1323" t="s">
        <v>27</v>
      </c>
      <c r="E127" s="1324"/>
      <c r="F127" s="807"/>
      <c r="G127" s="729"/>
      <c r="H127" s="729"/>
      <c r="I127" s="729"/>
      <c r="J127" s="729"/>
      <c r="K127" s="729"/>
      <c r="L127" s="729"/>
      <c r="M127" s="729"/>
      <c r="N127" s="729"/>
      <c r="O127" s="729"/>
      <c r="P127" s="729"/>
      <c r="Q127" s="729"/>
      <c r="R127" s="729"/>
      <c r="S127" s="729"/>
      <c r="T127" s="729"/>
      <c r="U127" s="729"/>
      <c r="V127" s="729"/>
      <c r="W127" s="729"/>
      <c r="X127" s="729"/>
      <c r="Y127" s="729"/>
      <c r="Z127" s="729"/>
      <c r="AA127" s="729"/>
      <c r="AB127" s="729"/>
      <c r="AC127" s="729"/>
      <c r="AD127" s="729"/>
      <c r="AE127" s="729"/>
      <c r="AF127" s="729"/>
      <c r="AG127" s="729"/>
      <c r="AH127" s="729"/>
      <c r="AI127" s="729"/>
      <c r="AJ127" s="729"/>
      <c r="AK127" s="729"/>
      <c r="AL127" s="729"/>
      <c r="AM127" s="729"/>
      <c r="AN127" s="729"/>
      <c r="AO127" s="729"/>
      <c r="AP127" s="732"/>
      <c r="AQ127" s="732"/>
      <c r="AR127" s="732"/>
      <c r="AS127" s="732"/>
      <c r="AT127" s="732"/>
      <c r="AU127" s="732"/>
      <c r="AV127" s="729"/>
    </row>
    <row r="128" spans="1:48" s="237" customFormat="1" ht="15" customHeight="1" outlineLevel="1" x14ac:dyDescent="0.25">
      <c r="A128" s="729"/>
      <c r="B128" s="729"/>
      <c r="C128" s="729" t="s">
        <v>1966</v>
      </c>
      <c r="D128" s="752"/>
      <c r="E128" s="752"/>
      <c r="F128" s="752"/>
      <c r="G128" s="729"/>
      <c r="H128" s="729"/>
      <c r="I128" s="729"/>
      <c r="J128" s="729"/>
      <c r="K128" s="729"/>
      <c r="L128" s="729"/>
      <c r="M128" s="729"/>
      <c r="N128" s="729"/>
      <c r="O128" s="729"/>
      <c r="P128" s="729"/>
      <c r="Q128" s="729"/>
      <c r="R128" s="729"/>
      <c r="S128" s="729"/>
      <c r="T128" s="729"/>
      <c r="U128" s="729"/>
      <c r="V128" s="729"/>
      <c r="W128" s="729"/>
      <c r="X128" s="729"/>
      <c r="Y128" s="729"/>
      <c r="Z128" s="729"/>
      <c r="AA128" s="729"/>
      <c r="AB128" s="729"/>
      <c r="AC128" s="729"/>
      <c r="AD128" s="729"/>
      <c r="AE128" s="729"/>
      <c r="AF128" s="729"/>
      <c r="AG128" s="729"/>
      <c r="AH128" s="729"/>
      <c r="AI128" s="729"/>
      <c r="AJ128" s="729"/>
      <c r="AK128" s="729"/>
      <c r="AL128" s="729"/>
      <c r="AM128" s="729"/>
      <c r="AN128" s="729"/>
      <c r="AO128" s="729"/>
      <c r="AP128" s="732"/>
      <c r="AQ128" s="732"/>
      <c r="AR128" s="732"/>
      <c r="AS128" s="732"/>
      <c r="AT128" s="732"/>
      <c r="AU128" s="732"/>
      <c r="AV128" s="729"/>
    </row>
    <row r="129" spans="1:48" s="237" customFormat="1" ht="15" customHeight="1" outlineLevel="1" x14ac:dyDescent="0.25">
      <c r="A129" s="729"/>
      <c r="B129" s="729"/>
      <c r="C129" s="748"/>
      <c r="D129" s="752"/>
      <c r="E129" s="752"/>
      <c r="F129" s="752"/>
      <c r="G129" s="729"/>
      <c r="H129" s="729"/>
      <c r="I129" s="729"/>
      <c r="J129" s="729"/>
      <c r="K129" s="729"/>
      <c r="L129" s="729"/>
      <c r="M129" s="729"/>
      <c r="N129" s="729"/>
      <c r="O129" s="729"/>
      <c r="P129" s="729"/>
      <c r="Q129" s="729"/>
      <c r="R129" s="729"/>
      <c r="S129" s="729"/>
      <c r="T129" s="729"/>
      <c r="U129" s="729"/>
      <c r="V129" s="729"/>
      <c r="W129" s="729"/>
      <c r="X129" s="729"/>
      <c r="Y129" s="729"/>
      <c r="Z129" s="729"/>
      <c r="AA129" s="729"/>
      <c r="AB129" s="729"/>
      <c r="AC129" s="729"/>
      <c r="AD129" s="729"/>
      <c r="AE129" s="729"/>
      <c r="AF129" s="729"/>
      <c r="AG129" s="729"/>
      <c r="AH129" s="729"/>
      <c r="AI129" s="729"/>
      <c r="AJ129" s="729"/>
      <c r="AK129" s="729"/>
      <c r="AL129" s="729"/>
      <c r="AM129" s="729"/>
      <c r="AN129" s="729"/>
      <c r="AO129" s="729"/>
      <c r="AP129" s="732"/>
      <c r="AQ129" s="732"/>
      <c r="AR129" s="732"/>
      <c r="AS129" s="732"/>
      <c r="AT129" s="732"/>
      <c r="AU129" s="732"/>
      <c r="AV129" s="729"/>
    </row>
    <row r="130" spans="1:48" s="237" customFormat="1" ht="15" customHeight="1" outlineLevel="1" x14ac:dyDescent="0.25">
      <c r="A130" s="729"/>
      <c r="B130" s="833" t="s">
        <v>210</v>
      </c>
      <c r="C130" s="834"/>
      <c r="D130" s="752"/>
      <c r="E130" s="752"/>
      <c r="F130" s="752"/>
      <c r="G130" s="729"/>
      <c r="H130" s="729"/>
      <c r="I130" s="729"/>
      <c r="J130" s="729"/>
      <c r="K130" s="729"/>
      <c r="L130" s="729"/>
      <c r="M130" s="729"/>
      <c r="N130" s="729"/>
      <c r="O130" s="729"/>
      <c r="P130" s="729"/>
      <c r="Q130" s="729"/>
      <c r="R130" s="729"/>
      <c r="S130" s="729"/>
      <c r="T130" s="729"/>
      <c r="U130" s="729"/>
      <c r="V130" s="729"/>
      <c r="W130" s="729"/>
      <c r="X130" s="729"/>
      <c r="Y130" s="729"/>
      <c r="Z130" s="729"/>
      <c r="AA130" s="729"/>
      <c r="AB130" s="729"/>
      <c r="AC130" s="729"/>
      <c r="AD130" s="729"/>
      <c r="AE130" s="729"/>
      <c r="AF130" s="729"/>
      <c r="AG130" s="729"/>
      <c r="AH130" s="729"/>
      <c r="AI130" s="729"/>
      <c r="AJ130" s="729"/>
      <c r="AK130" s="729"/>
      <c r="AL130" s="729"/>
      <c r="AM130" s="729"/>
      <c r="AN130" s="729"/>
      <c r="AO130" s="729"/>
      <c r="AP130" s="732"/>
      <c r="AQ130" s="732"/>
      <c r="AR130" s="732"/>
      <c r="AS130" s="732"/>
      <c r="AT130" s="732"/>
      <c r="AU130" s="732"/>
      <c r="AV130" s="729"/>
    </row>
    <row r="131" spans="1:48" s="237" customFormat="1" ht="15" customHeight="1" outlineLevel="1" x14ac:dyDescent="0.25">
      <c r="A131" s="729"/>
      <c r="B131" s="729"/>
      <c r="C131" s="835" t="s">
        <v>1967</v>
      </c>
      <c r="D131" s="752"/>
      <c r="E131" s="752"/>
      <c r="F131" s="752"/>
      <c r="G131" s="729"/>
      <c r="H131" s="729"/>
      <c r="I131" s="729"/>
      <c r="J131" s="729"/>
      <c r="K131" s="729"/>
      <c r="L131" s="729"/>
      <c r="M131" s="729"/>
      <c r="N131" s="729"/>
      <c r="O131" s="729"/>
      <c r="P131" s="729"/>
      <c r="Q131" s="729"/>
      <c r="R131" s="729"/>
      <c r="S131" s="729"/>
      <c r="T131" s="729"/>
      <c r="U131" s="729"/>
      <c r="V131" s="729"/>
      <c r="W131" s="729"/>
      <c r="X131" s="729"/>
      <c r="Y131" s="729"/>
      <c r="Z131" s="729"/>
      <c r="AA131" s="729"/>
      <c r="AB131" s="729"/>
      <c r="AC131" s="729"/>
      <c r="AD131" s="729"/>
      <c r="AE131" s="729"/>
      <c r="AF131" s="729"/>
      <c r="AG131" s="729"/>
      <c r="AH131" s="729"/>
      <c r="AI131" s="729"/>
      <c r="AJ131" s="729"/>
      <c r="AK131" s="729"/>
      <c r="AL131" s="729"/>
      <c r="AM131" s="729"/>
      <c r="AN131" s="729"/>
      <c r="AO131" s="729"/>
      <c r="AP131" s="732"/>
      <c r="AQ131" s="732"/>
      <c r="AR131" s="732"/>
      <c r="AS131" s="732"/>
      <c r="AT131" s="732"/>
      <c r="AU131" s="732"/>
      <c r="AV131" s="729"/>
    </row>
    <row r="132" spans="1:48" s="237" customFormat="1" ht="15" customHeight="1" outlineLevel="1" x14ac:dyDescent="0.25">
      <c r="A132" s="729"/>
      <c r="B132" s="729"/>
      <c r="C132" s="835" t="s">
        <v>1445</v>
      </c>
      <c r="D132" s="729"/>
      <c r="E132" s="729"/>
      <c r="F132" s="729"/>
      <c r="G132" s="729"/>
      <c r="H132" s="729"/>
      <c r="I132" s="729"/>
      <c r="J132" s="729"/>
      <c r="K132" s="729"/>
      <c r="L132" s="729"/>
      <c r="M132" s="729"/>
      <c r="N132" s="729"/>
      <c r="O132" s="729"/>
      <c r="P132" s="729"/>
      <c r="Q132" s="729"/>
      <c r="R132" s="729"/>
      <c r="S132" s="729"/>
      <c r="T132" s="729"/>
      <c r="U132" s="729"/>
      <c r="V132" s="729"/>
      <c r="W132" s="729"/>
      <c r="X132" s="729"/>
      <c r="Y132" s="729"/>
      <c r="Z132" s="729"/>
      <c r="AA132" s="729"/>
      <c r="AB132" s="729"/>
      <c r="AC132" s="729"/>
      <c r="AD132" s="729"/>
      <c r="AE132" s="729"/>
      <c r="AF132" s="729"/>
      <c r="AG132" s="729"/>
      <c r="AH132" s="729"/>
      <c r="AI132" s="729"/>
      <c r="AJ132" s="729"/>
      <c r="AK132" s="729"/>
      <c r="AL132" s="729"/>
      <c r="AM132" s="729"/>
      <c r="AN132" s="729"/>
      <c r="AO132" s="729"/>
      <c r="AP132" s="732"/>
      <c r="AQ132" s="732"/>
      <c r="AR132" s="732"/>
      <c r="AS132" s="732"/>
      <c r="AT132" s="732"/>
      <c r="AU132" s="732"/>
      <c r="AV132" s="729"/>
    </row>
    <row r="133" spans="1:48" s="237" customFormat="1" ht="15" customHeight="1" outlineLevel="1" x14ac:dyDescent="0.35">
      <c r="A133" s="729"/>
      <c r="B133" s="729"/>
      <c r="C133" s="759" t="s">
        <v>1446</v>
      </c>
      <c r="D133" s="1323" t="s">
        <v>1447</v>
      </c>
      <c r="E133" s="1324"/>
      <c r="F133" s="807"/>
      <c r="G133" s="729"/>
      <c r="H133" s="729"/>
      <c r="I133" s="729"/>
      <c r="J133" s="729"/>
      <c r="K133" s="729"/>
      <c r="L133" s="729"/>
      <c r="M133" s="729"/>
      <c r="N133" s="729"/>
      <c r="O133" s="729"/>
      <c r="P133" s="729"/>
      <c r="Q133" s="729"/>
      <c r="R133" s="729"/>
      <c r="S133" s="729"/>
      <c r="T133" s="729"/>
      <c r="U133" s="729"/>
      <c r="V133" s="729"/>
      <c r="W133" s="729"/>
      <c r="X133" s="729"/>
      <c r="Y133" s="729"/>
      <c r="Z133" s="729"/>
      <c r="AA133" s="729"/>
      <c r="AB133" s="729"/>
      <c r="AC133" s="729"/>
      <c r="AD133" s="729"/>
      <c r="AE133" s="729"/>
      <c r="AF133" s="729"/>
      <c r="AG133" s="729"/>
      <c r="AH133" s="729"/>
      <c r="AI133" s="729"/>
      <c r="AJ133" s="729"/>
      <c r="AK133" s="729"/>
      <c r="AL133" s="729"/>
      <c r="AM133" s="729"/>
      <c r="AN133" s="729"/>
      <c r="AO133" s="729"/>
      <c r="AP133" s="732"/>
      <c r="AQ133" s="732"/>
      <c r="AR133" s="732"/>
      <c r="AS133" s="732"/>
      <c r="AT133" s="732"/>
      <c r="AU133" s="732"/>
      <c r="AV133" s="729"/>
    </row>
    <row r="134" spans="1:48" s="237" customFormat="1" ht="15" customHeight="1" outlineLevel="1" x14ac:dyDescent="0.35">
      <c r="A134" s="729"/>
      <c r="B134" s="729"/>
      <c r="C134" s="759" t="s">
        <v>1448</v>
      </c>
      <c r="D134" s="1323" t="s">
        <v>1449</v>
      </c>
      <c r="E134" s="1324"/>
      <c r="F134" s="807"/>
      <c r="G134" s="729"/>
      <c r="H134" s="729"/>
      <c r="I134" s="729"/>
      <c r="J134" s="729"/>
      <c r="K134" s="729"/>
      <c r="L134" s="729"/>
      <c r="M134" s="729"/>
      <c r="N134" s="729"/>
      <c r="O134" s="729"/>
      <c r="P134" s="729"/>
      <c r="Q134" s="729"/>
      <c r="R134" s="729"/>
      <c r="S134" s="729"/>
      <c r="T134" s="729"/>
      <c r="U134" s="729"/>
      <c r="V134" s="729"/>
      <c r="W134" s="729"/>
      <c r="X134" s="729"/>
      <c r="Y134" s="729"/>
      <c r="Z134" s="729"/>
      <c r="AA134" s="729"/>
      <c r="AB134" s="729"/>
      <c r="AC134" s="729"/>
      <c r="AD134" s="729"/>
      <c r="AE134" s="729"/>
      <c r="AF134" s="729"/>
      <c r="AG134" s="729"/>
      <c r="AH134" s="729"/>
      <c r="AI134" s="729"/>
      <c r="AJ134" s="729"/>
      <c r="AK134" s="729"/>
      <c r="AL134" s="729"/>
      <c r="AM134" s="729"/>
      <c r="AN134" s="729"/>
      <c r="AO134" s="729"/>
      <c r="AP134" s="732"/>
      <c r="AQ134" s="732"/>
      <c r="AR134" s="732"/>
      <c r="AS134" s="732"/>
      <c r="AT134" s="732"/>
      <c r="AU134" s="732"/>
      <c r="AV134" s="729"/>
    </row>
    <row r="135" spans="1:48" s="237" customFormat="1" ht="15" customHeight="1" outlineLevel="1" x14ac:dyDescent="0.25">
      <c r="A135" s="729"/>
      <c r="B135" s="729"/>
      <c r="C135" s="729"/>
      <c r="D135" s="729"/>
      <c r="E135" s="729"/>
      <c r="F135" s="729"/>
      <c r="G135" s="729"/>
      <c r="H135" s="729"/>
      <c r="I135" s="729"/>
      <c r="J135" s="729"/>
      <c r="K135" s="729"/>
      <c r="L135" s="729"/>
      <c r="M135" s="729"/>
      <c r="N135" s="729"/>
      <c r="O135" s="729"/>
      <c r="P135" s="729"/>
      <c r="Q135" s="729"/>
      <c r="R135" s="729"/>
      <c r="S135" s="729"/>
      <c r="T135" s="729"/>
      <c r="U135" s="729"/>
      <c r="V135" s="729"/>
      <c r="W135" s="729"/>
      <c r="X135" s="729"/>
      <c r="Y135" s="729"/>
      <c r="Z135" s="729"/>
      <c r="AA135" s="729"/>
      <c r="AB135" s="729"/>
      <c r="AC135" s="729"/>
      <c r="AD135" s="729"/>
      <c r="AE135" s="729"/>
      <c r="AF135" s="729"/>
      <c r="AG135" s="729"/>
      <c r="AH135" s="729"/>
      <c r="AI135" s="729"/>
      <c r="AJ135" s="729"/>
      <c r="AK135" s="729"/>
      <c r="AL135" s="729"/>
      <c r="AM135" s="729"/>
      <c r="AN135" s="729"/>
      <c r="AO135" s="729"/>
      <c r="AP135" s="732"/>
      <c r="AQ135" s="732"/>
      <c r="AR135" s="732"/>
      <c r="AS135" s="732"/>
      <c r="AT135" s="732"/>
      <c r="AU135" s="732"/>
      <c r="AV135" s="729"/>
    </row>
    <row r="136" spans="1:48" s="237" customFormat="1" ht="15" customHeight="1" outlineLevel="1" x14ac:dyDescent="0.35">
      <c r="A136" s="833"/>
      <c r="B136" s="833" t="s">
        <v>1450</v>
      </c>
      <c r="C136" s="833"/>
      <c r="D136" s="833"/>
      <c r="E136" s="833"/>
      <c r="F136" s="833"/>
      <c r="G136" s="833"/>
      <c r="H136" s="833"/>
      <c r="I136" s="833"/>
      <c r="J136" s="833"/>
      <c r="K136" s="833"/>
      <c r="L136" s="833"/>
      <c r="M136" s="833"/>
      <c r="N136" s="833"/>
      <c r="O136" s="833"/>
      <c r="P136" s="833"/>
      <c r="Q136" s="833"/>
      <c r="R136" s="833"/>
      <c r="S136" s="833"/>
      <c r="T136" s="833"/>
      <c r="U136" s="833"/>
      <c r="V136" s="833"/>
      <c r="W136" s="833"/>
      <c r="X136" s="833"/>
      <c r="Y136" s="833"/>
      <c r="Z136" s="833"/>
      <c r="AA136" s="833"/>
      <c r="AB136" s="833"/>
      <c r="AC136" s="833"/>
      <c r="AD136" s="833"/>
      <c r="AE136" s="833"/>
      <c r="AF136" s="833"/>
      <c r="AG136" s="833"/>
      <c r="AH136" s="833"/>
      <c r="AI136" s="833"/>
      <c r="AJ136" s="833"/>
      <c r="AK136" s="833"/>
      <c r="AL136" s="833"/>
      <c r="AM136" s="833"/>
      <c r="AN136" s="833"/>
      <c r="AO136" s="833"/>
      <c r="AP136" s="836"/>
      <c r="AQ136" s="836"/>
      <c r="AR136" s="836"/>
      <c r="AS136" s="836"/>
      <c r="AT136" s="836"/>
      <c r="AU136" s="836"/>
      <c r="AV136" s="833"/>
    </row>
    <row r="137" spans="1:48" s="237" customFormat="1" ht="15" customHeight="1" outlineLevel="1" x14ac:dyDescent="0.35">
      <c r="A137" s="729"/>
      <c r="B137" s="729"/>
      <c r="C137" s="752" t="s">
        <v>1451</v>
      </c>
      <c r="D137" s="729"/>
      <c r="E137" s="729"/>
      <c r="F137" s="729"/>
      <c r="G137" s="729"/>
      <c r="H137" s="729"/>
      <c r="I137" s="729"/>
      <c r="J137" s="729"/>
      <c r="K137" s="729"/>
      <c r="L137" s="729"/>
      <c r="M137" s="729"/>
      <c r="N137" s="729"/>
      <c r="O137" s="729"/>
      <c r="P137" s="729"/>
      <c r="Q137" s="729"/>
      <c r="R137" s="729"/>
      <c r="S137" s="729"/>
      <c r="T137" s="729"/>
      <c r="U137" s="729"/>
      <c r="V137" s="729"/>
      <c r="W137" s="729"/>
      <c r="X137" s="729"/>
      <c r="Y137" s="729"/>
      <c r="Z137" s="729"/>
      <c r="AA137" s="729"/>
      <c r="AB137" s="729"/>
      <c r="AC137" s="729"/>
      <c r="AD137" s="729"/>
      <c r="AE137" s="729"/>
      <c r="AF137" s="729"/>
      <c r="AG137" s="729"/>
      <c r="AH137" s="729"/>
      <c r="AI137" s="729"/>
      <c r="AJ137" s="729"/>
      <c r="AK137" s="729"/>
      <c r="AL137" s="729"/>
      <c r="AM137" s="729"/>
      <c r="AN137" s="729"/>
      <c r="AO137" s="729"/>
      <c r="AP137" s="732"/>
      <c r="AQ137" s="732"/>
      <c r="AR137" s="732"/>
      <c r="AS137" s="732"/>
      <c r="AT137" s="732"/>
      <c r="AU137" s="732"/>
      <c r="AV137" s="729"/>
    </row>
    <row r="138" spans="1:48" s="237" customFormat="1" ht="15" customHeight="1" outlineLevel="1" x14ac:dyDescent="0.35">
      <c r="A138" s="729"/>
      <c r="B138" s="729"/>
      <c r="C138" s="837" t="s">
        <v>1452</v>
      </c>
      <c r="D138" s="1326" t="s">
        <v>1437</v>
      </c>
      <c r="E138" s="1327"/>
      <c r="F138" s="838"/>
      <c r="G138" s="729"/>
      <c r="H138" s="729"/>
      <c r="I138" s="729"/>
      <c r="J138" s="729"/>
      <c r="K138" s="729"/>
      <c r="L138" s="729"/>
      <c r="M138" s="729"/>
      <c r="N138" s="729"/>
      <c r="O138" s="729"/>
      <c r="P138" s="729"/>
      <c r="Q138" s="729"/>
      <c r="R138" s="729"/>
      <c r="S138" s="729"/>
      <c r="T138" s="729"/>
      <c r="U138" s="729"/>
      <c r="V138" s="729"/>
      <c r="W138" s="729"/>
      <c r="X138" s="729"/>
      <c r="Y138" s="729"/>
      <c r="Z138" s="729"/>
      <c r="AA138" s="729"/>
      <c r="AB138" s="729"/>
      <c r="AC138" s="729"/>
      <c r="AD138" s="729"/>
      <c r="AE138" s="729"/>
      <c r="AF138" s="729"/>
      <c r="AG138" s="729"/>
      <c r="AH138" s="729"/>
      <c r="AI138" s="729"/>
      <c r="AJ138" s="729"/>
      <c r="AK138" s="729"/>
      <c r="AL138" s="729"/>
      <c r="AM138" s="729"/>
      <c r="AN138" s="729"/>
      <c r="AO138" s="729"/>
      <c r="AP138" s="732"/>
      <c r="AQ138" s="732"/>
      <c r="AR138" s="732"/>
      <c r="AS138" s="732"/>
      <c r="AT138" s="732"/>
      <c r="AU138" s="732"/>
      <c r="AV138" s="729"/>
    </row>
    <row r="139" spans="1:48" s="237" customFormat="1" ht="15" customHeight="1" outlineLevel="1" x14ac:dyDescent="0.25">
      <c r="A139" s="729"/>
      <c r="B139" s="729"/>
      <c r="C139" s="816" t="s">
        <v>1968</v>
      </c>
      <c r="D139" s="729"/>
      <c r="E139" s="729"/>
      <c r="F139" s="729"/>
      <c r="G139" s="729"/>
      <c r="H139" s="729"/>
      <c r="I139" s="729"/>
      <c r="J139" s="729"/>
      <c r="K139" s="729"/>
      <c r="L139" s="729"/>
      <c r="M139" s="729"/>
      <c r="N139" s="729"/>
      <c r="O139" s="729"/>
      <c r="P139" s="729"/>
      <c r="Q139" s="729"/>
      <c r="R139" s="729"/>
      <c r="S139" s="729"/>
      <c r="T139" s="729"/>
      <c r="U139" s="729"/>
      <c r="V139" s="729"/>
      <c r="W139" s="729"/>
      <c r="X139" s="729"/>
      <c r="Y139" s="729"/>
      <c r="Z139" s="729"/>
      <c r="AA139" s="729"/>
      <c r="AB139" s="729"/>
      <c r="AC139" s="729"/>
      <c r="AD139" s="729"/>
      <c r="AE139" s="729"/>
      <c r="AF139" s="729"/>
      <c r="AG139" s="729"/>
      <c r="AH139" s="729"/>
      <c r="AI139" s="729"/>
      <c r="AJ139" s="729"/>
      <c r="AK139" s="729"/>
      <c r="AL139" s="729"/>
      <c r="AM139" s="729"/>
      <c r="AN139" s="729"/>
      <c r="AO139" s="729"/>
      <c r="AP139" s="732"/>
      <c r="AQ139" s="732"/>
      <c r="AR139" s="732"/>
      <c r="AS139" s="732"/>
      <c r="AT139" s="732"/>
      <c r="AU139" s="732"/>
      <c r="AV139" s="729"/>
    </row>
    <row r="140" spans="1:48" s="237" customFormat="1" ht="15" customHeight="1" outlineLevel="1" x14ac:dyDescent="0.25">
      <c r="A140" s="729"/>
      <c r="B140" s="729"/>
      <c r="C140" s="817"/>
      <c r="D140" s="729"/>
      <c r="E140" s="729"/>
      <c r="F140" s="729"/>
      <c r="G140" s="729"/>
      <c r="H140" s="729"/>
      <c r="I140" s="729"/>
      <c r="J140" s="729"/>
      <c r="K140" s="729"/>
      <c r="L140" s="729"/>
      <c r="M140" s="729"/>
      <c r="N140" s="729"/>
      <c r="O140" s="729"/>
      <c r="P140" s="729"/>
      <c r="Q140" s="729"/>
      <c r="R140" s="729"/>
      <c r="S140" s="729"/>
      <c r="T140" s="729"/>
      <c r="U140" s="729"/>
      <c r="V140" s="729"/>
      <c r="W140" s="729"/>
      <c r="X140" s="729"/>
      <c r="Y140" s="729"/>
      <c r="Z140" s="729"/>
      <c r="AA140" s="729"/>
      <c r="AB140" s="729"/>
      <c r="AC140" s="729"/>
      <c r="AD140" s="729"/>
      <c r="AE140" s="729"/>
      <c r="AF140" s="729"/>
      <c r="AG140" s="729"/>
      <c r="AH140" s="729"/>
      <c r="AI140" s="729"/>
      <c r="AJ140" s="729"/>
      <c r="AK140" s="729"/>
      <c r="AL140" s="729"/>
      <c r="AM140" s="729"/>
      <c r="AN140" s="729"/>
      <c r="AO140" s="729"/>
      <c r="AP140" s="732"/>
      <c r="AQ140" s="732"/>
      <c r="AR140" s="732"/>
      <c r="AS140" s="732"/>
      <c r="AT140" s="732"/>
      <c r="AU140" s="732"/>
      <c r="AV140" s="729"/>
    </row>
    <row r="141" spans="1:48" s="237" customFormat="1" ht="15" customHeight="1" outlineLevel="1" x14ac:dyDescent="0.25">
      <c r="A141" s="729"/>
      <c r="B141" s="729"/>
      <c r="C141" s="759" t="s">
        <v>43</v>
      </c>
      <c r="D141" s="818"/>
      <c r="E141" s="839"/>
      <c r="F141" s="729"/>
      <c r="G141" s="729"/>
      <c r="H141" s="729"/>
      <c r="I141" s="729"/>
      <c r="J141" s="729"/>
      <c r="K141" s="729"/>
      <c r="L141" s="729"/>
      <c r="M141" s="729"/>
      <c r="N141" s="729"/>
      <c r="O141" s="729"/>
      <c r="P141" s="729"/>
      <c r="Q141" s="729"/>
      <c r="R141" s="729"/>
      <c r="S141" s="729"/>
      <c r="T141" s="729"/>
      <c r="U141" s="729"/>
      <c r="V141" s="729"/>
      <c r="W141" s="729"/>
      <c r="X141" s="729"/>
      <c r="Y141" s="729"/>
      <c r="Z141" s="729"/>
      <c r="AA141" s="729"/>
      <c r="AB141" s="729"/>
      <c r="AC141" s="729"/>
      <c r="AD141" s="729"/>
      <c r="AE141" s="729"/>
      <c r="AF141" s="729"/>
      <c r="AG141" s="729"/>
      <c r="AH141" s="729"/>
      <c r="AI141" s="729"/>
      <c r="AJ141" s="729"/>
      <c r="AK141" s="729"/>
      <c r="AL141" s="729"/>
      <c r="AM141" s="729"/>
      <c r="AN141" s="729"/>
      <c r="AO141" s="729"/>
      <c r="AP141" s="732"/>
      <c r="AQ141" s="732"/>
      <c r="AR141" s="732"/>
      <c r="AS141" s="732"/>
      <c r="AT141" s="732"/>
      <c r="AU141" s="732"/>
      <c r="AV141" s="729"/>
    </row>
    <row r="142" spans="1:48" s="237" customFormat="1" ht="15" customHeight="1" outlineLevel="1" x14ac:dyDescent="0.25">
      <c r="A142" s="729"/>
      <c r="B142" s="729"/>
      <c r="C142" s="819"/>
      <c r="D142" s="729"/>
      <c r="E142" s="729"/>
      <c r="F142" s="729"/>
      <c r="G142" s="729"/>
      <c r="H142" s="729"/>
      <c r="I142" s="729"/>
      <c r="J142" s="729"/>
      <c r="K142" s="729"/>
      <c r="L142" s="729"/>
      <c r="M142" s="729"/>
      <c r="N142" s="729"/>
      <c r="O142" s="729"/>
      <c r="P142" s="729"/>
      <c r="Q142" s="729"/>
      <c r="R142" s="729"/>
      <c r="S142" s="729"/>
      <c r="T142" s="729"/>
      <c r="U142" s="729"/>
      <c r="V142" s="729"/>
      <c r="W142" s="729"/>
      <c r="X142" s="729"/>
      <c r="Y142" s="729"/>
      <c r="Z142" s="729"/>
      <c r="AA142" s="729"/>
      <c r="AB142" s="729"/>
      <c r="AC142" s="729"/>
      <c r="AD142" s="729"/>
      <c r="AE142" s="729"/>
      <c r="AF142" s="729"/>
      <c r="AG142" s="729"/>
      <c r="AH142" s="729"/>
      <c r="AI142" s="729"/>
      <c r="AJ142" s="729"/>
      <c r="AK142" s="729"/>
      <c r="AL142" s="729"/>
      <c r="AM142" s="729"/>
      <c r="AN142" s="729"/>
      <c r="AO142" s="729"/>
      <c r="AP142" s="732"/>
      <c r="AQ142" s="732"/>
      <c r="AR142" s="732"/>
      <c r="AS142" s="732"/>
      <c r="AT142" s="732"/>
      <c r="AU142" s="732"/>
      <c r="AV142" s="729"/>
    </row>
    <row r="143" spans="1:48" s="237" customFormat="1" ht="15" customHeight="1" outlineLevel="1" x14ac:dyDescent="0.25">
      <c r="A143" s="729"/>
      <c r="B143" s="729"/>
      <c r="C143" s="819"/>
      <c r="D143" s="729"/>
      <c r="E143" s="729"/>
      <c r="F143" s="729"/>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c r="AJ143" s="729"/>
      <c r="AK143" s="729"/>
      <c r="AL143" s="729"/>
      <c r="AM143" s="729"/>
      <c r="AN143" s="729"/>
      <c r="AO143" s="729"/>
      <c r="AP143" s="732"/>
      <c r="AQ143" s="732"/>
      <c r="AR143" s="732"/>
      <c r="AS143" s="732"/>
      <c r="AT143" s="732"/>
      <c r="AU143" s="732"/>
      <c r="AV143" s="729"/>
    </row>
    <row r="144" spans="1:48" s="237" customFormat="1" ht="15" customHeight="1" outlineLevel="1" x14ac:dyDescent="0.25">
      <c r="A144" s="729"/>
      <c r="B144" s="727" t="s">
        <v>268</v>
      </c>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c r="AJ144" s="729"/>
      <c r="AK144" s="729"/>
      <c r="AL144" s="729"/>
      <c r="AM144" s="729"/>
      <c r="AN144" s="729"/>
      <c r="AO144" s="729"/>
      <c r="AP144" s="732"/>
      <c r="AQ144" s="732"/>
      <c r="AR144" s="732"/>
      <c r="AS144" s="732"/>
      <c r="AT144" s="732"/>
      <c r="AU144" s="732"/>
      <c r="AV144" s="729"/>
    </row>
    <row r="145" spans="1:48" s="237" customFormat="1" ht="15" customHeight="1" outlineLevel="1" x14ac:dyDescent="0.25">
      <c r="A145" s="729"/>
      <c r="B145" s="727"/>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c r="AJ145" s="729"/>
      <c r="AK145" s="729"/>
      <c r="AL145" s="729"/>
      <c r="AM145" s="729"/>
      <c r="AN145" s="729"/>
      <c r="AO145" s="729"/>
      <c r="AP145" s="732"/>
      <c r="AQ145" s="732"/>
      <c r="AR145" s="732"/>
      <c r="AS145" s="732"/>
      <c r="AT145" s="732"/>
      <c r="AU145" s="732"/>
      <c r="AV145" s="729"/>
    </row>
    <row r="146" spans="1:48" s="237" customFormat="1" ht="15" customHeight="1" outlineLevel="1" x14ac:dyDescent="0.35">
      <c r="A146" s="729"/>
      <c r="B146" s="729"/>
      <c r="C146" s="757" t="s">
        <v>1453</v>
      </c>
      <c r="D146" s="800" t="s">
        <v>1439</v>
      </c>
      <c r="E146" s="840">
        <f>($F$127*IF($F$133=0, 4,$F$133)*(10^(-3)))-$F$138</f>
        <v>0</v>
      </c>
      <c r="F146" s="729" t="str">
        <f>IF($E$146&lt;0, " O dado de CH4 recuperado é maior que o de CH4 gerado. Insira um dado válido.","")</f>
        <v/>
      </c>
      <c r="G146" s="729"/>
      <c r="H146" s="729"/>
      <c r="I146" s="729"/>
      <c r="J146" s="729"/>
      <c r="K146" s="729"/>
      <c r="L146" s="729"/>
      <c r="M146" s="729"/>
      <c r="N146" s="729"/>
      <c r="O146" s="729"/>
      <c r="P146" s="729"/>
      <c r="Q146" s="729"/>
      <c r="R146" s="729"/>
      <c r="S146" s="729"/>
      <c r="T146" s="729"/>
      <c r="U146" s="729"/>
      <c r="V146" s="729"/>
      <c r="W146" s="729"/>
      <c r="X146" s="729"/>
      <c r="Y146" s="729"/>
      <c r="Z146" s="729"/>
      <c r="AA146" s="729"/>
      <c r="AB146" s="729"/>
      <c r="AC146" s="729"/>
      <c r="AD146" s="729"/>
      <c r="AE146" s="729"/>
      <c r="AF146" s="729"/>
      <c r="AG146" s="729"/>
      <c r="AH146" s="729"/>
      <c r="AI146" s="729"/>
      <c r="AJ146" s="729"/>
      <c r="AK146" s="729"/>
      <c r="AL146" s="729"/>
      <c r="AM146" s="729"/>
      <c r="AN146" s="729"/>
      <c r="AO146" s="729"/>
      <c r="AP146" s="732"/>
      <c r="AQ146" s="732"/>
      <c r="AR146" s="732"/>
      <c r="AS146" s="732"/>
      <c r="AT146" s="732"/>
      <c r="AU146" s="732"/>
      <c r="AV146" s="729"/>
    </row>
    <row r="147" spans="1:48" s="237" customFormat="1" ht="15" customHeight="1" outlineLevel="1" x14ac:dyDescent="0.35">
      <c r="A147" s="729"/>
      <c r="B147" s="729"/>
      <c r="C147" s="841" t="s">
        <v>1454</v>
      </c>
      <c r="D147" s="842" t="s">
        <v>1455</v>
      </c>
      <c r="E147" s="843">
        <f>$F$127*IF($F$134=0,0.3,$F$134)*(10^(-3))</f>
        <v>0</v>
      </c>
      <c r="G147" s="729"/>
      <c r="H147" s="729"/>
      <c r="I147" s="729"/>
      <c r="J147" s="729"/>
      <c r="K147" s="729"/>
      <c r="L147" s="729"/>
      <c r="M147" s="729"/>
      <c r="N147" s="729"/>
      <c r="O147" s="729"/>
      <c r="P147" s="729"/>
      <c r="Q147" s="729"/>
      <c r="R147" s="729"/>
      <c r="S147" s="729"/>
      <c r="T147" s="729"/>
      <c r="U147" s="729"/>
      <c r="V147" s="729"/>
      <c r="W147" s="729"/>
      <c r="X147" s="729"/>
      <c r="Y147" s="729"/>
      <c r="Z147" s="729"/>
      <c r="AA147" s="729"/>
      <c r="AB147" s="729"/>
      <c r="AC147" s="729"/>
      <c r="AD147" s="729"/>
      <c r="AE147" s="729"/>
      <c r="AF147" s="729"/>
      <c r="AG147" s="729"/>
      <c r="AH147" s="729"/>
      <c r="AI147" s="729"/>
      <c r="AJ147" s="729"/>
      <c r="AK147" s="729"/>
      <c r="AL147" s="729"/>
      <c r="AM147" s="729"/>
      <c r="AN147" s="729"/>
      <c r="AO147" s="729"/>
      <c r="AP147" s="732"/>
      <c r="AQ147" s="732"/>
      <c r="AR147" s="732"/>
      <c r="AS147" s="732"/>
      <c r="AT147" s="732"/>
      <c r="AU147" s="732"/>
      <c r="AV147" s="729"/>
    </row>
    <row r="148" spans="1:48" s="237" customFormat="1" ht="15" customHeight="1" outlineLevel="1" x14ac:dyDescent="0.35">
      <c r="A148" s="729"/>
      <c r="B148" s="729"/>
      <c r="C148" s="757" t="s">
        <v>1456</v>
      </c>
      <c r="D148" s="800" t="s">
        <v>1440</v>
      </c>
      <c r="E148" s="843">
        <f>IF(E146&lt;0,0,(E146*gwp_CH4+E147*gwp_N2O))</f>
        <v>0</v>
      </c>
      <c r="F148" s="729"/>
      <c r="G148" s="729"/>
      <c r="H148" s="729"/>
      <c r="I148" s="729"/>
      <c r="J148" s="729"/>
      <c r="K148" s="729"/>
      <c r="L148" s="729"/>
      <c r="M148" s="729"/>
      <c r="N148" s="729"/>
      <c r="O148" s="729"/>
      <c r="P148" s="729"/>
      <c r="Q148" s="729"/>
      <c r="R148" s="729"/>
      <c r="S148" s="729"/>
      <c r="T148" s="729"/>
      <c r="U148" s="729"/>
      <c r="V148" s="729"/>
      <c r="W148" s="729"/>
      <c r="X148" s="729"/>
      <c r="Y148" s="729"/>
      <c r="Z148" s="729"/>
      <c r="AA148" s="729"/>
      <c r="AB148" s="729"/>
      <c r="AC148" s="729"/>
      <c r="AD148" s="729"/>
      <c r="AE148" s="729"/>
      <c r="AF148" s="729"/>
      <c r="AG148" s="729"/>
      <c r="AH148" s="729"/>
      <c r="AI148" s="729"/>
      <c r="AJ148" s="729"/>
      <c r="AK148" s="729"/>
      <c r="AL148" s="729"/>
      <c r="AM148" s="729"/>
      <c r="AN148" s="729"/>
      <c r="AO148" s="729"/>
      <c r="AP148" s="732"/>
      <c r="AQ148" s="732"/>
      <c r="AR148" s="732"/>
      <c r="AS148" s="732"/>
      <c r="AT148" s="732"/>
      <c r="AU148" s="732"/>
      <c r="AV148" s="729"/>
    </row>
    <row r="149" spans="1:48" s="237" customFormat="1" ht="15" customHeight="1" outlineLevel="1" x14ac:dyDescent="0.35">
      <c r="A149" s="729"/>
      <c r="B149" s="729"/>
      <c r="C149" s="780" t="s">
        <v>1969</v>
      </c>
      <c r="D149" s="800" t="s">
        <v>1441</v>
      </c>
      <c r="E149" s="843">
        <f>IF($D$141=$BI$48,$F$138*(44/16),0)</f>
        <v>0</v>
      </c>
      <c r="F149" s="729"/>
      <c r="G149" s="729"/>
      <c r="H149" s="729"/>
      <c r="I149" s="729"/>
      <c r="J149" s="729"/>
      <c r="K149" s="729"/>
      <c r="L149" s="729"/>
      <c r="M149" s="729"/>
      <c r="N149" s="729"/>
      <c r="O149" s="729"/>
      <c r="P149" s="729"/>
      <c r="Q149" s="729"/>
      <c r="R149" s="729"/>
      <c r="S149" s="729"/>
      <c r="T149" s="729"/>
      <c r="U149" s="729"/>
      <c r="V149" s="729"/>
      <c r="W149" s="729"/>
      <c r="X149" s="729"/>
      <c r="Y149" s="729"/>
      <c r="Z149" s="729"/>
      <c r="AA149" s="729"/>
      <c r="AB149" s="729"/>
      <c r="AC149" s="729"/>
      <c r="AD149" s="729"/>
      <c r="AE149" s="729"/>
      <c r="AF149" s="729"/>
      <c r="AG149" s="729"/>
      <c r="AH149" s="729"/>
      <c r="AI149" s="729"/>
      <c r="AJ149" s="729"/>
      <c r="AK149" s="729"/>
      <c r="AL149" s="729"/>
      <c r="AM149" s="729"/>
      <c r="AN149" s="729"/>
      <c r="AO149" s="729"/>
      <c r="AP149" s="732"/>
      <c r="AQ149" s="732"/>
      <c r="AR149" s="732"/>
      <c r="AS149" s="732"/>
      <c r="AT149" s="732"/>
      <c r="AU149" s="732"/>
      <c r="AV149" s="729"/>
    </row>
    <row r="150" spans="1:48" s="237" customFormat="1" ht="15" customHeight="1" collapsed="1" x14ac:dyDescent="0.25">
      <c r="A150" s="729"/>
      <c r="B150" s="729"/>
      <c r="C150" s="729"/>
      <c r="D150" s="727"/>
      <c r="E150" s="731"/>
      <c r="F150" s="731"/>
      <c r="G150" s="729"/>
      <c r="H150" s="729"/>
      <c r="I150" s="729"/>
      <c r="J150" s="729"/>
      <c r="K150" s="729"/>
      <c r="L150" s="729"/>
      <c r="M150" s="729"/>
      <c r="N150" s="729"/>
      <c r="O150" s="729"/>
      <c r="P150" s="729"/>
      <c r="Q150" s="729"/>
      <c r="R150" s="729"/>
      <c r="S150" s="729"/>
      <c r="T150" s="729"/>
      <c r="U150" s="729"/>
      <c r="V150" s="729"/>
      <c r="W150" s="729"/>
      <c r="X150" s="729"/>
      <c r="Y150" s="729"/>
      <c r="Z150" s="729"/>
      <c r="AA150" s="729"/>
      <c r="AB150" s="729"/>
      <c r="AC150" s="729"/>
      <c r="AD150" s="729"/>
      <c r="AE150" s="729"/>
      <c r="AF150" s="729"/>
      <c r="AG150" s="729"/>
      <c r="AH150" s="729"/>
      <c r="AI150" s="729"/>
      <c r="AJ150" s="729"/>
      <c r="AK150" s="729"/>
      <c r="AL150" s="729"/>
      <c r="AM150" s="729"/>
      <c r="AN150" s="729"/>
      <c r="AO150" s="729"/>
      <c r="AP150" s="732"/>
      <c r="AQ150" s="732"/>
      <c r="AR150" s="732"/>
      <c r="AS150" s="732"/>
      <c r="AT150" s="732"/>
      <c r="AU150" s="732"/>
      <c r="AV150" s="729"/>
    </row>
    <row r="151" spans="1:48" s="463" customFormat="1" ht="18" customHeight="1" x14ac:dyDescent="0.3">
      <c r="A151" s="458"/>
      <c r="B151" s="733" t="s">
        <v>46</v>
      </c>
      <c r="C151" s="459"/>
      <c r="D151" s="460"/>
      <c r="E151" s="460"/>
      <c r="F151" s="460"/>
      <c r="G151" s="461"/>
      <c r="H151" s="461"/>
      <c r="I151" s="461"/>
      <c r="J151" s="461"/>
      <c r="K151" s="461"/>
      <c r="L151" s="461"/>
      <c r="M151" s="461"/>
      <c r="N151" s="461"/>
      <c r="O151" s="461"/>
      <c r="P151" s="461"/>
      <c r="Q151" s="461"/>
      <c r="R151" s="461"/>
      <c r="S151" s="461"/>
      <c r="T151" s="461"/>
      <c r="U151" s="461"/>
      <c r="V151" s="461"/>
      <c r="W151" s="461"/>
      <c r="X151" s="461"/>
      <c r="Y151" s="461"/>
      <c r="Z151" s="461"/>
      <c r="AA151" s="461"/>
      <c r="AB151" s="830"/>
      <c r="AC151" s="830"/>
      <c r="AD151" s="830"/>
      <c r="AE151" s="830"/>
      <c r="AF151" s="830"/>
      <c r="AG151" s="830"/>
      <c r="AH151" s="830"/>
      <c r="AI151" s="830"/>
      <c r="AJ151" s="830"/>
      <c r="AK151" s="830"/>
      <c r="AL151" s="830"/>
      <c r="AM151" s="830"/>
      <c r="AN151" s="830"/>
      <c r="AO151" s="830"/>
      <c r="AP151" s="831"/>
      <c r="AQ151" s="831"/>
      <c r="AR151" s="831"/>
      <c r="AS151" s="831"/>
      <c r="AT151" s="831"/>
      <c r="AU151" s="831"/>
      <c r="AV151" s="832"/>
    </row>
    <row r="152" spans="1:48" ht="15" customHeight="1" outlineLevel="1" x14ac:dyDescent="0.2">
      <c r="A152" s="690"/>
      <c r="B152" s="690"/>
      <c r="C152" s="690"/>
      <c r="D152" s="695"/>
      <c r="E152" s="703"/>
      <c r="F152" s="703"/>
      <c r="G152" s="690"/>
      <c r="H152" s="690"/>
      <c r="I152" s="690"/>
      <c r="J152" s="690"/>
      <c r="K152" s="690"/>
      <c r="L152" s="690"/>
      <c r="M152" s="690"/>
      <c r="N152" s="690"/>
      <c r="O152" s="690"/>
      <c r="P152" s="690"/>
      <c r="Q152" s="690"/>
      <c r="R152" s="690"/>
      <c r="S152" s="690"/>
      <c r="T152" s="690"/>
      <c r="U152" s="690"/>
      <c r="V152" s="690"/>
      <c r="W152" s="690"/>
      <c r="X152" s="690"/>
      <c r="Y152" s="690"/>
      <c r="Z152" s="690"/>
      <c r="AA152" s="690"/>
      <c r="AB152" s="690"/>
      <c r="AC152" s="690"/>
      <c r="AD152" s="690"/>
      <c r="AE152" s="690"/>
      <c r="AF152" s="690"/>
      <c r="AG152" s="690"/>
      <c r="AH152" s="690"/>
      <c r="AI152" s="690"/>
      <c r="AJ152" s="690"/>
      <c r="AK152" s="690"/>
      <c r="AL152" s="690"/>
      <c r="AM152" s="690"/>
      <c r="AN152" s="690"/>
      <c r="AO152" s="690"/>
      <c r="AP152" s="698"/>
      <c r="AQ152" s="698"/>
      <c r="AR152" s="698"/>
      <c r="AS152" s="698"/>
      <c r="AT152" s="698"/>
      <c r="AU152" s="698"/>
      <c r="AV152" s="690"/>
    </row>
    <row r="153" spans="1:48" ht="15" customHeight="1" outlineLevel="1" x14ac:dyDescent="0.25">
      <c r="A153" s="690"/>
      <c r="B153" s="728" t="s">
        <v>124</v>
      </c>
      <c r="C153" s="690"/>
      <c r="D153" s="695"/>
      <c r="E153" s="703"/>
      <c r="F153" s="703"/>
      <c r="G153" s="690"/>
      <c r="H153" s="690"/>
      <c r="I153" s="690"/>
      <c r="J153" s="690"/>
      <c r="K153" s="690"/>
      <c r="L153" s="690"/>
      <c r="M153" s="690"/>
      <c r="N153" s="690"/>
      <c r="O153" s="690"/>
      <c r="P153" s="690"/>
      <c r="Q153" s="690"/>
      <c r="R153" s="690"/>
      <c r="S153" s="690"/>
      <c r="T153" s="690"/>
      <c r="U153" s="690"/>
      <c r="V153" s="690"/>
      <c r="W153" s="690"/>
      <c r="X153" s="690"/>
      <c r="Y153" s="690"/>
      <c r="Z153" s="690"/>
      <c r="AA153" s="690"/>
      <c r="AB153" s="690"/>
      <c r="AC153" s="690"/>
      <c r="AD153" s="690"/>
      <c r="AE153" s="690"/>
      <c r="AF153" s="690"/>
      <c r="AG153" s="690"/>
      <c r="AH153" s="690"/>
      <c r="AI153" s="690"/>
      <c r="AJ153" s="690"/>
      <c r="AK153" s="690"/>
      <c r="AL153" s="690"/>
      <c r="AM153" s="690"/>
      <c r="AN153" s="690"/>
      <c r="AO153" s="690"/>
      <c r="AP153" s="698"/>
      <c r="AQ153" s="698"/>
      <c r="AR153" s="698"/>
      <c r="AS153" s="698"/>
      <c r="AT153" s="698"/>
      <c r="AU153" s="698"/>
      <c r="AV153" s="690"/>
    </row>
    <row r="154" spans="1:48" s="237" customFormat="1" ht="15" customHeight="1" outlineLevel="1" x14ac:dyDescent="0.25">
      <c r="A154" s="729"/>
      <c r="B154" s="1331" t="s">
        <v>1963</v>
      </c>
      <c r="C154" s="1331"/>
      <c r="D154" s="1331"/>
      <c r="E154" s="1331"/>
      <c r="F154" s="1331"/>
      <c r="G154" s="1331"/>
      <c r="H154" s="1331"/>
      <c r="I154" s="729"/>
      <c r="J154" s="729"/>
      <c r="K154" s="729"/>
      <c r="L154" s="729"/>
      <c r="M154" s="729"/>
      <c r="N154" s="729"/>
      <c r="O154" s="729"/>
      <c r="P154" s="729"/>
      <c r="Q154" s="729"/>
      <c r="R154" s="729"/>
      <c r="S154" s="729"/>
      <c r="T154" s="729"/>
      <c r="U154" s="729"/>
      <c r="V154" s="729"/>
      <c r="W154" s="729"/>
      <c r="X154" s="729"/>
      <c r="Y154" s="729"/>
      <c r="Z154" s="729"/>
      <c r="AA154" s="729"/>
      <c r="AB154" s="729"/>
      <c r="AC154" s="729"/>
      <c r="AD154" s="729"/>
      <c r="AE154" s="729"/>
      <c r="AF154" s="729"/>
      <c r="AG154" s="729"/>
      <c r="AH154" s="729"/>
      <c r="AI154" s="729"/>
      <c r="AJ154" s="729"/>
      <c r="AK154" s="729"/>
      <c r="AL154" s="729"/>
      <c r="AM154" s="729"/>
      <c r="AN154" s="729"/>
      <c r="AO154" s="729"/>
      <c r="AP154" s="732"/>
      <c r="AQ154" s="732"/>
      <c r="AR154" s="732"/>
      <c r="AS154" s="732"/>
      <c r="AT154" s="732"/>
      <c r="AU154" s="732"/>
      <c r="AV154" s="729"/>
    </row>
    <row r="155" spans="1:48" s="237" customFormat="1" ht="15" customHeight="1" outlineLevel="1" x14ac:dyDescent="0.25">
      <c r="A155" s="729"/>
      <c r="B155" s="1331"/>
      <c r="C155" s="1331"/>
      <c r="D155" s="1331"/>
      <c r="E155" s="1331"/>
      <c r="F155" s="1331"/>
      <c r="G155" s="1331"/>
      <c r="H155" s="1331"/>
      <c r="I155" s="729"/>
      <c r="J155" s="729"/>
      <c r="K155" s="729"/>
      <c r="L155" s="729"/>
      <c r="M155" s="729"/>
      <c r="N155" s="729"/>
      <c r="O155" s="729"/>
      <c r="P155" s="729"/>
      <c r="Q155" s="729"/>
      <c r="R155" s="729"/>
      <c r="S155" s="729"/>
      <c r="T155" s="729"/>
      <c r="U155" s="729"/>
      <c r="V155" s="729"/>
      <c r="W155" s="729"/>
      <c r="X155" s="729"/>
      <c r="Y155" s="729"/>
      <c r="Z155" s="729"/>
      <c r="AA155" s="729"/>
      <c r="AB155" s="729"/>
      <c r="AC155" s="729"/>
      <c r="AD155" s="729"/>
      <c r="AE155" s="729"/>
      <c r="AF155" s="729"/>
      <c r="AG155" s="729"/>
      <c r="AH155" s="729"/>
      <c r="AI155" s="729"/>
      <c r="AJ155" s="729"/>
      <c r="AK155" s="729"/>
      <c r="AL155" s="729"/>
      <c r="AM155" s="729"/>
      <c r="AN155" s="729"/>
      <c r="AO155" s="729"/>
      <c r="AP155" s="732"/>
      <c r="AQ155" s="732"/>
      <c r="AR155" s="732"/>
      <c r="AS155" s="732"/>
      <c r="AT155" s="732"/>
      <c r="AU155" s="732"/>
      <c r="AV155" s="729"/>
    </row>
    <row r="156" spans="1:48" s="237" customFormat="1" ht="15" customHeight="1" outlineLevel="1" x14ac:dyDescent="0.25">
      <c r="A156" s="729"/>
      <c r="B156" s="1325" t="s">
        <v>1962</v>
      </c>
      <c r="C156" s="1325"/>
      <c r="D156" s="1325"/>
      <c r="E156" s="1325"/>
      <c r="F156" s="1325"/>
      <c r="G156" s="1325"/>
      <c r="H156" s="729"/>
      <c r="I156" s="729"/>
      <c r="J156" s="729"/>
      <c r="K156" s="729"/>
      <c r="L156" s="729"/>
      <c r="M156" s="729"/>
      <c r="N156" s="729"/>
      <c r="O156" s="729"/>
      <c r="P156" s="729"/>
      <c r="Q156" s="729"/>
      <c r="R156" s="729"/>
      <c r="S156" s="729"/>
      <c r="T156" s="729"/>
      <c r="U156" s="729"/>
      <c r="V156" s="729"/>
      <c r="W156" s="729"/>
      <c r="X156" s="729"/>
      <c r="Y156" s="729"/>
      <c r="Z156" s="729"/>
      <c r="AA156" s="729"/>
      <c r="AB156" s="729"/>
      <c r="AC156" s="729"/>
      <c r="AD156" s="729"/>
      <c r="AE156" s="729"/>
      <c r="AF156" s="729"/>
      <c r="AG156" s="729"/>
      <c r="AH156" s="729"/>
      <c r="AI156" s="729"/>
      <c r="AJ156" s="729"/>
      <c r="AK156" s="729"/>
      <c r="AL156" s="729"/>
      <c r="AM156" s="729"/>
      <c r="AN156" s="729"/>
      <c r="AO156" s="729"/>
      <c r="AP156" s="732"/>
      <c r="AQ156" s="732"/>
      <c r="AR156" s="732"/>
      <c r="AS156" s="732"/>
      <c r="AT156" s="732"/>
      <c r="AU156" s="732"/>
      <c r="AV156" s="729"/>
    </row>
    <row r="157" spans="1:48" s="237" customFormat="1" ht="15" customHeight="1" outlineLevel="1" x14ac:dyDescent="0.25">
      <c r="A157" s="729"/>
      <c r="B157" s="1325"/>
      <c r="C157" s="1325"/>
      <c r="D157" s="1325"/>
      <c r="E157" s="1325"/>
      <c r="F157" s="1325"/>
      <c r="G157" s="1325"/>
      <c r="H157" s="729"/>
      <c r="I157" s="729"/>
      <c r="J157" s="729"/>
      <c r="K157" s="729"/>
      <c r="L157" s="729"/>
      <c r="M157" s="729"/>
      <c r="N157" s="729"/>
      <c r="O157" s="729"/>
      <c r="P157" s="729"/>
      <c r="Q157" s="729"/>
      <c r="R157" s="729"/>
      <c r="S157" s="729"/>
      <c r="T157" s="729"/>
      <c r="U157" s="729"/>
      <c r="V157" s="729"/>
      <c r="W157" s="729"/>
      <c r="X157" s="729"/>
      <c r="Y157" s="729"/>
      <c r="Z157" s="729"/>
      <c r="AA157" s="729"/>
      <c r="AB157" s="729"/>
      <c r="AC157" s="729"/>
      <c r="AD157" s="729"/>
      <c r="AE157" s="729"/>
      <c r="AF157" s="729"/>
      <c r="AG157" s="729"/>
      <c r="AH157" s="729"/>
      <c r="AI157" s="729"/>
      <c r="AJ157" s="729"/>
      <c r="AK157" s="729"/>
      <c r="AL157" s="729"/>
      <c r="AM157" s="729"/>
      <c r="AN157" s="729"/>
      <c r="AO157" s="729"/>
      <c r="AP157" s="732"/>
      <c r="AQ157" s="732"/>
      <c r="AR157" s="732"/>
      <c r="AS157" s="732"/>
      <c r="AT157" s="732"/>
      <c r="AU157" s="732"/>
      <c r="AV157" s="729"/>
    </row>
    <row r="158" spans="1:48" s="237" customFormat="1" ht="15" customHeight="1" outlineLevel="1" x14ac:dyDescent="0.25">
      <c r="A158" s="729"/>
      <c r="B158" s="729"/>
      <c r="C158" s="729"/>
      <c r="D158" s="727"/>
      <c r="E158" s="731"/>
      <c r="F158" s="731"/>
      <c r="G158" s="729"/>
      <c r="H158" s="729"/>
      <c r="I158" s="729"/>
      <c r="J158" s="729"/>
      <c r="K158" s="729"/>
      <c r="L158" s="729"/>
      <c r="M158" s="729"/>
      <c r="N158" s="729"/>
      <c r="O158" s="729"/>
      <c r="P158" s="729"/>
      <c r="Q158" s="729"/>
      <c r="R158" s="729"/>
      <c r="S158" s="729"/>
      <c r="T158" s="729"/>
      <c r="U158" s="729"/>
      <c r="V158" s="729"/>
      <c r="W158" s="729"/>
      <c r="X158" s="729"/>
      <c r="Y158" s="729"/>
      <c r="Z158" s="729"/>
      <c r="AA158" s="729"/>
      <c r="AB158" s="729"/>
      <c r="AC158" s="729"/>
      <c r="AD158" s="729"/>
      <c r="AE158" s="729"/>
      <c r="AF158" s="729"/>
      <c r="AG158" s="729"/>
      <c r="AH158" s="729"/>
      <c r="AI158" s="729"/>
      <c r="AJ158" s="729"/>
      <c r="AK158" s="729"/>
      <c r="AL158" s="729"/>
      <c r="AM158" s="729"/>
      <c r="AN158" s="729"/>
      <c r="AO158" s="729"/>
      <c r="AP158" s="732"/>
      <c r="AQ158" s="732"/>
      <c r="AR158" s="732"/>
      <c r="AS158" s="732"/>
      <c r="AT158" s="732"/>
      <c r="AU158" s="732"/>
      <c r="AV158" s="729"/>
    </row>
    <row r="159" spans="1:48" s="237" customFormat="1" ht="15" customHeight="1" outlineLevel="1" x14ac:dyDescent="0.25">
      <c r="A159" s="729"/>
      <c r="B159" s="727" t="s">
        <v>267</v>
      </c>
      <c r="C159" s="729"/>
      <c r="D159" s="729"/>
      <c r="E159" s="729"/>
      <c r="F159" s="729"/>
      <c r="G159" s="729"/>
      <c r="H159" s="729"/>
      <c r="I159" s="729"/>
      <c r="J159" s="729"/>
      <c r="K159" s="729"/>
      <c r="L159" s="729"/>
      <c r="M159" s="729"/>
      <c r="N159" s="729"/>
      <c r="O159" s="729"/>
      <c r="P159" s="729"/>
      <c r="Q159" s="729"/>
      <c r="R159" s="729"/>
      <c r="S159" s="729"/>
      <c r="T159" s="729"/>
      <c r="U159" s="729"/>
      <c r="V159" s="729"/>
      <c r="W159" s="729"/>
      <c r="X159" s="729"/>
      <c r="Y159" s="729"/>
      <c r="Z159" s="729"/>
      <c r="AA159" s="729"/>
      <c r="AB159" s="729"/>
      <c r="AC159" s="729"/>
      <c r="AD159" s="729"/>
      <c r="AE159" s="729"/>
      <c r="AF159" s="729"/>
      <c r="AG159" s="729"/>
      <c r="AH159" s="729"/>
      <c r="AI159" s="729"/>
      <c r="AJ159" s="729"/>
      <c r="AK159" s="729"/>
      <c r="AL159" s="729"/>
      <c r="AM159" s="729"/>
      <c r="AN159" s="729"/>
      <c r="AO159" s="729"/>
      <c r="AP159" s="732"/>
      <c r="AQ159" s="732"/>
      <c r="AR159" s="732"/>
      <c r="AS159" s="732"/>
      <c r="AT159" s="732"/>
      <c r="AU159" s="732"/>
      <c r="AV159" s="729"/>
    </row>
    <row r="160" spans="1:48" s="237" customFormat="1" ht="15" customHeight="1" outlineLevel="1" x14ac:dyDescent="0.35">
      <c r="A160" s="729"/>
      <c r="B160" s="729"/>
      <c r="C160" s="729"/>
      <c r="D160" s="844" t="s">
        <v>1457</v>
      </c>
      <c r="E160" s="844" t="s">
        <v>1458</v>
      </c>
      <c r="F160" s="844" t="s">
        <v>1459</v>
      </c>
      <c r="G160" s="844" t="s">
        <v>1460</v>
      </c>
      <c r="H160" s="729"/>
      <c r="I160" s="729"/>
      <c r="J160" s="729"/>
      <c r="K160" s="729"/>
      <c r="L160" s="729"/>
      <c r="M160" s="729"/>
      <c r="N160" s="729"/>
      <c r="O160" s="729"/>
      <c r="P160" s="729"/>
      <c r="Q160" s="729"/>
      <c r="R160" s="729"/>
      <c r="S160" s="729"/>
      <c r="T160" s="729"/>
      <c r="U160" s="729"/>
      <c r="V160" s="729"/>
      <c r="W160" s="729"/>
      <c r="X160" s="729"/>
      <c r="Y160" s="729"/>
      <c r="Z160" s="729"/>
      <c r="AA160" s="729"/>
      <c r="AB160" s="729"/>
      <c r="AC160" s="729"/>
      <c r="AD160" s="729"/>
      <c r="AE160" s="729"/>
      <c r="AF160" s="729"/>
      <c r="AG160" s="729"/>
      <c r="AH160" s="729"/>
      <c r="AI160" s="729"/>
      <c r="AJ160" s="729"/>
      <c r="AK160" s="729"/>
      <c r="AL160" s="729"/>
      <c r="AM160" s="729"/>
      <c r="AN160" s="729"/>
      <c r="AO160" s="729"/>
      <c r="AP160" s="732"/>
      <c r="AQ160" s="732"/>
      <c r="AR160" s="732"/>
      <c r="AS160" s="732"/>
      <c r="AT160" s="732"/>
      <c r="AU160" s="732"/>
      <c r="AV160" s="729"/>
    </row>
    <row r="161" spans="1:48" s="237" customFormat="1" ht="15" customHeight="1" outlineLevel="1" x14ac:dyDescent="0.25">
      <c r="A161" s="729"/>
      <c r="B161" s="729"/>
      <c r="C161" s="757" t="s">
        <v>0</v>
      </c>
      <c r="D161" s="845"/>
      <c r="E161" s="845"/>
      <c r="F161" s="845"/>
      <c r="G161" s="846">
        <f>$D$161+($E$161*gwp_CH4)+($F$161*gwp_N2O)</f>
        <v>0</v>
      </c>
      <c r="H161" s="729"/>
      <c r="I161" s="729"/>
      <c r="J161" s="729"/>
      <c r="K161" s="729"/>
      <c r="L161" s="729"/>
      <c r="M161" s="729"/>
      <c r="N161" s="729"/>
      <c r="O161" s="729"/>
      <c r="P161" s="729"/>
      <c r="Q161" s="729"/>
      <c r="R161" s="729"/>
      <c r="S161" s="729"/>
      <c r="T161" s="729"/>
      <c r="U161" s="729"/>
      <c r="V161" s="729"/>
      <c r="W161" s="729"/>
      <c r="X161" s="729"/>
      <c r="Y161" s="729"/>
      <c r="Z161" s="729"/>
      <c r="AA161" s="729"/>
      <c r="AB161" s="729"/>
      <c r="AC161" s="729"/>
      <c r="AD161" s="729"/>
      <c r="AE161" s="729"/>
      <c r="AF161" s="729"/>
      <c r="AG161" s="729"/>
      <c r="AH161" s="729"/>
      <c r="AI161" s="729"/>
      <c r="AJ161" s="729"/>
      <c r="AK161" s="729"/>
      <c r="AL161" s="729"/>
      <c r="AM161" s="729"/>
      <c r="AN161" s="729"/>
      <c r="AO161" s="729"/>
      <c r="AP161" s="732"/>
      <c r="AQ161" s="732"/>
      <c r="AR161" s="732"/>
      <c r="AS161" s="732"/>
      <c r="AT161" s="732"/>
      <c r="AU161" s="732"/>
      <c r="AV161" s="729"/>
    </row>
    <row r="162" spans="1:48" s="237" customFormat="1" ht="15" customHeight="1" collapsed="1" x14ac:dyDescent="0.25">
      <c r="A162" s="729"/>
      <c r="B162" s="729"/>
      <c r="C162" s="729"/>
      <c r="D162" s="727"/>
      <c r="E162" s="731"/>
      <c r="F162" s="731"/>
      <c r="G162" s="729"/>
      <c r="H162" s="729"/>
      <c r="I162" s="729"/>
      <c r="J162" s="729"/>
      <c r="K162" s="729"/>
      <c r="L162" s="729"/>
      <c r="M162" s="729"/>
      <c r="N162" s="729"/>
      <c r="O162" s="729"/>
      <c r="P162" s="729"/>
      <c r="Q162" s="729"/>
      <c r="R162" s="729"/>
      <c r="S162" s="729"/>
      <c r="T162" s="729"/>
      <c r="U162" s="729"/>
      <c r="V162" s="729"/>
      <c r="W162" s="729"/>
      <c r="X162" s="729"/>
      <c r="Y162" s="729"/>
      <c r="Z162" s="729"/>
      <c r="AA162" s="729"/>
      <c r="AB162" s="729"/>
      <c r="AC162" s="729"/>
      <c r="AD162" s="729"/>
      <c r="AE162" s="729"/>
      <c r="AF162" s="729"/>
      <c r="AG162" s="729"/>
      <c r="AH162" s="729"/>
      <c r="AI162" s="729"/>
      <c r="AJ162" s="729"/>
      <c r="AK162" s="729"/>
      <c r="AL162" s="729"/>
      <c r="AM162" s="729"/>
      <c r="AN162" s="729"/>
      <c r="AO162" s="729"/>
      <c r="AP162" s="732"/>
      <c r="AQ162" s="732"/>
      <c r="AR162" s="732"/>
      <c r="AS162" s="732"/>
      <c r="AT162" s="732"/>
      <c r="AU162" s="732"/>
      <c r="AV162" s="729"/>
    </row>
    <row r="163" spans="1:48" s="463" customFormat="1" ht="18" customHeight="1" x14ac:dyDescent="0.3">
      <c r="A163" s="847"/>
      <c r="B163" s="848" t="s">
        <v>211</v>
      </c>
      <c r="C163" s="848"/>
      <c r="D163" s="848"/>
      <c r="E163" s="848"/>
      <c r="F163" s="848"/>
      <c r="G163" s="848"/>
      <c r="H163" s="848"/>
      <c r="I163" s="848"/>
      <c r="J163" s="848"/>
      <c r="K163" s="848"/>
      <c r="L163" s="848"/>
      <c r="M163" s="848"/>
      <c r="N163" s="848"/>
      <c r="O163" s="848"/>
      <c r="P163" s="848"/>
      <c r="Q163" s="848"/>
      <c r="R163" s="848"/>
      <c r="S163" s="848"/>
      <c r="T163" s="848"/>
      <c r="U163" s="848"/>
      <c r="V163" s="848"/>
      <c r="W163" s="848"/>
      <c r="X163" s="848"/>
      <c r="Y163" s="848"/>
      <c r="Z163" s="848"/>
      <c r="AA163" s="848"/>
      <c r="AB163" s="848"/>
      <c r="AC163" s="848"/>
      <c r="AD163" s="848"/>
      <c r="AE163" s="848"/>
      <c r="AF163" s="848"/>
      <c r="AG163" s="848"/>
      <c r="AH163" s="848"/>
      <c r="AI163" s="848"/>
      <c r="AJ163" s="848"/>
      <c r="AK163" s="848"/>
      <c r="AL163" s="848"/>
      <c r="AM163" s="848"/>
      <c r="AN163" s="848"/>
      <c r="AO163" s="848"/>
      <c r="AP163" s="849"/>
      <c r="AQ163" s="849"/>
      <c r="AR163" s="849"/>
      <c r="AS163" s="849"/>
      <c r="AT163" s="849"/>
      <c r="AU163" s="849"/>
      <c r="AV163" s="850"/>
    </row>
    <row r="164" spans="1:48" s="290" customFormat="1" ht="15" customHeight="1" x14ac:dyDescent="0.25">
      <c r="A164" s="709"/>
      <c r="B164" s="709"/>
      <c r="C164" s="709"/>
      <c r="D164" s="709"/>
      <c r="E164" s="709"/>
      <c r="F164" s="709"/>
      <c r="G164" s="709"/>
      <c r="H164" s="709"/>
      <c r="I164" s="709"/>
      <c r="J164" s="709"/>
      <c r="K164" s="709"/>
      <c r="L164" s="709"/>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10"/>
      <c r="AQ164" s="710"/>
      <c r="AR164" s="710"/>
      <c r="AS164" s="710"/>
      <c r="AT164" s="710"/>
      <c r="AU164" s="710"/>
      <c r="AV164" s="709"/>
    </row>
    <row r="165" spans="1:48" ht="15" customHeight="1" x14ac:dyDescent="0.25">
      <c r="A165" s="711"/>
      <c r="B165" s="712"/>
      <c r="C165" s="713"/>
      <c r="D165" s="711"/>
      <c r="E165" s="711"/>
      <c r="F165" s="711"/>
      <c r="G165" s="711"/>
      <c r="H165" s="711"/>
      <c r="I165" s="711"/>
      <c r="J165" s="711"/>
      <c r="K165" s="711"/>
      <c r="L165" s="711"/>
      <c r="M165" s="711"/>
      <c r="N165" s="711"/>
      <c r="O165" s="711"/>
      <c r="P165" s="711"/>
      <c r="Q165" s="714"/>
      <c r="R165" s="715"/>
      <c r="S165" s="716"/>
      <c r="T165" s="711"/>
      <c r="U165" s="711"/>
      <c r="V165" s="711"/>
      <c r="W165" s="711"/>
      <c r="X165" s="711"/>
      <c r="Y165" s="711"/>
      <c r="Z165" s="711"/>
      <c r="AA165" s="711"/>
      <c r="AB165" s="711"/>
      <c r="AC165" s="711"/>
      <c r="AD165" s="711"/>
      <c r="AE165" s="711"/>
      <c r="AF165" s="711"/>
      <c r="AG165" s="711"/>
      <c r="AH165" s="711"/>
      <c r="AI165" s="711"/>
      <c r="AJ165" s="711"/>
      <c r="AK165" s="711"/>
      <c r="AL165" s="711"/>
      <c r="AM165" s="717"/>
      <c r="AN165" s="718"/>
      <c r="AO165" s="711"/>
      <c r="AP165" s="719"/>
      <c r="AQ165" s="719"/>
      <c r="AR165" s="719"/>
      <c r="AS165" s="719"/>
      <c r="AT165" s="719"/>
      <c r="AU165" s="719"/>
      <c r="AV165" s="713"/>
    </row>
    <row r="166" spans="1:48" ht="15" customHeight="1" x14ac:dyDescent="0.25">
      <c r="A166" s="690"/>
      <c r="B166" s="727" t="s">
        <v>1960</v>
      </c>
      <c r="C166" s="695"/>
      <c r="D166" s="720"/>
      <c r="E166" s="690"/>
      <c r="F166" s="690"/>
      <c r="G166" s="690"/>
      <c r="H166" s="690"/>
      <c r="I166" s="690"/>
      <c r="J166" s="690"/>
      <c r="K166" s="690"/>
      <c r="L166" s="690"/>
      <c r="M166" s="690"/>
      <c r="N166" s="690"/>
      <c r="O166" s="690"/>
      <c r="P166" s="690"/>
      <c r="Q166" s="690"/>
      <c r="R166" s="690"/>
      <c r="S166" s="690"/>
      <c r="T166" s="690"/>
      <c r="U166" s="690"/>
      <c r="V166" s="690"/>
      <c r="W166" s="690"/>
      <c r="X166" s="690"/>
      <c r="Y166" s="690"/>
      <c r="Z166" s="690"/>
      <c r="AA166" s="690"/>
      <c r="AB166" s="690"/>
      <c r="AC166" s="690"/>
      <c r="AD166" s="690"/>
      <c r="AE166" s="690"/>
      <c r="AF166" s="690"/>
      <c r="AG166" s="690"/>
      <c r="AH166" s="690"/>
      <c r="AI166" s="690"/>
      <c r="AJ166" s="690"/>
      <c r="AK166" s="690"/>
      <c r="AL166" s="690"/>
      <c r="AM166" s="705"/>
      <c r="AN166" s="697"/>
      <c r="AO166" s="690"/>
      <c r="AP166" s="698"/>
      <c r="AQ166" s="698"/>
      <c r="AR166" s="698"/>
      <c r="AS166" s="698"/>
      <c r="AT166" s="698"/>
      <c r="AU166" s="698"/>
      <c r="AV166" s="631"/>
    </row>
    <row r="167" spans="1:48" ht="5.0999999999999996" customHeight="1" thickBot="1" x14ac:dyDescent="0.25"/>
    <row r="168" spans="1:48" ht="30" customHeight="1" thickBot="1" x14ac:dyDescent="0.3">
      <c r="A168" s="690"/>
      <c r="B168" s="851" t="s">
        <v>1407</v>
      </c>
      <c r="C168" s="721"/>
      <c r="D168" s="722"/>
      <c r="E168" s="1308">
        <f>IF(ISERROR(SUM($E$116,$E$148,$G$161)),0,SUM($E$116,$E$148,$G$161))</f>
        <v>0</v>
      </c>
      <c r="F168" s="1309"/>
      <c r="G168" s="419"/>
      <c r="H168" s="690"/>
      <c r="I168" s="690"/>
      <c r="J168" s="690"/>
      <c r="K168" s="690"/>
      <c r="L168" s="690"/>
      <c r="M168" s="690"/>
      <c r="N168" s="690"/>
      <c r="O168" s="690"/>
      <c r="P168" s="690"/>
      <c r="Q168" s="690"/>
      <c r="R168" s="690"/>
      <c r="S168" s="690"/>
      <c r="T168" s="690"/>
      <c r="U168" s="690"/>
      <c r="V168" s="690"/>
      <c r="W168" s="690"/>
      <c r="X168" s="690"/>
      <c r="Y168" s="690"/>
      <c r="Z168" s="690"/>
      <c r="AA168" s="690"/>
      <c r="AB168" s="690"/>
      <c r="AC168" s="690"/>
      <c r="AD168" s="690"/>
      <c r="AE168" s="690"/>
      <c r="AF168" s="690"/>
      <c r="AG168" s="690"/>
      <c r="AH168" s="690"/>
      <c r="AI168" s="690"/>
      <c r="AJ168" s="690"/>
      <c r="AK168" s="690"/>
      <c r="AL168" s="690"/>
      <c r="AM168" s="705"/>
      <c r="AN168" s="697"/>
      <c r="AO168" s="690"/>
      <c r="AP168" s="698"/>
      <c r="AQ168" s="698"/>
      <c r="AR168" s="698"/>
      <c r="AS168" s="698"/>
      <c r="AT168" s="698"/>
      <c r="AU168" s="698"/>
      <c r="AV168" s="631"/>
    </row>
    <row r="169" spans="1:48" ht="5.0999999999999996" customHeight="1" thickBot="1" x14ac:dyDescent="0.25">
      <c r="A169" s="639"/>
      <c r="B169" s="723"/>
      <c r="C169" s="724"/>
      <c r="D169" s="724"/>
      <c r="E169" s="725"/>
      <c r="F169" s="725"/>
      <c r="G169" s="639"/>
    </row>
    <row r="170" spans="1:48" ht="30" customHeight="1" thickBot="1" x14ac:dyDescent="0.3">
      <c r="A170" s="631"/>
      <c r="B170" s="852" t="s">
        <v>1961</v>
      </c>
      <c r="C170" s="726"/>
      <c r="D170" s="726"/>
      <c r="E170" s="1318">
        <f>AH114+E149</f>
        <v>0</v>
      </c>
      <c r="F170" s="1319"/>
      <c r="G170" s="419"/>
      <c r="H170" s="690"/>
      <c r="I170" s="690"/>
      <c r="J170" s="690"/>
      <c r="K170" s="690"/>
      <c r="L170" s="690"/>
      <c r="M170" s="690"/>
      <c r="N170" s="690"/>
      <c r="O170" s="690"/>
      <c r="P170" s="690"/>
      <c r="Q170" s="690"/>
      <c r="R170" s="690"/>
      <c r="S170" s="690"/>
      <c r="T170" s="690"/>
      <c r="U170" s="690"/>
      <c r="V170" s="690"/>
      <c r="W170" s="690"/>
      <c r="X170" s="690"/>
      <c r="Y170" s="690"/>
      <c r="Z170" s="690"/>
      <c r="AA170" s="690"/>
      <c r="AB170" s="690"/>
      <c r="AC170" s="690"/>
      <c r="AD170" s="690"/>
      <c r="AE170" s="690"/>
      <c r="AF170" s="690"/>
      <c r="AG170" s="690"/>
      <c r="AH170" s="690"/>
      <c r="AI170" s="690"/>
      <c r="AJ170" s="690"/>
      <c r="AK170" s="690"/>
      <c r="AL170" s="690"/>
      <c r="AM170" s="705"/>
      <c r="AN170" s="697"/>
      <c r="AO170" s="690"/>
      <c r="AP170" s="698"/>
      <c r="AQ170" s="698"/>
      <c r="AR170" s="698"/>
      <c r="AS170" s="698"/>
      <c r="AT170" s="698"/>
      <c r="AU170" s="698"/>
      <c r="AV170" s="631"/>
    </row>
    <row r="171" spans="1:48" ht="15" customHeight="1" x14ac:dyDescent="0.25">
      <c r="A171" s="631"/>
      <c r="B171" s="690"/>
      <c r="C171" s="690"/>
      <c r="D171" s="690"/>
      <c r="E171" s="690"/>
      <c r="F171" s="690"/>
      <c r="G171" s="690"/>
      <c r="H171" s="690"/>
      <c r="I171" s="690"/>
      <c r="J171" s="690"/>
      <c r="K171" s="690"/>
      <c r="L171" s="690"/>
      <c r="M171" s="690"/>
      <c r="N171" s="690"/>
      <c r="O171" s="690"/>
      <c r="P171" s="690"/>
      <c r="Q171" s="690"/>
      <c r="R171" s="690"/>
      <c r="S171" s="690"/>
      <c r="T171" s="690"/>
      <c r="U171" s="690"/>
      <c r="V171" s="690"/>
      <c r="W171" s="690"/>
      <c r="X171" s="690"/>
      <c r="Y171" s="690"/>
      <c r="Z171" s="690"/>
      <c r="AA171" s="690"/>
      <c r="AB171" s="690"/>
      <c r="AC171" s="690"/>
      <c r="AD171" s="690"/>
      <c r="AE171" s="690"/>
      <c r="AF171" s="690"/>
      <c r="AG171" s="690"/>
      <c r="AH171" s="690"/>
      <c r="AI171" s="690"/>
      <c r="AJ171" s="690"/>
      <c r="AK171" s="690"/>
      <c r="AL171" s="690"/>
      <c r="AM171" s="705"/>
      <c r="AN171" s="697"/>
      <c r="AO171" s="690"/>
      <c r="AP171" s="698"/>
      <c r="AQ171" s="698"/>
      <c r="AR171" s="698"/>
      <c r="AS171" s="698"/>
      <c r="AT171" s="698"/>
      <c r="AU171" s="698"/>
      <c r="AV171" s="631"/>
    </row>
    <row r="172" spans="1:48" ht="15.75" x14ac:dyDescent="0.25">
      <c r="B172" s="708" t="s">
        <v>1461</v>
      </c>
      <c r="C172" s="690"/>
      <c r="D172" s="690"/>
      <c r="E172" s="690"/>
      <c r="F172" s="690"/>
      <c r="G172" s="690"/>
      <c r="H172" s="690"/>
      <c r="I172" s="690"/>
      <c r="J172" s="690"/>
      <c r="K172" s="690"/>
      <c r="L172" s="690"/>
      <c r="M172" s="690"/>
      <c r="N172" s="690"/>
      <c r="O172" s="690"/>
      <c r="P172" s="690"/>
      <c r="Q172" s="690"/>
      <c r="R172" s="690"/>
      <c r="S172" s="690"/>
      <c r="T172" s="690"/>
      <c r="U172" s="690"/>
      <c r="V172" s="690"/>
      <c r="W172" s="690"/>
      <c r="X172" s="690"/>
      <c r="Y172" s="690"/>
      <c r="Z172" s="690"/>
      <c r="AA172" s="690"/>
      <c r="AB172" s="690"/>
      <c r="AC172" s="690"/>
      <c r="AD172" s="690"/>
      <c r="AE172" s="690"/>
      <c r="AF172" s="690"/>
      <c r="AG172" s="690"/>
      <c r="AH172" s="690"/>
      <c r="AI172" s="690"/>
      <c r="AJ172" s="690"/>
      <c r="AK172" s="690"/>
      <c r="AL172" s="690"/>
      <c r="AM172" s="705"/>
      <c r="AN172" s="697"/>
      <c r="AO172" s="690"/>
      <c r="AP172" s="698"/>
      <c r="AQ172" s="698"/>
      <c r="AR172" s="698"/>
      <c r="AS172" s="698"/>
      <c r="AT172" s="698"/>
      <c r="AU172" s="698"/>
      <c r="AV172" s="631"/>
    </row>
    <row r="173" spans="1:48" ht="15.75" x14ac:dyDescent="0.25">
      <c r="A173" s="631"/>
      <c r="B173" s="853" t="s">
        <v>1462</v>
      </c>
      <c r="C173" s="711"/>
      <c r="D173" s="711"/>
      <c r="E173" s="711"/>
      <c r="F173" s="711"/>
      <c r="G173" s="711"/>
      <c r="H173" s="690"/>
      <c r="I173" s="690"/>
      <c r="J173" s="690"/>
      <c r="K173" s="690"/>
      <c r="L173" s="690"/>
      <c r="M173" s="690"/>
      <c r="N173" s="690"/>
      <c r="O173" s="690"/>
      <c r="P173" s="690"/>
      <c r="Q173" s="690"/>
      <c r="R173" s="690"/>
      <c r="S173" s="690"/>
      <c r="T173" s="690"/>
      <c r="U173" s="690"/>
      <c r="V173" s="690"/>
      <c r="W173" s="690"/>
      <c r="X173" s="690"/>
      <c r="Y173" s="690"/>
      <c r="Z173" s="690"/>
      <c r="AA173" s="690"/>
      <c r="AB173" s="690"/>
      <c r="AC173" s="690"/>
      <c r="AD173" s="690"/>
      <c r="AE173" s="690"/>
      <c r="AF173" s="690"/>
      <c r="AG173" s="690"/>
      <c r="AH173" s="690"/>
      <c r="AI173" s="690"/>
      <c r="AJ173" s="690"/>
      <c r="AK173" s="690"/>
      <c r="AL173" s="690"/>
      <c r="AM173" s="705"/>
      <c r="AN173" s="697"/>
      <c r="AO173" s="690"/>
      <c r="AP173" s="698"/>
      <c r="AQ173" s="698"/>
      <c r="AR173" s="698"/>
      <c r="AS173" s="698"/>
      <c r="AT173" s="698"/>
      <c r="AU173" s="698"/>
      <c r="AV173" s="631"/>
    </row>
    <row r="174" spans="1:48" ht="15.75" x14ac:dyDescent="0.25">
      <c r="A174" s="631"/>
      <c r="B174" s="853" t="s">
        <v>1463</v>
      </c>
      <c r="C174" s="711"/>
      <c r="D174" s="711"/>
      <c r="E174" s="711"/>
      <c r="F174" s="711"/>
      <c r="G174" s="711"/>
      <c r="H174" s="690"/>
      <c r="I174" s="690"/>
      <c r="J174" s="690"/>
      <c r="K174" s="690"/>
      <c r="L174" s="690"/>
      <c r="M174" s="690"/>
      <c r="N174" s="690"/>
      <c r="O174" s="690"/>
      <c r="P174" s="690"/>
      <c r="Q174" s="690"/>
      <c r="R174" s="690"/>
      <c r="S174" s="690"/>
      <c r="T174" s="690"/>
      <c r="U174" s="690"/>
      <c r="V174" s="690"/>
      <c r="W174" s="690"/>
      <c r="X174" s="690"/>
      <c r="Y174" s="690"/>
      <c r="Z174" s="690"/>
      <c r="AA174" s="690"/>
      <c r="AB174" s="690"/>
      <c r="AC174" s="690"/>
      <c r="AD174" s="690"/>
      <c r="AE174" s="690"/>
      <c r="AF174" s="690"/>
      <c r="AG174" s="690"/>
      <c r="AH174" s="690"/>
      <c r="AI174" s="690"/>
      <c r="AJ174" s="690"/>
      <c r="AK174" s="690"/>
      <c r="AL174" s="690"/>
      <c r="AM174" s="705"/>
      <c r="AN174" s="697"/>
      <c r="AO174" s="690"/>
      <c r="AP174" s="698"/>
      <c r="AQ174" s="698"/>
      <c r="AR174" s="698"/>
      <c r="AS174" s="698"/>
      <c r="AT174" s="698"/>
      <c r="AU174" s="698"/>
      <c r="AV174" s="631"/>
    </row>
    <row r="175" spans="1:48" ht="24.95" customHeight="1" x14ac:dyDescent="0.2">
      <c r="B175" s="495"/>
      <c r="C175" s="495"/>
      <c r="D175" s="495"/>
      <c r="E175" s="495"/>
      <c r="F175" s="495"/>
      <c r="G175" s="495"/>
    </row>
    <row r="176" spans="1:48"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sheetData>
  <dataConsolidate/>
  <mergeCells count="26">
    <mergeCell ref="D12:F12"/>
    <mergeCell ref="B34:H37"/>
    <mergeCell ref="B38:H40"/>
    <mergeCell ref="B41:H42"/>
    <mergeCell ref="B15:H17"/>
    <mergeCell ref="B27:H27"/>
    <mergeCell ref="B28:H29"/>
    <mergeCell ref="B18:H19"/>
    <mergeCell ref="B22:H25"/>
    <mergeCell ref="B26:H26"/>
    <mergeCell ref="B20:H21"/>
    <mergeCell ref="E170:F170"/>
    <mergeCell ref="D45:F45"/>
    <mergeCell ref="D127:E127"/>
    <mergeCell ref="D133:E133"/>
    <mergeCell ref="D134:E134"/>
    <mergeCell ref="B156:G157"/>
    <mergeCell ref="D138:E138"/>
    <mergeCell ref="C83:C87"/>
    <mergeCell ref="B154:H155"/>
    <mergeCell ref="E168:F168"/>
    <mergeCell ref="H83:R83"/>
    <mergeCell ref="H84:R84"/>
    <mergeCell ref="H85:R85"/>
    <mergeCell ref="H86:R86"/>
    <mergeCell ref="H87:R87"/>
  </mergeCells>
  <conditionalFormatting sqref="E13 D12">
    <cfRule type="expression" dxfId="9394" priority="12" stopIfTrue="1">
      <formula>NOT(ISERROR(SEARCH("ESCOLHA",D12)))</formula>
    </cfRule>
  </conditionalFormatting>
  <conditionalFormatting sqref="E76:AH76">
    <cfRule type="cellIs" dxfId="9393" priority="11" stopIfTrue="1" operator="equal">
      <formula>"Erro! &gt;100%"</formula>
    </cfRule>
  </conditionalFormatting>
  <conditionalFormatting sqref="F146:K146">
    <cfRule type="expression" dxfId="9392" priority="10">
      <formula>$E$146&lt;0</formula>
    </cfRule>
  </conditionalFormatting>
  <conditionalFormatting sqref="D151:E151 D119:E119 D31:E31">
    <cfRule type="containsText" dxfId="9391" priority="9" stopIfTrue="1" operator="containsText" text="ESCOLHA">
      <formula>NOT(ISERROR(SEARCH("ESCOLHA",D31)))</formula>
    </cfRule>
  </conditionalFormatting>
  <dataValidations count="3">
    <dataValidation type="list" allowBlank="1" showInputMessage="1" showErrorMessage="1" sqref="D141 D107">
      <formula1>$BI$47:$BI$49</formula1>
    </dataValidation>
    <dataValidation type="decimal" operator="lessThanOrEqual" allowBlank="1" showInputMessage="1" showErrorMessage="1" errorTitle="Entre com um número válido!" error="Entre com uma porcentagem entre 0 e 100%." sqref="E69:AH75">
      <formula1>1</formula1>
    </dataValidation>
    <dataValidation type="list" allowBlank="1" showInputMessage="1" showErrorMessage="1" sqref="E91:AH91">
      <formula1>$D$83:$D$87</formula1>
    </dataValidation>
  </dataValidations>
  <pageMargins left="0.511811024" right="0.511811024" top="0.78740157499999996" bottom="0.78740157499999996" header="0.31496062000000002" footer="0.31496062000000002"/>
  <pageSetup paperSize="9"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Title="Selecione a cidade" error="Selecione a cidade na lista.">
          <x14:formula1>
            <xm:f>Listas!$BI$2:$BI$10</xm:f>
          </x14:formula1>
          <xm:sqref>D45:F45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tabColor rgb="FF0070C0"/>
    <outlinePr summaryBelow="0" summaryRight="0"/>
  </sheetPr>
  <dimension ref="A1:AR143"/>
  <sheetViews>
    <sheetView showGridLines="0" zoomScale="90" zoomScaleNormal="90" workbookViewId="0">
      <selection activeCell="I8" sqref="I8"/>
    </sheetView>
  </sheetViews>
  <sheetFormatPr defaultColWidth="0" defaultRowHeight="12.75" zeroHeight="1" outlineLevelRow="1" x14ac:dyDescent="0.2"/>
  <cols>
    <col min="1" max="1" width="5.7109375" style="195" customWidth="1"/>
    <col min="2" max="2" width="9.140625" style="195" customWidth="1"/>
    <col min="3" max="3" width="65.85546875" style="195" customWidth="1"/>
    <col min="4" max="4" width="28" style="195" customWidth="1"/>
    <col min="5" max="5" width="17.7109375" style="195" customWidth="1"/>
    <col min="6" max="6" width="13.140625" style="195" bestFit="1" customWidth="1"/>
    <col min="7" max="14" width="9.140625" style="195" customWidth="1"/>
    <col min="15" max="15" width="6.7109375" style="195" customWidth="1"/>
    <col min="16" max="18" width="9.140625" style="195" customWidth="1"/>
    <col min="19" max="26" width="9.140625" style="195" hidden="1" customWidth="1"/>
    <col min="27" max="44" width="30.28515625" style="195" hidden="1" customWidth="1"/>
    <col min="45" max="16384" width="9.140625" style="195" hidden="1"/>
  </cols>
  <sheetData>
    <row r="1" spans="1:31" ht="15.75" customHeight="1" x14ac:dyDescent="0.2">
      <c r="A1" s="171"/>
      <c r="B1" s="171"/>
      <c r="C1" s="171"/>
      <c r="D1" s="171"/>
      <c r="E1" s="171"/>
      <c r="F1" s="171"/>
      <c r="G1" s="171"/>
      <c r="H1" s="171"/>
      <c r="I1" s="171"/>
      <c r="J1" s="171"/>
      <c r="K1" s="171"/>
      <c r="L1" s="171"/>
      <c r="M1" s="171"/>
      <c r="N1" s="171"/>
      <c r="O1" s="171"/>
      <c r="P1" s="171"/>
      <c r="Q1" s="171"/>
      <c r="R1" s="171"/>
      <c r="S1" s="171"/>
      <c r="T1" s="171"/>
      <c r="U1" s="171"/>
      <c r="V1" s="171"/>
      <c r="W1" s="171"/>
      <c r="X1" s="171"/>
      <c r="Y1" s="171"/>
      <c r="Z1" s="171"/>
      <c r="AA1" s="171"/>
      <c r="AB1" s="171"/>
      <c r="AC1" s="171"/>
      <c r="AD1" s="171"/>
      <c r="AE1" s="171"/>
    </row>
    <row r="2" spans="1:31" ht="15.75" customHeight="1" x14ac:dyDescent="0.2">
      <c r="A2" s="171"/>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row>
    <row r="3" spans="1:31" ht="15.75" customHeight="1" x14ac:dyDescent="0.2">
      <c r="A3" s="171"/>
      <c r="B3" s="171"/>
      <c r="C3" s="171"/>
      <c r="D3" s="171"/>
      <c r="E3" s="171"/>
      <c r="F3" s="171"/>
      <c r="G3" s="171"/>
      <c r="H3" s="171"/>
      <c r="I3" s="171"/>
      <c r="J3" s="171"/>
      <c r="K3" s="171"/>
      <c r="L3" s="171"/>
      <c r="M3" s="171"/>
      <c r="N3" s="171"/>
      <c r="O3" s="171"/>
      <c r="P3" s="171"/>
      <c r="Q3" s="171"/>
      <c r="R3" s="171"/>
      <c r="S3" s="171"/>
      <c r="T3" s="171"/>
      <c r="U3" s="171"/>
      <c r="V3" s="171"/>
      <c r="W3" s="171"/>
      <c r="X3" s="171"/>
      <c r="Y3" s="171"/>
      <c r="Z3" s="171"/>
      <c r="AA3" s="171"/>
      <c r="AB3" s="171"/>
      <c r="AC3" s="171"/>
      <c r="AD3" s="171"/>
      <c r="AE3" s="171"/>
    </row>
    <row r="4" spans="1:31" ht="15.75" customHeight="1" x14ac:dyDescent="0.2">
      <c r="A4" s="171"/>
      <c r="B4" s="171"/>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row>
    <row r="5" spans="1:31" ht="15.75" customHeight="1" x14ac:dyDescent="0.2">
      <c r="A5" s="171"/>
      <c r="B5" s="171"/>
      <c r="C5" s="171"/>
      <c r="D5" s="171"/>
      <c r="E5" s="171"/>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row>
    <row r="6" spans="1:31" ht="15.75" customHeight="1" x14ac:dyDescent="0.2">
      <c r="A6" s="171"/>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row>
    <row r="7" spans="1:31" ht="15.75" customHeight="1" x14ac:dyDescent="0.2">
      <c r="A7" s="171"/>
      <c r="B7" s="171"/>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row>
    <row r="8" spans="1:31" ht="15.75" customHeight="1" x14ac:dyDescent="0.2">
      <c r="A8" s="171"/>
      <c r="B8" s="171"/>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row>
    <row r="9" spans="1:31" ht="21" customHeight="1" x14ac:dyDescent="0.25">
      <c r="A9" s="631"/>
      <c r="B9" s="631"/>
      <c r="C9" s="631"/>
      <c r="D9" s="631"/>
      <c r="E9" s="631"/>
      <c r="F9" s="631"/>
      <c r="G9" s="631"/>
      <c r="H9" s="631"/>
      <c r="I9" s="631"/>
      <c r="J9" s="631"/>
      <c r="K9" s="631"/>
      <c r="L9" s="631"/>
      <c r="M9" s="631"/>
      <c r="N9" s="631"/>
      <c r="O9" s="171"/>
      <c r="P9" s="171"/>
      <c r="Q9" s="171"/>
      <c r="R9" s="171"/>
      <c r="S9" s="171"/>
      <c r="T9" s="171"/>
      <c r="U9" s="631"/>
      <c r="V9" s="631"/>
      <c r="W9" s="631"/>
      <c r="X9" s="631"/>
      <c r="Y9" s="631"/>
      <c r="Z9" s="631"/>
      <c r="AA9" s="631"/>
      <c r="AB9" s="631"/>
      <c r="AC9" s="631"/>
      <c r="AD9" s="631"/>
      <c r="AE9" s="631"/>
    </row>
    <row r="10" spans="1:31" ht="15.75" customHeight="1" x14ac:dyDescent="0.3">
      <c r="A10" s="631"/>
      <c r="B10" s="861" t="s">
        <v>2049</v>
      </c>
      <c r="C10" s="631"/>
      <c r="D10" s="631"/>
      <c r="E10" s="631"/>
      <c r="F10" s="631"/>
      <c r="G10" s="631"/>
      <c r="H10" s="631"/>
      <c r="I10" s="631"/>
      <c r="J10" s="631"/>
      <c r="K10" s="631"/>
      <c r="L10" s="631"/>
      <c r="M10" s="631"/>
      <c r="N10" s="631"/>
      <c r="O10" s="171"/>
      <c r="P10" s="171"/>
      <c r="Q10" s="171"/>
      <c r="R10" s="171"/>
      <c r="S10" s="171"/>
      <c r="T10" s="171"/>
      <c r="U10" s="631"/>
      <c r="V10" s="631"/>
      <c r="W10" s="631"/>
      <c r="X10" s="631"/>
      <c r="Y10" s="631"/>
      <c r="Z10" s="631"/>
      <c r="AA10" s="631"/>
      <c r="AB10" s="631"/>
      <c r="AC10" s="631"/>
      <c r="AD10" s="631"/>
      <c r="AE10" s="631"/>
    </row>
    <row r="11" spans="1:31" ht="15.75" customHeight="1" x14ac:dyDescent="0.3">
      <c r="A11" s="631"/>
      <c r="B11" s="861"/>
      <c r="C11" s="631"/>
      <c r="D11" s="631"/>
      <c r="E11" s="631"/>
      <c r="F11" s="631"/>
      <c r="G11" s="631"/>
      <c r="H11" s="631"/>
      <c r="I11" s="631"/>
      <c r="J11" s="631"/>
      <c r="K11" s="631"/>
      <c r="L11" s="631"/>
      <c r="M11" s="631"/>
      <c r="N11" s="631"/>
      <c r="O11" s="171"/>
      <c r="P11" s="171"/>
      <c r="Q11" s="171"/>
      <c r="R11" s="171"/>
      <c r="S11" s="171"/>
      <c r="T11" s="171"/>
      <c r="U11" s="631"/>
      <c r="V11" s="631"/>
      <c r="W11" s="631"/>
      <c r="X11" s="631"/>
      <c r="Y11" s="631"/>
      <c r="Z11" s="631"/>
      <c r="AA11" s="631"/>
      <c r="AB11" s="631"/>
      <c r="AC11" s="631"/>
      <c r="AD11" s="631"/>
      <c r="AE11" s="631"/>
    </row>
    <row r="12" spans="1:31" ht="15.75" customHeight="1" x14ac:dyDescent="0.25">
      <c r="A12" s="631"/>
      <c r="B12" s="631"/>
      <c r="C12" s="655" t="s">
        <v>142</v>
      </c>
      <c r="D12" s="1351">
        <f>IF(OR(Ano="Selecione",Ano=0),"Escolha o ano do inventário na aba 'Introdução'",Ano)</f>
        <v>2030</v>
      </c>
      <c r="E12" s="1352"/>
      <c r="F12" s="1352"/>
      <c r="G12" s="631"/>
      <c r="H12" s="631"/>
      <c r="I12" s="631"/>
      <c r="J12" s="631"/>
      <c r="K12" s="631"/>
      <c r="L12" s="631"/>
      <c r="M12" s="631"/>
      <c r="N12" s="631"/>
      <c r="O12" s="171"/>
      <c r="P12" s="171"/>
      <c r="Q12" s="171"/>
      <c r="R12" s="171"/>
      <c r="S12" s="171"/>
      <c r="T12" s="171"/>
      <c r="U12" s="631"/>
      <c r="V12" s="631"/>
      <c r="W12" s="631"/>
      <c r="X12" s="631"/>
      <c r="Y12" s="631"/>
      <c r="Z12" s="631"/>
      <c r="AA12" s="631"/>
      <c r="AB12" s="631"/>
      <c r="AC12" s="631"/>
      <c r="AD12" s="631"/>
      <c r="AE12" s="631"/>
    </row>
    <row r="13" spans="1:31" ht="15.75" customHeight="1" x14ac:dyDescent="0.25">
      <c r="A13" s="631"/>
      <c r="B13" s="631"/>
      <c r="C13" s="694"/>
      <c r="D13"/>
      <c r="E13" s="171"/>
      <c r="F13" s="631"/>
      <c r="G13" s="631"/>
      <c r="H13" s="631"/>
      <c r="I13" s="631"/>
      <c r="J13" s="631"/>
      <c r="K13" s="631"/>
      <c r="L13" s="631"/>
      <c r="M13" s="631"/>
      <c r="N13" s="631"/>
      <c r="O13" s="171"/>
      <c r="P13" s="171"/>
      <c r="Q13" s="171"/>
      <c r="R13" s="171"/>
      <c r="S13" s="171"/>
      <c r="T13" s="171"/>
      <c r="U13" s="631"/>
      <c r="V13" s="631"/>
      <c r="W13" s="631"/>
      <c r="X13" s="631"/>
      <c r="Y13" s="631"/>
      <c r="Z13" s="631"/>
      <c r="AA13" s="631"/>
      <c r="AB13" s="631"/>
      <c r="AC13" s="631"/>
      <c r="AD13" s="631"/>
      <c r="AE13" s="631"/>
    </row>
    <row r="14" spans="1:31" ht="15.75" customHeight="1" x14ac:dyDescent="0.25">
      <c r="A14" s="631"/>
      <c r="B14" s="863" t="s">
        <v>4</v>
      </c>
      <c r="C14" s="690"/>
      <c r="D14" s="690"/>
      <c r="E14" s="703"/>
      <c r="F14" s="703"/>
      <c r="G14" s="690"/>
      <c r="H14" s="690"/>
      <c r="I14" s="690"/>
      <c r="J14" s="690"/>
      <c r="K14" s="690"/>
      <c r="L14" s="690"/>
      <c r="M14" s="690"/>
      <c r="N14" s="690"/>
      <c r="O14" s="705"/>
      <c r="P14" s="171"/>
      <c r="Q14" s="171"/>
      <c r="R14" s="171"/>
      <c r="S14" s="171"/>
      <c r="T14" s="171"/>
      <c r="U14" s="690"/>
      <c r="V14" s="690"/>
      <c r="W14" s="690"/>
      <c r="X14" s="690"/>
      <c r="Y14" s="690"/>
      <c r="Z14" s="690"/>
      <c r="AA14" s="631"/>
      <c r="AB14" s="631"/>
      <c r="AC14" s="631"/>
      <c r="AD14" s="631"/>
      <c r="AE14" s="631"/>
    </row>
    <row r="15" spans="1:31" s="237" customFormat="1" ht="15.75" customHeight="1" x14ac:dyDescent="0.25">
      <c r="A15" s="729"/>
      <c r="B15" s="1325" t="s">
        <v>2050</v>
      </c>
      <c r="C15" s="1325"/>
      <c r="D15" s="1325"/>
      <c r="E15" s="1325"/>
      <c r="F15" s="1325"/>
      <c r="G15" s="1325"/>
      <c r="H15" s="1325"/>
      <c r="I15" s="1325"/>
      <c r="J15" s="1325"/>
      <c r="K15" s="729"/>
      <c r="L15" s="729"/>
      <c r="M15" s="729"/>
      <c r="N15" s="729"/>
      <c r="O15" s="729"/>
      <c r="P15" s="865"/>
      <c r="Q15" s="865"/>
      <c r="R15" s="865"/>
      <c r="S15" s="865"/>
      <c r="T15" s="865"/>
      <c r="U15" s="729"/>
      <c r="V15" s="729"/>
      <c r="W15" s="729"/>
      <c r="X15" s="729"/>
      <c r="Y15" s="729"/>
      <c r="Z15" s="729"/>
      <c r="AA15" s="729"/>
      <c r="AB15" s="729"/>
      <c r="AC15" s="729"/>
      <c r="AD15" s="729"/>
      <c r="AE15" s="729"/>
    </row>
    <row r="16" spans="1:31" s="237" customFormat="1" ht="15.75" customHeight="1" x14ac:dyDescent="0.25">
      <c r="A16" s="729"/>
      <c r="B16" s="1325"/>
      <c r="C16" s="1325"/>
      <c r="D16" s="1325"/>
      <c r="E16" s="1325"/>
      <c r="F16" s="1325"/>
      <c r="G16" s="1325"/>
      <c r="H16" s="1325"/>
      <c r="I16" s="1325"/>
      <c r="J16" s="1325"/>
      <c r="K16" s="729"/>
      <c r="L16" s="729"/>
      <c r="M16" s="729"/>
      <c r="N16" s="729"/>
      <c r="O16" s="729"/>
      <c r="P16" s="865"/>
      <c r="Q16" s="865"/>
      <c r="R16" s="865"/>
      <c r="S16" s="865"/>
      <c r="T16" s="865"/>
      <c r="U16" s="729"/>
      <c r="V16" s="729"/>
      <c r="W16" s="729"/>
      <c r="X16" s="729"/>
      <c r="Y16" s="729"/>
      <c r="Z16" s="729"/>
      <c r="AA16" s="729"/>
      <c r="AB16" s="729"/>
      <c r="AC16" s="729"/>
      <c r="AD16" s="729"/>
      <c r="AE16" s="729"/>
    </row>
    <row r="17" spans="1:31" s="237" customFormat="1" ht="15.75" customHeight="1" x14ac:dyDescent="0.25">
      <c r="A17" s="729"/>
      <c r="B17" s="1325" t="s">
        <v>1348</v>
      </c>
      <c r="C17" s="1325"/>
      <c r="D17" s="1325"/>
      <c r="E17" s="1325"/>
      <c r="F17" s="1325"/>
      <c r="G17" s="1325"/>
      <c r="H17" s="1325"/>
      <c r="I17" s="1325"/>
      <c r="J17" s="1325"/>
      <c r="K17" s="729"/>
      <c r="L17" s="729"/>
      <c r="M17" s="729"/>
      <c r="N17" s="729"/>
      <c r="O17" s="729"/>
      <c r="P17" s="865"/>
      <c r="Q17" s="865"/>
      <c r="R17" s="865"/>
      <c r="S17" s="865"/>
      <c r="T17" s="865"/>
      <c r="U17" s="729"/>
      <c r="V17" s="729"/>
      <c r="W17" s="729"/>
      <c r="X17" s="729"/>
      <c r="Y17" s="729"/>
      <c r="Z17" s="729"/>
      <c r="AA17" s="729"/>
      <c r="AB17" s="729"/>
      <c r="AC17" s="729"/>
      <c r="AD17" s="729"/>
      <c r="AE17" s="729"/>
    </row>
    <row r="18" spans="1:31" s="237" customFormat="1" ht="15.75" customHeight="1" x14ac:dyDescent="0.25">
      <c r="A18" s="729"/>
      <c r="B18" s="1325"/>
      <c r="C18" s="1325"/>
      <c r="D18" s="1325"/>
      <c r="E18" s="1325"/>
      <c r="F18" s="1325"/>
      <c r="G18" s="1325"/>
      <c r="H18" s="1325"/>
      <c r="I18" s="1325"/>
      <c r="J18" s="1325"/>
      <c r="K18" s="729"/>
      <c r="L18" s="729"/>
      <c r="M18" s="729"/>
      <c r="N18" s="729"/>
      <c r="O18" s="729"/>
      <c r="P18" s="865"/>
      <c r="Q18" s="865"/>
      <c r="R18" s="865"/>
      <c r="S18" s="865"/>
      <c r="T18" s="865"/>
      <c r="U18" s="729"/>
      <c r="V18" s="729"/>
      <c r="W18" s="729"/>
      <c r="X18" s="729"/>
      <c r="Y18" s="729"/>
      <c r="Z18" s="729"/>
      <c r="AA18" s="729"/>
      <c r="AB18" s="729"/>
      <c r="AC18" s="729"/>
      <c r="AD18" s="729"/>
      <c r="AE18" s="729"/>
    </row>
    <row r="19" spans="1:31" s="237" customFormat="1" ht="15.75" customHeight="1" x14ac:dyDescent="0.25">
      <c r="A19" s="729"/>
      <c r="B19" s="1335" t="s">
        <v>2051</v>
      </c>
      <c r="C19" s="1335"/>
      <c r="D19" s="1335"/>
      <c r="E19" s="1335"/>
      <c r="F19" s="1335"/>
      <c r="G19" s="1335"/>
      <c r="H19" s="1335"/>
      <c r="I19" s="1335"/>
      <c r="J19" s="1335"/>
      <c r="K19" s="729"/>
      <c r="L19" s="729"/>
      <c r="M19" s="729"/>
      <c r="N19" s="729"/>
      <c r="O19" s="729"/>
      <c r="P19" s="865"/>
      <c r="Q19" s="865"/>
      <c r="R19" s="865"/>
      <c r="S19" s="865"/>
      <c r="T19" s="865"/>
      <c r="U19" s="729"/>
      <c r="V19" s="729"/>
      <c r="W19" s="729"/>
      <c r="X19" s="729"/>
      <c r="Y19" s="729"/>
      <c r="Z19" s="729"/>
      <c r="AA19" s="729"/>
      <c r="AB19" s="729"/>
      <c r="AC19" s="729"/>
      <c r="AD19" s="729"/>
      <c r="AE19" s="729"/>
    </row>
    <row r="20" spans="1:31" s="237" customFormat="1" ht="15.75" customHeight="1" x14ac:dyDescent="0.25">
      <c r="A20" s="729"/>
      <c r="B20" s="1334" t="s">
        <v>2205</v>
      </c>
      <c r="C20" s="1334"/>
      <c r="D20" s="1334"/>
      <c r="E20" s="1334"/>
      <c r="F20" s="1334"/>
      <c r="G20" s="1334"/>
      <c r="H20" s="1334"/>
      <c r="I20" s="1334"/>
      <c r="J20" s="1334"/>
      <c r="K20" s="729"/>
      <c r="L20" s="729"/>
      <c r="M20" s="729"/>
      <c r="N20" s="729"/>
      <c r="O20" s="729"/>
      <c r="P20" s="729"/>
      <c r="Q20" s="729"/>
      <c r="R20" s="865"/>
      <c r="S20" s="729"/>
      <c r="T20" s="729"/>
      <c r="U20" s="729"/>
      <c r="V20" s="729"/>
      <c r="W20" s="729"/>
      <c r="X20" s="729"/>
      <c r="Y20" s="729"/>
      <c r="Z20" s="729"/>
      <c r="AA20" s="729"/>
      <c r="AB20" s="729"/>
      <c r="AC20" s="729"/>
      <c r="AD20" s="729"/>
      <c r="AE20" s="729"/>
    </row>
    <row r="21" spans="1:31" s="237" customFormat="1" ht="15.75" customHeight="1" x14ac:dyDescent="0.25">
      <c r="A21" s="729"/>
      <c r="B21" s="1334" t="s">
        <v>2053</v>
      </c>
      <c r="C21" s="1334"/>
      <c r="D21" s="1334"/>
      <c r="E21" s="1334"/>
      <c r="F21" s="1334"/>
      <c r="G21" s="1334"/>
      <c r="H21" s="1334"/>
      <c r="I21" s="1334"/>
      <c r="J21" s="1334"/>
      <c r="K21" s="729"/>
      <c r="L21" s="729"/>
      <c r="M21" s="729"/>
      <c r="N21" s="729"/>
      <c r="O21" s="729"/>
      <c r="P21" s="729"/>
      <c r="Q21" s="729"/>
      <c r="R21" s="729"/>
      <c r="S21" s="729"/>
      <c r="T21" s="729"/>
      <c r="U21" s="729"/>
      <c r="V21" s="729"/>
      <c r="W21" s="729"/>
      <c r="X21" s="729"/>
      <c r="Y21" s="729"/>
      <c r="Z21" s="729"/>
      <c r="AA21" s="729"/>
      <c r="AB21" s="729"/>
      <c r="AC21" s="729"/>
      <c r="AD21" s="729"/>
      <c r="AE21" s="729"/>
    </row>
    <row r="22" spans="1:31" s="237" customFormat="1" ht="15.75" customHeight="1" x14ac:dyDescent="0.25">
      <c r="A22" s="729"/>
      <c r="C22" s="729"/>
      <c r="D22" s="729"/>
      <c r="E22" s="731"/>
      <c r="F22" s="731"/>
      <c r="G22" s="729"/>
      <c r="H22" s="729"/>
      <c r="I22" s="729"/>
      <c r="J22" s="729"/>
      <c r="K22" s="729"/>
      <c r="L22" s="729"/>
      <c r="M22" s="729"/>
      <c r="N22" s="729"/>
      <c r="O22" s="729"/>
      <c r="P22" s="729"/>
      <c r="Q22" s="729"/>
      <c r="R22" s="729"/>
      <c r="S22" s="729"/>
      <c r="T22" s="729"/>
      <c r="U22" s="729"/>
      <c r="V22" s="729"/>
      <c r="W22" s="729"/>
      <c r="X22" s="729"/>
      <c r="Y22" s="729"/>
      <c r="Z22" s="729"/>
      <c r="AA22" s="729"/>
      <c r="AB22" s="729"/>
      <c r="AC22" s="729"/>
      <c r="AD22" s="729"/>
      <c r="AE22" s="729"/>
    </row>
    <row r="23" spans="1:31" s="463" customFormat="1" ht="18" customHeight="1" x14ac:dyDescent="0.3">
      <c r="A23" s="866"/>
      <c r="B23" s="866" t="s">
        <v>443</v>
      </c>
      <c r="C23" s="867"/>
      <c r="D23" s="867"/>
      <c r="E23" s="867"/>
      <c r="F23" s="867"/>
      <c r="G23" s="867"/>
      <c r="H23" s="867"/>
      <c r="I23" s="867"/>
      <c r="J23" s="867"/>
      <c r="K23" s="867"/>
      <c r="L23" s="867"/>
      <c r="M23" s="867"/>
      <c r="N23" s="868"/>
      <c r="O23" s="864"/>
      <c r="P23" s="864"/>
      <c r="Q23" s="864"/>
      <c r="R23" s="864"/>
      <c r="S23" s="864"/>
      <c r="T23" s="864"/>
      <c r="U23" s="864"/>
      <c r="V23" s="864"/>
      <c r="W23" s="864"/>
      <c r="X23" s="864"/>
      <c r="Y23" s="864"/>
      <c r="Z23" s="864"/>
      <c r="AA23" s="864"/>
      <c r="AB23" s="864"/>
      <c r="AC23" s="864"/>
      <c r="AD23" s="864"/>
      <c r="AE23" s="864"/>
    </row>
    <row r="24" spans="1:31" ht="15" customHeight="1" outlineLevel="1" x14ac:dyDescent="0.25">
      <c r="A24" s="854"/>
      <c r="K24" s="711"/>
      <c r="L24" s="711"/>
      <c r="M24" s="711"/>
      <c r="N24" s="711"/>
      <c r="O24" s="717"/>
      <c r="P24" s="717"/>
      <c r="Q24" s="717"/>
      <c r="R24" s="717"/>
      <c r="S24" s="717"/>
      <c r="T24" s="717"/>
      <c r="U24" s="717"/>
      <c r="V24" s="717"/>
      <c r="W24" s="717"/>
      <c r="X24" s="717"/>
      <c r="Y24" s="717"/>
      <c r="Z24" s="717"/>
      <c r="AA24" s="717"/>
      <c r="AB24" s="717"/>
      <c r="AC24" s="717"/>
      <c r="AD24" s="717"/>
      <c r="AE24" s="717"/>
    </row>
    <row r="25" spans="1:31" s="237" customFormat="1" ht="15" customHeight="1" outlineLevel="1" x14ac:dyDescent="0.25">
      <c r="A25" s="729"/>
      <c r="B25" s="728" t="s">
        <v>124</v>
      </c>
      <c r="K25" s="729"/>
      <c r="L25" s="729"/>
      <c r="M25" s="729"/>
      <c r="N25" s="729"/>
      <c r="O25" s="278"/>
      <c r="P25" s="729"/>
      <c r="Q25" s="729"/>
      <c r="R25" s="729"/>
      <c r="S25" s="729"/>
      <c r="T25" s="729"/>
      <c r="U25" s="729"/>
      <c r="V25" s="729"/>
      <c r="W25" s="729"/>
      <c r="X25" s="729"/>
      <c r="Y25" s="729"/>
      <c r="Z25" s="729"/>
      <c r="AA25" s="729"/>
      <c r="AB25" s="729"/>
      <c r="AC25" s="729"/>
      <c r="AE25" s="729"/>
    </row>
    <row r="26" spans="1:31" s="237" customFormat="1" ht="15" outlineLevel="1" x14ac:dyDescent="0.25">
      <c r="A26" s="729"/>
      <c r="B26" s="1339" t="s">
        <v>2020</v>
      </c>
      <c r="C26" s="1339"/>
      <c r="D26" s="1339"/>
      <c r="E26" s="1339"/>
      <c r="F26" s="1339"/>
      <c r="G26" s="1339"/>
      <c r="H26" s="1339"/>
      <c r="I26" s="1339"/>
      <c r="J26" s="1339"/>
      <c r="K26" s="729"/>
      <c r="L26" s="729"/>
      <c r="M26" s="729"/>
      <c r="N26" s="729"/>
      <c r="O26" s="278"/>
      <c r="P26" s="729"/>
      <c r="Q26" s="729"/>
      <c r="R26" s="729"/>
      <c r="S26" s="729"/>
      <c r="T26" s="729"/>
      <c r="U26" s="729"/>
      <c r="V26" s="729"/>
      <c r="W26" s="729"/>
      <c r="X26" s="729"/>
      <c r="Y26" s="729"/>
      <c r="Z26" s="729"/>
    </row>
    <row r="27" spans="1:31" s="237" customFormat="1" ht="15" customHeight="1" outlineLevel="1" x14ac:dyDescent="0.25">
      <c r="A27" s="729"/>
      <c r="B27" s="1337" t="s">
        <v>2021</v>
      </c>
      <c r="C27" s="1337"/>
      <c r="D27" s="1337"/>
      <c r="E27" s="1337"/>
      <c r="F27" s="1337"/>
      <c r="G27" s="1337"/>
      <c r="H27" s="1337"/>
      <c r="I27" s="1337"/>
      <c r="J27" s="1337"/>
      <c r="K27" s="729"/>
      <c r="L27" s="729"/>
      <c r="M27" s="729"/>
      <c r="N27" s="729"/>
      <c r="O27" s="278"/>
      <c r="P27" s="865"/>
      <c r="Q27" s="865"/>
      <c r="R27" s="865"/>
      <c r="S27" s="865"/>
      <c r="T27" s="865"/>
      <c r="U27" s="865"/>
      <c r="V27" s="865"/>
      <c r="W27" s="865"/>
      <c r="X27" s="865"/>
      <c r="Y27" s="729"/>
      <c r="Z27" s="729"/>
    </row>
    <row r="28" spans="1:31" s="237" customFormat="1" ht="15" customHeight="1" outlineLevel="1" x14ac:dyDescent="0.25">
      <c r="A28" s="729"/>
      <c r="B28" s="1338" t="s">
        <v>2022</v>
      </c>
      <c r="C28" s="1338"/>
      <c r="D28" s="1338"/>
      <c r="E28" s="1338"/>
      <c r="F28" s="1338"/>
      <c r="G28" s="1338"/>
      <c r="H28" s="1338"/>
      <c r="I28" s="1338"/>
      <c r="J28" s="1338"/>
      <c r="K28" s="729"/>
      <c r="L28" s="729"/>
      <c r="M28" s="729"/>
      <c r="N28" s="729"/>
      <c r="O28" s="278"/>
      <c r="P28" s="865"/>
      <c r="Q28" s="865"/>
      <c r="R28" s="865"/>
      <c r="S28" s="865"/>
      <c r="T28" s="865"/>
      <c r="U28" s="865"/>
      <c r="V28" s="865"/>
      <c r="W28" s="865"/>
      <c r="X28" s="865"/>
      <c r="Y28" s="729"/>
      <c r="Z28" s="729"/>
    </row>
    <row r="29" spans="1:31" s="237" customFormat="1" ht="15" customHeight="1" outlineLevel="1" x14ac:dyDescent="0.25">
      <c r="A29" s="729"/>
      <c r="B29" s="1338"/>
      <c r="C29" s="1338"/>
      <c r="D29" s="1338"/>
      <c r="E29" s="1338"/>
      <c r="F29" s="1338"/>
      <c r="G29" s="1338"/>
      <c r="H29" s="1338"/>
      <c r="I29" s="1338"/>
      <c r="J29" s="1338"/>
      <c r="K29" s="729"/>
      <c r="L29" s="729"/>
      <c r="M29" s="729"/>
      <c r="N29" s="729"/>
      <c r="O29" s="278"/>
      <c r="P29" s="865"/>
      <c r="Q29" s="865"/>
      <c r="R29" s="865"/>
      <c r="S29" s="865"/>
      <c r="T29" s="865"/>
      <c r="U29" s="865"/>
      <c r="V29" s="865"/>
      <c r="W29" s="865"/>
      <c r="X29" s="865"/>
      <c r="Y29" s="729"/>
      <c r="Z29" s="729"/>
    </row>
    <row r="30" spans="1:31" s="237" customFormat="1" ht="15" customHeight="1" outlineLevel="1" x14ac:dyDescent="0.25">
      <c r="A30" s="729"/>
      <c r="B30" s="1340" t="s">
        <v>1349</v>
      </c>
      <c r="C30" s="1340"/>
      <c r="D30" s="1340"/>
      <c r="E30" s="1340"/>
      <c r="F30" s="1340"/>
      <c r="G30" s="1340"/>
      <c r="H30" s="1340"/>
      <c r="I30" s="1340"/>
      <c r="J30" s="1340"/>
      <c r="K30" s="729"/>
      <c r="L30" s="729"/>
      <c r="M30" s="729"/>
      <c r="N30" s="729"/>
      <c r="O30" s="278"/>
      <c r="P30" s="865"/>
      <c r="Q30" s="865"/>
      <c r="R30" s="865"/>
      <c r="S30" s="865"/>
      <c r="T30" s="865"/>
      <c r="U30" s="865"/>
      <c r="V30" s="865"/>
      <c r="W30" s="865"/>
      <c r="X30" s="865"/>
      <c r="Y30" s="729"/>
      <c r="Z30" s="729"/>
    </row>
    <row r="31" spans="1:31" s="237" customFormat="1" ht="15" customHeight="1" outlineLevel="1" x14ac:dyDescent="0.25">
      <c r="A31" s="729"/>
      <c r="K31" s="729"/>
      <c r="L31" s="729"/>
      <c r="M31" s="729"/>
      <c r="N31" s="729"/>
      <c r="O31" s="278"/>
      <c r="P31" s="865"/>
      <c r="Q31" s="865"/>
      <c r="R31" s="865"/>
      <c r="S31" s="865"/>
      <c r="T31" s="865"/>
      <c r="U31" s="865"/>
      <c r="V31" s="865"/>
      <c r="W31" s="865"/>
      <c r="X31" s="865"/>
      <c r="Y31" s="729"/>
      <c r="Z31" s="729"/>
    </row>
    <row r="32" spans="1:31" s="237" customFormat="1" ht="15" customHeight="1" outlineLevel="1" x14ac:dyDescent="0.25">
      <c r="A32" s="729"/>
      <c r="B32" s="871" t="s">
        <v>221</v>
      </c>
      <c r="K32" s="729"/>
      <c r="L32" s="729"/>
      <c r="M32" s="729"/>
      <c r="N32" s="729"/>
      <c r="O32" s="278"/>
      <c r="P32" s="865"/>
      <c r="Q32" s="865"/>
      <c r="R32" s="865"/>
      <c r="S32" s="865"/>
      <c r="T32" s="865"/>
      <c r="U32" s="865"/>
      <c r="V32" s="865"/>
      <c r="W32" s="865"/>
      <c r="X32" s="865"/>
      <c r="Y32" s="729"/>
      <c r="Z32" s="729"/>
    </row>
    <row r="33" spans="1:31" s="237" customFormat="1" ht="15" customHeight="1" outlineLevel="1" x14ac:dyDescent="0.25">
      <c r="A33" s="252"/>
      <c r="C33" s="872"/>
      <c r="D33" s="865"/>
      <c r="E33" s="865"/>
      <c r="F33" s="865"/>
      <c r="G33" s="865"/>
      <c r="H33" s="865"/>
      <c r="I33" s="252"/>
      <c r="J33" s="252"/>
      <c r="K33" s="252"/>
      <c r="L33" s="252"/>
      <c r="M33" s="252"/>
      <c r="N33" s="252"/>
      <c r="O33" s="278"/>
      <c r="P33" s="865"/>
      <c r="Q33" s="865"/>
      <c r="R33" s="865"/>
      <c r="S33" s="865"/>
      <c r="T33" s="865"/>
      <c r="U33" s="865"/>
      <c r="V33" s="865"/>
      <c r="W33" s="865"/>
      <c r="X33" s="865"/>
      <c r="Y33" s="252"/>
      <c r="Z33" s="252"/>
    </row>
    <row r="34" spans="1:31" s="237" customFormat="1" ht="15" customHeight="1" outlineLevel="1" x14ac:dyDescent="0.25">
      <c r="A34" s="252"/>
      <c r="B34" s="865"/>
      <c r="C34" s="873" t="s">
        <v>213</v>
      </c>
      <c r="D34" s="874"/>
      <c r="E34" s="875" t="s">
        <v>338</v>
      </c>
      <c r="F34" s="865"/>
      <c r="G34" s="865"/>
      <c r="H34" s="865"/>
      <c r="I34" s="252"/>
      <c r="J34" s="252"/>
      <c r="K34" s="252"/>
      <c r="L34" s="252"/>
      <c r="M34" s="252"/>
      <c r="N34" s="252"/>
      <c r="O34" s="278"/>
      <c r="P34" s="865"/>
      <c r="Q34" s="865"/>
      <c r="R34" s="865"/>
      <c r="S34" s="865"/>
      <c r="T34" s="865"/>
      <c r="U34" s="865"/>
      <c r="V34" s="865"/>
      <c r="W34" s="865"/>
      <c r="X34" s="865"/>
      <c r="Y34" s="252"/>
      <c r="Z34" s="252"/>
    </row>
    <row r="35" spans="1:31" s="237" customFormat="1" ht="15" customHeight="1" outlineLevel="1" x14ac:dyDescent="0.25">
      <c r="A35" s="252"/>
      <c r="B35" s="865"/>
      <c r="C35" s="876" t="s">
        <v>2023</v>
      </c>
      <c r="D35" s="877"/>
      <c r="E35" s="877"/>
      <c r="F35" s="865"/>
      <c r="G35" s="865"/>
      <c r="H35" s="865"/>
      <c r="I35" s="252"/>
      <c r="J35" s="252"/>
      <c r="K35" s="252"/>
      <c r="L35" s="252"/>
      <c r="M35" s="252"/>
      <c r="N35" s="252"/>
      <c r="O35" s="278"/>
      <c r="P35" s="865"/>
      <c r="Q35" s="865"/>
      <c r="R35" s="865"/>
      <c r="S35" s="865"/>
      <c r="T35" s="865"/>
      <c r="U35" s="865"/>
      <c r="V35" s="865"/>
      <c r="W35" s="865"/>
      <c r="X35" s="865"/>
      <c r="Y35" s="252"/>
      <c r="Z35" s="252"/>
    </row>
    <row r="36" spans="1:31" s="237" customFormat="1" ht="15" customHeight="1" outlineLevel="1" x14ac:dyDescent="0.25">
      <c r="A36" s="252"/>
      <c r="B36" s="865"/>
      <c r="C36" s="865"/>
      <c r="D36" s="865"/>
      <c r="E36" s="865"/>
      <c r="F36" s="252"/>
      <c r="G36" s="252"/>
      <c r="H36" s="865"/>
      <c r="I36" s="865"/>
      <c r="J36" s="865"/>
      <c r="K36" s="865"/>
      <c r="L36" s="252"/>
      <c r="M36" s="252"/>
      <c r="N36" s="252"/>
      <c r="O36" s="278"/>
      <c r="P36" s="865"/>
      <c r="Q36" s="865"/>
      <c r="R36" s="865"/>
      <c r="S36" s="865"/>
      <c r="T36" s="865"/>
      <c r="U36" s="865"/>
      <c r="V36" s="865"/>
      <c r="W36" s="865"/>
      <c r="X36" s="865"/>
      <c r="Y36" s="252"/>
      <c r="Z36" s="252"/>
    </row>
    <row r="37" spans="1:31" s="237" customFormat="1" ht="15" customHeight="1" outlineLevel="1" x14ac:dyDescent="0.25">
      <c r="A37" s="252"/>
      <c r="B37" s="871" t="s">
        <v>2024</v>
      </c>
      <c r="C37" s="252"/>
      <c r="D37" s="252"/>
      <c r="E37" s="871"/>
      <c r="F37" s="252"/>
      <c r="G37" s="252"/>
      <c r="H37" s="865"/>
      <c r="I37" s="865"/>
      <c r="J37" s="865"/>
      <c r="K37" s="865"/>
      <c r="L37" s="252"/>
      <c r="M37" s="252"/>
      <c r="N37" s="252"/>
      <c r="O37" s="278"/>
      <c r="P37" s="865"/>
      <c r="Q37" s="865"/>
      <c r="R37" s="865"/>
      <c r="S37" s="865"/>
      <c r="T37" s="865"/>
      <c r="U37" s="865"/>
      <c r="V37" s="865"/>
      <c r="W37" s="865"/>
      <c r="X37" s="865"/>
      <c r="Y37" s="252"/>
      <c r="Z37" s="252"/>
    </row>
    <row r="38" spans="1:31" s="237" customFormat="1" ht="15" customHeight="1" outlineLevel="1" x14ac:dyDescent="0.25">
      <c r="A38" s="252"/>
      <c r="B38" s="252"/>
      <c r="C38" s="878"/>
      <c r="D38" s="878"/>
      <c r="E38" s="871"/>
      <c r="F38" s="252"/>
      <c r="G38" s="252"/>
      <c r="H38" s="865"/>
      <c r="I38" s="865"/>
      <c r="J38" s="865"/>
      <c r="K38" s="865"/>
      <c r="L38" s="252"/>
      <c r="M38" s="252"/>
      <c r="N38" s="252"/>
      <c r="O38" s="278"/>
      <c r="P38" s="865"/>
      <c r="Q38" s="865"/>
      <c r="R38" s="865"/>
      <c r="S38" s="865"/>
      <c r="T38" s="865"/>
      <c r="U38" s="865"/>
      <c r="V38" s="865"/>
      <c r="W38" s="865"/>
      <c r="X38" s="865"/>
      <c r="Y38" s="252"/>
      <c r="Z38" s="252"/>
    </row>
    <row r="39" spans="1:31" s="237" customFormat="1" ht="15" customHeight="1" outlineLevel="1" x14ac:dyDescent="0.25">
      <c r="A39" s="252"/>
      <c r="B39" s="879"/>
      <c r="C39" s="880" t="s">
        <v>50</v>
      </c>
      <c r="D39" s="881"/>
      <c r="E39" s="865" t="s">
        <v>51</v>
      </c>
      <c r="F39" s="865"/>
      <c r="G39" s="865"/>
      <c r="H39" s="865"/>
      <c r="I39" s="865"/>
      <c r="J39" s="865"/>
      <c r="K39" s="865"/>
      <c r="L39" s="252"/>
      <c r="M39" s="252"/>
      <c r="N39" s="252"/>
      <c r="O39" s="278"/>
      <c r="P39" s="865"/>
      <c r="Q39" s="865"/>
      <c r="R39" s="865"/>
      <c r="S39" s="865"/>
      <c r="T39" s="865"/>
      <c r="U39" s="865"/>
      <c r="V39" s="865"/>
      <c r="W39" s="865"/>
      <c r="X39" s="865"/>
      <c r="Y39" s="252"/>
      <c r="Z39" s="252"/>
    </row>
    <row r="40" spans="1:31" s="237" customFormat="1" ht="15" customHeight="1" outlineLevel="1" x14ac:dyDescent="0.25">
      <c r="A40" s="252"/>
      <c r="B40" s="879"/>
      <c r="C40" s="882"/>
      <c r="D40" s="865"/>
      <c r="E40" s="865"/>
      <c r="F40" s="865"/>
      <c r="G40" s="865"/>
      <c r="H40" s="865"/>
      <c r="I40" s="865"/>
      <c r="J40" s="865"/>
      <c r="K40" s="865"/>
      <c r="L40" s="252"/>
      <c r="M40" s="252"/>
      <c r="N40" s="252"/>
      <c r="O40" s="278"/>
      <c r="P40" s="865"/>
      <c r="Q40" s="865"/>
      <c r="R40" s="865"/>
      <c r="S40" s="865"/>
      <c r="T40" s="865"/>
      <c r="U40" s="865"/>
      <c r="V40" s="865"/>
      <c r="W40" s="865"/>
      <c r="X40" s="865"/>
      <c r="Y40" s="252"/>
      <c r="Z40" s="252"/>
    </row>
    <row r="41" spans="1:31" s="237" customFormat="1" ht="15" customHeight="1" outlineLevel="1" x14ac:dyDescent="0.25">
      <c r="A41" s="252"/>
      <c r="B41" s="871" t="s">
        <v>219</v>
      </c>
      <c r="C41" s="882"/>
      <c r="D41" s="865"/>
      <c r="E41" s="865"/>
      <c r="F41" s="865"/>
      <c r="G41" s="865"/>
      <c r="H41" s="865"/>
      <c r="I41" s="865"/>
      <c r="J41" s="865"/>
      <c r="K41" s="865"/>
      <c r="L41" s="252"/>
      <c r="M41" s="252"/>
      <c r="N41" s="252"/>
      <c r="O41" s="278"/>
      <c r="P41" s="865"/>
      <c r="Q41" s="865"/>
      <c r="R41" s="865"/>
      <c r="S41" s="865"/>
      <c r="T41" s="865"/>
      <c r="U41" s="865"/>
      <c r="V41" s="865"/>
      <c r="W41" s="865"/>
      <c r="X41" s="865"/>
      <c r="Y41" s="252"/>
      <c r="Z41" s="252"/>
    </row>
    <row r="42" spans="1:31" s="237" customFormat="1" ht="15" customHeight="1" outlineLevel="1" x14ac:dyDescent="0.25">
      <c r="A42" s="252"/>
      <c r="B42" s="879"/>
      <c r="C42" s="876" t="s">
        <v>614</v>
      </c>
      <c r="D42" s="252"/>
      <c r="E42" s="865"/>
      <c r="F42" s="252"/>
      <c r="G42" s="252"/>
      <c r="H42" s="865"/>
      <c r="I42" s="865"/>
      <c r="J42" s="865"/>
      <c r="K42" s="865"/>
      <c r="L42" s="252"/>
      <c r="M42" s="252"/>
      <c r="N42" s="252"/>
      <c r="O42" s="278"/>
      <c r="P42" s="865"/>
      <c r="Q42" s="865"/>
      <c r="R42" s="865"/>
      <c r="S42" s="865"/>
      <c r="T42" s="865"/>
      <c r="U42" s="865"/>
      <c r="V42" s="865"/>
      <c r="W42" s="865"/>
      <c r="X42" s="865"/>
      <c r="Y42" s="252"/>
      <c r="Z42" s="252"/>
      <c r="AA42" s="865"/>
      <c r="AB42" s="865"/>
      <c r="AC42" s="865"/>
      <c r="AD42" s="729"/>
      <c r="AE42" s="252"/>
    </row>
    <row r="43" spans="1:31" s="237" customFormat="1" ht="15" customHeight="1" outlineLevel="1" x14ac:dyDescent="0.25">
      <c r="A43" s="252"/>
      <c r="B43" s="879"/>
      <c r="C43" s="876" t="s">
        <v>2025</v>
      </c>
      <c r="D43" s="252"/>
      <c r="E43" s="865"/>
      <c r="F43" s="252"/>
      <c r="G43" s="252"/>
      <c r="H43" s="865"/>
      <c r="I43" s="865"/>
      <c r="J43" s="865"/>
      <c r="K43" s="865"/>
      <c r="L43" s="252"/>
      <c r="M43" s="252"/>
      <c r="N43" s="252"/>
      <c r="O43" s="278"/>
      <c r="P43" s="865"/>
      <c r="Q43" s="865"/>
      <c r="R43" s="865"/>
      <c r="S43" s="865"/>
      <c r="T43" s="865"/>
      <c r="U43" s="865"/>
      <c r="V43" s="865"/>
      <c r="W43" s="865"/>
      <c r="X43" s="865"/>
      <c r="Y43" s="252"/>
      <c r="Z43" s="252"/>
      <c r="AA43" s="865"/>
      <c r="AB43" s="865"/>
      <c r="AC43" s="252"/>
      <c r="AD43" s="252"/>
      <c r="AE43" s="252"/>
    </row>
    <row r="44" spans="1:31" s="237" customFormat="1" ht="15" customHeight="1" outlineLevel="1" x14ac:dyDescent="0.25">
      <c r="A44" s="252"/>
      <c r="B44" s="879"/>
      <c r="C44" s="876"/>
      <c r="D44" s="252"/>
      <c r="E44" s="865"/>
      <c r="F44" s="252"/>
      <c r="G44" s="252"/>
      <c r="H44" s="865"/>
      <c r="I44" s="865"/>
      <c r="J44" s="865"/>
      <c r="K44" s="865"/>
      <c r="L44" s="252"/>
      <c r="M44" s="252"/>
      <c r="N44" s="252"/>
      <c r="O44" s="278"/>
      <c r="P44" s="865"/>
      <c r="Q44" s="865"/>
      <c r="R44" s="865"/>
      <c r="S44" s="865"/>
      <c r="T44" s="865"/>
      <c r="U44" s="865"/>
      <c r="V44" s="865"/>
      <c r="W44" s="865"/>
      <c r="X44" s="865"/>
      <c r="Y44" s="252"/>
      <c r="Z44" s="252"/>
      <c r="AA44" s="865"/>
      <c r="AB44" s="865"/>
      <c r="AC44" s="252"/>
      <c r="AD44" s="252"/>
      <c r="AE44" s="252"/>
    </row>
    <row r="45" spans="1:31" s="237" customFormat="1" ht="15" customHeight="1" outlineLevel="1" x14ac:dyDescent="0.25">
      <c r="A45" s="252"/>
      <c r="B45" s="879"/>
      <c r="C45" s="883"/>
      <c r="D45" s="883"/>
      <c r="E45" s="884" t="s">
        <v>143</v>
      </c>
      <c r="F45" s="252"/>
      <c r="G45" s="252"/>
      <c r="H45" s="865"/>
      <c r="I45" s="865"/>
      <c r="J45" s="865"/>
      <c r="K45" s="865"/>
      <c r="L45" s="252"/>
      <c r="M45" s="252"/>
      <c r="N45" s="252"/>
      <c r="O45" s="278"/>
      <c r="P45" s="252"/>
      <c r="Q45" s="865"/>
      <c r="R45" s="865"/>
      <c r="S45" s="865"/>
      <c r="T45" s="865"/>
      <c r="U45" s="865"/>
      <c r="V45" s="252"/>
      <c r="W45" s="252"/>
      <c r="X45" s="252"/>
      <c r="Y45" s="252"/>
      <c r="Z45" s="252"/>
      <c r="AA45" s="252"/>
      <c r="AB45" s="252"/>
      <c r="AC45" s="252"/>
      <c r="AD45" s="252"/>
      <c r="AE45" s="252"/>
    </row>
    <row r="46" spans="1:31" s="237" customFormat="1" ht="15" customHeight="1" outlineLevel="1" x14ac:dyDescent="0.25">
      <c r="A46" s="252"/>
      <c r="B46" s="879"/>
      <c r="C46" s="885" t="s">
        <v>2026</v>
      </c>
      <c r="D46" s="875"/>
      <c r="E46" s="875"/>
      <c r="F46" s="252"/>
      <c r="G46" s="252"/>
      <c r="H46" s="865"/>
      <c r="I46" s="865"/>
      <c r="J46" s="865"/>
      <c r="K46" s="865"/>
      <c r="L46" s="252"/>
      <c r="M46" s="252"/>
      <c r="N46" s="252"/>
      <c r="O46" s="278"/>
      <c r="P46" s="252"/>
      <c r="Q46" s="865"/>
      <c r="R46" s="865"/>
      <c r="S46" s="865"/>
      <c r="T46" s="865"/>
      <c r="U46" s="865"/>
      <c r="V46" s="252"/>
      <c r="W46" s="252"/>
      <c r="X46" s="252"/>
      <c r="Y46" s="252"/>
      <c r="Z46" s="252"/>
      <c r="AA46" s="252"/>
      <c r="AB46" s="252"/>
      <c r="AC46" s="252"/>
      <c r="AD46" s="252"/>
      <c r="AE46" s="252"/>
    </row>
    <row r="47" spans="1:31" s="237" customFormat="1" ht="15" customHeight="1" outlineLevel="1" x14ac:dyDescent="0.25">
      <c r="A47" s="252"/>
      <c r="B47" s="879"/>
      <c r="C47" s="886"/>
      <c r="D47" s="252"/>
      <c r="E47" s="252"/>
      <c r="F47" s="252"/>
      <c r="G47" s="252"/>
      <c r="H47" s="865"/>
      <c r="I47" s="865"/>
      <c r="J47" s="865"/>
      <c r="K47" s="865"/>
      <c r="L47" s="252"/>
      <c r="M47" s="252"/>
      <c r="N47" s="252"/>
      <c r="O47" s="278"/>
      <c r="P47" s="252"/>
      <c r="Q47" s="865"/>
      <c r="R47" s="865"/>
      <c r="S47" s="865"/>
      <c r="T47" s="865"/>
      <c r="U47" s="865"/>
      <c r="V47" s="252"/>
      <c r="W47" s="252"/>
      <c r="X47" s="252"/>
      <c r="Y47" s="252"/>
      <c r="Z47" s="252"/>
      <c r="AA47" s="252"/>
      <c r="AB47" s="252"/>
      <c r="AC47" s="252"/>
      <c r="AD47" s="252"/>
      <c r="AE47" s="252"/>
    </row>
    <row r="48" spans="1:31" s="237" customFormat="1" ht="15" customHeight="1" outlineLevel="1" x14ac:dyDescent="0.25">
      <c r="A48" s="252"/>
      <c r="B48" s="879"/>
      <c r="C48" s="876" t="s">
        <v>2029</v>
      </c>
      <c r="D48" s="252"/>
      <c r="E48" s="252"/>
      <c r="F48" s="252"/>
      <c r="G48" s="252"/>
      <c r="H48" s="865"/>
      <c r="I48" s="865"/>
      <c r="J48" s="865"/>
      <c r="K48" s="865"/>
      <c r="L48" s="865"/>
      <c r="M48" s="865"/>
      <c r="N48" s="865"/>
      <c r="O48" s="278"/>
      <c r="P48" s="252"/>
      <c r="Q48" s="865"/>
      <c r="R48" s="865"/>
      <c r="S48" s="865"/>
      <c r="T48" s="865"/>
      <c r="U48" s="865"/>
      <c r="V48" s="252"/>
      <c r="W48" s="252"/>
      <c r="X48" s="252"/>
      <c r="Y48" s="252"/>
      <c r="Z48" s="252"/>
      <c r="AA48" s="252"/>
      <c r="AB48" s="252"/>
      <c r="AC48" s="252"/>
      <c r="AD48" s="252"/>
      <c r="AE48" s="252"/>
    </row>
    <row r="49" spans="1:31" s="237" customFormat="1" ht="15" customHeight="1" outlineLevel="1" x14ac:dyDescent="0.35">
      <c r="A49" s="252"/>
      <c r="B49" s="879"/>
      <c r="C49" s="876" t="s">
        <v>1464</v>
      </c>
      <c r="D49" s="252"/>
      <c r="E49" s="252"/>
      <c r="F49" s="252"/>
      <c r="G49" s="252"/>
      <c r="H49" s="865"/>
      <c r="I49" s="865"/>
      <c r="J49" s="865"/>
      <c r="K49" s="865"/>
      <c r="L49" s="865"/>
      <c r="M49" s="865"/>
      <c r="N49" s="865"/>
      <c r="O49" s="278"/>
      <c r="P49" s="252"/>
      <c r="Q49" s="252"/>
      <c r="R49" s="252"/>
      <c r="S49" s="252"/>
      <c r="T49" s="252"/>
      <c r="U49" s="252"/>
      <c r="V49" s="252"/>
      <c r="W49" s="252"/>
      <c r="X49" s="252"/>
      <c r="Y49" s="252"/>
      <c r="Z49" s="252"/>
      <c r="AA49" s="252"/>
      <c r="AB49" s="252"/>
      <c r="AC49" s="252"/>
      <c r="AD49" s="252"/>
      <c r="AE49" s="252"/>
    </row>
    <row r="50" spans="1:31" s="237" customFormat="1" ht="15" customHeight="1" outlineLevel="1" x14ac:dyDescent="0.35">
      <c r="A50" s="252"/>
      <c r="B50" s="879"/>
      <c r="C50" s="876" t="s">
        <v>1498</v>
      </c>
      <c r="D50" s="877"/>
      <c r="E50" s="877"/>
      <c r="F50" s="252"/>
      <c r="G50" s="252"/>
      <c r="H50" s="865"/>
      <c r="I50" s="865"/>
      <c r="J50" s="865"/>
      <c r="K50" s="865"/>
      <c r="L50" s="865"/>
      <c r="M50" s="865"/>
      <c r="N50" s="865"/>
      <c r="O50" s="278"/>
      <c r="P50" s="252"/>
      <c r="Q50" s="252"/>
      <c r="R50" s="252"/>
      <c r="S50" s="252"/>
      <c r="T50" s="252"/>
      <c r="U50" s="252"/>
      <c r="V50" s="252"/>
      <c r="W50" s="252"/>
      <c r="X50" s="252"/>
      <c r="Y50" s="252"/>
      <c r="Z50" s="252"/>
      <c r="AA50" s="252"/>
      <c r="AB50" s="252"/>
      <c r="AC50" s="252"/>
      <c r="AD50" s="252"/>
      <c r="AE50" s="252"/>
    </row>
    <row r="51" spans="1:31" s="237" customFormat="1" ht="15" customHeight="1" outlineLevel="1" x14ac:dyDescent="0.25">
      <c r="A51" s="252"/>
      <c r="B51" s="879"/>
      <c r="C51" s="886"/>
      <c r="D51" s="252"/>
      <c r="E51" s="252"/>
      <c r="F51" s="252"/>
      <c r="G51" s="252"/>
      <c r="H51" s="865"/>
      <c r="I51" s="865"/>
      <c r="J51" s="865"/>
      <c r="K51" s="865"/>
      <c r="L51" s="865"/>
      <c r="M51" s="865"/>
      <c r="N51" s="865"/>
      <c r="O51" s="278"/>
      <c r="P51" s="252"/>
      <c r="Q51" s="252"/>
      <c r="R51" s="252"/>
      <c r="S51" s="252"/>
      <c r="T51" s="252"/>
      <c r="U51" s="252"/>
      <c r="V51" s="252"/>
      <c r="W51" s="252"/>
      <c r="X51" s="252"/>
      <c r="Y51" s="252"/>
      <c r="Z51" s="252"/>
      <c r="AA51" s="252"/>
      <c r="AB51" s="252"/>
      <c r="AC51" s="252"/>
      <c r="AD51" s="252"/>
      <c r="AE51" s="252"/>
    </row>
    <row r="52" spans="1:31" s="237" customFormat="1" ht="15" customHeight="1" outlineLevel="1" x14ac:dyDescent="0.25">
      <c r="A52" s="252"/>
      <c r="B52" s="879"/>
      <c r="C52" s="887" t="s">
        <v>2030</v>
      </c>
      <c r="D52" s="881"/>
      <c r="E52" s="865" t="s">
        <v>1465</v>
      </c>
      <c r="F52" s="252"/>
      <c r="G52" s="252"/>
      <c r="H52" s="865"/>
      <c r="I52" s="865"/>
      <c r="J52" s="865"/>
      <c r="K52" s="865"/>
      <c r="L52" s="865"/>
      <c r="M52" s="865"/>
      <c r="N52" s="865"/>
      <c r="O52" s="278"/>
      <c r="P52" s="252"/>
      <c r="Q52" s="252"/>
      <c r="R52" s="252"/>
      <c r="S52" s="252"/>
      <c r="T52" s="252"/>
      <c r="U52" s="252"/>
      <c r="V52" s="252"/>
      <c r="W52" s="252"/>
      <c r="X52" s="252"/>
      <c r="Y52" s="252"/>
      <c r="Z52" s="252"/>
      <c r="AA52" s="252"/>
      <c r="AB52" s="252"/>
      <c r="AC52" s="252"/>
      <c r="AD52" s="252"/>
      <c r="AE52" s="252"/>
    </row>
    <row r="53" spans="1:31" s="237" customFormat="1" ht="15" customHeight="1" outlineLevel="1" x14ac:dyDescent="0.35">
      <c r="A53" s="252"/>
      <c r="B53" s="879"/>
      <c r="C53" s="885" t="s">
        <v>1471</v>
      </c>
      <c r="D53" s="881"/>
      <c r="E53" s="865" t="s">
        <v>1466</v>
      </c>
      <c r="F53" s="865"/>
      <c r="G53" s="252"/>
      <c r="H53" s="865"/>
      <c r="I53" s="865"/>
      <c r="J53" s="865"/>
      <c r="K53" s="865"/>
      <c r="L53" s="865"/>
      <c r="M53" s="865"/>
      <c r="N53" s="865"/>
      <c r="O53" s="278"/>
      <c r="P53" s="252"/>
      <c r="Q53" s="252"/>
      <c r="R53" s="252"/>
      <c r="S53" s="252"/>
      <c r="T53" s="252"/>
      <c r="U53" s="252"/>
      <c r="V53" s="252"/>
      <c r="W53" s="252"/>
      <c r="X53" s="252"/>
      <c r="Y53" s="252"/>
      <c r="Z53" s="252"/>
      <c r="AA53" s="252"/>
      <c r="AB53" s="252"/>
      <c r="AC53" s="252"/>
      <c r="AD53" s="252"/>
      <c r="AE53" s="252"/>
    </row>
    <row r="54" spans="1:31" s="237" customFormat="1" ht="15" customHeight="1" outlineLevel="1" x14ac:dyDescent="0.25">
      <c r="A54" s="252"/>
      <c r="B54" s="879"/>
      <c r="C54" s="888" t="s">
        <v>2031</v>
      </c>
      <c r="D54" s="881"/>
      <c r="E54" s="865" t="s">
        <v>52</v>
      </c>
      <c r="F54" s="865"/>
      <c r="G54" s="252"/>
      <c r="H54" s="865"/>
      <c r="I54" s="865"/>
      <c r="J54" s="865"/>
      <c r="K54" s="865"/>
      <c r="L54" s="865"/>
      <c r="M54" s="865"/>
      <c r="N54" s="865"/>
      <c r="O54" s="278"/>
      <c r="P54" s="252"/>
      <c r="Q54" s="252"/>
      <c r="R54" s="252"/>
      <c r="S54" s="252"/>
      <c r="T54" s="252"/>
      <c r="U54" s="252"/>
      <c r="V54" s="252"/>
      <c r="W54" s="252"/>
      <c r="X54" s="252"/>
      <c r="Y54" s="252"/>
      <c r="Z54" s="252"/>
      <c r="AA54" s="252"/>
      <c r="AB54" s="252"/>
      <c r="AC54" s="252"/>
      <c r="AD54" s="252"/>
      <c r="AE54" s="252"/>
    </row>
    <row r="55" spans="1:31" s="237" customFormat="1" ht="15" customHeight="1" outlineLevel="1" x14ac:dyDescent="0.25">
      <c r="A55" s="252"/>
      <c r="B55" s="879"/>
      <c r="C55" s="252"/>
      <c r="D55" s="252"/>
      <c r="E55" s="865"/>
      <c r="F55" s="865"/>
      <c r="G55" s="252"/>
      <c r="H55" s="865"/>
      <c r="I55" s="865"/>
      <c r="J55" s="865"/>
      <c r="K55" s="865"/>
      <c r="L55" s="865"/>
      <c r="M55" s="865"/>
      <c r="N55" s="865"/>
      <c r="O55" s="278"/>
      <c r="P55" s="252"/>
      <c r="Q55" s="252"/>
      <c r="R55" s="252"/>
      <c r="S55" s="252"/>
      <c r="T55" s="252"/>
      <c r="U55" s="252"/>
      <c r="V55" s="252"/>
      <c r="W55" s="252"/>
      <c r="X55" s="252"/>
      <c r="Y55" s="252"/>
      <c r="Z55" s="252"/>
      <c r="AA55" s="252"/>
      <c r="AB55" s="252"/>
      <c r="AC55" s="252"/>
      <c r="AD55" s="252"/>
      <c r="AE55" s="252"/>
    </row>
    <row r="56" spans="1:31" s="237" customFormat="1" ht="15" customHeight="1" outlineLevel="1" x14ac:dyDescent="0.25">
      <c r="A56" s="252"/>
      <c r="B56" s="763" t="s">
        <v>220</v>
      </c>
      <c r="C56" s="252"/>
      <c r="D56" s="865"/>
      <c r="E56" s="865"/>
      <c r="F56" s="865"/>
      <c r="G56" s="252"/>
      <c r="H56" s="865"/>
      <c r="I56" s="865"/>
      <c r="J56" s="865"/>
      <c r="K56" s="865"/>
      <c r="L56" s="865"/>
      <c r="M56" s="865"/>
      <c r="N56" s="865"/>
      <c r="O56" s="278"/>
      <c r="P56" s="252"/>
      <c r="Q56" s="252"/>
      <c r="R56" s="252"/>
      <c r="S56" s="252"/>
      <c r="T56" s="252"/>
      <c r="U56" s="252"/>
      <c r="V56" s="252"/>
      <c r="W56" s="252"/>
      <c r="X56" s="252"/>
      <c r="Y56" s="252"/>
      <c r="Z56" s="252"/>
      <c r="AA56" s="252"/>
      <c r="AB56" s="252"/>
      <c r="AC56" s="252"/>
      <c r="AD56" s="252"/>
      <c r="AE56" s="252"/>
    </row>
    <row r="57" spans="1:31" s="237" customFormat="1" ht="15" customHeight="1" outlineLevel="1" x14ac:dyDescent="0.25">
      <c r="A57" s="252"/>
      <c r="B57" s="763"/>
      <c r="C57" s="252"/>
      <c r="D57" s="865"/>
      <c r="E57" s="865"/>
      <c r="F57" s="865"/>
      <c r="G57" s="865"/>
      <c r="H57" s="865"/>
      <c r="I57" s="865"/>
      <c r="J57" s="865"/>
      <c r="K57" s="865"/>
      <c r="L57" s="865"/>
      <c r="M57" s="865"/>
      <c r="N57" s="865"/>
      <c r="O57" s="278"/>
      <c r="P57" s="252"/>
      <c r="Q57" s="865"/>
      <c r="R57" s="865"/>
      <c r="S57" s="865"/>
      <c r="T57" s="865"/>
      <c r="U57" s="865"/>
      <c r="V57" s="252"/>
      <c r="W57" s="252"/>
      <c r="X57" s="252"/>
      <c r="Y57" s="252"/>
      <c r="Z57" s="252"/>
      <c r="AA57" s="252"/>
      <c r="AB57" s="252"/>
      <c r="AC57" s="252"/>
      <c r="AD57" s="252"/>
      <c r="AE57" s="252"/>
    </row>
    <row r="58" spans="1:31" s="237" customFormat="1" ht="15" customHeight="1" outlineLevel="1" x14ac:dyDescent="0.25">
      <c r="A58" s="252"/>
      <c r="B58" s="879"/>
      <c r="C58" s="873" t="s">
        <v>212</v>
      </c>
      <c r="D58" s="1346"/>
      <c r="E58" s="1347"/>
      <c r="F58" s="865"/>
      <c r="G58" s="865"/>
      <c r="H58" s="865"/>
      <c r="I58" s="865"/>
      <c r="J58" s="865"/>
      <c r="K58" s="865"/>
      <c r="L58" s="865"/>
      <c r="M58" s="865"/>
      <c r="N58" s="865"/>
      <c r="O58" s="278"/>
      <c r="P58" s="252"/>
      <c r="Q58" s="865"/>
      <c r="R58" s="865"/>
      <c r="S58" s="865"/>
      <c r="T58" s="865"/>
      <c r="U58" s="865"/>
      <c r="V58" s="252"/>
      <c r="W58" s="252"/>
      <c r="X58" s="252"/>
      <c r="Y58" s="252"/>
      <c r="Z58" s="252"/>
      <c r="AA58" s="252"/>
      <c r="AB58" s="252"/>
      <c r="AC58" s="252"/>
      <c r="AD58" s="252"/>
      <c r="AE58" s="252"/>
    </row>
    <row r="59" spans="1:31" s="237" customFormat="1" ht="15" customHeight="1" outlineLevel="1" x14ac:dyDescent="0.25">
      <c r="A59" s="252"/>
      <c r="B59" s="879"/>
      <c r="C59" s="873" t="s">
        <v>1467</v>
      </c>
      <c r="D59" s="1343">
        <f>IF(ISERROR(VLOOKUP(D58,eflu_tipo_tratamento_MCF,2,FALSE)),0,VLOOKUP(D58,eflu_tipo_tratamento_MCF,2,FALSE))</f>
        <v>0</v>
      </c>
      <c r="E59" s="1344"/>
      <c r="F59" s="865"/>
      <c r="G59" s="865"/>
      <c r="H59" s="865"/>
      <c r="I59" s="865"/>
      <c r="J59" s="865"/>
      <c r="K59" s="865"/>
      <c r="L59" s="865"/>
      <c r="M59" s="865"/>
      <c r="N59" s="865"/>
      <c r="O59" s="278"/>
      <c r="P59" s="252"/>
      <c r="Q59" s="865"/>
      <c r="R59" s="865"/>
      <c r="S59" s="865"/>
      <c r="T59" s="865"/>
      <c r="U59" s="865"/>
      <c r="V59" s="252"/>
      <c r="W59" s="252"/>
      <c r="X59" s="252"/>
      <c r="Y59" s="252"/>
      <c r="Z59" s="252"/>
      <c r="AA59" s="252"/>
      <c r="AB59" s="252"/>
      <c r="AC59" s="252"/>
      <c r="AD59" s="252"/>
      <c r="AE59" s="252"/>
    </row>
    <row r="60" spans="1:31" s="237" customFormat="1" ht="15" customHeight="1" outlineLevel="1" x14ac:dyDescent="0.25">
      <c r="A60" s="252"/>
      <c r="B60" s="879"/>
      <c r="C60" s="865"/>
      <c r="D60" s="252"/>
      <c r="E60" s="865"/>
      <c r="F60" s="865"/>
      <c r="G60" s="865"/>
      <c r="H60" s="865"/>
      <c r="I60" s="865"/>
      <c r="J60" s="865"/>
      <c r="K60" s="865"/>
      <c r="L60" s="865"/>
      <c r="M60" s="865"/>
      <c r="N60" s="865"/>
      <c r="O60" s="278"/>
      <c r="P60" s="252"/>
      <c r="Q60" s="865"/>
      <c r="R60" s="865"/>
      <c r="S60" s="865"/>
      <c r="T60" s="865"/>
      <c r="U60" s="865"/>
      <c r="V60" s="252"/>
      <c r="W60" s="252"/>
      <c r="X60" s="252"/>
      <c r="Y60" s="252"/>
      <c r="Z60" s="252"/>
      <c r="AA60" s="252"/>
      <c r="AB60" s="252"/>
      <c r="AC60" s="252"/>
      <c r="AD60" s="252"/>
      <c r="AE60" s="252"/>
    </row>
    <row r="61" spans="1:31" s="237" customFormat="1" ht="15" customHeight="1" outlineLevel="1" x14ac:dyDescent="0.35">
      <c r="A61" s="252"/>
      <c r="B61" s="763" t="s">
        <v>1468</v>
      </c>
      <c r="C61" s="763"/>
      <c r="D61" s="763"/>
      <c r="E61" s="763"/>
      <c r="F61" s="252"/>
      <c r="G61" s="252"/>
      <c r="H61" s="865"/>
      <c r="I61" s="865"/>
      <c r="J61" s="865"/>
      <c r="K61" s="865"/>
      <c r="L61" s="865"/>
      <c r="M61" s="865"/>
      <c r="N61" s="865"/>
      <c r="O61" s="278"/>
      <c r="P61" s="252"/>
      <c r="Q61" s="865"/>
      <c r="R61" s="865"/>
      <c r="S61" s="865"/>
      <c r="T61" s="865"/>
      <c r="U61" s="865"/>
      <c r="V61" s="252"/>
      <c r="W61" s="252"/>
      <c r="X61" s="252"/>
      <c r="Y61" s="252"/>
      <c r="Z61" s="252"/>
      <c r="AA61" s="252"/>
      <c r="AB61" s="252"/>
      <c r="AC61" s="252"/>
      <c r="AD61" s="252"/>
      <c r="AE61" s="252"/>
    </row>
    <row r="62" spans="1:31" s="237" customFormat="1" ht="15" customHeight="1" outlineLevel="1" x14ac:dyDescent="0.35">
      <c r="A62" s="252"/>
      <c r="B62" s="252"/>
      <c r="C62" s="889" t="s">
        <v>1469</v>
      </c>
      <c r="D62" s="865"/>
      <c r="E62" s="865"/>
      <c r="F62" s="865"/>
      <c r="G62" s="865"/>
      <c r="H62" s="865"/>
      <c r="I62" s="865"/>
      <c r="J62" s="865"/>
      <c r="K62" s="252"/>
      <c r="L62" s="865"/>
      <c r="M62" s="865"/>
      <c r="N62" s="865"/>
      <c r="O62" s="278"/>
      <c r="P62" s="252"/>
      <c r="Q62" s="865"/>
      <c r="R62" s="865"/>
      <c r="S62" s="865"/>
      <c r="T62" s="865"/>
      <c r="U62" s="865"/>
      <c r="V62" s="252"/>
      <c r="W62" s="252"/>
      <c r="X62" s="252"/>
      <c r="Y62" s="252"/>
      <c r="Z62" s="252"/>
      <c r="AA62" s="252"/>
      <c r="AB62" s="252"/>
      <c r="AC62" s="252"/>
      <c r="AD62" s="252"/>
      <c r="AE62" s="252"/>
    </row>
    <row r="63" spans="1:31" s="237" customFormat="1" ht="15" customHeight="1" outlineLevel="1" x14ac:dyDescent="0.25">
      <c r="A63" s="252"/>
      <c r="B63" s="252"/>
      <c r="C63" s="889"/>
      <c r="D63" s="865"/>
      <c r="E63" s="865"/>
      <c r="F63" s="865"/>
      <c r="G63" s="865"/>
      <c r="H63" s="865"/>
      <c r="I63" s="865"/>
      <c r="J63" s="865"/>
      <c r="K63" s="865"/>
      <c r="L63" s="865"/>
      <c r="M63" s="865"/>
      <c r="N63" s="865"/>
      <c r="O63" s="278"/>
      <c r="P63" s="865"/>
      <c r="Q63" s="865"/>
      <c r="R63" s="865"/>
      <c r="S63" s="865"/>
      <c r="T63" s="865"/>
      <c r="U63" s="865"/>
      <c r="V63" s="252"/>
      <c r="W63" s="252"/>
      <c r="X63" s="252"/>
      <c r="Y63" s="252"/>
      <c r="Z63" s="252"/>
      <c r="AA63" s="252"/>
      <c r="AB63" s="252"/>
      <c r="AC63" s="252"/>
      <c r="AD63" s="252"/>
      <c r="AE63" s="252"/>
    </row>
    <row r="64" spans="1:31" s="237" customFormat="1" ht="15" customHeight="1" outlineLevel="1" x14ac:dyDescent="0.25">
      <c r="A64" s="252"/>
      <c r="B64" s="252"/>
      <c r="C64" s="890" t="s">
        <v>1470</v>
      </c>
      <c r="D64" s="891" t="s">
        <v>1437</v>
      </c>
      <c r="E64" s="892"/>
      <c r="F64" s="865"/>
      <c r="G64" s="763"/>
      <c r="H64" s="865"/>
      <c r="I64" s="865"/>
      <c r="J64" s="865"/>
      <c r="K64" s="865"/>
      <c r="L64" s="865"/>
      <c r="M64" s="865"/>
      <c r="N64" s="865"/>
      <c r="O64" s="278"/>
      <c r="P64" s="865"/>
      <c r="Q64" s="865"/>
      <c r="R64" s="865"/>
      <c r="S64" s="865"/>
      <c r="T64" s="865"/>
      <c r="U64" s="865"/>
      <c r="V64" s="252"/>
      <c r="W64" s="252"/>
      <c r="X64" s="252"/>
      <c r="Y64" s="252"/>
      <c r="Z64" s="252"/>
      <c r="AA64" s="252"/>
      <c r="AB64" s="252"/>
      <c r="AC64" s="252"/>
      <c r="AD64" s="252"/>
      <c r="AE64" s="252"/>
    </row>
    <row r="65" spans="1:31" s="237" customFormat="1" ht="15" customHeight="1" outlineLevel="1" x14ac:dyDescent="0.25">
      <c r="A65" s="252"/>
      <c r="B65" s="252"/>
      <c r="C65" s="816" t="s">
        <v>2043</v>
      </c>
      <c r="D65" s="865"/>
      <c r="E65" s="865"/>
      <c r="F65" s="252"/>
      <c r="G65" s="865"/>
      <c r="H65" s="865"/>
      <c r="I65" s="865"/>
      <c r="J65" s="865"/>
      <c r="K65" s="865"/>
      <c r="L65" s="865"/>
      <c r="M65" s="865"/>
      <c r="N65" s="865"/>
      <c r="O65" s="278"/>
      <c r="P65" s="865"/>
      <c r="Q65" s="865"/>
      <c r="R65" s="865"/>
      <c r="S65" s="865"/>
      <c r="T65" s="865"/>
      <c r="U65" s="865"/>
      <c r="V65" s="252"/>
      <c r="W65" s="252"/>
      <c r="X65" s="252"/>
      <c r="Y65" s="252"/>
      <c r="Z65" s="252"/>
      <c r="AA65" s="252"/>
      <c r="AB65" s="252"/>
      <c r="AC65" s="252"/>
      <c r="AD65" s="252"/>
      <c r="AE65" s="252"/>
    </row>
    <row r="66" spans="1:31" s="237" customFormat="1" ht="15" customHeight="1" outlineLevel="1" x14ac:dyDescent="0.25">
      <c r="A66" s="252"/>
      <c r="B66" s="252"/>
      <c r="C66" s="817"/>
      <c r="D66" s="865"/>
      <c r="E66" s="865"/>
      <c r="F66" s="252"/>
      <c r="G66" s="865"/>
      <c r="H66" s="865"/>
      <c r="I66" s="865"/>
      <c r="J66" s="865"/>
      <c r="K66" s="865"/>
      <c r="L66" s="865"/>
      <c r="M66" s="865"/>
      <c r="N66" s="865"/>
      <c r="O66" s="278"/>
      <c r="P66" s="865"/>
      <c r="Q66" s="865"/>
      <c r="R66" s="865"/>
      <c r="S66" s="865"/>
      <c r="T66" s="865"/>
      <c r="U66" s="865"/>
      <c r="V66" s="252"/>
      <c r="W66" s="252"/>
      <c r="X66" s="252"/>
      <c r="Y66" s="252"/>
      <c r="Z66" s="252"/>
      <c r="AA66" s="252"/>
      <c r="AB66" s="252"/>
      <c r="AC66" s="252"/>
      <c r="AD66" s="252"/>
      <c r="AE66" s="865"/>
    </row>
    <row r="67" spans="1:31" s="237" customFormat="1" ht="15" customHeight="1" outlineLevel="1" x14ac:dyDescent="0.25">
      <c r="A67" s="252"/>
      <c r="B67" s="252"/>
      <c r="C67" s="885" t="s">
        <v>43</v>
      </c>
      <c r="D67" s="1341"/>
      <c r="E67" s="1342"/>
      <c r="F67" s="865"/>
      <c r="G67" s="893"/>
      <c r="H67" s="893"/>
      <c r="I67" s="893"/>
      <c r="J67" s="865"/>
      <c r="K67" s="865"/>
      <c r="L67" s="865"/>
      <c r="M67" s="865"/>
      <c r="N67" s="865"/>
      <c r="O67" s="278"/>
      <c r="P67" s="865"/>
      <c r="Q67" s="865"/>
      <c r="R67" s="865"/>
      <c r="S67" s="865"/>
      <c r="T67" s="865"/>
      <c r="U67" s="252"/>
      <c r="V67" s="252"/>
      <c r="W67" s="252"/>
      <c r="X67" s="252"/>
      <c r="Y67" s="252"/>
      <c r="Z67" s="252"/>
      <c r="AA67" s="252"/>
      <c r="AB67" s="252"/>
      <c r="AC67" s="252"/>
      <c r="AD67" s="252"/>
      <c r="AE67" s="865"/>
    </row>
    <row r="68" spans="1:31" s="237" customFormat="1" ht="15" customHeight="1" outlineLevel="1" x14ac:dyDescent="0.25">
      <c r="A68" s="252"/>
      <c r="B68" s="871"/>
      <c r="C68" s="865" t="str">
        <f>IF(D67="geração de energia", " ATENÇÃO: Se a eletricidade é gerada pela organização inventariante, deve-se contabilizar as emissões do biogás consumido na aba Combustão Estacionária.","")</f>
        <v/>
      </c>
      <c r="D68" s="865"/>
      <c r="E68" s="865"/>
      <c r="F68" s="865"/>
      <c r="G68" s="893"/>
      <c r="H68" s="893"/>
      <c r="I68" s="893"/>
      <c r="J68" s="865"/>
      <c r="K68" s="865"/>
      <c r="L68" s="865"/>
      <c r="M68" s="865"/>
      <c r="N68" s="865"/>
      <c r="O68" s="278"/>
      <c r="P68" s="865"/>
      <c r="Q68" s="865"/>
      <c r="R68" s="865"/>
      <c r="S68" s="865"/>
      <c r="T68" s="865"/>
      <c r="U68" s="252"/>
      <c r="V68" s="252"/>
      <c r="W68" s="252"/>
      <c r="X68" s="252"/>
      <c r="Y68" s="252"/>
      <c r="Z68" s="252"/>
      <c r="AA68" s="252"/>
      <c r="AB68" s="252"/>
      <c r="AC68" s="252"/>
      <c r="AD68" s="252"/>
      <c r="AE68" s="865"/>
    </row>
    <row r="69" spans="1:31" s="237" customFormat="1" ht="15" customHeight="1" outlineLevel="1" x14ac:dyDescent="0.25">
      <c r="A69" s="252"/>
      <c r="B69" s="871"/>
      <c r="C69" s="865"/>
      <c r="D69" s="865"/>
      <c r="E69" s="865"/>
      <c r="F69" s="865"/>
      <c r="G69" s="893"/>
      <c r="H69" s="893"/>
      <c r="I69" s="893"/>
      <c r="J69" s="865"/>
      <c r="K69" s="865"/>
      <c r="L69" s="865"/>
      <c r="M69" s="865"/>
      <c r="N69" s="865"/>
      <c r="O69" s="278"/>
      <c r="P69" s="865"/>
      <c r="Q69" s="865"/>
      <c r="R69" s="865"/>
      <c r="S69" s="865"/>
      <c r="T69" s="865"/>
      <c r="U69" s="252"/>
      <c r="V69" s="252"/>
      <c r="W69" s="252"/>
      <c r="X69" s="252"/>
      <c r="Y69" s="252"/>
      <c r="Z69" s="252"/>
      <c r="AA69" s="252"/>
      <c r="AB69" s="252"/>
      <c r="AC69" s="252"/>
      <c r="AD69" s="252"/>
      <c r="AE69" s="865"/>
    </row>
    <row r="70" spans="1:31" s="237" customFormat="1" ht="15" customHeight="1" outlineLevel="1" x14ac:dyDescent="0.25">
      <c r="A70" s="252"/>
      <c r="B70" s="1350" t="s">
        <v>336</v>
      </c>
      <c r="C70" s="1350"/>
      <c r="D70" s="1350"/>
      <c r="E70" s="1350"/>
      <c r="F70" s="1350"/>
      <c r="G70" s="1350"/>
      <c r="H70" s="893"/>
      <c r="I70" s="893"/>
      <c r="J70" s="865"/>
      <c r="K70" s="865"/>
      <c r="L70" s="865"/>
      <c r="M70" s="865"/>
      <c r="N70" s="865"/>
      <c r="O70" s="278"/>
      <c r="P70" s="865"/>
      <c r="Q70" s="865"/>
      <c r="R70" s="865"/>
      <c r="S70" s="865"/>
      <c r="T70" s="865"/>
      <c r="U70" s="252"/>
      <c r="V70" s="252"/>
      <c r="W70" s="252"/>
      <c r="X70" s="252"/>
      <c r="Y70" s="252"/>
      <c r="Z70" s="252"/>
      <c r="AA70" s="252"/>
      <c r="AB70" s="252"/>
      <c r="AC70" s="252"/>
      <c r="AD70" s="252"/>
      <c r="AE70" s="865"/>
    </row>
    <row r="71" spans="1:31" s="237" customFormat="1" ht="15" customHeight="1" outlineLevel="1" x14ac:dyDescent="0.25">
      <c r="A71" s="252"/>
      <c r="B71" s="1350"/>
      <c r="C71" s="1350"/>
      <c r="D71" s="1350"/>
      <c r="E71" s="1350"/>
      <c r="F71" s="1350"/>
      <c r="G71" s="1350"/>
      <c r="H71" s="893"/>
      <c r="I71" s="893"/>
      <c r="J71" s="865"/>
      <c r="K71" s="865"/>
      <c r="L71" s="865"/>
      <c r="M71" s="865"/>
      <c r="N71" s="865"/>
      <c r="O71" s="278"/>
      <c r="P71" s="865"/>
      <c r="Q71" s="865"/>
      <c r="R71" s="865"/>
      <c r="S71" s="865"/>
      <c r="T71" s="865"/>
      <c r="U71" s="252"/>
      <c r="V71" s="252"/>
      <c r="W71" s="252"/>
      <c r="X71" s="252"/>
      <c r="Y71" s="252"/>
      <c r="Z71" s="252"/>
      <c r="AA71" s="252"/>
      <c r="AB71" s="252"/>
      <c r="AC71" s="252"/>
      <c r="AD71" s="252"/>
      <c r="AE71" s="865"/>
    </row>
    <row r="72" spans="1:31" s="237" customFormat="1" ht="15" customHeight="1" outlineLevel="1" x14ac:dyDescent="0.25">
      <c r="A72" s="252"/>
      <c r="B72" s="894"/>
      <c r="C72" s="894"/>
      <c r="D72" s="894"/>
      <c r="E72" s="894"/>
      <c r="F72" s="894"/>
      <c r="G72" s="894"/>
      <c r="H72" s="893"/>
      <c r="I72" s="893"/>
      <c r="J72" s="865"/>
      <c r="K72" s="865"/>
      <c r="L72" s="865"/>
      <c r="M72" s="865"/>
      <c r="N72" s="865"/>
      <c r="O72" s="278"/>
      <c r="P72" s="865"/>
      <c r="Q72" s="865"/>
      <c r="R72" s="865"/>
      <c r="S72" s="865"/>
      <c r="T72" s="865"/>
      <c r="U72" s="252"/>
      <c r="V72" s="252"/>
      <c r="W72" s="252"/>
      <c r="X72" s="252"/>
      <c r="Y72" s="252"/>
      <c r="Z72" s="252"/>
      <c r="AA72" s="252"/>
      <c r="AB72" s="252"/>
      <c r="AC72" s="252"/>
      <c r="AD72" s="252"/>
      <c r="AE72" s="865"/>
    </row>
    <row r="73" spans="1:31" s="237" customFormat="1" ht="15" customHeight="1" outlineLevel="1" x14ac:dyDescent="0.25">
      <c r="A73" s="252"/>
      <c r="B73" s="871" t="s">
        <v>217</v>
      </c>
      <c r="C73" s="252"/>
      <c r="D73" s="252"/>
      <c r="E73" s="878"/>
      <c r="F73" s="865"/>
      <c r="G73" s="893"/>
      <c r="H73" s="893"/>
      <c r="I73" s="893"/>
      <c r="J73" s="865"/>
      <c r="K73" s="865"/>
      <c r="L73" s="865"/>
      <c r="M73" s="865"/>
      <c r="N73" s="865"/>
      <c r="O73" s="278"/>
      <c r="P73" s="865"/>
      <c r="Q73" s="865"/>
      <c r="R73" s="865"/>
      <c r="S73" s="865"/>
      <c r="T73" s="865"/>
      <c r="U73" s="252"/>
      <c r="V73" s="252"/>
      <c r="W73" s="252"/>
      <c r="X73" s="252"/>
      <c r="Y73" s="252"/>
      <c r="Z73" s="252"/>
      <c r="AA73" s="252"/>
      <c r="AB73" s="252"/>
      <c r="AC73" s="252"/>
      <c r="AD73" s="252"/>
      <c r="AE73" s="865"/>
    </row>
    <row r="74" spans="1:31" s="237" customFormat="1" ht="15" customHeight="1" outlineLevel="1" x14ac:dyDescent="0.25">
      <c r="A74" s="252"/>
      <c r="B74" s="252"/>
      <c r="C74" s="878"/>
      <c r="D74" s="878"/>
      <c r="E74" s="252"/>
      <c r="F74" s="865"/>
      <c r="G74" s="893"/>
      <c r="H74" s="893"/>
      <c r="I74" s="893"/>
      <c r="J74" s="865"/>
      <c r="K74" s="865"/>
      <c r="L74" s="865"/>
      <c r="M74" s="865"/>
      <c r="N74" s="865"/>
      <c r="O74" s="278"/>
      <c r="P74" s="865"/>
      <c r="Q74" s="865"/>
      <c r="R74" s="865"/>
      <c r="S74" s="865"/>
      <c r="T74" s="865"/>
      <c r="U74" s="252"/>
      <c r="V74" s="252"/>
      <c r="W74" s="252"/>
      <c r="X74" s="252"/>
      <c r="Y74" s="252"/>
      <c r="Z74" s="252"/>
      <c r="AA74" s="252"/>
      <c r="AB74" s="252"/>
      <c r="AC74" s="252"/>
      <c r="AD74" s="252"/>
      <c r="AE74" s="865"/>
    </row>
    <row r="75" spans="1:31" s="237" customFormat="1" ht="15" customHeight="1" outlineLevel="1" x14ac:dyDescent="0.25">
      <c r="A75" s="252"/>
      <c r="B75" s="879"/>
      <c r="C75" s="895" t="s">
        <v>223</v>
      </c>
      <c r="D75" s="881"/>
      <c r="E75" s="865" t="s">
        <v>51</v>
      </c>
      <c r="F75" s="865"/>
      <c r="G75" s="893"/>
      <c r="H75" s="893"/>
      <c r="I75" s="893"/>
      <c r="J75" s="865"/>
      <c r="K75" s="865"/>
      <c r="L75" s="865"/>
      <c r="M75" s="865"/>
      <c r="N75" s="865"/>
      <c r="O75" s="278"/>
      <c r="P75" s="865"/>
      <c r="Q75" s="865"/>
      <c r="R75" s="865"/>
      <c r="S75" s="865"/>
      <c r="T75" s="865"/>
      <c r="U75" s="252"/>
      <c r="V75" s="252"/>
      <c r="W75" s="252"/>
      <c r="X75" s="252"/>
      <c r="Y75" s="252"/>
      <c r="Z75" s="252"/>
      <c r="AA75" s="252"/>
      <c r="AB75" s="252"/>
      <c r="AC75" s="252"/>
      <c r="AD75" s="252"/>
      <c r="AE75" s="865"/>
    </row>
    <row r="76" spans="1:31" s="237" customFormat="1" ht="15" customHeight="1" outlineLevel="1" x14ac:dyDescent="0.25">
      <c r="A76" s="252"/>
      <c r="B76" s="879"/>
      <c r="C76" s="882"/>
      <c r="D76" s="865"/>
      <c r="E76" s="865"/>
      <c r="F76" s="865"/>
      <c r="G76" s="893"/>
      <c r="H76" s="893"/>
      <c r="I76" s="893"/>
      <c r="J76" s="865"/>
      <c r="K76" s="865"/>
      <c r="L76" s="865"/>
      <c r="M76" s="865"/>
      <c r="N76" s="865"/>
      <c r="O76" s="278"/>
      <c r="P76" s="865"/>
      <c r="Q76" s="865"/>
      <c r="R76" s="865"/>
      <c r="S76" s="865"/>
      <c r="T76" s="865"/>
      <c r="U76" s="252"/>
      <c r="V76" s="252"/>
      <c r="W76" s="252"/>
      <c r="X76" s="252"/>
      <c r="Y76" s="252"/>
      <c r="Z76" s="252"/>
      <c r="AA76" s="252"/>
      <c r="AB76" s="252"/>
      <c r="AC76" s="252"/>
      <c r="AD76" s="252"/>
      <c r="AE76" s="865"/>
    </row>
    <row r="77" spans="1:31" s="237" customFormat="1" ht="15" customHeight="1" outlineLevel="1" x14ac:dyDescent="0.25">
      <c r="A77" s="252"/>
      <c r="B77" s="871" t="s">
        <v>218</v>
      </c>
      <c r="C77" s="882"/>
      <c r="D77" s="865"/>
      <c r="E77" s="865"/>
      <c r="F77" s="865"/>
      <c r="G77" s="893"/>
      <c r="H77" s="893"/>
      <c r="I77" s="893"/>
      <c r="J77" s="865"/>
      <c r="K77" s="865"/>
      <c r="L77" s="865"/>
      <c r="M77" s="865"/>
      <c r="N77" s="865"/>
      <c r="O77" s="278"/>
      <c r="P77" s="865"/>
      <c r="Q77" s="865"/>
      <c r="R77" s="865"/>
      <c r="S77" s="865"/>
      <c r="T77" s="865"/>
      <c r="U77" s="252"/>
      <c r="V77" s="252"/>
      <c r="W77" s="252"/>
      <c r="X77" s="252"/>
      <c r="Y77" s="252"/>
      <c r="Z77" s="252"/>
      <c r="AA77" s="252"/>
      <c r="AB77" s="252"/>
      <c r="AC77" s="252"/>
      <c r="AD77" s="252"/>
      <c r="AE77" s="865"/>
    </row>
    <row r="78" spans="1:31" s="237" customFormat="1" ht="15" customHeight="1" outlineLevel="1" x14ac:dyDescent="0.25">
      <c r="A78" s="252"/>
      <c r="B78" s="879"/>
      <c r="C78" s="876" t="s">
        <v>2044</v>
      </c>
      <c r="D78" s="252"/>
      <c r="E78" s="865"/>
      <c r="F78" s="865"/>
      <c r="G78" s="893"/>
      <c r="H78" s="893"/>
      <c r="I78" s="893"/>
      <c r="J78" s="865"/>
      <c r="K78" s="865"/>
      <c r="L78" s="865"/>
      <c r="M78" s="865"/>
      <c r="N78" s="865"/>
      <c r="O78" s="278"/>
      <c r="P78" s="865"/>
      <c r="Q78" s="865"/>
      <c r="R78" s="865"/>
      <c r="S78" s="865"/>
      <c r="T78" s="865"/>
      <c r="U78" s="252"/>
      <c r="V78" s="252"/>
      <c r="W78" s="252"/>
      <c r="X78" s="252"/>
      <c r="Y78" s="252"/>
      <c r="Z78" s="252"/>
      <c r="AA78" s="252"/>
      <c r="AB78" s="252"/>
      <c r="AC78" s="252"/>
      <c r="AD78" s="252"/>
      <c r="AE78" s="865"/>
    </row>
    <row r="79" spans="1:31" s="237" customFormat="1" ht="15" customHeight="1" outlineLevel="1" x14ac:dyDescent="0.25">
      <c r="A79" s="252"/>
      <c r="B79" s="879"/>
      <c r="C79" s="876" t="s">
        <v>2045</v>
      </c>
      <c r="D79" s="252"/>
      <c r="E79" s="865"/>
      <c r="F79" s="865"/>
      <c r="G79" s="893"/>
      <c r="H79" s="893"/>
      <c r="I79" s="893"/>
      <c r="J79" s="865"/>
      <c r="K79" s="865"/>
      <c r="L79" s="865"/>
      <c r="M79" s="865"/>
      <c r="N79" s="865"/>
      <c r="O79" s="278"/>
      <c r="P79" s="865"/>
      <c r="Q79" s="865"/>
      <c r="R79" s="865"/>
      <c r="S79" s="865"/>
      <c r="T79" s="865"/>
      <c r="U79" s="252"/>
      <c r="V79" s="252"/>
      <c r="W79" s="252"/>
      <c r="X79" s="252"/>
      <c r="Y79" s="252"/>
      <c r="Z79" s="252"/>
      <c r="AA79" s="252"/>
      <c r="AB79" s="252"/>
      <c r="AC79" s="252"/>
      <c r="AD79" s="252"/>
      <c r="AE79" s="865"/>
    </row>
    <row r="80" spans="1:31" s="237" customFormat="1" ht="15" customHeight="1" outlineLevel="1" x14ac:dyDescent="0.25">
      <c r="A80" s="252"/>
      <c r="B80" s="879"/>
      <c r="C80" s="877"/>
      <c r="D80" s="252"/>
      <c r="E80" s="865"/>
      <c r="F80" s="865"/>
      <c r="G80" s="893"/>
      <c r="H80" s="893"/>
      <c r="I80" s="893"/>
      <c r="J80" s="865"/>
      <c r="K80" s="865"/>
      <c r="L80" s="252"/>
      <c r="M80" s="252"/>
      <c r="N80" s="865"/>
      <c r="O80" s="278"/>
      <c r="P80" s="865"/>
      <c r="Q80" s="865"/>
      <c r="R80" s="865"/>
      <c r="S80" s="865"/>
      <c r="T80" s="865"/>
      <c r="U80" s="252"/>
      <c r="V80" s="252"/>
      <c r="W80" s="252"/>
      <c r="X80" s="252"/>
      <c r="Y80" s="252"/>
      <c r="Z80" s="252"/>
      <c r="AA80" s="252"/>
      <c r="AB80" s="252"/>
      <c r="AC80" s="252"/>
      <c r="AD80" s="252"/>
      <c r="AE80" s="865"/>
    </row>
    <row r="81" spans="1:31" s="237" customFormat="1" ht="15" customHeight="1" outlineLevel="1" x14ac:dyDescent="0.25">
      <c r="A81" s="252"/>
      <c r="B81" s="879"/>
      <c r="C81" s="883"/>
      <c r="D81" s="883"/>
      <c r="E81" s="884" t="s">
        <v>143</v>
      </c>
      <c r="F81" s="865"/>
      <c r="G81" s="893"/>
      <c r="H81" s="893"/>
      <c r="I81" s="893"/>
      <c r="J81" s="865"/>
      <c r="K81" s="865"/>
      <c r="L81" s="252"/>
      <c r="M81" s="252"/>
      <c r="N81" s="865"/>
      <c r="O81" s="278"/>
      <c r="P81" s="865"/>
      <c r="Q81" s="865"/>
      <c r="R81" s="865"/>
      <c r="S81" s="865"/>
      <c r="T81" s="865"/>
      <c r="U81" s="252"/>
      <c r="V81" s="252"/>
      <c r="W81" s="252"/>
      <c r="X81" s="252"/>
      <c r="Y81" s="252"/>
      <c r="Z81" s="252"/>
      <c r="AA81" s="252"/>
      <c r="AB81" s="252"/>
      <c r="AC81" s="252"/>
      <c r="AD81" s="252"/>
      <c r="AE81" s="865"/>
    </row>
    <row r="82" spans="1:31" s="237" customFormat="1" ht="15" customHeight="1" outlineLevel="1" x14ac:dyDescent="0.25">
      <c r="A82" s="252"/>
      <c r="B82" s="879"/>
      <c r="C82" s="885" t="s">
        <v>2026</v>
      </c>
      <c r="D82" s="881"/>
      <c r="E82" s="875"/>
      <c r="F82" s="865"/>
      <c r="G82" s="893"/>
      <c r="H82" s="893"/>
      <c r="I82" s="893"/>
      <c r="J82" s="865"/>
      <c r="K82" s="865"/>
      <c r="L82" s="252"/>
      <c r="M82" s="252"/>
      <c r="N82" s="865"/>
      <c r="O82" s="278"/>
      <c r="P82" s="865"/>
      <c r="Q82" s="865"/>
      <c r="R82" s="865"/>
      <c r="S82" s="865"/>
      <c r="T82" s="865"/>
      <c r="U82" s="252"/>
      <c r="V82" s="252"/>
      <c r="W82" s="252"/>
      <c r="X82" s="252"/>
      <c r="Y82" s="252"/>
      <c r="Z82" s="252"/>
      <c r="AA82" s="252"/>
      <c r="AB82" s="252"/>
      <c r="AC82" s="252"/>
      <c r="AD82" s="252"/>
      <c r="AE82" s="865"/>
    </row>
    <row r="83" spans="1:31" s="237" customFormat="1" ht="15" customHeight="1" outlineLevel="1" x14ac:dyDescent="0.25">
      <c r="A83" s="252"/>
      <c r="B83" s="879"/>
      <c r="C83" s="886"/>
      <c r="D83" s="252"/>
      <c r="E83" s="252"/>
      <c r="F83" s="865"/>
      <c r="G83" s="893"/>
      <c r="H83" s="893"/>
      <c r="I83" s="893"/>
      <c r="J83" s="865"/>
      <c r="K83" s="865"/>
      <c r="L83" s="252"/>
      <c r="M83" s="252"/>
      <c r="N83" s="865"/>
      <c r="O83" s="278"/>
      <c r="P83" s="865"/>
      <c r="Q83" s="865"/>
      <c r="R83" s="865"/>
      <c r="S83" s="865"/>
      <c r="T83" s="865"/>
      <c r="U83" s="252"/>
      <c r="V83" s="252"/>
      <c r="W83" s="252"/>
      <c r="X83" s="252"/>
      <c r="Y83" s="252"/>
      <c r="Z83" s="252"/>
      <c r="AA83" s="252"/>
      <c r="AB83" s="252"/>
      <c r="AC83" s="252"/>
      <c r="AD83" s="252"/>
      <c r="AE83" s="865"/>
    </row>
    <row r="84" spans="1:31" s="237" customFormat="1" ht="15" customHeight="1" outlineLevel="1" x14ac:dyDescent="0.25">
      <c r="A84" s="252"/>
      <c r="B84" s="879"/>
      <c r="C84" s="896" t="s">
        <v>2046</v>
      </c>
      <c r="D84" s="252"/>
      <c r="E84" s="252"/>
      <c r="F84" s="865"/>
      <c r="G84" s="893"/>
      <c r="H84" s="893"/>
      <c r="I84" s="893"/>
      <c r="J84" s="865"/>
      <c r="K84" s="865"/>
      <c r="L84" s="252"/>
      <c r="M84" s="252"/>
      <c r="N84" s="865"/>
      <c r="O84" s="278"/>
      <c r="P84" s="865"/>
      <c r="Q84" s="865"/>
      <c r="R84" s="865"/>
      <c r="S84" s="865"/>
      <c r="T84" s="865"/>
      <c r="U84" s="252"/>
      <c r="V84" s="252"/>
      <c r="W84" s="252"/>
      <c r="X84" s="252"/>
      <c r="Y84" s="252"/>
      <c r="Z84" s="252"/>
      <c r="AA84" s="252"/>
      <c r="AB84" s="252"/>
      <c r="AC84" s="252"/>
      <c r="AD84" s="252"/>
      <c r="AE84" s="865"/>
    </row>
    <row r="85" spans="1:31" s="237" customFormat="1" ht="15" customHeight="1" outlineLevel="1" x14ac:dyDescent="0.25">
      <c r="A85" s="252"/>
      <c r="B85" s="879"/>
      <c r="C85" s="896" t="s">
        <v>1464</v>
      </c>
      <c r="D85" s="252"/>
      <c r="E85" s="252"/>
      <c r="F85" s="865"/>
      <c r="G85" s="893"/>
      <c r="H85" s="893"/>
      <c r="I85" s="893"/>
      <c r="J85" s="865"/>
      <c r="K85" s="865"/>
      <c r="L85" s="252"/>
      <c r="M85" s="252"/>
      <c r="N85" s="865"/>
      <c r="O85" s="278"/>
      <c r="P85" s="865"/>
      <c r="Q85" s="865"/>
      <c r="R85" s="865"/>
      <c r="S85" s="865"/>
      <c r="T85" s="865"/>
      <c r="U85" s="252"/>
      <c r="V85" s="252"/>
      <c r="W85" s="252"/>
      <c r="X85" s="252"/>
      <c r="Y85" s="252"/>
      <c r="Z85" s="252"/>
      <c r="AA85" s="252"/>
      <c r="AB85" s="252"/>
      <c r="AC85" s="252"/>
      <c r="AD85" s="252"/>
      <c r="AE85" s="865"/>
    </row>
    <row r="86" spans="1:31" s="237" customFormat="1" ht="15" customHeight="1" outlineLevel="1" x14ac:dyDescent="0.25">
      <c r="A86" s="252"/>
      <c r="B86" s="879"/>
      <c r="C86" s="896" t="s">
        <v>1498</v>
      </c>
      <c r="D86" s="252"/>
      <c r="E86" s="252"/>
      <c r="F86" s="865"/>
      <c r="G86" s="893"/>
      <c r="H86" s="893"/>
      <c r="I86" s="893"/>
      <c r="J86" s="865"/>
      <c r="K86" s="865"/>
      <c r="L86" s="252"/>
      <c r="M86" s="252"/>
      <c r="N86" s="865"/>
      <c r="O86" s="278"/>
      <c r="P86" s="865"/>
      <c r="Q86" s="865"/>
      <c r="R86" s="865"/>
      <c r="S86" s="865"/>
      <c r="T86" s="865"/>
      <c r="U86" s="252"/>
      <c r="V86" s="252"/>
      <c r="W86" s="252"/>
      <c r="X86" s="252"/>
      <c r="Y86" s="252"/>
      <c r="Z86" s="252"/>
      <c r="AA86" s="252"/>
      <c r="AB86" s="252"/>
      <c r="AC86" s="252"/>
      <c r="AD86" s="252"/>
      <c r="AE86" s="865"/>
    </row>
    <row r="87" spans="1:31" s="237" customFormat="1" ht="15" customHeight="1" outlineLevel="1" x14ac:dyDescent="0.25">
      <c r="A87" s="252"/>
      <c r="B87" s="879"/>
      <c r="C87" s="886"/>
      <c r="D87" s="252"/>
      <c r="E87" s="252"/>
      <c r="F87" s="865"/>
      <c r="G87" s="893"/>
      <c r="H87" s="893"/>
      <c r="I87" s="893"/>
      <c r="J87" s="865"/>
      <c r="K87" s="865"/>
      <c r="L87" s="252"/>
      <c r="M87" s="252"/>
      <c r="N87" s="865"/>
      <c r="O87" s="278"/>
      <c r="P87" s="865"/>
      <c r="Q87" s="865"/>
      <c r="R87" s="865"/>
      <c r="S87" s="865"/>
      <c r="T87" s="865"/>
      <c r="U87" s="252"/>
      <c r="V87" s="252"/>
      <c r="W87" s="252"/>
      <c r="X87" s="252"/>
      <c r="Y87" s="252"/>
      <c r="Z87" s="252"/>
      <c r="AA87" s="252"/>
      <c r="AB87" s="252"/>
      <c r="AC87" s="252"/>
      <c r="AD87" s="252"/>
      <c r="AE87" s="865"/>
    </row>
    <row r="88" spans="1:31" s="237" customFormat="1" ht="15" customHeight="1" outlineLevel="1" x14ac:dyDescent="0.25">
      <c r="A88" s="252"/>
      <c r="B88" s="879"/>
      <c r="C88" s="887" t="s">
        <v>2030</v>
      </c>
      <c r="D88" s="881"/>
      <c r="E88" s="865" t="s">
        <v>1465</v>
      </c>
      <c r="F88" s="865"/>
      <c r="G88" s="893"/>
      <c r="H88" s="893"/>
      <c r="I88" s="893"/>
      <c r="J88" s="865"/>
      <c r="K88" s="865"/>
      <c r="L88" s="252"/>
      <c r="M88" s="252"/>
      <c r="N88" s="865"/>
      <c r="O88" s="278"/>
      <c r="P88" s="865"/>
      <c r="Q88" s="865"/>
      <c r="R88" s="865"/>
      <c r="S88" s="865"/>
      <c r="T88" s="865"/>
      <c r="U88" s="252"/>
      <c r="V88" s="252"/>
      <c r="W88" s="252"/>
      <c r="X88" s="252"/>
      <c r="Y88" s="252"/>
      <c r="Z88" s="252"/>
      <c r="AA88" s="252"/>
      <c r="AB88" s="252"/>
      <c r="AC88" s="252"/>
      <c r="AD88" s="252"/>
      <c r="AE88" s="865"/>
    </row>
    <row r="89" spans="1:31" s="237" customFormat="1" ht="15" customHeight="1" outlineLevel="1" x14ac:dyDescent="0.35">
      <c r="A89" s="252"/>
      <c r="B89" s="879"/>
      <c r="C89" s="885" t="s">
        <v>1471</v>
      </c>
      <c r="D89" s="881"/>
      <c r="E89" s="865" t="s">
        <v>1466</v>
      </c>
      <c r="F89" s="865"/>
      <c r="G89" s="893"/>
      <c r="H89" s="893"/>
      <c r="I89" s="893"/>
      <c r="J89" s="865"/>
      <c r="K89" s="865"/>
      <c r="L89" s="252"/>
      <c r="M89" s="252"/>
      <c r="N89" s="865"/>
      <c r="O89" s="278"/>
      <c r="P89" s="865"/>
      <c r="Q89" s="865"/>
      <c r="R89" s="865"/>
      <c r="S89" s="865"/>
      <c r="T89" s="865"/>
      <c r="U89" s="252"/>
      <c r="V89" s="252"/>
      <c r="W89" s="252"/>
      <c r="X89" s="252"/>
      <c r="Y89" s="252"/>
      <c r="Z89" s="252"/>
      <c r="AA89" s="252"/>
      <c r="AB89" s="252"/>
      <c r="AC89" s="252"/>
      <c r="AD89" s="252"/>
      <c r="AE89" s="865"/>
    </row>
    <row r="90" spans="1:31" s="237" customFormat="1" ht="15" customHeight="1" outlineLevel="1" x14ac:dyDescent="0.25">
      <c r="A90" s="252"/>
      <c r="B90" s="879"/>
      <c r="C90" s="888" t="s">
        <v>2047</v>
      </c>
      <c r="D90" s="881"/>
      <c r="E90" s="865" t="s">
        <v>52</v>
      </c>
      <c r="F90" s="865"/>
      <c r="G90" s="893"/>
      <c r="H90" s="893"/>
      <c r="I90" s="893"/>
      <c r="J90" s="865"/>
      <c r="K90" s="865"/>
      <c r="L90" s="252"/>
      <c r="M90" s="252"/>
      <c r="N90" s="865"/>
      <c r="O90" s="278"/>
      <c r="P90" s="865"/>
      <c r="Q90" s="865"/>
      <c r="R90" s="865"/>
      <c r="S90" s="865"/>
      <c r="T90" s="865"/>
      <c r="U90" s="252"/>
      <c r="V90" s="252"/>
      <c r="W90" s="252"/>
      <c r="X90" s="252"/>
      <c r="Y90" s="252"/>
      <c r="Z90" s="252"/>
      <c r="AA90" s="252"/>
      <c r="AB90" s="252"/>
      <c r="AC90" s="252"/>
      <c r="AD90" s="252"/>
      <c r="AE90" s="865"/>
    </row>
    <row r="91" spans="1:31" s="237" customFormat="1" ht="15" customHeight="1" outlineLevel="1" x14ac:dyDescent="0.25">
      <c r="A91" s="252"/>
      <c r="B91" s="879"/>
      <c r="C91" s="252"/>
      <c r="D91" s="252"/>
      <c r="E91" s="865"/>
      <c r="F91" s="865"/>
      <c r="G91" s="893"/>
      <c r="H91" s="893"/>
      <c r="I91" s="893"/>
      <c r="J91" s="865"/>
      <c r="K91" s="865"/>
      <c r="L91" s="252"/>
      <c r="M91" s="252"/>
      <c r="N91" s="865"/>
      <c r="O91" s="278"/>
      <c r="P91" s="865"/>
      <c r="Q91" s="865"/>
      <c r="R91" s="865"/>
      <c r="S91" s="865"/>
      <c r="T91" s="865"/>
      <c r="U91" s="252"/>
      <c r="V91" s="252"/>
      <c r="W91" s="252"/>
      <c r="X91" s="252"/>
      <c r="Y91" s="252"/>
      <c r="Z91" s="252"/>
      <c r="AA91" s="252"/>
      <c r="AB91" s="252"/>
      <c r="AC91" s="252"/>
      <c r="AD91" s="252"/>
      <c r="AE91" s="865"/>
    </row>
    <row r="92" spans="1:31" s="237" customFormat="1" ht="15" customHeight="1" outlineLevel="1" x14ac:dyDescent="0.25">
      <c r="A92" s="252"/>
      <c r="B92" s="763" t="s">
        <v>222</v>
      </c>
      <c r="C92" s="252"/>
      <c r="D92" s="865"/>
      <c r="E92" s="865"/>
      <c r="F92" s="865"/>
      <c r="G92" s="893"/>
      <c r="H92" s="893"/>
      <c r="I92" s="893"/>
      <c r="J92" s="865"/>
      <c r="K92" s="865"/>
      <c r="L92" s="252"/>
      <c r="M92" s="252"/>
      <c r="N92" s="865"/>
      <c r="O92" s="278"/>
      <c r="P92" s="865"/>
      <c r="Q92" s="865"/>
      <c r="R92" s="865"/>
      <c r="S92" s="865"/>
      <c r="T92" s="865"/>
      <c r="U92" s="252"/>
      <c r="V92" s="252"/>
      <c r="W92" s="252"/>
      <c r="X92" s="252"/>
      <c r="Y92" s="252"/>
      <c r="Z92" s="252"/>
      <c r="AA92" s="252"/>
      <c r="AB92" s="252"/>
      <c r="AC92" s="252"/>
      <c r="AD92" s="252"/>
      <c r="AE92" s="865"/>
    </row>
    <row r="93" spans="1:31" s="237" customFormat="1" ht="15" customHeight="1" outlineLevel="1" x14ac:dyDescent="0.25">
      <c r="A93" s="252"/>
      <c r="B93" s="763"/>
      <c r="C93" s="252"/>
      <c r="D93" s="865"/>
      <c r="E93" s="865"/>
      <c r="F93" s="865"/>
      <c r="G93" s="893"/>
      <c r="H93" s="893"/>
      <c r="I93" s="893"/>
      <c r="J93" s="865"/>
      <c r="K93" s="865"/>
      <c r="L93" s="252"/>
      <c r="M93" s="252"/>
      <c r="N93" s="865"/>
      <c r="O93" s="278"/>
      <c r="P93" s="865"/>
      <c r="Q93" s="865"/>
      <c r="R93" s="865"/>
      <c r="S93" s="865"/>
      <c r="T93" s="865"/>
      <c r="U93" s="252"/>
      <c r="V93" s="252"/>
      <c r="W93" s="252"/>
      <c r="X93" s="252"/>
      <c r="Y93" s="252"/>
      <c r="Z93" s="252"/>
      <c r="AA93" s="252"/>
      <c r="AB93" s="252"/>
      <c r="AC93" s="252"/>
      <c r="AD93" s="252"/>
      <c r="AE93" s="865"/>
    </row>
    <row r="94" spans="1:31" s="237" customFormat="1" ht="15" customHeight="1" outlineLevel="1" x14ac:dyDescent="0.25">
      <c r="A94" s="252"/>
      <c r="B94" s="879"/>
      <c r="C94" s="873" t="s">
        <v>212</v>
      </c>
      <c r="D94" s="1346"/>
      <c r="E94" s="1347"/>
      <c r="F94" s="865"/>
      <c r="G94" s="893"/>
      <c r="H94" s="893"/>
      <c r="I94" s="893"/>
      <c r="J94" s="865"/>
      <c r="K94" s="865"/>
      <c r="L94" s="252"/>
      <c r="M94" s="252"/>
      <c r="N94" s="865"/>
      <c r="O94" s="278"/>
      <c r="P94" s="865"/>
      <c r="Q94" s="865"/>
      <c r="R94" s="865"/>
      <c r="S94" s="865"/>
      <c r="T94" s="865"/>
      <c r="U94" s="252"/>
      <c r="V94" s="252"/>
      <c r="W94" s="252"/>
      <c r="X94" s="252"/>
      <c r="Y94" s="252"/>
      <c r="Z94" s="252"/>
      <c r="AA94" s="252"/>
      <c r="AB94" s="252"/>
      <c r="AC94" s="252"/>
      <c r="AD94" s="252"/>
      <c r="AE94" s="865"/>
    </row>
    <row r="95" spans="1:31" s="237" customFormat="1" ht="15" customHeight="1" outlineLevel="1" x14ac:dyDescent="0.25">
      <c r="A95" s="252"/>
      <c r="B95" s="879"/>
      <c r="C95" s="873" t="s">
        <v>1467</v>
      </c>
      <c r="D95" s="1343">
        <f>IF(ISERROR(VLOOKUP(D94,eflu_tipo_tratamento_MCF,2,FALSE)),0,VLOOKUP(D94,eflu_tipo_tratamento_MCF,2,FALSE))</f>
        <v>0</v>
      </c>
      <c r="E95" s="1344"/>
      <c r="F95" s="865"/>
      <c r="G95" s="893"/>
      <c r="H95" s="893"/>
      <c r="I95" s="893"/>
      <c r="J95" s="865"/>
      <c r="K95" s="865"/>
      <c r="L95" s="252"/>
      <c r="M95" s="252"/>
      <c r="N95" s="865"/>
      <c r="O95" s="278"/>
      <c r="P95" s="865"/>
      <c r="Q95" s="865"/>
      <c r="R95" s="865"/>
      <c r="S95" s="865"/>
      <c r="T95" s="865"/>
      <c r="U95" s="252"/>
      <c r="V95" s="252"/>
      <c r="W95" s="252"/>
      <c r="X95" s="252"/>
      <c r="Y95" s="252"/>
      <c r="Z95" s="252"/>
      <c r="AA95" s="252"/>
      <c r="AB95" s="252"/>
      <c r="AC95" s="252"/>
      <c r="AD95" s="252"/>
      <c r="AE95" s="865"/>
    </row>
    <row r="96" spans="1:31" s="237" customFormat="1" ht="15" customHeight="1" outlineLevel="1" x14ac:dyDescent="0.25">
      <c r="A96" s="252"/>
      <c r="B96" s="879"/>
      <c r="C96" s="865"/>
      <c r="D96" s="252"/>
      <c r="E96" s="865"/>
      <c r="F96" s="865"/>
      <c r="G96" s="893"/>
      <c r="H96" s="893"/>
      <c r="I96" s="893"/>
      <c r="J96" s="865"/>
      <c r="K96" s="865"/>
      <c r="L96" s="252"/>
      <c r="M96" s="252"/>
      <c r="N96" s="865"/>
      <c r="O96" s="278"/>
      <c r="P96" s="865"/>
      <c r="Q96" s="865"/>
      <c r="R96" s="865"/>
      <c r="S96" s="865"/>
      <c r="T96" s="865"/>
      <c r="U96" s="252"/>
      <c r="V96" s="252"/>
      <c r="W96" s="252"/>
      <c r="X96" s="252"/>
      <c r="Y96" s="252"/>
      <c r="Z96" s="252"/>
      <c r="AA96" s="252"/>
      <c r="AB96" s="252"/>
      <c r="AC96" s="252"/>
      <c r="AD96" s="252"/>
      <c r="AE96" s="865"/>
    </row>
    <row r="97" spans="1:31" s="237" customFormat="1" ht="15" customHeight="1" outlineLevel="1" x14ac:dyDescent="0.35">
      <c r="A97" s="252"/>
      <c r="B97" s="763" t="s">
        <v>1472</v>
      </c>
      <c r="C97" s="763"/>
      <c r="D97" s="763"/>
      <c r="E97" s="763"/>
      <c r="F97" s="865"/>
      <c r="G97" s="893"/>
      <c r="H97" s="893"/>
      <c r="I97" s="893"/>
      <c r="J97" s="865"/>
      <c r="K97" s="865"/>
      <c r="L97" s="252"/>
      <c r="M97" s="252"/>
      <c r="N97" s="865"/>
      <c r="O97" s="278"/>
      <c r="P97" s="865"/>
      <c r="Q97" s="865"/>
      <c r="R97" s="865"/>
      <c r="S97" s="865"/>
      <c r="T97" s="865"/>
      <c r="U97" s="252"/>
      <c r="V97" s="252"/>
      <c r="W97" s="252"/>
      <c r="X97" s="252"/>
      <c r="Y97" s="252"/>
      <c r="Z97" s="252"/>
      <c r="AA97" s="252"/>
      <c r="AB97" s="252"/>
      <c r="AC97" s="252"/>
      <c r="AD97" s="252"/>
      <c r="AE97" s="865"/>
    </row>
    <row r="98" spans="1:31" s="237" customFormat="1" ht="15" customHeight="1" outlineLevel="1" x14ac:dyDescent="0.35">
      <c r="A98" s="252"/>
      <c r="B98" s="252"/>
      <c r="C98" s="889" t="s">
        <v>1469</v>
      </c>
      <c r="D98" s="865"/>
      <c r="E98" s="865"/>
      <c r="F98" s="865"/>
      <c r="G98" s="893"/>
      <c r="H98" s="893"/>
      <c r="I98" s="893"/>
      <c r="J98" s="865"/>
      <c r="K98" s="865"/>
      <c r="L98" s="252"/>
      <c r="M98" s="252"/>
      <c r="N98" s="865"/>
      <c r="O98" s="278"/>
      <c r="P98" s="865"/>
      <c r="Q98" s="865"/>
      <c r="R98" s="865"/>
      <c r="S98" s="865"/>
      <c r="T98" s="865"/>
      <c r="U98" s="252"/>
      <c r="V98" s="252"/>
      <c r="W98" s="252"/>
      <c r="X98" s="252"/>
      <c r="Y98" s="252"/>
      <c r="Z98" s="252"/>
      <c r="AA98" s="252"/>
      <c r="AB98" s="252"/>
      <c r="AC98" s="252"/>
      <c r="AD98" s="252"/>
      <c r="AE98" s="865"/>
    </row>
    <row r="99" spans="1:31" s="237" customFormat="1" ht="15" customHeight="1" outlineLevel="1" x14ac:dyDescent="0.25">
      <c r="A99" s="252"/>
      <c r="B99" s="252"/>
      <c r="C99" s="889"/>
      <c r="D99" s="865"/>
      <c r="E99" s="865"/>
      <c r="F99" s="865"/>
      <c r="G99" s="893"/>
      <c r="H99" s="893"/>
      <c r="I99" s="893"/>
      <c r="J99" s="865"/>
      <c r="K99" s="865"/>
      <c r="L99" s="252"/>
      <c r="M99" s="252"/>
      <c r="N99" s="865"/>
      <c r="O99" s="278"/>
      <c r="P99" s="865"/>
      <c r="Q99" s="865"/>
      <c r="R99" s="865"/>
      <c r="S99" s="865"/>
      <c r="T99" s="865"/>
      <c r="U99" s="252"/>
      <c r="V99" s="252"/>
      <c r="W99" s="252"/>
      <c r="X99" s="252"/>
      <c r="Y99" s="252"/>
      <c r="Z99" s="252"/>
      <c r="AA99" s="252"/>
      <c r="AB99" s="252"/>
      <c r="AC99" s="252"/>
      <c r="AD99" s="252"/>
      <c r="AE99" s="865"/>
    </row>
    <row r="100" spans="1:31" s="237" customFormat="1" ht="15" customHeight="1" outlineLevel="1" x14ac:dyDescent="0.35">
      <c r="A100" s="252"/>
      <c r="B100" s="252"/>
      <c r="C100" s="980" t="s">
        <v>1470</v>
      </c>
      <c r="D100" s="897" t="s">
        <v>1437</v>
      </c>
      <c r="E100" s="881"/>
      <c r="F100" s="865"/>
      <c r="G100" s="893"/>
      <c r="H100" s="893"/>
      <c r="I100" s="893"/>
      <c r="J100" s="865"/>
      <c r="K100" s="865"/>
      <c r="L100" s="252"/>
      <c r="M100" s="252"/>
      <c r="N100" s="865"/>
      <c r="O100" s="278"/>
      <c r="P100" s="865"/>
      <c r="Q100" s="865"/>
      <c r="R100" s="865"/>
      <c r="S100" s="865"/>
      <c r="T100" s="865"/>
      <c r="U100" s="252"/>
      <c r="V100" s="252"/>
      <c r="W100" s="252"/>
      <c r="X100" s="252"/>
      <c r="Y100" s="252"/>
      <c r="Z100" s="252"/>
      <c r="AA100" s="252"/>
      <c r="AB100" s="252"/>
      <c r="AC100" s="252"/>
      <c r="AD100" s="252"/>
      <c r="AE100" s="865"/>
    </row>
    <row r="101" spans="1:31" s="237" customFormat="1" ht="15" customHeight="1" outlineLevel="1" x14ac:dyDescent="0.25">
      <c r="A101" s="252"/>
      <c r="B101" s="252"/>
      <c r="C101" s="816" t="s">
        <v>2043</v>
      </c>
      <c r="D101" s="865"/>
      <c r="E101" s="865"/>
      <c r="F101" s="865"/>
      <c r="G101" s="893"/>
      <c r="H101" s="893"/>
      <c r="I101" s="893"/>
      <c r="J101" s="865"/>
      <c r="K101" s="865"/>
      <c r="L101" s="252"/>
      <c r="M101" s="252"/>
      <c r="N101" s="865"/>
      <c r="O101" s="278"/>
      <c r="P101" s="865"/>
      <c r="Q101" s="865"/>
      <c r="R101" s="865"/>
      <c r="S101" s="865"/>
      <c r="T101" s="865"/>
      <c r="U101" s="252"/>
      <c r="V101" s="252"/>
      <c r="W101" s="252"/>
      <c r="X101" s="252"/>
      <c r="Y101" s="252"/>
      <c r="Z101" s="252"/>
      <c r="AA101" s="252"/>
      <c r="AB101" s="252"/>
      <c r="AC101" s="252"/>
      <c r="AD101" s="252"/>
      <c r="AE101" s="865"/>
    </row>
    <row r="102" spans="1:31" s="237" customFormat="1" ht="15" customHeight="1" outlineLevel="1" x14ac:dyDescent="0.25">
      <c r="A102" s="252"/>
      <c r="B102" s="252"/>
      <c r="C102" s="817"/>
      <c r="D102" s="865"/>
      <c r="E102" s="865"/>
      <c r="F102" s="865"/>
      <c r="G102" s="893"/>
      <c r="H102" s="893"/>
      <c r="I102" s="893"/>
      <c r="J102" s="865"/>
      <c r="K102" s="865"/>
      <c r="L102" s="252"/>
      <c r="M102" s="252"/>
      <c r="N102" s="865"/>
      <c r="O102" s="278"/>
      <c r="P102" s="865"/>
      <c r="Q102" s="865"/>
      <c r="R102" s="865"/>
      <c r="S102" s="865"/>
      <c r="T102" s="865"/>
      <c r="U102" s="252"/>
      <c r="V102" s="252"/>
      <c r="W102" s="252"/>
      <c r="X102" s="252"/>
      <c r="Y102" s="252"/>
      <c r="Z102" s="252"/>
      <c r="AA102" s="252"/>
      <c r="AB102" s="252"/>
      <c r="AC102" s="252"/>
      <c r="AD102" s="252"/>
      <c r="AE102" s="865"/>
    </row>
    <row r="103" spans="1:31" s="237" customFormat="1" ht="15" customHeight="1" outlineLevel="1" x14ac:dyDescent="0.25">
      <c r="A103" s="252"/>
      <c r="B103" s="252"/>
      <c r="C103" s="898" t="s">
        <v>43</v>
      </c>
      <c r="D103" s="1341"/>
      <c r="E103" s="1342"/>
      <c r="F103" s="865"/>
      <c r="G103" s="893"/>
      <c r="H103" s="893"/>
      <c r="I103" s="893"/>
      <c r="J103" s="865"/>
      <c r="K103" s="865"/>
      <c r="L103" s="252"/>
      <c r="M103" s="252"/>
      <c r="N103" s="865"/>
      <c r="O103" s="278"/>
      <c r="P103" s="865"/>
      <c r="Q103" s="865"/>
      <c r="R103" s="865"/>
      <c r="S103" s="865"/>
      <c r="T103" s="865"/>
      <c r="U103" s="252"/>
      <c r="V103" s="252"/>
      <c r="W103" s="252"/>
      <c r="X103" s="252"/>
      <c r="Y103" s="252"/>
      <c r="Z103" s="252"/>
      <c r="AA103" s="252"/>
      <c r="AB103" s="252"/>
      <c r="AC103" s="252"/>
      <c r="AD103" s="252"/>
      <c r="AE103" s="865"/>
    </row>
    <row r="104" spans="1:31" s="237" customFormat="1" ht="15" customHeight="1" outlineLevel="1" collapsed="1" x14ac:dyDescent="0.25">
      <c r="A104" s="252"/>
      <c r="B104" s="252"/>
      <c r="C104" s="865" t="str">
        <f>IF(D103="geração de energia", " ATENÇÃO: Se a eletricidade é gerada pela organização inventariante, deve-se contabilizar as emissões do biogás consumido na aba Combustão Estacionária.","")</f>
        <v/>
      </c>
      <c r="D104" s="252"/>
      <c r="E104" s="252"/>
      <c r="F104" s="865"/>
      <c r="G104" s="893"/>
      <c r="H104" s="893"/>
      <c r="I104" s="893"/>
      <c r="J104" s="865"/>
      <c r="K104" s="865"/>
      <c r="L104" s="252"/>
      <c r="M104" s="252"/>
      <c r="N104" s="865"/>
      <c r="O104" s="278"/>
      <c r="P104" s="865"/>
      <c r="Q104" s="865"/>
      <c r="R104" s="865"/>
      <c r="S104" s="865"/>
      <c r="T104" s="865"/>
      <c r="U104" s="252"/>
      <c r="V104" s="252"/>
      <c r="W104" s="252"/>
      <c r="X104" s="252"/>
      <c r="Y104" s="252"/>
      <c r="Z104" s="252"/>
      <c r="AA104" s="252"/>
      <c r="AB104" s="252"/>
      <c r="AC104" s="252"/>
      <c r="AD104" s="252"/>
      <c r="AE104" s="865"/>
    </row>
    <row r="105" spans="1:31" s="237" customFormat="1" ht="15" customHeight="1" outlineLevel="1" x14ac:dyDescent="0.25">
      <c r="A105" s="252"/>
      <c r="B105" s="252"/>
      <c r="C105" s="865"/>
      <c r="D105" s="252"/>
      <c r="E105" s="252"/>
      <c r="F105" s="865"/>
      <c r="G105" s="893"/>
      <c r="H105" s="893"/>
      <c r="I105" s="893"/>
      <c r="J105" s="865"/>
      <c r="K105" s="865"/>
      <c r="L105" s="252"/>
      <c r="M105" s="252"/>
      <c r="N105" s="865"/>
      <c r="O105" s="278"/>
      <c r="P105" s="865"/>
      <c r="Q105" s="865"/>
      <c r="R105" s="865"/>
      <c r="S105" s="865"/>
      <c r="T105" s="865"/>
      <c r="U105" s="252"/>
      <c r="V105" s="252"/>
      <c r="W105" s="252"/>
      <c r="X105" s="252"/>
      <c r="Y105" s="252"/>
      <c r="Z105" s="252"/>
      <c r="AA105" s="252"/>
      <c r="AB105" s="252"/>
      <c r="AC105" s="252"/>
      <c r="AD105" s="252"/>
      <c r="AE105" s="865"/>
    </row>
    <row r="106" spans="1:31" s="237" customFormat="1" ht="15" customHeight="1" outlineLevel="1" x14ac:dyDescent="0.25">
      <c r="A106" s="252"/>
      <c r="B106" s="899" t="s">
        <v>1473</v>
      </c>
      <c r="C106" s="900"/>
      <c r="D106" s="901"/>
      <c r="E106" s="900"/>
      <c r="F106" s="865"/>
      <c r="G106" s="893"/>
      <c r="H106" s="893"/>
      <c r="I106" s="893"/>
      <c r="J106" s="865"/>
      <c r="K106" s="865"/>
      <c r="L106" s="252"/>
      <c r="M106" s="252"/>
      <c r="N106" s="865"/>
      <c r="O106" s="278"/>
      <c r="P106" s="865"/>
      <c r="Q106" s="865"/>
      <c r="R106" s="865"/>
      <c r="S106" s="865"/>
      <c r="T106" s="865"/>
      <c r="U106" s="252"/>
      <c r="V106" s="252"/>
      <c r="W106" s="252"/>
      <c r="X106" s="252"/>
      <c r="Y106" s="252"/>
      <c r="Z106" s="252"/>
      <c r="AA106" s="252"/>
      <c r="AB106" s="252"/>
      <c r="AC106" s="252"/>
      <c r="AD106" s="252"/>
      <c r="AE106" s="865"/>
    </row>
    <row r="107" spans="1:31" s="237" customFormat="1" ht="15" customHeight="1" outlineLevel="1" x14ac:dyDescent="0.25">
      <c r="A107" s="252"/>
      <c r="B107" s="865"/>
      <c r="C107" s="865"/>
      <c r="D107" s="893"/>
      <c r="E107" s="893"/>
      <c r="F107" s="893"/>
      <c r="G107" s="893"/>
      <c r="H107" s="893"/>
      <c r="I107" s="893"/>
      <c r="J107" s="865"/>
      <c r="K107" s="865"/>
      <c r="L107" s="252"/>
      <c r="M107" s="252"/>
      <c r="N107" s="865"/>
      <c r="O107" s="278"/>
      <c r="P107" s="865"/>
      <c r="Q107" s="865"/>
      <c r="R107" s="865"/>
      <c r="S107" s="865"/>
      <c r="T107" s="865"/>
      <c r="U107" s="252"/>
      <c r="V107" s="252"/>
      <c r="W107" s="252"/>
      <c r="X107" s="252"/>
      <c r="Y107" s="252"/>
      <c r="Z107" s="252"/>
      <c r="AA107" s="252"/>
      <c r="AB107" s="252"/>
      <c r="AC107" s="252"/>
      <c r="AD107" s="252"/>
      <c r="AE107" s="865"/>
    </row>
    <row r="108" spans="1:31" s="237" customFormat="1" ht="15" customHeight="1" outlineLevel="1" x14ac:dyDescent="0.35">
      <c r="A108" s="252"/>
      <c r="B108" s="865"/>
      <c r="C108" s="780" t="s">
        <v>1474</v>
      </c>
      <c r="D108" s="800" t="s">
        <v>1439</v>
      </c>
      <c r="E108" s="902">
        <f>IF(ISERROR(SUM((D39*D46*IF($E$46="[kgCQO/m3]", 0.25, IF($E$46="[kgCBO/m3]", 0.6,0))*D59)/1000-IF(E46="",0,E64),IF($E$34="Sim",(D75*D82*(IF($E$82="[kgCQO/m3]",0.25,IF($E$82="[kgCBO/m3]",0.6,0)))*D95)/1000-IF(E82="",0,E100),0))),0,SUM((D39*D46*IF($E$46="[kgCQO/m3]", 0.25, IF($E$46="[kgCBO/m3]", 0.6,0))*D59)/1000-IF(E46="",0,E64),IF($E$34="Sim",(D75*D82*(IF($E$82="[kgCQO/m3]",0.25,IF($E$82="[kgCBO/m3]",0.6,0)))*D95)/1000-IF(E34="Sim",E100,0),0)))</f>
        <v>0</v>
      </c>
      <c r="F108" s="729" t="str">
        <f>IF($E$108&lt;0,"O dado de CH4 recuperado é maior que o de CH4 gerado. Reveja os seus cálculos.","")</f>
        <v/>
      </c>
      <c r="G108" s="893"/>
      <c r="H108" s="893"/>
      <c r="I108" s="893"/>
      <c r="J108" s="865"/>
      <c r="K108" s="865"/>
      <c r="L108" s="252"/>
      <c r="M108" s="252"/>
      <c r="N108" s="865"/>
      <c r="O108" s="278"/>
      <c r="P108" s="865"/>
      <c r="Q108" s="865"/>
      <c r="R108" s="865"/>
      <c r="S108" s="865"/>
      <c r="T108" s="865"/>
      <c r="U108" s="252"/>
      <c r="V108" s="252"/>
      <c r="W108" s="252"/>
      <c r="X108" s="252"/>
      <c r="Y108" s="252"/>
      <c r="Z108" s="252"/>
      <c r="AA108" s="252"/>
      <c r="AB108" s="252"/>
      <c r="AC108" s="252"/>
      <c r="AD108" s="252"/>
      <c r="AE108" s="865"/>
    </row>
    <row r="109" spans="1:31" s="237" customFormat="1" ht="15" customHeight="1" outlineLevel="1" x14ac:dyDescent="0.35">
      <c r="A109" s="252"/>
      <c r="B109" s="865"/>
      <c r="C109" s="903" t="s">
        <v>1475</v>
      </c>
      <c r="D109" s="842" t="s">
        <v>1455</v>
      </c>
      <c r="E109" s="843">
        <f>IF(ISERROR(SUM(((D39*D52-D54)*IF(D53="", 0.005, D53)*(44/28))/1000,((D75*D88-D90)*IF(D89="", 0.005, D89)*(44/28))/1000)),0,SUM(((D39*D52-D54)*IF(D53="", 0.005, D53)*(44/28))/1000,((D75*D88-D90)*IF(D89="", 0.005, D89)*(44/28))/1000))</f>
        <v>0</v>
      </c>
      <c r="F109" s="729" t="str">
        <f>IF($E$109&lt;0,"O dado de remoção de azoto nas lamas é maior do que a quantidade de azoto no efluente gerado. Reveja os seus cálculos.","")</f>
        <v/>
      </c>
      <c r="G109" s="729"/>
      <c r="H109" s="729"/>
      <c r="I109" s="729"/>
      <c r="J109" s="729"/>
      <c r="K109" s="729"/>
      <c r="L109" s="729"/>
      <c r="M109" s="729"/>
      <c r="N109" s="729"/>
      <c r="O109" s="729"/>
      <c r="P109" s="729"/>
      <c r="Q109" s="729"/>
      <c r="R109" s="729"/>
      <c r="S109" s="729"/>
      <c r="T109" s="865"/>
      <c r="U109" s="252"/>
      <c r="V109" s="252"/>
      <c r="W109" s="252"/>
      <c r="X109" s="252"/>
      <c r="Y109" s="252"/>
      <c r="Z109" s="252"/>
      <c r="AA109" s="252"/>
      <c r="AB109" s="252"/>
      <c r="AC109" s="252"/>
      <c r="AD109" s="252"/>
      <c r="AE109" s="865"/>
    </row>
    <row r="110" spans="1:31" s="237" customFormat="1" ht="15" customHeight="1" outlineLevel="1" x14ac:dyDescent="0.35">
      <c r="A110" s="252"/>
      <c r="B110" s="865"/>
      <c r="C110" s="780" t="s">
        <v>1476</v>
      </c>
      <c r="D110" s="800" t="s">
        <v>1440</v>
      </c>
      <c r="E110" s="843">
        <f>IF(ISERROR(IF(E108&lt;0,0,$E$108*gwp_CH4+$E$109*gwp_N2O)),0,IF(E108&lt;0,0,$E$108*gwp_CH4+$E$109*gwp_N2O))</f>
        <v>0</v>
      </c>
      <c r="F110" s="865"/>
      <c r="G110" s="893"/>
      <c r="H110" s="893"/>
      <c r="I110" s="893"/>
      <c r="J110" s="865"/>
      <c r="K110" s="865"/>
      <c r="L110" s="252"/>
      <c r="M110" s="252"/>
      <c r="N110" s="865"/>
      <c r="O110"/>
      <c r="P110" s="865"/>
      <c r="Q110" s="865"/>
      <c r="R110" s="865"/>
      <c r="S110" s="865"/>
      <c r="T110" s="865"/>
      <c r="U110" s="252"/>
      <c r="V110" s="252"/>
      <c r="W110" s="252"/>
      <c r="X110" s="252"/>
      <c r="Y110" s="252"/>
      <c r="Z110" s="252"/>
      <c r="AA110" s="252"/>
      <c r="AB110" s="252"/>
      <c r="AC110" s="252"/>
      <c r="AD110" s="252"/>
      <c r="AE110" s="865"/>
    </row>
    <row r="111" spans="1:31" s="237" customFormat="1" ht="15" customHeight="1" outlineLevel="1" x14ac:dyDescent="0.35">
      <c r="A111" s="252"/>
      <c r="B111" s="865"/>
      <c r="C111" s="780" t="s">
        <v>2048</v>
      </c>
      <c r="D111" s="800" t="s">
        <v>1441</v>
      </c>
      <c r="E111" s="840">
        <f>IF($F$108="",IF($D$67=Listas!$BQ$3,$E$64*(44/16),0)+IF($D$103=Listas!$BQ$3,$E$100*(44/16),0),0)</f>
        <v>0</v>
      </c>
      <c r="F111" s="865"/>
      <c r="G111" s="893"/>
      <c r="H111" s="893"/>
      <c r="I111" s="893"/>
      <c r="J111" s="865"/>
      <c r="K111" s="865"/>
      <c r="L111" s="252"/>
      <c r="M111" s="252"/>
      <c r="N111" s="865"/>
      <c r="O111" s="278"/>
      <c r="P111" s="865"/>
      <c r="Q111" s="865"/>
      <c r="R111" s="865"/>
      <c r="S111" s="865"/>
      <c r="T111" s="865"/>
      <c r="U111" s="252"/>
      <c r="V111" s="252"/>
      <c r="W111" s="252"/>
      <c r="X111" s="252"/>
      <c r="Y111" s="252"/>
      <c r="Z111" s="252"/>
      <c r="AA111" s="252"/>
      <c r="AB111" s="252"/>
      <c r="AC111" s="252"/>
      <c r="AD111" s="252"/>
      <c r="AE111" s="865"/>
    </row>
    <row r="112" spans="1:31" s="237" customFormat="1" ht="15" customHeight="1" x14ac:dyDescent="0.25">
      <c r="A112" s="252"/>
      <c r="B112" s="871"/>
      <c r="C112" s="865"/>
      <c r="D112" s="865"/>
      <c r="E112" s="865"/>
      <c r="F112" s="865"/>
      <c r="G112" s="893"/>
      <c r="H112" s="893"/>
      <c r="I112" s="893"/>
      <c r="J112" s="865"/>
      <c r="K112" s="865"/>
      <c r="L112" s="252"/>
      <c r="M112" s="252"/>
      <c r="N112" s="865"/>
      <c r="O112" s="278"/>
      <c r="P112" s="865"/>
      <c r="Q112" s="865"/>
      <c r="R112" s="865"/>
      <c r="S112" s="865"/>
      <c r="T112" s="865"/>
      <c r="U112" s="252"/>
      <c r="V112" s="252"/>
      <c r="W112" s="252"/>
      <c r="X112" s="252"/>
      <c r="Y112" s="252"/>
      <c r="Z112" s="252"/>
      <c r="AA112" s="252"/>
      <c r="AB112" s="252"/>
      <c r="AC112" s="278"/>
      <c r="AD112" s="278"/>
      <c r="AE112" s="865"/>
    </row>
    <row r="113" spans="1:31" s="463" customFormat="1" ht="18" customHeight="1" x14ac:dyDescent="0.3">
      <c r="A113" s="847"/>
      <c r="B113" s="465" t="s">
        <v>2017</v>
      </c>
      <c r="C113" s="848"/>
      <c r="D113" s="848"/>
      <c r="E113" s="848"/>
      <c r="F113" s="848"/>
      <c r="G113" s="848"/>
      <c r="H113" s="848"/>
      <c r="I113" s="848"/>
      <c r="J113" s="848"/>
      <c r="K113" s="848"/>
      <c r="L113" s="848"/>
      <c r="M113" s="848"/>
      <c r="N113" s="850"/>
      <c r="O113" s="904"/>
      <c r="P113" s="904"/>
      <c r="Q113" s="904"/>
      <c r="R113" s="904"/>
      <c r="S113" s="904"/>
      <c r="T113" s="904"/>
      <c r="U113" s="904"/>
      <c r="V113" s="904"/>
      <c r="W113" s="904"/>
      <c r="X113" s="904"/>
      <c r="Y113" s="904"/>
      <c r="Z113" s="904"/>
      <c r="AA113" s="904"/>
      <c r="AB113" s="904"/>
      <c r="AC113" s="905"/>
      <c r="AD113" s="905"/>
      <c r="AE113" s="904"/>
    </row>
    <row r="114" spans="1:31" ht="15" customHeight="1" x14ac:dyDescent="0.2">
      <c r="A114" s="856"/>
      <c r="B114" s="856"/>
      <c r="C114" s="856"/>
      <c r="D114" s="856"/>
      <c r="E114" s="856"/>
      <c r="F114" s="856"/>
      <c r="G114" s="856"/>
      <c r="H114" s="856"/>
      <c r="I114" s="856"/>
      <c r="J114" s="856"/>
      <c r="K114" s="856"/>
      <c r="L114" s="856"/>
      <c r="M114" s="856"/>
      <c r="N114" s="856"/>
      <c r="O114" s="856"/>
      <c r="P114" s="856"/>
      <c r="Q114" s="171"/>
      <c r="R114" s="171"/>
      <c r="S114" s="171"/>
      <c r="T114" s="171"/>
      <c r="U114" s="856"/>
      <c r="V114" s="856"/>
      <c r="W114" s="856"/>
      <c r="X114" s="856"/>
      <c r="Y114" s="856"/>
      <c r="Z114" s="856"/>
      <c r="AA114" s="856"/>
      <c r="AB114" s="856"/>
      <c r="AC114" s="856"/>
      <c r="AD114" s="856"/>
      <c r="AE114" s="856"/>
    </row>
    <row r="115" spans="1:31" ht="15" customHeight="1" x14ac:dyDescent="0.25">
      <c r="A115" s="856"/>
      <c r="B115" s="906" t="s">
        <v>2018</v>
      </c>
      <c r="C115" s="855"/>
      <c r="D115" s="856"/>
      <c r="E115" s="856"/>
      <c r="F115" s="856"/>
      <c r="G115" s="856"/>
      <c r="H115" s="171"/>
      <c r="I115" s="856"/>
      <c r="J115" s="856"/>
      <c r="K115" s="856"/>
      <c r="L115" s="856"/>
      <c r="M115" s="856"/>
      <c r="N115" s="856"/>
      <c r="O115" s="857"/>
      <c r="P115" s="706"/>
      <c r="Q115" s="171"/>
      <c r="R115" s="171"/>
      <c r="S115" s="171"/>
      <c r="T115" s="171"/>
      <c r="U115" s="856"/>
      <c r="V115" s="856"/>
      <c r="W115" s="856"/>
      <c r="X115" s="856"/>
      <c r="Y115" s="856"/>
      <c r="Z115" s="856"/>
      <c r="AA115" s="856"/>
      <c r="AB115" s="856"/>
      <c r="AE115" s="856"/>
    </row>
    <row r="116" spans="1:31" ht="5.0999999999999996" customHeight="1" thickBot="1" x14ac:dyDescent="0.25">
      <c r="AC116" s="856"/>
      <c r="AD116" s="856"/>
    </row>
    <row r="117" spans="1:31" ht="30" customHeight="1" thickBot="1" x14ac:dyDescent="0.3">
      <c r="A117" s="858"/>
      <c r="B117" s="907" t="s">
        <v>1407</v>
      </c>
      <c r="C117" s="859"/>
      <c r="D117" s="1348">
        <f>E110</f>
        <v>0</v>
      </c>
      <c r="E117" s="1349"/>
      <c r="F117" s="419"/>
      <c r="G117" s="856"/>
      <c r="H117" s="171"/>
      <c r="I117" s="856"/>
      <c r="J117" s="856"/>
      <c r="K117" s="856"/>
      <c r="L117" s="856"/>
      <c r="M117" s="856"/>
      <c r="N117" s="856"/>
      <c r="O117" s="857"/>
      <c r="P117" s="706"/>
      <c r="Q117" s="171"/>
      <c r="R117" s="171"/>
      <c r="S117" s="171"/>
      <c r="T117" s="171"/>
      <c r="U117" s="856"/>
      <c r="V117" s="856"/>
      <c r="W117" s="856"/>
      <c r="X117" s="856"/>
      <c r="Y117" s="856"/>
      <c r="Z117" s="856"/>
      <c r="AA117" s="856"/>
      <c r="AB117" s="856"/>
      <c r="AE117" s="856"/>
    </row>
    <row r="118" spans="1:31" ht="5.0999999999999996" customHeight="1" thickBot="1" x14ac:dyDescent="0.25">
      <c r="A118" s="639"/>
      <c r="B118" s="724"/>
      <c r="C118" s="724"/>
      <c r="D118" s="725"/>
      <c r="E118" s="725"/>
      <c r="F118" s="639"/>
      <c r="AC118" s="171"/>
      <c r="AD118" s="171"/>
    </row>
    <row r="119" spans="1:31" ht="30" customHeight="1" thickBot="1" x14ac:dyDescent="0.3">
      <c r="A119" s="858"/>
      <c r="B119" s="852" t="s">
        <v>1961</v>
      </c>
      <c r="C119" s="860"/>
      <c r="D119" s="1318">
        <f>E111</f>
        <v>0</v>
      </c>
      <c r="E119" s="1319"/>
      <c r="F119" s="419"/>
      <c r="G119" s="856"/>
      <c r="H119" s="856"/>
      <c r="I119" s="856"/>
      <c r="J119" s="856"/>
      <c r="K119" s="856"/>
      <c r="L119" s="856"/>
      <c r="M119" s="856"/>
      <c r="N119" s="856"/>
      <c r="O119" s="857"/>
      <c r="P119" s="706"/>
      <c r="Q119" s="171"/>
      <c r="R119" s="171"/>
      <c r="S119" s="171"/>
      <c r="T119" s="171"/>
      <c r="U119" s="856"/>
      <c r="V119" s="856"/>
      <c r="W119" s="856"/>
      <c r="X119" s="856"/>
      <c r="Y119" s="856"/>
      <c r="Z119" s="856"/>
      <c r="AA119" s="171"/>
      <c r="AB119" s="171"/>
      <c r="AC119" s="171"/>
      <c r="AD119" s="171"/>
      <c r="AE119" s="171"/>
    </row>
    <row r="120" spans="1:31" ht="15" customHeight="1" x14ac:dyDescent="0.25">
      <c r="A120" s="858"/>
      <c r="B120" s="856"/>
      <c r="C120" s="856"/>
      <c r="D120" s="856"/>
      <c r="E120" s="856"/>
      <c r="F120" s="856"/>
      <c r="G120" s="856"/>
      <c r="H120" s="856"/>
      <c r="I120" s="856"/>
      <c r="J120" s="856"/>
      <c r="K120" s="856"/>
      <c r="L120" s="856"/>
      <c r="M120" s="856"/>
      <c r="N120" s="856"/>
      <c r="O120" s="857"/>
      <c r="P120" s="706"/>
      <c r="Q120" s="171"/>
      <c r="R120" s="171"/>
      <c r="S120" s="171"/>
      <c r="T120" s="171"/>
      <c r="U120" s="856"/>
      <c r="V120" s="856"/>
      <c r="W120" s="856"/>
      <c r="X120" s="856"/>
      <c r="Y120" s="856"/>
      <c r="Z120" s="856"/>
      <c r="AA120" s="171"/>
      <c r="AB120" s="171"/>
      <c r="AC120" s="171"/>
      <c r="AD120" s="171"/>
      <c r="AE120" s="171"/>
    </row>
    <row r="121" spans="1:31" ht="15" customHeight="1" x14ac:dyDescent="0.25">
      <c r="A121" s="858"/>
      <c r="B121" s="1345" t="s">
        <v>2019</v>
      </c>
      <c r="C121" s="1345"/>
      <c r="D121" s="1345"/>
      <c r="E121" s="1345"/>
      <c r="F121" s="856"/>
      <c r="G121" s="856"/>
      <c r="H121" s="856"/>
      <c r="I121" s="856"/>
      <c r="J121" s="856"/>
      <c r="K121" s="856"/>
      <c r="L121" s="856"/>
      <c r="M121" s="856"/>
      <c r="N121" s="856"/>
      <c r="O121" s="857"/>
      <c r="P121" s="706"/>
      <c r="Q121" s="171"/>
      <c r="R121" s="171"/>
      <c r="S121" s="171"/>
      <c r="T121" s="171"/>
      <c r="U121" s="856"/>
      <c r="V121" s="856"/>
      <c r="W121" s="856"/>
      <c r="X121" s="856"/>
      <c r="Y121" s="856"/>
      <c r="Z121" s="856"/>
      <c r="AA121" s="171"/>
      <c r="AB121" s="171"/>
      <c r="AC121" s="171"/>
      <c r="AD121" s="171"/>
      <c r="AE121" s="171"/>
    </row>
    <row r="122" spans="1:31" ht="15" customHeight="1" x14ac:dyDescent="0.25">
      <c r="A122" s="858"/>
      <c r="B122" s="1345"/>
      <c r="C122" s="1345"/>
      <c r="D122" s="1345"/>
      <c r="E122" s="1345"/>
      <c r="F122" s="856"/>
      <c r="G122" s="856"/>
      <c r="H122" s="856"/>
      <c r="I122" s="856"/>
      <c r="J122" s="856"/>
      <c r="K122" s="856"/>
      <c r="L122" s="856"/>
      <c r="M122" s="856"/>
      <c r="N122" s="856"/>
      <c r="O122" s="857"/>
      <c r="P122" s="706"/>
      <c r="Q122" s="171"/>
      <c r="R122" s="171"/>
      <c r="S122" s="171"/>
      <c r="T122" s="171"/>
      <c r="U122" s="856"/>
      <c r="V122" s="856"/>
      <c r="W122" s="856"/>
      <c r="X122" s="856"/>
      <c r="Y122" s="856"/>
      <c r="Z122" s="856"/>
      <c r="AA122" s="171"/>
      <c r="AB122" s="171"/>
      <c r="AC122" s="171"/>
      <c r="AD122" s="171"/>
      <c r="AE122" s="171"/>
    </row>
    <row r="123" spans="1:31" ht="24.95" customHeight="1" x14ac:dyDescent="0.25">
      <c r="A123" s="858"/>
      <c r="B123" s="856"/>
      <c r="C123" s="856"/>
      <c r="D123" s="856"/>
      <c r="E123" s="856"/>
      <c r="F123" s="856"/>
      <c r="G123" s="856"/>
      <c r="H123" s="856"/>
      <c r="I123" s="856"/>
      <c r="J123" s="856"/>
      <c r="K123" s="856"/>
      <c r="L123" s="856"/>
      <c r="M123" s="856"/>
      <c r="N123" s="856"/>
      <c r="O123" s="857"/>
      <c r="P123" s="706"/>
      <c r="Q123" s="171"/>
      <c r="R123" s="171"/>
      <c r="S123" s="171"/>
      <c r="T123" s="171"/>
      <c r="U123" s="856"/>
      <c r="V123" s="856"/>
      <c r="W123" s="856"/>
      <c r="X123" s="856"/>
      <c r="Y123" s="856"/>
      <c r="Z123" s="856"/>
      <c r="AA123" s="171"/>
      <c r="AB123" s="171"/>
      <c r="AE123" s="171"/>
    </row>
    <row r="124" spans="1:31" ht="15" hidden="1" customHeight="1" x14ac:dyDescent="0.2"/>
    <row r="125" spans="1:31" ht="15" hidden="1" customHeight="1" x14ac:dyDescent="0.2"/>
    <row r="126" spans="1:31" ht="15" hidden="1" customHeight="1" x14ac:dyDescent="0.2"/>
    <row r="127" spans="1:31" ht="15" hidden="1" customHeight="1" x14ac:dyDescent="0.2"/>
    <row r="128" spans="1:31" ht="15" hidden="1" customHeight="1" x14ac:dyDescent="0.2"/>
    <row r="129" ht="15" hidden="1" customHeight="1" x14ac:dyDescent="0.2"/>
    <row r="130" ht="15" hidden="1" customHeight="1" x14ac:dyDescent="0.2"/>
    <row r="131" ht="15" hidden="1" customHeight="1" x14ac:dyDescent="0.2"/>
    <row r="132" ht="15" hidden="1" customHeight="1" x14ac:dyDescent="0.2"/>
    <row r="133" ht="15" hidden="1" customHeight="1" x14ac:dyDescent="0.2"/>
    <row r="134" ht="15" hidden="1" customHeight="1" x14ac:dyDescent="0.2"/>
    <row r="135" x14ac:dyDescent="0.2"/>
    <row r="136" x14ac:dyDescent="0.2"/>
    <row r="137" x14ac:dyDescent="0.2"/>
    <row r="138" x14ac:dyDescent="0.2"/>
    <row r="139" x14ac:dyDescent="0.2"/>
    <row r="140" x14ac:dyDescent="0.2"/>
    <row r="141" x14ac:dyDescent="0.2"/>
    <row r="142" x14ac:dyDescent="0.2"/>
    <row r="143" x14ac:dyDescent="0.2"/>
  </sheetData>
  <sheetProtection selectLockedCells="1"/>
  <mergeCells count="20">
    <mergeCell ref="B15:J16"/>
    <mergeCell ref="B17:J18"/>
    <mergeCell ref="B19:J19"/>
    <mergeCell ref="B20:J20"/>
    <mergeCell ref="D12:F12"/>
    <mergeCell ref="D103:E103"/>
    <mergeCell ref="D67:E67"/>
    <mergeCell ref="D95:E95"/>
    <mergeCell ref="B121:E122"/>
    <mergeCell ref="D58:E58"/>
    <mergeCell ref="D59:E59"/>
    <mergeCell ref="D94:E94"/>
    <mergeCell ref="D117:E117"/>
    <mergeCell ref="D119:E119"/>
    <mergeCell ref="B70:G71"/>
    <mergeCell ref="B21:J21"/>
    <mergeCell ref="B27:J27"/>
    <mergeCell ref="B28:J29"/>
    <mergeCell ref="B26:J26"/>
    <mergeCell ref="B30:J30"/>
  </mergeCells>
  <conditionalFormatting sqref="D12">
    <cfRule type="expression" dxfId="9390" priority="46" stopIfTrue="1">
      <formula>NOT(ISERROR(SEARCH("ESCOLHA",D12)))</formula>
    </cfRule>
  </conditionalFormatting>
  <conditionalFormatting sqref="F108:M108">
    <cfRule type="expression" dxfId="9389" priority="36">
      <formula>$E$108&lt;0</formula>
    </cfRule>
  </conditionalFormatting>
  <conditionalFormatting sqref="D75">
    <cfRule type="expression" dxfId="9388" priority="14">
      <formula>$E$34="Não"</formula>
    </cfRule>
  </conditionalFormatting>
  <conditionalFormatting sqref="D82:E82">
    <cfRule type="expression" dxfId="9387" priority="13">
      <formula>$E$34="Não"</formula>
    </cfRule>
  </conditionalFormatting>
  <conditionalFormatting sqref="D88:D90">
    <cfRule type="expression" dxfId="9386" priority="12">
      <formula>$E$34="Não"</formula>
    </cfRule>
  </conditionalFormatting>
  <conditionalFormatting sqref="E100">
    <cfRule type="expression" dxfId="9385" priority="10">
      <formula>$E$34="Não"</formula>
    </cfRule>
  </conditionalFormatting>
  <conditionalFormatting sqref="D94:E95">
    <cfRule type="expression" dxfId="9384" priority="8">
      <formula>$E$34="Não"</formula>
    </cfRule>
  </conditionalFormatting>
  <conditionalFormatting sqref="D103:E103">
    <cfRule type="expression" dxfId="9383" priority="7">
      <formula>$E$34="Não"</formula>
    </cfRule>
  </conditionalFormatting>
  <conditionalFormatting sqref="F109">
    <cfRule type="expression" dxfId="9382" priority="6">
      <formula>$E$109&lt;0</formula>
    </cfRule>
  </conditionalFormatting>
  <conditionalFormatting sqref="G109:Q109">
    <cfRule type="expression" dxfId="9381" priority="3">
      <formula>$E$108&lt;0</formula>
    </cfRule>
    <cfRule type="expression" dxfId="9380" priority="4">
      <formula>$E$109&lt;0</formula>
    </cfRule>
  </conditionalFormatting>
  <conditionalFormatting sqref="R109">
    <cfRule type="expression" dxfId="9379" priority="2">
      <formula>$E$109&lt;0</formula>
    </cfRule>
  </conditionalFormatting>
  <conditionalFormatting sqref="S109">
    <cfRule type="expression" dxfId="9378" priority="1">
      <formula>$E$109&lt;0</formula>
    </cfRule>
  </conditionalFormatting>
  <dataValidations count="4">
    <dataValidation type="custom" allowBlank="1" showInputMessage="1" showErrorMessage="1" errorTitle="Há tratamento sequencial?" error="No passo 1, não foi indicado que são aplicados, sequencialmente, dois tipos de tratamentos anaeróbicos ao efluente gerado. Verifique, caso haja, escolha a resposta &quot;sim&quot;." sqref="D75">
      <formula1>E34="Sim"</formula1>
    </dataValidation>
    <dataValidation type="list" allowBlank="1" showInputMessage="1" showErrorMessage="1" sqref="E82 E46">
      <formula1>dbo_dqo</formula1>
    </dataValidation>
    <dataValidation type="list" allowBlank="1" showInputMessage="1" showErrorMessage="1" sqref="E34">
      <formula1>eflu_trat_sequenc</formula1>
    </dataValidation>
    <dataValidation type="list" allowBlank="1" showInputMessage="1" showErrorMessage="1" sqref="D67:E67 D103:E103">
      <formula1>eflu_ch4_recuperado</formula1>
    </dataValidation>
  </dataValidations>
  <pageMargins left="0.511811024" right="0.511811024" top="0.78740157499999996" bottom="0.78740157499999996" header="0.31496062000000002" footer="0.31496062000000002"/>
  <pageSetup paperSize="9" orientation="portrait" horizontalDpi="300"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Listas!$BR$3:$BR$10</xm:f>
          </x14:formula1>
          <xm:sqref>D94:E94</xm:sqref>
        </x14:dataValidation>
        <x14:dataValidation type="list" allowBlank="1" showInputMessage="1" showErrorMessage="1">
          <x14:formula1>
            <xm:f>Listas!$BR$3:$BR$10</xm:f>
          </x14:formula1>
          <xm:sqref>D58:E58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23</vt:i4>
      </vt:variant>
      <vt:variant>
        <vt:lpstr>Intervalos com nome</vt:lpstr>
      </vt:variant>
      <vt:variant>
        <vt:i4>486</vt:i4>
      </vt:variant>
    </vt:vector>
  </HeadingPairs>
  <TitlesOfParts>
    <vt:vector size="509" baseType="lpstr">
      <vt:lpstr>Disclaimer</vt:lpstr>
      <vt:lpstr>Introdução</vt:lpstr>
      <vt:lpstr>Combustão estacionária</vt:lpstr>
      <vt:lpstr>Combustão móvel</vt:lpstr>
      <vt:lpstr>Emissões fugitivas</vt:lpstr>
      <vt:lpstr>Processos industriais</vt:lpstr>
      <vt:lpstr>Agrícolas e uso do solo</vt:lpstr>
      <vt:lpstr>Resíduos sólidos</vt:lpstr>
      <vt:lpstr>Efluentes</vt:lpstr>
      <vt:lpstr>Compra de Energia Elétrica</vt:lpstr>
      <vt:lpstr>Compra de Energia Térmica</vt:lpstr>
      <vt:lpstr>Transp.&amp; Distribuição(Upstream)</vt:lpstr>
      <vt:lpstr>Resíduos sólidos da operação</vt:lpstr>
      <vt:lpstr>Efluentes gerados na operação</vt:lpstr>
      <vt:lpstr>Viagens a negócios</vt:lpstr>
      <vt:lpstr>Permuta casa-trabalho</vt:lpstr>
      <vt:lpstr>Transp&amp;Distribuição(Downstream)</vt:lpstr>
      <vt:lpstr>Categorias de Ambito 3</vt:lpstr>
      <vt:lpstr>Resumo</vt:lpstr>
      <vt:lpstr>GRI</vt:lpstr>
      <vt:lpstr>Fatores de Emissão</vt:lpstr>
      <vt:lpstr>Conversão Unidades</vt:lpstr>
      <vt:lpstr>Listas</vt:lpstr>
      <vt:lpstr>AC</vt:lpstr>
      <vt:lpstr>AL</vt:lpstr>
      <vt:lpstr>AM</vt:lpstr>
      <vt:lpstr>Ano</vt:lpstr>
      <vt:lpstr>AP</vt:lpstr>
      <vt:lpstr>'Combustão estacionária'!Área_de_Impressão</vt:lpstr>
      <vt:lpstr>'Combustão móvel'!Área_de_Impressão</vt:lpstr>
      <vt:lpstr>'Compra de Energia Elétrica'!Área_de_Impressão</vt:lpstr>
      <vt:lpstr>'Compra de Energia Térmica'!Área_de_Impressão</vt:lpstr>
      <vt:lpstr>Disclaimer!Área_de_Impressão</vt:lpstr>
      <vt:lpstr>'Emissões fugitivas'!Área_de_Impressão</vt:lpstr>
      <vt:lpstr>Introdução!Área_de_Impressão</vt:lpstr>
      <vt:lpstr>'Permuta casa-trabalho'!Área_de_Impressão</vt:lpstr>
      <vt:lpstr>'Transp&amp;Distribuição(Downstream)'!Área_de_Impressão</vt:lpstr>
      <vt:lpstr>'Transp.&amp; Distribuição(Upstream)'!Área_de_Impressão</vt:lpstr>
      <vt:lpstr>'Viagens a negócios'!Área_de_Impressão</vt:lpstr>
      <vt:lpstr>BA</vt:lpstr>
      <vt:lpstr>CE</vt:lpstr>
      <vt:lpstr>col_setor</vt:lpstr>
      <vt:lpstr>dbo_dqo</vt:lpstr>
      <vt:lpstr>DF</vt:lpstr>
      <vt:lpstr>distância_VN</vt:lpstr>
      <vt:lpstr>eflu_ch4_recuperado</vt:lpstr>
      <vt:lpstr>eflu_tipo_tratamento</vt:lpstr>
      <vt:lpstr>eflu_tipo_tratamento_MCF</vt:lpstr>
      <vt:lpstr>eflu_trat_sequenc</vt:lpstr>
      <vt:lpstr>ES</vt:lpstr>
      <vt:lpstr>GO</vt:lpstr>
      <vt:lpstr>gwp_CH4</vt:lpstr>
      <vt:lpstr>gwp_CO2</vt:lpstr>
      <vt:lpstr>gwp_HFC125</vt:lpstr>
      <vt:lpstr>gwp_HFC134</vt:lpstr>
      <vt:lpstr>gwp_HFC134a</vt:lpstr>
      <vt:lpstr>gwp_HFC143</vt:lpstr>
      <vt:lpstr>gwp_HFC143a</vt:lpstr>
      <vt:lpstr>gwp_HFC152</vt:lpstr>
      <vt:lpstr>gwp_HFC152a</vt:lpstr>
      <vt:lpstr>gwp_HFC161</vt:lpstr>
      <vt:lpstr>gwp_HFC227ea</vt:lpstr>
      <vt:lpstr>gwp_HFC23</vt:lpstr>
      <vt:lpstr>gwp_HFC236cb</vt:lpstr>
      <vt:lpstr>gwp_HFC236ea</vt:lpstr>
      <vt:lpstr>gwp_HFC236fa</vt:lpstr>
      <vt:lpstr>gwp_HFC245ca</vt:lpstr>
      <vt:lpstr>gwp_HFC245fa</vt:lpstr>
      <vt:lpstr>gwp_HFC32</vt:lpstr>
      <vt:lpstr>gwp_HFC365mfc</vt:lpstr>
      <vt:lpstr>gwp_HFC41</vt:lpstr>
      <vt:lpstr>gwp_HFC4310mee</vt:lpstr>
      <vt:lpstr>gwp_N2O</vt:lpstr>
      <vt:lpstr>gwp_NF3</vt:lpstr>
      <vt:lpstr>gwp_perfluorociclopropano</vt:lpstr>
      <vt:lpstr>gwp_PFC116</vt:lpstr>
      <vt:lpstr>gwp_PFC14</vt:lpstr>
      <vt:lpstr>gwp_PFC218</vt:lpstr>
      <vt:lpstr>gwp_PFC3110</vt:lpstr>
      <vt:lpstr>gwp_PFC318</vt:lpstr>
      <vt:lpstr>gwp_PFC4112</vt:lpstr>
      <vt:lpstr>gwp_PFC5114</vt:lpstr>
      <vt:lpstr>gwp_PFC9118</vt:lpstr>
      <vt:lpstr>gwp_SF6</vt:lpstr>
      <vt:lpstr>gwp_trifluorometil</vt:lpstr>
      <vt:lpstr>lista_ano</vt:lpstr>
      <vt:lpstr>lista_comb</vt:lpstr>
      <vt:lpstr>lista_comb_aereo</vt:lpstr>
      <vt:lpstr>lista_comb_ferrovia</vt:lpstr>
      <vt:lpstr>lista_comb_hidroviario</vt:lpstr>
      <vt:lpstr>lista_comb_movel</vt:lpstr>
      <vt:lpstr>lista_equip_refrigeraçao</vt:lpstr>
      <vt:lpstr>lista_estados_br</vt:lpstr>
      <vt:lpstr>lista_gases</vt:lpstr>
      <vt:lpstr>lista_gases_completa</vt:lpstr>
      <vt:lpstr>lista_municípios_br</vt:lpstr>
      <vt:lpstr>lista_setor</vt:lpstr>
      <vt:lpstr>MA</vt:lpstr>
      <vt:lpstr>MG</vt:lpstr>
      <vt:lpstr>MS</vt:lpstr>
      <vt:lpstr>MT</vt:lpstr>
      <vt:lpstr>'Resíduos sólidos da operação'!municípios_br_E1</vt:lpstr>
      <vt:lpstr>municípios_br_E1</vt:lpstr>
      <vt:lpstr>municipios_temp_pluv</vt:lpstr>
      <vt:lpstr>nome_biodiesel</vt:lpstr>
      <vt:lpstr>nome_compostos</vt:lpstr>
      <vt:lpstr>nome_diesel_comercial</vt:lpstr>
      <vt:lpstr>nome_etan_anidro</vt:lpstr>
      <vt:lpstr>nome_etan_hidrat</vt:lpstr>
      <vt:lpstr>nome_gaso_A</vt:lpstr>
      <vt:lpstr>nome_GNV</vt:lpstr>
      <vt:lpstr>nome_HFC</vt:lpstr>
      <vt:lpstr>nome_oleo_diesel</vt:lpstr>
      <vt:lpstr>nome_PFC</vt:lpstr>
      <vt:lpstr>PA</vt:lpstr>
      <vt:lpstr>PB</vt:lpstr>
      <vt:lpstr>PE</vt:lpstr>
      <vt:lpstr>PI</vt:lpstr>
      <vt:lpstr>PR</vt:lpstr>
      <vt:lpstr>RJ</vt:lpstr>
      <vt:lpstr>RN</vt:lpstr>
      <vt:lpstr>RO</vt:lpstr>
      <vt:lpstr>RR</vt:lpstr>
      <vt:lpstr>RS</vt:lpstr>
      <vt:lpstr>SC</vt:lpstr>
      <vt:lpstr>SE</vt:lpstr>
      <vt:lpstr>setor</vt:lpstr>
      <vt:lpstr>SP</vt:lpstr>
      <vt:lpstr>t_1</vt:lpstr>
      <vt:lpstr>t_2</vt:lpstr>
      <vt:lpstr>t_3</vt:lpstr>
      <vt:lpstr>t_4</vt:lpstr>
      <vt:lpstr>t_5</vt:lpstr>
      <vt:lpstr>tab_FE_ced</vt:lpstr>
      <vt:lpstr>tab_FE_VN</vt:lpstr>
      <vt:lpstr>tabela_comb_aereo</vt:lpstr>
      <vt:lpstr>tabela_comb_ferrovia</vt:lpstr>
      <vt:lpstr>tabela_comb_hidroviario</vt:lpstr>
      <vt:lpstr>tabela_comb_movel</vt:lpstr>
      <vt:lpstr>tabela_FE_CM</vt:lpstr>
      <vt:lpstr>tabela_FE_CM_ano</vt:lpstr>
      <vt:lpstr>tabela_FE_ferrovia</vt:lpstr>
      <vt:lpstr>tabela_GWP</vt:lpstr>
      <vt:lpstr>TO</vt:lpstr>
      <vt:lpstr>total_AA_biomassa</vt:lpstr>
      <vt:lpstr>total_AA_CH4</vt:lpstr>
      <vt:lpstr>total_AA_CO2</vt:lpstr>
      <vt:lpstr>total_AA_escopo1</vt:lpstr>
      <vt:lpstr>total_AA_N2O</vt:lpstr>
      <vt:lpstr>total_Cat1_CH4</vt:lpstr>
      <vt:lpstr>total_Cat1_CO2</vt:lpstr>
      <vt:lpstr>total_Cat1_CO2_biomassa</vt:lpstr>
      <vt:lpstr>total_Cat1_CO2e</vt:lpstr>
      <vt:lpstr>total_Cat1_HFC</vt:lpstr>
      <vt:lpstr>total_Cat1_N2O</vt:lpstr>
      <vt:lpstr>total_Cat1_NF3</vt:lpstr>
      <vt:lpstr>total_Cat1_PFC</vt:lpstr>
      <vt:lpstr>total_Cat1_SF6</vt:lpstr>
      <vt:lpstr>total_Cat10_CH4</vt:lpstr>
      <vt:lpstr>total_Cat10_CO2</vt:lpstr>
      <vt:lpstr>total_Cat10_CO2_biomassa</vt:lpstr>
      <vt:lpstr>total_Cat10_CO2e</vt:lpstr>
      <vt:lpstr>total_Cat10_HFC</vt:lpstr>
      <vt:lpstr>total_Cat10_N2O</vt:lpstr>
      <vt:lpstr>total_Cat10_NF3</vt:lpstr>
      <vt:lpstr>total_Cat10_PFC</vt:lpstr>
      <vt:lpstr>total_Cat10_SF6</vt:lpstr>
      <vt:lpstr>total_Cat11_CH4</vt:lpstr>
      <vt:lpstr>total_Cat11_CO2</vt:lpstr>
      <vt:lpstr>total_Cat11_CO2_biomassa</vt:lpstr>
      <vt:lpstr>total_Cat11_CO2e</vt:lpstr>
      <vt:lpstr>total_Cat11_HFC</vt:lpstr>
      <vt:lpstr>total_Cat11_N2O</vt:lpstr>
      <vt:lpstr>total_Cat11_NF3</vt:lpstr>
      <vt:lpstr>total_Cat11_PFC</vt:lpstr>
      <vt:lpstr>total_Cat11_SF6</vt:lpstr>
      <vt:lpstr>total_Cat12_CH4</vt:lpstr>
      <vt:lpstr>total_Cat12_CO2</vt:lpstr>
      <vt:lpstr>total_Cat12_CO2_biomassa</vt:lpstr>
      <vt:lpstr>total_Cat12_CO2e</vt:lpstr>
      <vt:lpstr>total_Cat12_HFC</vt:lpstr>
      <vt:lpstr>total_Cat12_N2O</vt:lpstr>
      <vt:lpstr>total_Cat12_NF3</vt:lpstr>
      <vt:lpstr>total_Cat12_PFC</vt:lpstr>
      <vt:lpstr>total_Cat12_SF6</vt:lpstr>
      <vt:lpstr>total_Cat13_CH4</vt:lpstr>
      <vt:lpstr>total_Cat13_CO2</vt:lpstr>
      <vt:lpstr>total_Cat13_CO2_biomassa</vt:lpstr>
      <vt:lpstr>total_Cat13_CO2e</vt:lpstr>
      <vt:lpstr>total_Cat13_HFC</vt:lpstr>
      <vt:lpstr>total_Cat13_N2O</vt:lpstr>
      <vt:lpstr>total_Cat13_NF3</vt:lpstr>
      <vt:lpstr>total_Cat13_PFC</vt:lpstr>
      <vt:lpstr>total_Cat13_SF6</vt:lpstr>
      <vt:lpstr>total_Cat14_CH4</vt:lpstr>
      <vt:lpstr>total_Cat14_CO2</vt:lpstr>
      <vt:lpstr>total_Cat14_CO2_biomassa</vt:lpstr>
      <vt:lpstr>total_Cat14_CO2e</vt:lpstr>
      <vt:lpstr>total_Cat14_HFC</vt:lpstr>
      <vt:lpstr>total_Cat14_N2O</vt:lpstr>
      <vt:lpstr>total_Cat14_NF3</vt:lpstr>
      <vt:lpstr>total_Cat14_PFC</vt:lpstr>
      <vt:lpstr>total_Cat14_SF6</vt:lpstr>
      <vt:lpstr>total_Cat15_CH4</vt:lpstr>
      <vt:lpstr>total_Cat15_CO2</vt:lpstr>
      <vt:lpstr>total_Cat15_CO2_biomassa</vt:lpstr>
      <vt:lpstr>total_Cat15_CO2e</vt:lpstr>
      <vt:lpstr>total_Cat15_HFC</vt:lpstr>
      <vt:lpstr>total_Cat15_N2O</vt:lpstr>
      <vt:lpstr>total_Cat15_NF3</vt:lpstr>
      <vt:lpstr>total_Cat15_PFC</vt:lpstr>
      <vt:lpstr>total_Cat15_SF6</vt:lpstr>
      <vt:lpstr>total_Cat2_CH4</vt:lpstr>
      <vt:lpstr>total_Cat2_CO2</vt:lpstr>
      <vt:lpstr>total_Cat2_CO2_biomassa</vt:lpstr>
      <vt:lpstr>total_Cat2_CO2e</vt:lpstr>
      <vt:lpstr>total_Cat2_HFC</vt:lpstr>
      <vt:lpstr>total_Cat2_N2O</vt:lpstr>
      <vt:lpstr>total_Cat2_NF3</vt:lpstr>
      <vt:lpstr>total_Cat2_PFC</vt:lpstr>
      <vt:lpstr>total_Cat2_SF6</vt:lpstr>
      <vt:lpstr>total_Cat3_CH4</vt:lpstr>
      <vt:lpstr>total_Cat3_CO2</vt:lpstr>
      <vt:lpstr>total_Cat3_CO2_biomassa</vt:lpstr>
      <vt:lpstr>total_Cat3_CO2e</vt:lpstr>
      <vt:lpstr>total_Cat3_HFC</vt:lpstr>
      <vt:lpstr>total_Cat3_N2O</vt:lpstr>
      <vt:lpstr>total_Cat3_NF3</vt:lpstr>
      <vt:lpstr>total_Cat3_PFC</vt:lpstr>
      <vt:lpstr>total_Cat3_SF6</vt:lpstr>
      <vt:lpstr>total_Cat4_CH4</vt:lpstr>
      <vt:lpstr>total_Cat4_CO2</vt:lpstr>
      <vt:lpstr>total_Cat4_CO2_biomassa</vt:lpstr>
      <vt:lpstr>total_Cat4_CO2e</vt:lpstr>
      <vt:lpstr>total_Cat4_N2O</vt:lpstr>
      <vt:lpstr>total_Cat4_op_CH4</vt:lpstr>
      <vt:lpstr>total_Cat4_op_CO2</vt:lpstr>
      <vt:lpstr>total_Cat4_op_CO2_biomassa</vt:lpstr>
      <vt:lpstr>total_Cat4_op_CO2e</vt:lpstr>
      <vt:lpstr>total_Cat4_op_HFC</vt:lpstr>
      <vt:lpstr>total_Cat4_op_N2O</vt:lpstr>
      <vt:lpstr>total_Cat4_op_NF3</vt:lpstr>
      <vt:lpstr>total_Cat4_op_PFC</vt:lpstr>
      <vt:lpstr>total_Cat4_op_SFC</vt:lpstr>
      <vt:lpstr>total_Cat5_CH4</vt:lpstr>
      <vt:lpstr>total_Cat5_CO2</vt:lpstr>
      <vt:lpstr>total_Cat5_CO2_biomassa</vt:lpstr>
      <vt:lpstr>total_Cat5_CO2e</vt:lpstr>
      <vt:lpstr>total_Cat5_N2O</vt:lpstr>
      <vt:lpstr>total_Cat5_op_CH4</vt:lpstr>
      <vt:lpstr>total_Cat5_op_CO2</vt:lpstr>
      <vt:lpstr>total_Cat5_op_CO2_biomassa</vt:lpstr>
      <vt:lpstr>total_Cat5_op_CO2e</vt:lpstr>
      <vt:lpstr>total_Cat5_op_HFC</vt:lpstr>
      <vt:lpstr>total_Cat5_op_N2O</vt:lpstr>
      <vt:lpstr>total_Cat5_op_NF3</vt:lpstr>
      <vt:lpstr>total_Cat5_op_PFC</vt:lpstr>
      <vt:lpstr>total_Cat5_op_SF6</vt:lpstr>
      <vt:lpstr>total_Cat6_CH4</vt:lpstr>
      <vt:lpstr>total_Cat6_CO2</vt:lpstr>
      <vt:lpstr>total_Cat6_CO2_biomassa</vt:lpstr>
      <vt:lpstr>total_Cat6_CO2e</vt:lpstr>
      <vt:lpstr>total_Cat6_N2O</vt:lpstr>
      <vt:lpstr>total_Cat6_op_CH4</vt:lpstr>
      <vt:lpstr>total_Cat6_op_CO2</vt:lpstr>
      <vt:lpstr>total_Cat6_op_CO2_biomassa</vt:lpstr>
      <vt:lpstr>total_Cat6_op_CO2e</vt:lpstr>
      <vt:lpstr>total_Cat6_op_HFC</vt:lpstr>
      <vt:lpstr>total_Cat6_op_N2O</vt:lpstr>
      <vt:lpstr>total_Cat6_op_NF3</vt:lpstr>
      <vt:lpstr>total_Cat6_op_PFC</vt:lpstr>
      <vt:lpstr>total_Cat6_op_SF6</vt:lpstr>
      <vt:lpstr>total_Cat7_CH4</vt:lpstr>
      <vt:lpstr>total_Cat7_CO2</vt:lpstr>
      <vt:lpstr>total_Cat7_CO2_biomassa</vt:lpstr>
      <vt:lpstr>total_Cat7_CO2e</vt:lpstr>
      <vt:lpstr>total_Cat7_HFC</vt:lpstr>
      <vt:lpstr>total_Cat7_N2O</vt:lpstr>
      <vt:lpstr>total_Cat7_NF3</vt:lpstr>
      <vt:lpstr>total_Cat7_PFC</vt:lpstr>
      <vt:lpstr>total_Cat7_SF6</vt:lpstr>
      <vt:lpstr>total_Cat8_CH4</vt:lpstr>
      <vt:lpstr>total_Cat8_CO2</vt:lpstr>
      <vt:lpstr>total_Cat8_CO2_biomassa</vt:lpstr>
      <vt:lpstr>total_Cat8_CO2e</vt:lpstr>
      <vt:lpstr>total_Cat8_HFC</vt:lpstr>
      <vt:lpstr>total_Cat8_N2O</vt:lpstr>
      <vt:lpstr>total_Cat8_NF3</vt:lpstr>
      <vt:lpstr>total_Cat8_PFC</vt:lpstr>
      <vt:lpstr>total_Cat8_SF6</vt:lpstr>
      <vt:lpstr>total_Cat9_CH4</vt:lpstr>
      <vt:lpstr>total_Cat9_CO2</vt:lpstr>
      <vt:lpstr>total_Cat9_CO2_biomassa</vt:lpstr>
      <vt:lpstr>total_Cat9_CO2e</vt:lpstr>
      <vt:lpstr>total_Cat9_N2O</vt:lpstr>
      <vt:lpstr>total_Cat9_op_CH4</vt:lpstr>
      <vt:lpstr>total_Cat9_op_CO2</vt:lpstr>
      <vt:lpstr>total_Cat9_op_CO2_biomassa</vt:lpstr>
      <vt:lpstr>total_Cat9_op_CO2e</vt:lpstr>
      <vt:lpstr>total_Cat9_op_HFC</vt:lpstr>
      <vt:lpstr>total_Cat9_op_N2O</vt:lpstr>
      <vt:lpstr>total_Cat9_op_NF3</vt:lpstr>
      <vt:lpstr>total_Cat9_op_PFC</vt:lpstr>
      <vt:lpstr>total_Cat9_op_SF6</vt:lpstr>
      <vt:lpstr>total_CED_biomassa</vt:lpstr>
      <vt:lpstr>total_CED_CH4</vt:lpstr>
      <vt:lpstr>total_CED_CH4_biomassa</vt:lpstr>
      <vt:lpstr>total_CED_CO2</vt:lpstr>
      <vt:lpstr>total_CED_CO2_biomassa</vt:lpstr>
      <vt:lpstr>total_CED_escopo1</vt:lpstr>
      <vt:lpstr>total_CED_N2O</vt:lpstr>
      <vt:lpstr>total_CED_N2O_biomassa</vt:lpstr>
      <vt:lpstr>'Viagens a negócios'!total_CM_aero_CH4</vt:lpstr>
      <vt:lpstr>total_CM_aero_CH4</vt:lpstr>
      <vt:lpstr>'Viagens a negócios'!total_CM_aero_CO2</vt:lpstr>
      <vt:lpstr>total_CM_aero_CO2</vt:lpstr>
      <vt:lpstr>'Viagens a negócios'!total_CM_aero_CO2bio</vt:lpstr>
      <vt:lpstr>total_CM_aero_CO2bio</vt:lpstr>
      <vt:lpstr>'Viagens a negócios'!total_CM_aero_CO2e</vt:lpstr>
      <vt:lpstr>total_CM_aero_CO2e</vt:lpstr>
      <vt:lpstr>'Viagens a negócios'!total_CM_aero_N2O</vt:lpstr>
      <vt:lpstr>total_CM_aero_N2O</vt:lpstr>
      <vt:lpstr>'Permuta casa-trabalho'!total_CM_biomassa</vt:lpstr>
      <vt:lpstr>'Viagens a negócios'!total_CM_biomassa</vt:lpstr>
      <vt:lpstr>total_CM_biomassa</vt:lpstr>
      <vt:lpstr>'Permuta casa-trabalho'!total_CM_CO2e</vt:lpstr>
      <vt:lpstr>'Viagens a negócios'!total_CM_CO2e</vt:lpstr>
      <vt:lpstr>total_CM_CO2e</vt:lpstr>
      <vt:lpstr>'Permuta casa-trabalho'!total_CM_ferro_CH4</vt:lpstr>
      <vt:lpstr>'Viagens a negócios'!total_CM_ferro_CH4</vt:lpstr>
      <vt:lpstr>total_CM_ferro_CH4</vt:lpstr>
      <vt:lpstr>'Permuta casa-trabalho'!total_CM_ferro_CO2</vt:lpstr>
      <vt:lpstr>'Viagens a negócios'!total_CM_ferro_CO2</vt:lpstr>
      <vt:lpstr>total_CM_ferro_CO2</vt:lpstr>
      <vt:lpstr>'Permuta casa-trabalho'!total_CM_ferro_CO2bio</vt:lpstr>
      <vt:lpstr>'Viagens a negócios'!total_CM_ferro_CO2bio</vt:lpstr>
      <vt:lpstr>total_CM_ferro_CO2bio</vt:lpstr>
      <vt:lpstr>'Permuta casa-trabalho'!total_CM_ferro_CO2e</vt:lpstr>
      <vt:lpstr>'Viagens a negócios'!total_CM_ferro_CO2e</vt:lpstr>
      <vt:lpstr>total_CM_ferro_CO2e</vt:lpstr>
      <vt:lpstr>'Permuta casa-trabalho'!total_CM_ferro_N2O</vt:lpstr>
      <vt:lpstr>'Viagens a negócios'!total_CM_ferro_N2O</vt:lpstr>
      <vt:lpstr>total_CM_ferro_N2O</vt:lpstr>
      <vt:lpstr>'Permuta casa-trabalho'!total_CM_hidro_CH4</vt:lpstr>
      <vt:lpstr>'Viagens a negócios'!total_CM_hidro_CH4</vt:lpstr>
      <vt:lpstr>total_CM_hidro_CH4</vt:lpstr>
      <vt:lpstr>'Permuta casa-trabalho'!total_CM_hidro_CO2</vt:lpstr>
      <vt:lpstr>'Viagens a negócios'!total_CM_hidro_CO2</vt:lpstr>
      <vt:lpstr>total_CM_hidro_CO2</vt:lpstr>
      <vt:lpstr>'Permuta casa-trabalho'!total_CM_hidro_CO2bio</vt:lpstr>
      <vt:lpstr>'Viagens a negócios'!total_CM_hidro_CO2bio</vt:lpstr>
      <vt:lpstr>total_CM_hidro_CO2bio</vt:lpstr>
      <vt:lpstr>'Permuta casa-trabalho'!total_CM_hidro_CO2e</vt:lpstr>
      <vt:lpstr>'Viagens a negócios'!total_CM_hidro_CO2e</vt:lpstr>
      <vt:lpstr>total_CM_hidro_CO2e</vt:lpstr>
      <vt:lpstr>'Permuta casa-trabalho'!total_CM_hidro_N2O</vt:lpstr>
      <vt:lpstr>'Viagens a negócios'!total_CM_hidro_N2O</vt:lpstr>
      <vt:lpstr>total_CM_hidro_N2O</vt:lpstr>
      <vt:lpstr>'Permuta casa-trabalho'!total_CM_rod_opcao2_CO2</vt:lpstr>
      <vt:lpstr>'Viagens a negócios'!total_CM_rod_opcao2_CO2</vt:lpstr>
      <vt:lpstr>total_CM_rod_opcao2_CO2</vt:lpstr>
      <vt:lpstr>'Permuta casa-trabalho'!total_CM_rod_opcao2_CO2bio</vt:lpstr>
      <vt:lpstr>'Viagens a negócios'!total_CM_rod_opcao2_CO2bio</vt:lpstr>
      <vt:lpstr>total_CM_rod_opcao2_CO2bio</vt:lpstr>
      <vt:lpstr>'Permuta casa-trabalho'!total_CM_rod_opcao2_CO2e</vt:lpstr>
      <vt:lpstr>'Viagens a negócios'!total_CM_rod_opcao2_CO2e</vt:lpstr>
      <vt:lpstr>total_CM_rod_opcao2_CO2e</vt:lpstr>
      <vt:lpstr>'Permuta casa-trabalho'!total_CM_rod_opcao2_N2O</vt:lpstr>
      <vt:lpstr>'Viagens a negócios'!total_CM_rod_opcao2_N2O</vt:lpstr>
      <vt:lpstr>total_CM_rod_opcao2_N2O</vt:lpstr>
      <vt:lpstr>'Permuta casa-trabalho'!total_CM_rod_opcao3_CH4</vt:lpstr>
      <vt:lpstr>'Viagens a negócios'!total_CM_rod_opcao3_CH4</vt:lpstr>
      <vt:lpstr>total_CM_rod_opcao3_CH4</vt:lpstr>
      <vt:lpstr>'Permuta casa-trabalho'!total_CM_rod_opcao3_CO2</vt:lpstr>
      <vt:lpstr>'Viagens a negócios'!total_CM_rod_opcao3_CO2</vt:lpstr>
      <vt:lpstr>total_CM_rod_opcao3_CO2</vt:lpstr>
      <vt:lpstr>'Permuta casa-trabalho'!total_CM_rod_opcao3_CO2bio</vt:lpstr>
      <vt:lpstr>'Viagens a negócios'!total_CM_rod_opcao3_CO2bio</vt:lpstr>
      <vt:lpstr>total_CM_rod_opcao3_CO2bio</vt:lpstr>
      <vt:lpstr>'Permuta casa-trabalho'!total_CM_rod_opcao3_CO2e</vt:lpstr>
      <vt:lpstr>'Viagens a negócios'!total_CM_rod_opcao3_CO2e</vt:lpstr>
      <vt:lpstr>total_CM_rod_opcao3_CO2e</vt:lpstr>
      <vt:lpstr>'Permuta casa-trabalho'!total_CM_rod_opcao3_N2O</vt:lpstr>
      <vt:lpstr>'Viagens a negócios'!total_CM_rod_opcao3_N2O</vt:lpstr>
      <vt:lpstr>total_CM_rod_opcao3_N2O</vt:lpstr>
      <vt:lpstr>total_E3_categorias</vt:lpstr>
      <vt:lpstr>total_E3_categorias_biomassa</vt:lpstr>
      <vt:lpstr>'Compra de Energia Térmica'!total_ee_sin</vt:lpstr>
      <vt:lpstr>total_ee_sin</vt:lpstr>
      <vt:lpstr>total_EF_escopo1</vt:lpstr>
      <vt:lpstr>'Efluentes gerados na operação'!total_EFL_biomassa</vt:lpstr>
      <vt:lpstr>total_EFL_biomassa</vt:lpstr>
      <vt:lpstr>'Efluentes gerados na operação'!total_EFL_CH4</vt:lpstr>
      <vt:lpstr>total_EFL_CH4</vt:lpstr>
      <vt:lpstr>'Efluentes gerados na operação'!total_EFL_escopo1</vt:lpstr>
      <vt:lpstr>total_EFL_escopo1</vt:lpstr>
      <vt:lpstr>'Efluentes gerados na operação'!total_EFL_N2O</vt:lpstr>
      <vt:lpstr>total_EFL_N2O</vt:lpstr>
      <vt:lpstr>'Compra de Energia Térmica'!total_eletrica_escopo2</vt:lpstr>
      <vt:lpstr>total_eletrica_escopo2</vt:lpstr>
      <vt:lpstr>total_HFC_CO2e_Cat1</vt:lpstr>
      <vt:lpstr>total_HFC_CO2e_Cat10</vt:lpstr>
      <vt:lpstr>total_HFC_CO2e_Cat11</vt:lpstr>
      <vt:lpstr>total_HFC_CO2e_Cat12</vt:lpstr>
      <vt:lpstr>total_HFC_CO2e_Cat13</vt:lpstr>
      <vt:lpstr>total_HFC_CO2e_Cat14</vt:lpstr>
      <vt:lpstr>total_HFC_CO2e_Cat15</vt:lpstr>
      <vt:lpstr>total_HFC_CO2e_Cat2</vt:lpstr>
      <vt:lpstr>total_HFC_CO2e_Cat3</vt:lpstr>
      <vt:lpstr>total_HFC_CO2e_Cat4_op</vt:lpstr>
      <vt:lpstr>total_HFC_CO2e_Cat5_op</vt:lpstr>
      <vt:lpstr>total_HFC_CO2e_Cat6_op</vt:lpstr>
      <vt:lpstr>total_HFC_CO2e_Cat7</vt:lpstr>
      <vt:lpstr>total_HFC_CO2e_Cat8</vt:lpstr>
      <vt:lpstr>total_HFC_CO2e_Cat9_op</vt:lpstr>
      <vt:lpstr>total_PFC_CO2e_Cat1</vt:lpstr>
      <vt:lpstr>total_PFC_CO2e_Cat10</vt:lpstr>
      <vt:lpstr>total_PFC_CO2e_Cat11</vt:lpstr>
      <vt:lpstr>total_PFC_CO2e_Cat12</vt:lpstr>
      <vt:lpstr>total_PFC_CO2e_Cat13</vt:lpstr>
      <vt:lpstr>total_PFC_CO2e_Cat14</vt:lpstr>
      <vt:lpstr>total_PFC_CO2e_Cat15</vt:lpstr>
      <vt:lpstr>total_PFC_CO2e_Cat2</vt:lpstr>
      <vt:lpstr>total_PFC_CO2e_Cat3</vt:lpstr>
      <vt:lpstr>total_PFC_CO2e_Cat4_op</vt:lpstr>
      <vt:lpstr>total_PFC_CO2e_Cat5_op</vt:lpstr>
      <vt:lpstr>total_PFC_CO2e_Cat6_op</vt:lpstr>
      <vt:lpstr>total_PFC_CO2e_Cat7</vt:lpstr>
      <vt:lpstr>total_PFC_CO2e_Cat8</vt:lpstr>
      <vt:lpstr>total_PFC_CO2e_Cat9_op</vt:lpstr>
      <vt:lpstr>total_PI_biomassa</vt:lpstr>
      <vt:lpstr>total_PI_escopo1</vt:lpstr>
      <vt:lpstr>'Resíduos sólidos da operação'!total_RS_aterro_CH4</vt:lpstr>
      <vt:lpstr>total_RS_aterro_CH4</vt:lpstr>
      <vt:lpstr>'Resíduos sólidos da operação'!total_RS_aterro_CO2e</vt:lpstr>
      <vt:lpstr>total_RS_aterro_CO2e</vt:lpstr>
      <vt:lpstr>'Resíduos sólidos da operação'!total_RS_biomassa</vt:lpstr>
      <vt:lpstr>total_RS_biomassa</vt:lpstr>
      <vt:lpstr>'Resíduos sólidos da operação'!total_RS_compost_CH4</vt:lpstr>
      <vt:lpstr>total_RS_compost_CH4</vt:lpstr>
      <vt:lpstr>'Resíduos sólidos da operação'!total_RS_compost_CO2e</vt:lpstr>
      <vt:lpstr>total_RS_compost_CO2e</vt:lpstr>
      <vt:lpstr>'Resíduos sólidos da operação'!total_RS_compost_N2O</vt:lpstr>
      <vt:lpstr>total_RS_compost_N2O</vt:lpstr>
      <vt:lpstr>'Resíduos sólidos da operação'!total_RS_escopo1</vt:lpstr>
      <vt:lpstr>total_RS_escopo1</vt:lpstr>
      <vt:lpstr>'Resíduos sólidos da operação'!total_RS_incin_CH4</vt:lpstr>
      <vt:lpstr>total_RS_incin_CH4</vt:lpstr>
      <vt:lpstr>'Resíduos sólidos da operação'!total_RS_incin_CO2</vt:lpstr>
      <vt:lpstr>total_RS_incin_CO2</vt:lpstr>
      <vt:lpstr>'Resíduos sólidos da operação'!total_RS_incin_CO2e</vt:lpstr>
      <vt:lpstr>total_RS_incin_CO2e</vt:lpstr>
      <vt:lpstr>'Resíduos sólidos da operação'!total_RS_incin_N2O</vt:lpstr>
      <vt:lpstr>total_RS_incin_N2O</vt:lpstr>
      <vt:lpstr>'Transp&amp;Distribuição(Downstream)'!total_TeD_up_aero_CH4</vt:lpstr>
      <vt:lpstr>total_TeD_up_aero_CH4</vt:lpstr>
      <vt:lpstr>'Transp&amp;Distribuição(Downstream)'!total_TeD_up_aero_CO2</vt:lpstr>
      <vt:lpstr>total_TeD_up_aero_CO2</vt:lpstr>
      <vt:lpstr>'Transp&amp;Distribuição(Downstream)'!total_TeD_up_aero_CO2bio</vt:lpstr>
      <vt:lpstr>total_TeD_up_aero_CO2bio</vt:lpstr>
      <vt:lpstr>'Transp&amp;Distribuição(Downstream)'!total_TeD_up_aero_CO2e</vt:lpstr>
      <vt:lpstr>total_TeD_up_aero_CO2e</vt:lpstr>
      <vt:lpstr>'Transp&amp;Distribuição(Downstream)'!total_TeD_up_aero_N2O</vt:lpstr>
      <vt:lpstr>total_TeD_up_aero_N2O</vt:lpstr>
      <vt:lpstr>'Transp&amp;Distribuição(Downstream)'!total_TeD_up_CO2bio</vt:lpstr>
      <vt:lpstr>total_TeD_up_CO2bio</vt:lpstr>
      <vt:lpstr>'Transp&amp;Distribuição(Downstream)'!total_TeD_up_CO2e</vt:lpstr>
      <vt:lpstr>total_TeD_up_CO2e</vt:lpstr>
      <vt:lpstr>'Transp&amp;Distribuição(Downstream)'!total_TeD_up_ferro_CH4</vt:lpstr>
      <vt:lpstr>total_TeD_up_ferro_CH4</vt:lpstr>
      <vt:lpstr>'Transp&amp;Distribuição(Downstream)'!total_TeD_up_ferro_CO2</vt:lpstr>
      <vt:lpstr>total_TeD_up_ferro_CO2</vt:lpstr>
      <vt:lpstr>'Transp&amp;Distribuição(Downstream)'!total_TeD_up_ferro_CO2bio</vt:lpstr>
      <vt:lpstr>total_TeD_up_ferro_CO2bio</vt:lpstr>
      <vt:lpstr>'Transp&amp;Distribuição(Downstream)'!total_TeD_up_ferro_CO2e</vt:lpstr>
      <vt:lpstr>total_TeD_up_ferro_CO2e</vt:lpstr>
      <vt:lpstr>'Transp&amp;Distribuição(Downstream)'!total_TeD_up_ferro_N2O</vt:lpstr>
      <vt:lpstr>total_TeD_up_ferro_N2O</vt:lpstr>
      <vt:lpstr>'Transp&amp;Distribuição(Downstream)'!total_TeD_up_hidro_CH4</vt:lpstr>
      <vt:lpstr>total_TeD_up_hidro_CH4</vt:lpstr>
      <vt:lpstr>'Transp&amp;Distribuição(Downstream)'!total_TeD_up_hidro_CO2</vt:lpstr>
      <vt:lpstr>total_TeD_up_hidro_CO2</vt:lpstr>
      <vt:lpstr>'Transp&amp;Distribuição(Downstream)'!total_TeD_up_hidro_CO2bio</vt:lpstr>
      <vt:lpstr>total_TeD_up_hidro_CO2bio</vt:lpstr>
      <vt:lpstr>'Transp&amp;Distribuição(Downstream)'!total_TeD_up_hidro_CO2e</vt:lpstr>
      <vt:lpstr>total_TeD_up_hidro_CO2e</vt:lpstr>
      <vt:lpstr>'Transp&amp;Distribuição(Downstream)'!total_TeD_up_hidro_N2O</vt:lpstr>
      <vt:lpstr>total_TeD_up_hidro_N2O</vt:lpstr>
      <vt:lpstr>'Transp&amp;Distribuição(Downstream)'!total_TeD_up_rod_opcao2_CH4</vt:lpstr>
      <vt:lpstr>total_TeD_up_rod_opcao2_CH4</vt:lpstr>
      <vt:lpstr>'Transp&amp;Distribuição(Downstream)'!total_TeD_up_rod_opcao2_CO2</vt:lpstr>
      <vt:lpstr>total_TeD_up_rod_opcao2_CO2</vt:lpstr>
      <vt:lpstr>'Transp&amp;Distribuição(Downstream)'!total_TeD_up_rod_opcao2_CO2bio</vt:lpstr>
      <vt:lpstr>total_TeD_up_rod_opcao2_CO2bio</vt:lpstr>
      <vt:lpstr>'Transp&amp;Distribuição(Downstream)'!total_TeD_up_rod_opcao2_CO2e</vt:lpstr>
      <vt:lpstr>total_TeD_up_rod_opcao2_CO2e</vt:lpstr>
      <vt:lpstr>'Transp&amp;Distribuição(Downstream)'!total_TeD_up_rod_opcao2_N2O</vt:lpstr>
      <vt:lpstr>total_TeD_up_rod_opcao2_N2O</vt:lpstr>
      <vt:lpstr>'Transp&amp;Distribuição(Downstream)'!total_TeD_up_rod_opcao3_CH4</vt:lpstr>
      <vt:lpstr>total_TeD_up_rod_opcao3_CH4</vt:lpstr>
      <vt:lpstr>'Transp&amp;Distribuição(Downstream)'!total_TeD_up_rod_opcao3_CO2</vt:lpstr>
      <vt:lpstr>total_TeD_up_rod_opcao3_CO2</vt:lpstr>
      <vt:lpstr>'Transp&amp;Distribuição(Downstream)'!total_TeD_up_rod_opcao3_CO2bio</vt:lpstr>
      <vt:lpstr>total_TeD_up_rod_opcao3_CO2bio</vt:lpstr>
      <vt:lpstr>'Transp&amp;Distribuição(Downstream)'!total_TeD_up_rod_opcao3_CO2e</vt:lpstr>
      <vt:lpstr>total_TeD_up_rod_opcao3_CO2e</vt:lpstr>
      <vt:lpstr>'Transp&amp;Distribuição(Downstream)'!total_TeD_up_rod_opcao3_N2O</vt:lpstr>
      <vt:lpstr>total_TeD_up_rod_opcao3_N2O</vt:lpstr>
      <vt:lpstr>vazio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Ferramenta do Programa Brasileiro GHG Protocol</dc:title>
  <dc:creator>GVces</dc:creator>
  <cp:lastModifiedBy>ulisses fernandes</cp:lastModifiedBy>
  <cp:lastPrinted>2012-02-15T15:48:10Z</cp:lastPrinted>
  <dcterms:created xsi:type="dcterms:W3CDTF">2002-12-27T21:28:48Z</dcterms:created>
  <dcterms:modified xsi:type="dcterms:W3CDTF">2018-10-23T16:47:05Z</dcterms:modified>
</cp:coreProperties>
</file>